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CD0B43AB-B01C-4BCC-9244-FF08E696D76C}" xr6:coauthVersionLast="47" xr6:coauthVersionMax="47" xr10:uidLastSave="{00000000-0000-0000-0000-000000000000}"/>
  <workbookProtection workbookAlgorithmName="SHA-512" workbookHashValue="yL4VSe6GwFG2uty/bgo/J6nURLBQv5ErmZa9qmcS+pugyk8OJub1BNfxVOnXfViWUPTqmJ4LIWAZfdgfDczbBA==" workbookSaltValue="ULZFClxJx692bNMugIoQWA=="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8" l="1"/>
  <c r="E101" i="2"/>
  <c r="E14" i="8"/>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57" i="2"/>
  <c r="B145"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c r="AX10" i="17"/>
  <c r="AX12" i="17" s="1"/>
  <c r="AX80" i="17" s="1"/>
  <c r="AM80" i="17"/>
  <c r="F22" i="2"/>
  <c r="G22" i="2" s="1"/>
  <c r="AW80" i="17"/>
  <c r="AX26" i="17"/>
  <c r="AV80" i="17"/>
  <c r="BK80" i="17"/>
  <c r="AO80" i="17"/>
  <c r="C100" i="2" s="1"/>
  <c r="B7" i="31" s="1"/>
  <c r="E100" i="2" l="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05" i="2" s="1" a="1"/>
  <c r="D105" i="2" s="1"/>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E109" i="2" l="1"/>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B36" i="2"/>
  <c r="B37" i="2" s="1"/>
  <c r="C36" i="2"/>
  <c r="G1" i="4"/>
  <c r="G13" i="2"/>
  <c r="B92" i="2"/>
  <c r="B169" i="2"/>
  <c r="B260" i="2"/>
  <c r="B264" i="2"/>
  <c r="T12" i="7"/>
  <c r="B171" i="2" l="1"/>
  <c r="B173" i="2" s="1"/>
  <c r="B177" i="2" s="1"/>
  <c r="G110" i="2"/>
  <c r="G109" i="2"/>
  <c r="B58" i="2"/>
  <c r="B70" i="2" s="1" a="1"/>
  <c r="B70" i="2" s="1"/>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180" i="2" l="1"/>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5" i="2" s="1" a="1"/>
  <c r="N105" i="2" s="1"/>
  <c r="N108" i="2"/>
  <c r="O1" i="4"/>
  <c r="O13" i="2"/>
  <c r="H21" i="9"/>
  <c r="H20" i="8"/>
  <c r="H18" i="8"/>
  <c r="J235" i="2"/>
  <c r="I15" i="8"/>
  <c r="I19" i="9"/>
  <c r="K234" i="2"/>
  <c r="J232" i="2"/>
  <c r="I14" i="8"/>
  <c r="H17" i="8"/>
  <c r="AB12" i="7"/>
  <c r="M233" i="2"/>
  <c r="L17" i="9"/>
  <c r="J3" i="8"/>
  <c r="O110" i="2" l="1"/>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7" i="2"/>
  <c r="X1" i="4"/>
  <c r="X13" i="2"/>
  <c r="Q18" i="8"/>
  <c r="Q20" i="8"/>
  <c r="S235" i="2"/>
  <c r="R15" i="8"/>
  <c r="R19" i="9"/>
  <c r="Q21" i="9"/>
  <c r="T234" i="2"/>
  <c r="T18" i="9" s="1"/>
  <c r="R14" i="8"/>
  <c r="S232" i="2"/>
  <c r="Q17" i="8"/>
  <c r="S3" i="8"/>
  <c r="U17" i="9"/>
  <c r="W105" i="2" l="1" a="1"/>
  <c r="W105" i="2" s="1"/>
  <c r="X109" i="2"/>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E105" i="2" s="1" a="1"/>
  <c r="AE105" i="2" s="1"/>
  <c r="AF1" i="4"/>
  <c r="AF13" i="2"/>
  <c r="Y21" i="9"/>
  <c r="Y18" i="8"/>
  <c r="Y20" i="8"/>
  <c r="AA235" i="2"/>
  <c r="Z19" i="9"/>
  <c r="Z15" i="8"/>
  <c r="AB234" i="2"/>
  <c r="AB18" i="9" s="1"/>
  <c r="Y17" i="8"/>
  <c r="Z14" i="8"/>
  <c r="AA232" i="2"/>
  <c r="AC17" i="9"/>
  <c r="AD233" i="2"/>
  <c r="AA3" i="8"/>
  <c r="AF109" i="2" l="1"/>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7" i="2"/>
  <c r="AG108" i="2"/>
  <c r="AF6" i="21"/>
  <c r="AF6" i="3"/>
  <c r="AH1" i="4"/>
  <c r="AG7" i="4"/>
  <c r="AH13" i="2"/>
  <c r="AC235" i="2"/>
  <c r="AB19" i="9"/>
  <c r="AB15" i="8"/>
  <c r="AA21" i="9"/>
  <c r="AA20" i="8"/>
  <c r="AA18" i="8"/>
  <c r="AD234" i="2"/>
  <c r="AD18" i="9" s="1"/>
  <c r="AA17" i="8"/>
  <c r="AC232" i="2"/>
  <c r="AB14" i="8"/>
  <c r="AE17" i="9"/>
  <c r="AF233" i="2"/>
  <c r="AC3" i="8"/>
  <c r="AG105" i="2" l="1" a="1"/>
  <c r="AG105" i="2" s="1"/>
  <c r="AH110" i="2"/>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5" i="2" s="1" a="1"/>
  <c r="AJ105" i="2" s="1"/>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K109" i="2" l="1"/>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AL105" i="2" l="1" a="1"/>
  <c r="AL105" i="2" s="1"/>
  <c r="E9" i="2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AM105" i="2" l="1" a="1"/>
  <c r="AM105" i="2" s="1"/>
  <c r="E67" i="3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N105" i="2" l="1" a="1"/>
  <c r="AN105" i="2" s="1"/>
  <c r="AO110" i="2"/>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<sst xmlns="http://schemas.openxmlformats.org/spreadsheetml/2006/main" count="2807" uniqueCount="587">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</sst>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10" fillId="0" borderId="0" xfId="0" applyNumberFormat="1" applyFont="1" applyAlignment="1">
      <alignment horizontal="center"/>
    </xf>
    <xf numFmtId="9" fontId="20" fillId="0" borderId="0" xfId="3" applyFont="1" applyFill="1" applyAlignment="1">
      <alignment horizontal="left" vertical="center"/>
    </xf>
    <xf numFmtId="0" fontId="20" fillId="0" borderId="0" xfId="0" applyFont="1" applyAlignment="1">
      <alignment horizontal="left" vertic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7.0000000000000007E-2</c:v>
                </c:pt>
                <c:pt idx="1">
                  <c:v>0.04</c:v>
                </c:pt>
                <c:pt idx="2">
                  <c:v>2.5000000000000001E-2</c:v>
                </c:pt>
                <c:pt idx="3">
                  <c:v>0.02</c:v>
                </c:pt>
                <c:pt idx="4">
                  <c:v>-2.5000000000000001E-2</c:v>
                </c:pt>
                <c:pt idx="5">
                  <c:v>0.01</c:v>
                </c:pt>
                <c:pt idx="6">
                  <c:v>0.02</c:v>
                </c:pt>
                <c:pt idx="7">
                  <c:v>1.4999999999999999E-2</c:v>
                </c:pt>
                <c:pt idx="8">
                  <c:v>1.4999999999999999E-2</c:v>
                </c:pt>
                <c:pt idx="9">
                  <c:v>6.5000000000000002E-2</c:v>
                </c:pt>
                <c:pt idx="10">
                  <c:v>0.06</c:v>
                </c:pt>
                <c:pt idx="11">
                  <c:v>0.04</c:v>
                </c:pt>
                <c:pt idx="12">
                  <c:v>0.04</c:v>
                </c:pt>
                <c:pt idx="13">
                  <c:v>0.04</c:v>
                </c:pt>
                <c:pt idx="14">
                  <c:v>3.5000000000000003E-2</c:v>
                </c:pt>
                <c:pt idx="15">
                  <c:v>0.03</c:v>
                </c:pt>
                <c:pt idx="16">
                  <c:v>0.03</c:v>
                </c:pt>
                <c:pt idx="17">
                  <c:v>2.5000000000000001E-2</c:v>
                </c:pt>
                <c:pt idx="18">
                  <c:v>0.03</c:v>
                </c:pt>
                <c:pt idx="19">
                  <c:v>0.06</c:v>
                </c:pt>
                <c:pt idx="20">
                  <c:v>5.5E-2</c:v>
                </c:pt>
                <c:pt idx="21">
                  <c:v>0.05</c:v>
                </c:pt>
                <c:pt idx="22">
                  <c:v>4.4999999999999998E-2</c:v>
                </c:pt>
                <c:pt idx="23">
                  <c:v>0.04</c:v>
                </c:pt>
                <c:pt idx="24">
                  <c:v>0.04</c:v>
                </c:pt>
                <c:pt idx="25">
                  <c:v>3.5000000000000003E-2</c:v>
                </c:pt>
                <c:pt idx="26">
                  <c:v>5.0000000000000001E-3</c:v>
                </c:pt>
                <c:pt idx="27">
                  <c:v>0.03</c:v>
                </c:pt>
                <c:pt idx="28">
                  <c:v>0.03</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133</v>
      </c>
      <c r="E4" s="291" t="str">
        <f>Assumptions!B6</f>
        <v>Method 3: Revised NZ$185bn</v>
      </c>
      <c r="F4" s="100" t="str">
        <f>Assumptions!B3</f>
        <v>1 CSE - Base case</v>
      </c>
      <c r="G4" s="100" t="str">
        <f>IF(Assumptions!B7=Assumptions!B325, "Mid-point estimate", IF(Assumptions!B7=Assumptions!B326, "High estimate", ""))</f>
        <v>Mid-point estimate</v>
      </c>
      <c r="H4" s="298">
        <v>0.12</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tlIeWo1x/YUN00ofbQah01u65lwPHpAn6PKKG1SPgzU9opaejJqdchiD5UxWEaxSVXvuArqubQ1JW+J/lrSE+w==" saltValue="5FAjtmO1E45l9qZItJa7ZA=="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18613665675.643585</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9306832837.8217926</v>
      </c>
      <c r="G5" s="6">
        <f>F10</f>
        <v>9584877307.9458065</v>
      </c>
      <c r="H5" s="6">
        <f t="shared" ref="H5" si="1">G10</f>
        <v>9877587326.0540657</v>
      </c>
      <c r="I5" s="6">
        <f t="shared" ref="I5" si="2">H10</f>
        <v>10185162240.103045</v>
      </c>
      <c r="J5" s="6">
        <f t="shared" ref="J5" si="3">I10</f>
        <v>10507813628.272543</v>
      </c>
      <c r="K5" s="6">
        <f t="shared" ref="K5" si="4">J10</f>
        <v>10845765355.199146</v>
      </c>
      <c r="L5" s="6">
        <f t="shared" ref="L5" si="5">K10</f>
        <v>11199253636.844158</v>
      </c>
      <c r="M5" s="6">
        <f t="shared" ref="M5" si="6">L10</f>
        <v>11568527113.876131</v>
      </c>
      <c r="N5" s="6">
        <f t="shared" ref="N5" si="7">M10</f>
        <v>11954011803.667814</v>
      </c>
      <c r="O5" s="6">
        <f t="shared" ref="O5" si="8">N10</f>
        <v>12356145048.555437</v>
      </c>
      <c r="P5" s="6">
        <f t="shared" ref="P5" si="9">O10</f>
        <v>12775375792.276854</v>
      </c>
      <c r="Q5" s="6">
        <f t="shared" ref="Q5" si="10">P10</f>
        <v>13219636968.420992</v>
      </c>
      <c r="R5" s="6">
        <f t="shared" ref="R5" si="11">Q10</f>
        <v>13689545114.808241</v>
      </c>
      <c r="S5" s="6">
        <f t="shared" ref="S5" si="12">R10</f>
        <v>14185829757.157938</v>
      </c>
      <c r="T5" s="6">
        <f t="shared" ref="T5" si="13">S10</f>
        <v>14709237882.339388</v>
      </c>
      <c r="U5" s="6">
        <f t="shared" ref="U5" si="14">T10</f>
        <v>15260534274.293789</v>
      </c>
      <c r="V5" s="6">
        <f t="shared" ref="V5" si="15">U10</f>
        <v>15840501853.059328</v>
      </c>
      <c r="W5" s="6">
        <f t="shared" ref="W5" si="16">V10</f>
        <v>16449942016.748356</v>
      </c>
      <c r="X5" s="6">
        <f t="shared" ref="X5" si="17">W10</f>
        <v>17090022151.420435</v>
      </c>
      <c r="Y5" s="6">
        <f t="shared" ref="Y5" si="18">X10</f>
        <v>17761951057.141224</v>
      </c>
      <c r="Z5" s="6">
        <f t="shared" ref="Z5" si="19">Y10</f>
        <v>18466980326.14748</v>
      </c>
      <c r="AA5" s="6">
        <f t="shared" ref="AA5" si="20">Z10</f>
        <v>19214352939.96524</v>
      </c>
      <c r="AB5" s="6">
        <f t="shared" ref="AB5" si="21">AA10</f>
        <v>20005834563.797482</v>
      </c>
      <c r="AC5" s="6">
        <f t="shared" ref="AC5" si="22">AB10</f>
        <v>20843254954.460548</v>
      </c>
      <c r="AD5" s="6">
        <f t="shared" ref="AD5" si="23">AC10</f>
        <v>21728510117.199871</v>
      </c>
      <c r="AE5" s="6">
        <f t="shared" ref="AE5" si="24">AD10</f>
        <v>22663564531.580177</v>
      </c>
      <c r="AF5" s="6">
        <f t="shared" ref="AF5" si="25">AE10</f>
        <v>23650453448.582867</v>
      </c>
      <c r="AG5" s="6">
        <f t="shared" ref="AG5:AP5" si="26">AF10</f>
        <v>24691285261.107224</v>
      </c>
      <c r="AH5" s="6">
        <f t="shared" si="26"/>
        <v>25788243950.137787</v>
      </c>
      <c r="AI5" s="6">
        <f t="shared" si="26"/>
        <v>26943591608.908089</v>
      </c>
      <c r="AJ5" s="6">
        <f t="shared" si="26"/>
        <v>28159671047.460403</v>
      </c>
      <c r="AK5" s="6">
        <f t="shared" si="26"/>
        <v>29412232869.169289</v>
      </c>
      <c r="AL5" s="6">
        <f t="shared" si="26"/>
        <v>30702371545.529442</v>
      </c>
      <c r="AM5" s="6">
        <f t="shared" si="26"/>
        <v>32031214382.180397</v>
      </c>
      <c r="AN5" s="6">
        <f t="shared" si="26"/>
        <v>33399922503.930885</v>
      </c>
      <c r="AO5" s="6">
        <f t="shared" si="26"/>
        <v>34809691869.333885</v>
      </c>
      <c r="AP5" s="6">
        <f t="shared" si="26"/>
        <v>36261754315.698982</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271884309.78048337</v>
      </c>
      <c r="G6" s="6">
        <f>Assumptions!G277*Assumptions!G26</f>
        <v>280040839.07389784</v>
      </c>
      <c r="H6" s="6">
        <f>Assumptions!H277*Assumptions!H26</f>
        <v>288442064.24611479</v>
      </c>
      <c r="I6" s="6">
        <f>Assumptions!I277*Assumptions!I26</f>
        <v>297095326.17349821</v>
      </c>
      <c r="J6" s="6">
        <f>Assumptions!J277*Assumptions!J26</f>
        <v>306008185.95870322</v>
      </c>
      <c r="K6" s="6">
        <f>Assumptions!K277*Assumptions!K26</f>
        <v>315188431.53746426</v>
      </c>
      <c r="L6" s="6">
        <f>Assumptions!L277*Assumptions!L26</f>
        <v>324644084.48358822</v>
      </c>
      <c r="M6" s="6">
        <f>Assumptions!M277*Assumptions!M26</f>
        <v>334383407.01809591</v>
      </c>
      <c r="N6" s="6">
        <f>Assumptions!N277*Assumptions!N26</f>
        <v>344414909.22863877</v>
      </c>
      <c r="O6" s="6">
        <f>Assumptions!O277*Assumptions!O26</f>
        <v>354747356.50549793</v>
      </c>
      <c r="P6" s="6">
        <f>Assumptions!P277*Assumptions!P26</f>
        <v>365389777.20066291</v>
      </c>
      <c r="Q6" s="6">
        <f>Assumptions!Q277*Assumptions!Q26</f>
        <v>376351470.5166828</v>
      </c>
      <c r="R6" s="6">
        <f>Assumptions!R277*Assumptions!R26</f>
        <v>387642014.63218331</v>
      </c>
      <c r="S6" s="6">
        <f>Assumptions!S277*Assumptions!S26</f>
        <v>399271275.07114881</v>
      </c>
      <c r="T6" s="6">
        <f>Assumptions!T277*Assumptions!T26</f>
        <v>411249413.32328331</v>
      </c>
      <c r="U6" s="6">
        <f>Assumptions!U277*Assumptions!U26</f>
        <v>423586895.72298181</v>
      </c>
      <c r="V6" s="6">
        <f>Assumptions!V277*Assumptions!V26</f>
        <v>436294502.59467125</v>
      </c>
      <c r="W6" s="6">
        <f>Assumptions!W277*Assumptions!W26</f>
        <v>449383337.6725114</v>
      </c>
      <c r="X6" s="6">
        <f>Assumptions!X277*Assumptions!X26</f>
        <v>462864837.80268669</v>
      </c>
      <c r="Y6" s="6">
        <f>Assumptions!Y277*Assumptions!Y26</f>
        <v>476750782.93676728</v>
      </c>
      <c r="Z6" s="6">
        <f>Assumptions!Z277*Assumptions!Z26</f>
        <v>491053306.42487031</v>
      </c>
      <c r="AA6" s="6">
        <f>Assumptions!AA277*Assumptions!AA26</f>
        <v>505784905.61761647</v>
      </c>
      <c r="AB6" s="6">
        <f>Assumptions!AB277*Assumptions!AB26</f>
        <v>520958452.78614503</v>
      </c>
      <c r="AC6" s="6">
        <f>Assumptions!AC277*Assumptions!AC26</f>
        <v>536587206.36972934</v>
      </c>
      <c r="AD6" s="6">
        <f>Assumptions!AD277*Assumptions!AD26</f>
        <v>552684822.56082129</v>
      </c>
      <c r="AE6" s="6">
        <f>Assumptions!AE277*Assumptions!AE26</f>
        <v>569265367.23764598</v>
      </c>
      <c r="AF6" s="6">
        <f>Assumptions!AF277*Assumptions!AF26</f>
        <v>586343328.25477529</v>
      </c>
      <c r="AG6" s="6">
        <f>Assumptions!AG277*Assumptions!AG26</f>
        <v>603933628.10241854</v>
      </c>
      <c r="AH6" s="6">
        <f>Assumptions!AH277*Assumptions!AH26</f>
        <v>622051636.94549119</v>
      </c>
      <c r="AI6" s="6">
        <f>Assumptions!AI277*Assumptions!AI26</f>
        <v>640713186.0538559</v>
      </c>
      <c r="AJ6" s="6">
        <f>Assumptions!AJ277*Assumptions!AJ26</f>
        <v>659934581.6354717</v>
      </c>
      <c r="AK6" s="6">
        <f>Assumptions!AK277*Assumptions!AK26</f>
        <v>679732619.08453584</v>
      </c>
      <c r="AL6" s="6">
        <f>Assumptions!AL277*Assumptions!AL26</f>
        <v>700124597.65707195</v>
      </c>
      <c r="AM6" s="6">
        <f>Assumptions!AM277*Assumptions!AM26</f>
        <v>721128335.58678412</v>
      </c>
      <c r="AN6" s="6">
        <f>Assumptions!AN277*Assumptions!AN26</f>
        <v>742762185.65438759</v>
      </c>
      <c r="AO6" s="6">
        <f>Assumptions!AO277*Assumptions!AO26</f>
        <v>765045051.22401917</v>
      </c>
      <c r="AP6" s="6">
        <f>Assumptions!AP277*Assumptions!AP26</f>
        <v>787996402.7607398</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6160160.3435313478</v>
      </c>
      <c r="G7" s="6">
        <f>Assumptions!G291*Assumptions!G26</f>
        <v>12669179.034361616</v>
      </c>
      <c r="H7" s="6">
        <f>Assumptions!H291*Assumptions!H26</f>
        <v>19132849.802863654</v>
      </c>
      <c r="I7" s="6">
        <f>Assumptions!I291*Assumptions!I26</f>
        <v>25556061.996001128</v>
      </c>
      <c r="J7" s="6">
        <f>Assumptions!J291*Assumptions!J26</f>
        <v>31943540.967898581</v>
      </c>
      <c r="K7" s="6">
        <f>Assumptions!K291*Assumptions!K26</f>
        <v>38299850.107548632</v>
      </c>
      <c r="L7" s="6">
        <f>Assumptions!L291*Assumptions!L26</f>
        <v>44629392.548382863</v>
      </c>
      <c r="M7" s="6">
        <f>Assumptions!M291*Assumptions!M26</f>
        <v>51101282.773587629</v>
      </c>
      <c r="N7" s="6">
        <f>Assumptions!N291*Assumptions!N26</f>
        <v>57718335.658982545</v>
      </c>
      <c r="O7" s="6">
        <f>Assumptions!O291*Assumptions!O26</f>
        <v>64483387.215916879</v>
      </c>
      <c r="P7" s="6">
        <f>Assumptions!P291*Assumptions!P26</f>
        <v>78871398.94347629</v>
      </c>
      <c r="Q7" s="6">
        <f>Assumptions!Q291*Assumptions!Q26</f>
        <v>93556675.870565966</v>
      </c>
      <c r="R7" s="6">
        <f>Assumptions!R291*Assumptions!R26</f>
        <v>108642627.71751496</v>
      </c>
      <c r="S7" s="6">
        <f>Assumptions!S291*Assumptions!S26</f>
        <v>124136850.11030279</v>
      </c>
      <c r="T7" s="6">
        <f>Assumptions!T291*Assumptions!T26</f>
        <v>140046978.63111594</v>
      </c>
      <c r="U7" s="6">
        <f>Assumptions!U291*Assumptions!U26</f>
        <v>156380683.04255733</v>
      </c>
      <c r="V7" s="6">
        <f>Assumptions!V291*Assumptions!V26</f>
        <v>173145661.09435642</v>
      </c>
      <c r="W7" s="6">
        <f>Assumptions!W291*Assumptions!W26</f>
        <v>190696796.99956745</v>
      </c>
      <c r="X7" s="6">
        <f>Assumptions!X291*Assumptions!X26</f>
        <v>209064067.91810256</v>
      </c>
      <c r="Y7" s="6">
        <f>Assumptions!Y291*Assumptions!Y26</f>
        <v>228278486.06948775</v>
      </c>
      <c r="Z7" s="6">
        <f>Assumptions!Z291*Assumptions!Z26</f>
        <v>256319307.39289048</v>
      </c>
      <c r="AA7" s="6">
        <f>Assumptions!AA291*Assumptions!AA26</f>
        <v>285696718.21462721</v>
      </c>
      <c r="AB7" s="6">
        <f>Assumptions!AB291*Assumptions!AB26</f>
        <v>316461937.87692249</v>
      </c>
      <c r="AC7" s="6">
        <f>Assumptions!AC291*Assumptions!AC26</f>
        <v>348667956.36959374</v>
      </c>
      <c r="AD7" s="6">
        <f>Assumptions!AD291*Assumptions!AD26</f>
        <v>382369591.81948328</v>
      </c>
      <c r="AE7" s="6">
        <f>Assumptions!AE291*Assumptions!AE26</f>
        <v>417623549.76504582</v>
      </c>
      <c r="AF7" s="6">
        <f>Assumptions!AF291*Assumptions!AF26</f>
        <v>454488484.2695806</v>
      </c>
      <c r="AG7" s="6">
        <f>Assumptions!AG291*Assumptions!AG26</f>
        <v>493025060.92814809</v>
      </c>
      <c r="AH7" s="6">
        <f>Assumptions!AH291*Assumptions!AH26</f>
        <v>533296021.82480884</v>
      </c>
      <c r="AI7" s="6">
        <f>Assumptions!AI291*Assumptions!AI26</f>
        <v>575366252.49846077</v>
      </c>
      <c r="AJ7" s="6">
        <f>Assumptions!AJ291*Assumptions!AJ26</f>
        <v>592627240.07341468</v>
      </c>
      <c r="AK7" s="6">
        <f>Assumptions!AK291*Assumptions!AK26</f>
        <v>610406057.27561712</v>
      </c>
      <c r="AL7" s="6">
        <f>Assumptions!AL291*Assumptions!AL26</f>
        <v>628718238.99388564</v>
      </c>
      <c r="AM7" s="6">
        <f>Assumptions!AM291*Assumptions!AM26</f>
        <v>647579786.16370225</v>
      </c>
      <c r="AN7" s="6">
        <f>Assumptions!AN291*Assumptions!AN26</f>
        <v>667007179.74861324</v>
      </c>
      <c r="AO7" s="6">
        <f>Assumptions!AO291*Assumptions!AO26</f>
        <v>687017395.14107168</v>
      </c>
      <c r="AP7" s="6">
        <f>Assumptions!AP291*Assumptions!AP26</f>
        <v>707627916.99530387</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278044470.12401474</v>
      </c>
      <c r="G8" s="6">
        <f>SUM($C$6:G7)</f>
        <v>570754488.23227417</v>
      </c>
      <c r="H8" s="6">
        <f>SUM($C$6:H7)</f>
        <v>878329402.28125262</v>
      </c>
      <c r="I8" s="6">
        <f>SUM($C$6:I7)</f>
        <v>1200980790.450752</v>
      </c>
      <c r="J8" s="6">
        <f>SUM($C$6:J7)</f>
        <v>1538932517.3773539</v>
      </c>
      <c r="K8" s="6">
        <f>SUM($C$6:K7)</f>
        <v>1892420799.0223668</v>
      </c>
      <c r="L8" s="6">
        <f>SUM($C$6:L7)</f>
        <v>2261694276.0543375</v>
      </c>
      <c r="M8" s="6">
        <f>SUM($C$6:M7)</f>
        <v>2647178965.8460212</v>
      </c>
      <c r="N8" s="6">
        <f>SUM($C$6:N7)</f>
        <v>3049312210.7336426</v>
      </c>
      <c r="O8" s="6">
        <f>SUM($C$6:O7)</f>
        <v>3468542954.4550576</v>
      </c>
      <c r="P8" s="6">
        <f>SUM($C$6:P7)</f>
        <v>3912804130.5991969</v>
      </c>
      <c r="Q8" s="6">
        <f>SUM($C$6:Q7)</f>
        <v>4382712276.9864454</v>
      </c>
      <c r="R8" s="6">
        <f>SUM($C$6:R7)</f>
        <v>4878996919.3361435</v>
      </c>
      <c r="S8" s="6">
        <f>SUM($C$6:S7)</f>
        <v>5402405044.5175962</v>
      </c>
      <c r="T8" s="6">
        <f>SUM($C$6:T7)</f>
        <v>5953701436.4719954</v>
      </c>
      <c r="U8" s="6">
        <f>SUM($C$6:U7)</f>
        <v>6533669015.2375345</v>
      </c>
      <c r="V8" s="6">
        <f>SUM($C$6:V7)</f>
        <v>7143109178.9265623</v>
      </c>
      <c r="W8" s="6">
        <f>SUM($C$6:W7)</f>
        <v>7783189313.5986404</v>
      </c>
      <c r="X8" s="6">
        <f>SUM($C$6:X7)</f>
        <v>8455118219.3194294</v>
      </c>
      <c r="Y8" s="6">
        <f>SUM($C$6:Y7)</f>
        <v>9160147488.3256855</v>
      </c>
      <c r="Z8" s="6">
        <f>SUM($C$6:Z7)</f>
        <v>9907520102.143446</v>
      </c>
      <c r="AA8" s="6">
        <f>SUM($C$6:AA7)</f>
        <v>10699001725.975687</v>
      </c>
      <c r="AB8" s="6">
        <f>SUM($C$6:AB7)</f>
        <v>11536422116.638754</v>
      </c>
      <c r="AC8" s="6">
        <f>SUM($C$6:AC7)</f>
        <v>12421677279.378078</v>
      </c>
      <c r="AD8" s="6">
        <f>SUM($C$6:AD7)</f>
        <v>13356731693.758383</v>
      </c>
      <c r="AE8" s="6">
        <f>SUM($C$6:AE7)</f>
        <v>14343620610.761074</v>
      </c>
      <c r="AF8" s="6">
        <f>SUM($C$6:AF7)</f>
        <v>15384452423.285431</v>
      </c>
      <c r="AG8" s="6">
        <f>SUM($C$6:AG7)</f>
        <v>16481411112.315998</v>
      </c>
      <c r="AH8" s="6">
        <f>SUM($C$6:AH7)</f>
        <v>17636758771.0863</v>
      </c>
      <c r="AI8" s="6">
        <f>SUM($C$6:AI7)</f>
        <v>18852838209.638611</v>
      </c>
      <c r="AJ8" s="6">
        <f>SUM($C$6:AJ7)</f>
        <v>20105400031.3475</v>
      </c>
      <c r="AK8" s="6">
        <f>SUM($C$6:AK7)</f>
        <v>21395538707.707649</v>
      </c>
      <c r="AL8" s="6">
        <f>SUM($C$6:AL7)</f>
        <v>22724381544.358608</v>
      </c>
      <c r="AM8" s="6">
        <f>SUM($C$6:AM7)</f>
        <v>24093089666.109097</v>
      </c>
      <c r="AN8" s="6">
        <f>SUM($C$6:AN7)</f>
        <v>25502859031.512096</v>
      </c>
      <c r="AO8" s="6">
        <f>SUM($C$6:AO7)</f>
        <v>26954921477.87719</v>
      </c>
      <c r="AP8" s="6">
        <f>SUM($C$6:AP7)</f>
        <v>28450545797.633236</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9584877307.9458065</v>
      </c>
      <c r="G10" s="6">
        <f>G5+G6+G7</f>
        <v>9877587326.0540657</v>
      </c>
      <c r="H10" s="6">
        <f t="shared" ref="H10" si="27">H5+H6+H7</f>
        <v>10185162240.103045</v>
      </c>
      <c r="I10" s="6">
        <f t="shared" ref="I10:AF10" si="28">I5+I6+I7</f>
        <v>10507813628.272543</v>
      </c>
      <c r="J10" s="6">
        <f t="shared" si="28"/>
        <v>10845765355.199146</v>
      </c>
      <c r="K10" s="6">
        <f t="shared" si="28"/>
        <v>11199253636.844158</v>
      </c>
      <c r="L10" s="6">
        <f t="shared" si="28"/>
        <v>11568527113.876131</v>
      </c>
      <c r="M10" s="6">
        <f t="shared" si="28"/>
        <v>11954011803.667814</v>
      </c>
      <c r="N10" s="6">
        <f t="shared" si="28"/>
        <v>12356145048.555437</v>
      </c>
      <c r="O10" s="6">
        <f t="shared" si="28"/>
        <v>12775375792.276854</v>
      </c>
      <c r="P10" s="6">
        <f t="shared" si="28"/>
        <v>13219636968.420992</v>
      </c>
      <c r="Q10" s="6">
        <f t="shared" si="28"/>
        <v>13689545114.808241</v>
      </c>
      <c r="R10" s="6">
        <f t="shared" si="28"/>
        <v>14185829757.157938</v>
      </c>
      <c r="S10" s="6">
        <f t="shared" si="28"/>
        <v>14709237882.339388</v>
      </c>
      <c r="T10" s="6">
        <f t="shared" si="28"/>
        <v>15260534274.293789</v>
      </c>
      <c r="U10" s="6">
        <f t="shared" si="28"/>
        <v>15840501853.059328</v>
      </c>
      <c r="V10" s="6">
        <f t="shared" si="28"/>
        <v>16449942016.748356</v>
      </c>
      <c r="W10" s="6">
        <f t="shared" si="28"/>
        <v>17090022151.420435</v>
      </c>
      <c r="X10" s="6">
        <f t="shared" si="28"/>
        <v>17761951057.141224</v>
      </c>
      <c r="Y10" s="6">
        <f t="shared" si="28"/>
        <v>18466980326.14748</v>
      </c>
      <c r="Z10" s="6">
        <f t="shared" si="28"/>
        <v>19214352939.96524</v>
      </c>
      <c r="AA10" s="6">
        <f t="shared" si="28"/>
        <v>20005834563.797482</v>
      </c>
      <c r="AB10" s="6">
        <f t="shared" si="28"/>
        <v>20843254954.460548</v>
      </c>
      <c r="AC10" s="6">
        <f t="shared" si="28"/>
        <v>21728510117.199871</v>
      </c>
      <c r="AD10" s="6">
        <f t="shared" si="28"/>
        <v>22663564531.580177</v>
      </c>
      <c r="AE10" s="6">
        <f t="shared" si="28"/>
        <v>23650453448.582867</v>
      </c>
      <c r="AF10" s="6">
        <f t="shared" si="28"/>
        <v>24691285261.107224</v>
      </c>
      <c r="AG10" s="6">
        <f t="shared" ref="AG10:AP10" si="29">AG5+AG6+AG7</f>
        <v>25788243950.137787</v>
      </c>
      <c r="AH10" s="6">
        <f t="shared" si="29"/>
        <v>26943591608.908089</v>
      </c>
      <c r="AI10" s="6">
        <f t="shared" si="29"/>
        <v>28159671047.460403</v>
      </c>
      <c r="AJ10" s="6">
        <f t="shared" si="29"/>
        <v>29412232869.169289</v>
      </c>
      <c r="AK10" s="6">
        <f t="shared" si="29"/>
        <v>30702371545.529442</v>
      </c>
      <c r="AL10" s="6">
        <f t="shared" si="29"/>
        <v>32031214382.180397</v>
      </c>
      <c r="AM10" s="6">
        <f t="shared" si="29"/>
        <v>33399922503.930885</v>
      </c>
      <c r="AN10" s="6">
        <f t="shared" si="29"/>
        <v>34809691869.333885</v>
      </c>
      <c r="AO10" s="6">
        <f t="shared" si="29"/>
        <v>36261754315.698982</v>
      </c>
      <c r="AP10" s="6">
        <f t="shared" si="29"/>
        <v>37757378635.455025</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533808470.49298817</v>
      </c>
      <c r="G16" s="6">
        <f>Investment!G30</f>
        <v>554307438.48736203</v>
      </c>
      <c r="H16" s="6">
        <f>Investment!H30</f>
        <v>558050133.84368062</v>
      </c>
      <c r="I16" s="6">
        <f>Investment!I30</f>
        <v>562168890.48360729</v>
      </c>
      <c r="J16" s="6">
        <f>Investment!J30</f>
        <v>566661263.81642377</v>
      </c>
      <c r="K16" s="6">
        <f>Investment!K30</f>
        <v>571525015.59033859</v>
      </c>
      <c r="L16" s="6">
        <f>Investment!L30</f>
        <v>576758106.61169982</v>
      </c>
      <c r="M16" s="6">
        <f>Investment!M30</f>
        <v>589388887.42688727</v>
      </c>
      <c r="N16" s="6">
        <f>Investment!N30</f>
        <v>602284221.72550893</v>
      </c>
      <c r="O16" s="6">
        <f>Investment!O30</f>
        <v>615449026.85452676</v>
      </c>
      <c r="P16" s="6">
        <f>Investment!P30</f>
        <v>947433671.09180248</v>
      </c>
      <c r="Q16" s="6">
        <f>Investment!Q30</f>
        <v>965091506.10882592</v>
      </c>
      <c r="R16" s="6">
        <f>Investment!R30</f>
        <v>987228901.1848278</v>
      </c>
      <c r="S16" s="6">
        <f>Investment!S30</f>
        <v>1009734935.5899403</v>
      </c>
      <c r="T16" s="6">
        <f>Investment!T30</f>
        <v>1032612518.0775996</v>
      </c>
      <c r="U16" s="6">
        <f>Investment!U30</f>
        <v>1055864409.1585183</v>
      </c>
      <c r="V16" s="6">
        <f>Investment!V30</f>
        <v>1079493210.0329401</v>
      </c>
      <c r="W16" s="6">
        <f>Investment!W30</f>
        <v>1118293849.9700656</v>
      </c>
      <c r="X16" s="6">
        <f>Investment!X30</f>
        <v>1158313922.0073733</v>
      </c>
      <c r="Y16" s="6">
        <f>Investment!Y30</f>
        <v>1199588922.8348374</v>
      </c>
      <c r="Z16" s="6">
        <f>Investment!Z30</f>
        <v>1580706465.6691179</v>
      </c>
      <c r="AA16" s="6">
        <f>Investment!AA30</f>
        <v>1640106834.4440041</v>
      </c>
      <c r="AB16" s="6">
        <f>Investment!AB30</f>
        <v>1701406571.3384948</v>
      </c>
      <c r="AC16" s="6">
        <f>Investment!AC30</f>
        <v>1764661311.3717775</v>
      </c>
      <c r="AD16" s="6">
        <f>Investment!AD30</f>
        <v>1829928224.6154468</v>
      </c>
      <c r="AE16" s="6">
        <f>Investment!AE30</f>
        <v>1897266056.5496764</v>
      </c>
      <c r="AF16" s="6">
        <f>Investment!AF30</f>
        <v>1966735169.4330993</v>
      </c>
      <c r="AG16" s="6">
        <f>Investment!AG30</f>
        <v>2038397584.7106097</v>
      </c>
      <c r="AH16" s="6">
        <f>Investment!AH30</f>
        <v>2112317026.4838688</v>
      </c>
      <c r="AI16" s="6">
        <f>Investment!AI30</f>
        <v>2188558966.0698056</v>
      </c>
      <c r="AJ16" s="6">
        <f>Investment!AJ30</f>
        <v>1131607220.1191859</v>
      </c>
      <c r="AK16" s="6">
        <f>Investment!AK30</f>
        <v>1161743475.7675133</v>
      </c>
      <c r="AL16" s="6">
        <f>Investment!AL30</f>
        <v>1192682301.3255706</v>
      </c>
      <c r="AM16" s="6">
        <f>Investment!AM30</f>
        <v>1224445070.3331742</v>
      </c>
      <c r="AN16" s="6">
        <f>Investment!AN30</f>
        <v>1257053725.5368834</v>
      </c>
      <c r="AO16" s="6">
        <f>Investment!AO30</f>
        <v>1290530794.0487576</v>
      </c>
      <c r="AP16" s="6">
        <f>Investment!AP30</f>
        <v>1324899402.908814</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9840641308.3147812</v>
      </c>
      <c r="G17" s="6">
        <f>G16+F18</f>
        <v>10116904276.678129</v>
      </c>
      <c r="H17" s="6">
        <f t="shared" ref="H17:AF17" si="30">H16+G18</f>
        <v>10382244392.413551</v>
      </c>
      <c r="I17" s="6">
        <f t="shared" si="30"/>
        <v>10636838368.848179</v>
      </c>
      <c r="J17" s="6">
        <f t="shared" si="30"/>
        <v>10880848244.495104</v>
      </c>
      <c r="K17" s="6">
        <f t="shared" si="30"/>
        <v>11114421533.158838</v>
      </c>
      <c r="L17" s="6">
        <f t="shared" si="30"/>
        <v>11337691358.125526</v>
      </c>
      <c r="M17" s="6">
        <f t="shared" si="30"/>
        <v>11557806768.520441</v>
      </c>
      <c r="N17" s="6">
        <f t="shared" si="30"/>
        <v>11774606300.454268</v>
      </c>
      <c r="O17" s="6">
        <f t="shared" si="30"/>
        <v>11987922082.421171</v>
      </c>
      <c r="P17" s="6">
        <f t="shared" si="30"/>
        <v>12516125009.791557</v>
      </c>
      <c r="Q17" s="6">
        <f t="shared" si="30"/>
        <v>13036955339.756245</v>
      </c>
      <c r="R17" s="6">
        <f t="shared" si="30"/>
        <v>13554276094.553823</v>
      </c>
      <c r="S17" s="6">
        <f t="shared" si="30"/>
        <v>14067726387.794067</v>
      </c>
      <c r="T17" s="6">
        <f t="shared" si="30"/>
        <v>14576930780.690218</v>
      </c>
      <c r="U17" s="6">
        <f t="shared" si="30"/>
        <v>15081498797.894335</v>
      </c>
      <c r="V17" s="6">
        <f t="shared" si="30"/>
        <v>15581024429.161736</v>
      </c>
      <c r="W17" s="6">
        <f t="shared" si="30"/>
        <v>16089878115.442774</v>
      </c>
      <c r="X17" s="6">
        <f t="shared" si="30"/>
        <v>16608111902.778069</v>
      </c>
      <c r="Y17" s="6">
        <f t="shared" si="30"/>
        <v>17135771919.892117</v>
      </c>
      <c r="Z17" s="6">
        <f t="shared" si="30"/>
        <v>18011449116.554977</v>
      </c>
      <c r="AA17" s="6">
        <f t="shared" si="30"/>
        <v>18904183337.181221</v>
      </c>
      <c r="AB17" s="6">
        <f t="shared" si="30"/>
        <v>19814108284.687473</v>
      </c>
      <c r="AC17" s="6">
        <f t="shared" si="30"/>
        <v>20741349205.396183</v>
      </c>
      <c r="AD17" s="6">
        <f t="shared" si="30"/>
        <v>21686022267.272308</v>
      </c>
      <c r="AE17" s="6">
        <f t="shared" si="30"/>
        <v>22648233909.441677</v>
      </c>
      <c r="AF17" s="6">
        <f t="shared" si="30"/>
        <v>23628080161.872086</v>
      </c>
      <c r="AG17" s="6">
        <f t="shared" ref="AG17:AP17" si="31">AG16+AF18</f>
        <v>24625645934.058338</v>
      </c>
      <c r="AH17" s="6">
        <f t="shared" si="31"/>
        <v>25641004271.511642</v>
      </c>
      <c r="AI17" s="6">
        <f t="shared" si="31"/>
        <v>26674215578.811146</v>
      </c>
      <c r="AJ17" s="6">
        <f t="shared" si="31"/>
        <v>26589743360.378014</v>
      </c>
      <c r="AK17" s="6">
        <f t="shared" si="31"/>
        <v>26498925014.436642</v>
      </c>
      <c r="AL17" s="6">
        <f t="shared" si="31"/>
        <v>26401468639.402058</v>
      </c>
      <c r="AM17" s="6">
        <f t="shared" si="31"/>
        <v>26297070873.084278</v>
      </c>
      <c r="AN17" s="6">
        <f t="shared" si="31"/>
        <v>26185416476.870674</v>
      </c>
      <c r="AO17" s="6">
        <f t="shared" si="31"/>
        <v>26066177905.516434</v>
      </c>
      <c r="AP17" s="6">
        <f t="shared" si="31"/>
        <v>25939014862.060158</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9562596838.1907673</v>
      </c>
      <c r="G18" s="6">
        <f t="shared" ref="G18:AF18" si="32">G17-G6-G7</f>
        <v>9824194258.56987</v>
      </c>
      <c r="H18" s="6">
        <f t="shared" si="32"/>
        <v>10074669478.364573</v>
      </c>
      <c r="I18" s="6">
        <f t="shared" si="32"/>
        <v>10314186980.67868</v>
      </c>
      <c r="J18" s="6">
        <f t="shared" si="32"/>
        <v>10542896517.568501</v>
      </c>
      <c r="K18" s="6">
        <f t="shared" si="32"/>
        <v>10760933251.513826</v>
      </c>
      <c r="L18" s="6">
        <f t="shared" si="32"/>
        <v>10968417881.093554</v>
      </c>
      <c r="M18" s="6">
        <f t="shared" si="32"/>
        <v>11172322078.728758</v>
      </c>
      <c r="N18" s="6">
        <f t="shared" si="32"/>
        <v>11372473055.566645</v>
      </c>
      <c r="O18" s="6">
        <f t="shared" si="32"/>
        <v>11568691338.699755</v>
      </c>
      <c r="P18" s="6">
        <f t="shared" si="32"/>
        <v>12071863833.647419</v>
      </c>
      <c r="Q18" s="6">
        <f t="shared" si="32"/>
        <v>12567047193.368996</v>
      </c>
      <c r="R18" s="6">
        <f t="shared" si="32"/>
        <v>13057991452.204126</v>
      </c>
      <c r="S18" s="6">
        <f t="shared" si="32"/>
        <v>13544318262.612617</v>
      </c>
      <c r="T18" s="6">
        <f t="shared" si="32"/>
        <v>14025634388.735817</v>
      </c>
      <c r="U18" s="6">
        <f t="shared" si="32"/>
        <v>14501531219.128796</v>
      </c>
      <c r="V18" s="6">
        <f t="shared" si="32"/>
        <v>14971584265.472708</v>
      </c>
      <c r="W18" s="6">
        <f t="shared" si="32"/>
        <v>15449797980.770695</v>
      </c>
      <c r="X18" s="6">
        <f t="shared" si="32"/>
        <v>15936182997.05728</v>
      </c>
      <c r="Y18" s="6">
        <f t="shared" si="32"/>
        <v>16430742650.88586</v>
      </c>
      <c r="Z18" s="6">
        <f t="shared" si="32"/>
        <v>17264076502.737217</v>
      </c>
      <c r="AA18" s="6">
        <f t="shared" si="32"/>
        <v>18112701713.34898</v>
      </c>
      <c r="AB18" s="6">
        <f t="shared" si="32"/>
        <v>18976687894.024406</v>
      </c>
      <c r="AC18" s="6">
        <f t="shared" si="32"/>
        <v>19856094042.65686</v>
      </c>
      <c r="AD18" s="6">
        <f t="shared" si="32"/>
        <v>20750967852.892002</v>
      </c>
      <c r="AE18" s="6">
        <f t="shared" si="32"/>
        <v>21661344992.438988</v>
      </c>
      <c r="AF18" s="6">
        <f t="shared" si="32"/>
        <v>22587248349.347729</v>
      </c>
      <c r="AG18" s="6">
        <f t="shared" ref="AG18:AP18" si="33">AG17-AG6-AG7</f>
        <v>23528687245.027775</v>
      </c>
      <c r="AH18" s="6">
        <f t="shared" si="33"/>
        <v>24485656612.741341</v>
      </c>
      <c r="AI18" s="6">
        <f t="shared" si="33"/>
        <v>25458136140.258827</v>
      </c>
      <c r="AJ18" s="6">
        <f t="shared" si="33"/>
        <v>25337181538.669128</v>
      </c>
      <c r="AK18" s="6">
        <f t="shared" si="33"/>
        <v>25208786338.076488</v>
      </c>
      <c r="AL18" s="6">
        <f t="shared" si="33"/>
        <v>25072625802.751102</v>
      </c>
      <c r="AM18" s="6">
        <f t="shared" si="33"/>
        <v>24928362751.33379</v>
      </c>
      <c r="AN18" s="6">
        <f t="shared" si="33"/>
        <v>24775647111.467674</v>
      </c>
      <c r="AO18" s="6">
        <f t="shared" si="33"/>
        <v>24614115459.151344</v>
      </c>
      <c r="AP18" s="6">
        <f t="shared" si="33"/>
        <v>24443390542.304115</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2136007194.4900765</v>
      </c>
      <c r="G20" s="6">
        <f ca="1">'Balance Sheet'!F9</f>
        <v>2395787202.1716423</v>
      </c>
      <c r="H20" s="6">
        <f ca="1">'Balance Sheet'!G9</f>
        <v>2629987328.6868181</v>
      </c>
      <c r="I20" s="6">
        <f ca="1">'Balance Sheet'!H9</f>
        <v>2843306763.7699471</v>
      </c>
      <c r="J20" s="6">
        <f ca="1">'Balance Sheet'!I9</f>
        <v>3038169641.9833145</v>
      </c>
      <c r="K20" s="6">
        <f ca="1">'Balance Sheet'!J9</f>
        <v>3211799039.4257231</v>
      </c>
      <c r="L20" s="6">
        <f ca="1">'Balance Sheet'!K9</f>
        <v>3373165564.5617728</v>
      </c>
      <c r="M20" s="6">
        <f ca="1">'Balance Sheet'!L9</f>
        <v>3526993820.2142634</v>
      </c>
      <c r="N20" s="6">
        <f ca="1">'Balance Sheet'!M9</f>
        <v>3676606667.8890996</v>
      </c>
      <c r="O20" s="6">
        <f ca="1">'Balance Sheet'!N9</f>
        <v>3821297440.672308</v>
      </c>
      <c r="P20" s="6">
        <f ca="1">'Balance Sheet'!O9</f>
        <v>4247179686.5696158</v>
      </c>
      <c r="Q20" s="6">
        <f ca="1">'Balance Sheet'!P9</f>
        <v>4637590319.992981</v>
      </c>
      <c r="R20" s="6">
        <f ca="1">'Balance Sheet'!Q9</f>
        <v>5013350498.3363132</v>
      </c>
      <c r="S20" s="6">
        <f ca="1">'Balance Sheet'!R9</f>
        <v>5371009825.3133774</v>
      </c>
      <c r="T20" s="6">
        <f ca="1">'Balance Sheet'!S9</f>
        <v>5706800807.9102697</v>
      </c>
      <c r="U20" s="6">
        <f ca="1">'Balance Sheet'!T9</f>
        <v>6022943624.4512653</v>
      </c>
      <c r="V20" s="6">
        <f ca="1">'Balance Sheet'!U9</f>
        <v>6322527207.016221</v>
      </c>
      <c r="W20" s="6">
        <f ca="1">'Balance Sheet'!V9</f>
        <v>6623859392.5386267</v>
      </c>
      <c r="X20" s="6">
        <f ca="1">'Balance Sheet'!W9</f>
        <v>6933119057.285162</v>
      </c>
      <c r="Y20" s="6">
        <f ca="1">'Balance Sheet'!X9</f>
        <v>7242564571.6427841</v>
      </c>
      <c r="Z20" s="6">
        <f ca="1">'Balance Sheet'!Y9</f>
        <v>7858377318.8894472</v>
      </c>
      <c r="AA20" s="6">
        <f ca="1">'Balance Sheet'!Z9</f>
        <v>8458357695.17624</v>
      </c>
      <c r="AB20" s="6">
        <f ca="1">'Balance Sheet'!AA9</f>
        <v>9045143834.6115456</v>
      </c>
      <c r="AC20" s="6">
        <f ca="1">'Balance Sheet'!AB9</f>
        <v>9622775295.6170025</v>
      </c>
      <c r="AD20" s="6">
        <f ca="1">'Balance Sheet'!AC9</f>
        <v>10196805080.700506</v>
      </c>
      <c r="AE20" s="6">
        <f ca="1">'Balance Sheet'!AD9</f>
        <v>10763754559.889425</v>
      </c>
      <c r="AF20" s="6">
        <f ca="1">'Balance Sheet'!AE9</f>
        <v>11330960747.462551</v>
      </c>
      <c r="AG20" s="6">
        <f ca="1">'Balance Sheet'!AF9</f>
        <v>11966269800.252832</v>
      </c>
      <c r="AH20" s="6">
        <f ca="1">'Balance Sheet'!AG9</f>
        <v>12614770727.478416</v>
      </c>
      <c r="AI20" s="6">
        <f ca="1">'Balance Sheet'!AH9</f>
        <v>13275286658.228741</v>
      </c>
      <c r="AJ20" s="6">
        <f ca="1">'Balance Sheet'!AI9</f>
        <v>12835989584.584763</v>
      </c>
      <c r="AK20" s="6">
        <f ca="1">'Balance Sheet'!AJ9</f>
        <v>12383170493.797703</v>
      </c>
      <c r="AL20" s="6">
        <f ca="1">'Balance Sheet'!AK9</f>
        <v>11916834571.774948</v>
      </c>
      <c r="AM20" s="6">
        <f ca="1">'Balance Sheet'!AL9</f>
        <v>11437008991.901005</v>
      </c>
      <c r="AN20" s="6">
        <f ca="1">'Balance Sheet'!AM9</f>
        <v>10943744538.880362</v>
      </c>
      <c r="AO20" s="6">
        <f ca="1">'Balance Sheet'!AN9</f>
        <v>10437117322.673662</v>
      </c>
      <c r="AP20" s="6">
        <f ca="1">'Balance Sheet'!AO9</f>
        <v>9917230587.0137177</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7426589643.7006912</v>
      </c>
      <c r="G21" s="6">
        <f t="shared" ref="G21:AF21" ca="1" si="34">G18-G20</f>
        <v>7428407056.3982277</v>
      </c>
      <c r="H21" s="6">
        <f t="shared" ca="1" si="34"/>
        <v>7444682149.6777544</v>
      </c>
      <c r="I21" s="6">
        <f t="shared" ca="1" si="34"/>
        <v>7470880216.9087334</v>
      </c>
      <c r="J21" s="6">
        <f ca="1">J18-J20</f>
        <v>7504726875.585186</v>
      </c>
      <c r="K21" s="6">
        <f t="shared" ca="1" si="34"/>
        <v>7549134212.0881033</v>
      </c>
      <c r="L21" s="6">
        <f t="shared" ca="1" si="34"/>
        <v>7595252316.5317802</v>
      </c>
      <c r="M21" s="6">
        <f t="shared" ca="1" si="34"/>
        <v>7645328258.5144939</v>
      </c>
      <c r="N21" s="6">
        <f t="shared" ca="1" si="34"/>
        <v>7695866387.6775455</v>
      </c>
      <c r="O21" s="6">
        <f t="shared" ca="1" si="34"/>
        <v>7747393898.0274467</v>
      </c>
      <c r="P21" s="6">
        <f t="shared" ca="1" si="34"/>
        <v>7824684147.0778027</v>
      </c>
      <c r="Q21" s="6">
        <f t="shared" ca="1" si="34"/>
        <v>7929456873.3760147</v>
      </c>
      <c r="R21" s="6">
        <f t="shared" ca="1" si="34"/>
        <v>8044640953.8678131</v>
      </c>
      <c r="S21" s="6">
        <f t="shared" ca="1" si="34"/>
        <v>8173308437.2992401</v>
      </c>
      <c r="T21" s="6">
        <f t="shared" ca="1" si="34"/>
        <v>8318833580.8255472</v>
      </c>
      <c r="U21" s="6">
        <f t="shared" ca="1" si="34"/>
        <v>8478587594.6775303</v>
      </c>
      <c r="V21" s="6">
        <f t="shared" ca="1" si="34"/>
        <v>8649057058.4564857</v>
      </c>
      <c r="W21" s="6">
        <f t="shared" ca="1" si="34"/>
        <v>8825938588.2320671</v>
      </c>
      <c r="X21" s="6">
        <f t="shared" ca="1" si="34"/>
        <v>9003063939.7721176</v>
      </c>
      <c r="Y21" s="6">
        <f t="shared" ca="1" si="34"/>
        <v>9188178079.2430763</v>
      </c>
      <c r="Z21" s="6">
        <f t="shared" ca="1" si="34"/>
        <v>9405699183.8477707</v>
      </c>
      <c r="AA21" s="6">
        <f t="shared" ca="1" si="34"/>
        <v>9654344018.1727409</v>
      </c>
      <c r="AB21" s="6">
        <f t="shared" ca="1" si="34"/>
        <v>9931544059.4128609</v>
      </c>
      <c r="AC21" s="6">
        <f t="shared" ca="1" si="34"/>
        <v>10233318747.039858</v>
      </c>
      <c r="AD21" s="6">
        <f t="shared" ca="1" si="34"/>
        <v>10554162772.191496</v>
      </c>
      <c r="AE21" s="6">
        <f t="shared" ca="1" si="34"/>
        <v>10897590432.549562</v>
      </c>
      <c r="AF21" s="6">
        <f t="shared" ca="1" si="34"/>
        <v>11256287601.885178</v>
      </c>
      <c r="AG21" s="6">
        <f t="shared" ref="AG21:AP21" ca="1" si="35">AG18-AG20</f>
        <v>11562417444.774942</v>
      </c>
      <c r="AH21" s="6">
        <f t="shared" ca="1" si="35"/>
        <v>11870885885.262924</v>
      </c>
      <c r="AI21" s="6">
        <f t="shared" ca="1" si="35"/>
        <v>12182849482.030087</v>
      </c>
      <c r="AJ21" s="6">
        <f t="shared" ca="1" si="35"/>
        <v>12501191954.084366</v>
      </c>
      <c r="AK21" s="6">
        <f t="shared" ca="1" si="35"/>
        <v>12825615844.278786</v>
      </c>
      <c r="AL21" s="6">
        <f t="shared" ca="1" si="35"/>
        <v>13155791230.976154</v>
      </c>
      <c r="AM21" s="6">
        <f t="shared" ca="1" si="35"/>
        <v>13491353759.432785</v>
      </c>
      <c r="AN21" s="6">
        <f t="shared" ca="1" si="35"/>
        <v>13831902572.587313</v>
      </c>
      <c r="AO21" s="6">
        <f t="shared" ca="1" si="35"/>
        <v>14176998136.477682</v>
      </c>
      <c r="AP21" s="6">
        <f t="shared" ca="1" si="35"/>
        <v>14526159955.290398</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1657774721.0786121</v>
      </c>
      <c r="G3" s="306">
        <f t="shared" ca="1" si="1"/>
        <v>2136007194.4900765</v>
      </c>
      <c r="H3" s="306">
        <f t="shared" ca="1" si="1"/>
        <v>2395787202.1716423</v>
      </c>
      <c r="I3" s="306">
        <f t="shared" ca="1" si="1"/>
        <v>2629987328.6868181</v>
      </c>
      <c r="J3" s="306">
        <f t="shared" ca="1" si="1"/>
        <v>2843306763.7699471</v>
      </c>
      <c r="K3" s="306">
        <f t="shared" ca="1" si="1"/>
        <v>3038169641.9833145</v>
      </c>
      <c r="L3" s="306">
        <f t="shared" ca="1" si="1"/>
        <v>3211799039.4257231</v>
      </c>
      <c r="M3" s="306">
        <f t="shared" ca="1" si="1"/>
        <v>3373165564.5617728</v>
      </c>
      <c r="N3" s="306">
        <f t="shared" ca="1" si="1"/>
        <v>3526993820.2142634</v>
      </c>
      <c r="O3" s="306">
        <f t="shared" ca="1" si="1"/>
        <v>3676606667.8890996</v>
      </c>
      <c r="P3" s="306">
        <f t="shared" ca="1" si="1"/>
        <v>3821297440.672308</v>
      </c>
      <c r="Q3" s="306">
        <f t="shared" ca="1" si="1"/>
        <v>4247179686.5696158</v>
      </c>
      <c r="R3" s="306">
        <f t="shared" ca="1" si="1"/>
        <v>4637590319.992981</v>
      </c>
      <c r="S3" s="306">
        <f t="shared" ca="1" si="1"/>
        <v>5013350498.3363132</v>
      </c>
      <c r="T3" s="306">
        <f t="shared" ca="1" si="1"/>
        <v>5371009825.3133774</v>
      </c>
      <c r="U3" s="306">
        <f t="shared" ca="1" si="1"/>
        <v>5706800807.9102697</v>
      </c>
      <c r="V3" s="306">
        <f t="shared" ca="1" si="1"/>
        <v>6022943624.4512653</v>
      </c>
      <c r="W3" s="306">
        <f t="shared" ca="1" si="1"/>
        <v>6322527207.016221</v>
      </c>
      <c r="X3" s="306">
        <f t="shared" ca="1" si="1"/>
        <v>6623859392.5386267</v>
      </c>
      <c r="Y3" s="306">
        <f t="shared" ca="1" si="1"/>
        <v>6933119057.285162</v>
      </c>
      <c r="Z3" s="306">
        <f t="shared" ca="1" si="1"/>
        <v>7242564571.6427841</v>
      </c>
      <c r="AA3" s="306">
        <f t="shared" ca="1" si="1"/>
        <v>7858377318.8894472</v>
      </c>
      <c r="AB3" s="306">
        <f t="shared" ca="1" si="1"/>
        <v>8458357695.17624</v>
      </c>
      <c r="AC3" s="306">
        <f t="shared" ca="1" si="1"/>
        <v>9045143834.6115456</v>
      </c>
      <c r="AD3" s="306">
        <f t="shared" ca="1" si="1"/>
        <v>9622775295.6170025</v>
      </c>
      <c r="AE3" s="306">
        <f t="shared" ca="1" si="1"/>
        <v>10196805080.700506</v>
      </c>
      <c r="AF3" s="306">
        <f t="shared" ca="1" si="1"/>
        <v>10763754559.889425</v>
      </c>
      <c r="AG3" s="306">
        <f t="shared" ca="1" si="1"/>
        <v>11330960747.462551</v>
      </c>
      <c r="AH3" s="306">
        <f t="shared" ca="1" si="1"/>
        <v>11966269800.252832</v>
      </c>
      <c r="AI3" s="306">
        <f t="shared" ca="1" si="1"/>
        <v>12614770727.478416</v>
      </c>
      <c r="AJ3" s="306">
        <f t="shared" ca="1" si="1"/>
        <v>13275286658.228741</v>
      </c>
      <c r="AK3" s="306">
        <f t="shared" ca="1" si="1"/>
        <v>12835989584.584763</v>
      </c>
      <c r="AL3" s="306">
        <f t="shared" ca="1" si="1"/>
        <v>12383170493.797703</v>
      </c>
      <c r="AM3" s="306">
        <f t="shared" ca="1" si="1"/>
        <v>11916834571.774948</v>
      </c>
      <c r="AN3" s="306">
        <f t="shared" ca="1" si="1"/>
        <v>11437008991.901005</v>
      </c>
      <c r="AO3" s="306">
        <f t="shared" ca="1" si="1"/>
        <v>10943744538.880362</v>
      </c>
      <c r="AP3" s="306">
        <f t="shared" ca="1" si="1"/>
        <v>10437117322.673662</v>
      </c>
    </row>
    <row r="4" spans="1:42" x14ac:dyDescent="0.35">
      <c r="A4" s="303" t="s">
        <v>436</v>
      </c>
      <c r="C4" s="305"/>
      <c r="D4" s="305"/>
      <c r="E4" s="305"/>
      <c r="F4" s="306">
        <f>+Assumptions!F80</f>
        <v>209363237.68630102</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-6978774.5895433677</v>
      </c>
      <c r="G6" s="306">
        <f>-'Cash Flow'!G7</f>
        <v>-6978774.5895433677</v>
      </c>
      <c r="H6" s="306">
        <f>-'Cash Flow'!H7</f>
        <v>-6978774.5895433677</v>
      </c>
      <c r="I6" s="306">
        <f>-'Cash Flow'!I7</f>
        <v>-6978774.5895433677</v>
      </c>
      <c r="J6" s="306">
        <f>-'Cash Flow'!J7</f>
        <v>-6978774.5895433677</v>
      </c>
      <c r="K6" s="306">
        <f>-'Cash Flow'!K7</f>
        <v>-6978774.5895433677</v>
      </c>
      <c r="L6" s="306">
        <f>-'Cash Flow'!L7</f>
        <v>-6978774.5895433677</v>
      </c>
      <c r="M6" s="306">
        <f>-'Cash Flow'!M7</f>
        <v>-6978774.5895433677</v>
      </c>
      <c r="N6" s="306">
        <f>-'Cash Flow'!N7</f>
        <v>-6978774.5895433677</v>
      </c>
      <c r="O6" s="306">
        <f>-'Cash Flow'!O7</f>
        <v>-6978774.5895433677</v>
      </c>
      <c r="P6" s="306">
        <f>-'Cash Flow'!P7</f>
        <v>-6978774.5895433677</v>
      </c>
      <c r="Q6" s="306">
        <f>-'Cash Flow'!Q7</f>
        <v>-6978774.5895433677</v>
      </c>
      <c r="R6" s="306">
        <f>-'Cash Flow'!R7</f>
        <v>-6978774.5895433677</v>
      </c>
      <c r="S6" s="306">
        <f>-'Cash Flow'!S7</f>
        <v>-6978774.5895433677</v>
      </c>
      <c r="T6" s="306">
        <f>-'Cash Flow'!T7</f>
        <v>-6978774.5895433677</v>
      </c>
      <c r="U6" s="306">
        <f>-'Cash Flow'!U7</f>
        <v>-6978774.5895433677</v>
      </c>
      <c r="V6" s="306">
        <f>-'Cash Flow'!V7</f>
        <v>-6978774.5895433677</v>
      </c>
      <c r="W6" s="306">
        <f>-'Cash Flow'!W7</f>
        <v>-6978774.5895433677</v>
      </c>
      <c r="X6" s="306">
        <f>-'Cash Flow'!X7</f>
        <v>-6978774.5895433677</v>
      </c>
      <c r="Y6" s="306">
        <f>-'Cash Flow'!Y7</f>
        <v>-6978774.5895433677</v>
      </c>
      <c r="Z6" s="306">
        <f>-'Cash Flow'!Z7</f>
        <v>-6978774.5895433677</v>
      </c>
      <c r="AA6" s="306">
        <f>-'Cash Flow'!AA7</f>
        <v>-6978774.5895433677</v>
      </c>
      <c r="AB6" s="306">
        <f>-'Cash Flow'!AB7</f>
        <v>-6978774.5895433677</v>
      </c>
      <c r="AC6" s="306">
        <f>-'Cash Flow'!AC7</f>
        <v>-6978774.5895433677</v>
      </c>
      <c r="AD6" s="306">
        <f>-'Cash Flow'!AD7</f>
        <v>-6978774.5895433677</v>
      </c>
      <c r="AE6" s="306">
        <f>-'Cash Flow'!AE7</f>
        <v>-6978774.5895433677</v>
      </c>
      <c r="AF6" s="306">
        <f>-'Cash Flow'!AF7</f>
        <v>-6978774.5895433677</v>
      </c>
      <c r="AG6" s="306">
        <f>-'Cash Flow'!AG7</f>
        <v>-6978774.5895433677</v>
      </c>
      <c r="AH6" s="306">
        <f>-'Cash Flow'!AH7</f>
        <v>-6978774.5895433677</v>
      </c>
      <c r="AI6" s="306">
        <f>-'Cash Flow'!AI7</f>
        <v>-6978774.5895433677</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275848010.31470692</v>
      </c>
      <c r="G7" s="306">
        <f ca="1">-'Cash Flow'!G11</f>
        <v>266758782.27110922</v>
      </c>
      <c r="H7" s="306">
        <f ca="1">-'Cash Flow'!H11</f>
        <v>241178901.10471892</v>
      </c>
      <c r="I7" s="306">
        <f ca="1">-'Cash Flow'!I11</f>
        <v>220298209.67267233</v>
      </c>
      <c r="J7" s="306">
        <f ca="1">-'Cash Flow'!J11</f>
        <v>201841652.8029108</v>
      </c>
      <c r="K7" s="306">
        <f ca="1">-'Cash Flow'!K11</f>
        <v>180608172.03195167</v>
      </c>
      <c r="L7" s="306">
        <f ca="1">-'Cash Flow'!L11</f>
        <v>168345299.72559297</v>
      </c>
      <c r="M7" s="306">
        <f ca="1">-'Cash Flow'!M11</f>
        <v>160807030.24203408</v>
      </c>
      <c r="N7" s="306">
        <f ca="1">-'Cash Flow'!N11</f>
        <v>156591622.26437962</v>
      </c>
      <c r="O7" s="306">
        <f ca="1">-'Cash Flow'!O11</f>
        <v>151669547.37275171</v>
      </c>
      <c r="P7" s="306">
        <f ca="1">-'Cash Flow'!P11</f>
        <v>432861020.48685133</v>
      </c>
      <c r="Q7" s="306">
        <f ca="1">-'Cash Flow'!Q11</f>
        <v>397389408.01290882</v>
      </c>
      <c r="R7" s="306">
        <f ca="1">-'Cash Flow'!R11</f>
        <v>382738952.93287563</v>
      </c>
      <c r="S7" s="306">
        <f ca="1">-'Cash Flow'!S11</f>
        <v>364638101.56660771</v>
      </c>
      <c r="T7" s="306">
        <f ca="1">-'Cash Flow'!T11</f>
        <v>342769757.18643606</v>
      </c>
      <c r="U7" s="306">
        <f ca="1">-'Cash Flow'!U11</f>
        <v>323121591.13053918</v>
      </c>
      <c r="V7" s="306">
        <f ca="1">-'Cash Flow'!V11</f>
        <v>306562357.15449917</v>
      </c>
      <c r="W7" s="306">
        <f ca="1">-'Cash Flow'!W11</f>
        <v>308310960.11194921</v>
      </c>
      <c r="X7" s="306">
        <f ca="1">-'Cash Flow'!X11</f>
        <v>316238439.33607841</v>
      </c>
      <c r="Y7" s="306">
        <f ca="1">-'Cash Flow'!Y11</f>
        <v>316424288.94716573</v>
      </c>
      <c r="Z7" s="306">
        <f ca="1">-'Cash Flow'!Z11</f>
        <v>622791521.83620632</v>
      </c>
      <c r="AA7" s="306">
        <f ca="1">-'Cash Flow'!AA11</f>
        <v>606959150.87633634</v>
      </c>
      <c r="AB7" s="306">
        <f ca="1">-'Cash Flow'!AB11</f>
        <v>593764914.02484798</v>
      </c>
      <c r="AC7" s="306">
        <f ca="1">-'Cash Flow'!AC11</f>
        <v>584610235.59500074</v>
      </c>
      <c r="AD7" s="306">
        <f ca="1">-'Cash Flow'!AD11</f>
        <v>581008559.6730473</v>
      </c>
      <c r="AE7" s="306">
        <f ca="1">-'Cash Flow'!AE11</f>
        <v>573928253.7784636</v>
      </c>
      <c r="AF7" s="306">
        <f ca="1">-'Cash Flow'!AF11</f>
        <v>574184962.16266918</v>
      </c>
      <c r="AG7" s="306">
        <f ca="1">-'Cash Flow'!AG11</f>
        <v>642287827.37982583</v>
      </c>
      <c r="AH7" s="306">
        <f ca="1">-'Cash Flow'!AH11</f>
        <v>655479701.81512904</v>
      </c>
      <c r="AI7" s="306">
        <f ca="1">-'Cash Flow'!AI11</f>
        <v>667494705.33986831</v>
      </c>
      <c r="AJ7" s="306">
        <f ca="1">-'Cash Flow'!AJ11</f>
        <v>-439297073.64397907</v>
      </c>
      <c r="AK7" s="306">
        <f ca="1">-'Cash Flow'!AK11</f>
        <v>-452819090.78705883</v>
      </c>
      <c r="AL7" s="306">
        <f ca="1">-'Cash Flow'!AL11</f>
        <v>-466335922.02275491</v>
      </c>
      <c r="AM7" s="306">
        <f ca="1">-'Cash Flow'!AM11</f>
        <v>-479825579.87394381</v>
      </c>
      <c r="AN7" s="306">
        <f ca="1">-'Cash Flow'!AN11</f>
        <v>-493264453.02064347</v>
      </c>
      <c r="AO7" s="306">
        <f ca="1">-'Cash Flow'!AO11</f>
        <v>-506627216.20669937</v>
      </c>
      <c r="AP7" s="306">
        <f ca="1">-'Cash Flow'!AP11</f>
        <v>-519886735.65994549</v>
      </c>
    </row>
    <row r="8" spans="1:42" x14ac:dyDescent="0.35">
      <c r="A8" s="303" t="s">
        <v>375</v>
      </c>
      <c r="C8" s="305"/>
      <c r="D8" s="305"/>
      <c r="E8" s="306">
        <f>Assumptions!E39</f>
        <v>1657774721.0786121</v>
      </c>
      <c r="F8" s="306">
        <f ca="1">F3+F4+F6+F7</f>
        <v>2136007194.4900765</v>
      </c>
      <c r="G8" s="306">
        <f t="shared" ref="G8:AP8" ca="1" si="2">G3+G4+G6+G7</f>
        <v>2395787202.1716423</v>
      </c>
      <c r="H8" s="306">
        <f t="shared" ca="1" si="2"/>
        <v>2629987328.6868181</v>
      </c>
      <c r="I8" s="306">
        <f t="shared" ca="1" si="2"/>
        <v>2843306763.7699471</v>
      </c>
      <c r="J8" s="306">
        <f t="shared" ca="1" si="2"/>
        <v>3038169641.9833145</v>
      </c>
      <c r="K8" s="306">
        <f t="shared" ca="1" si="2"/>
        <v>3211799039.4257231</v>
      </c>
      <c r="L8" s="306">
        <f t="shared" ca="1" si="2"/>
        <v>3373165564.5617728</v>
      </c>
      <c r="M8" s="306">
        <f t="shared" ca="1" si="2"/>
        <v>3526993820.2142634</v>
      </c>
      <c r="N8" s="306">
        <f t="shared" ca="1" si="2"/>
        <v>3676606667.8890996</v>
      </c>
      <c r="O8" s="306">
        <f t="shared" ca="1" si="2"/>
        <v>3821297440.672308</v>
      </c>
      <c r="P8" s="306">
        <f t="shared" ca="1" si="2"/>
        <v>4247179686.5696158</v>
      </c>
      <c r="Q8" s="306">
        <f t="shared" ca="1" si="2"/>
        <v>4637590319.992981</v>
      </c>
      <c r="R8" s="306">
        <f t="shared" ca="1" si="2"/>
        <v>5013350498.3363132</v>
      </c>
      <c r="S8" s="306">
        <f t="shared" ca="1" si="2"/>
        <v>5371009825.3133774</v>
      </c>
      <c r="T8" s="306">
        <f t="shared" ca="1" si="2"/>
        <v>5706800807.9102697</v>
      </c>
      <c r="U8" s="306">
        <f t="shared" ca="1" si="2"/>
        <v>6022943624.4512653</v>
      </c>
      <c r="V8" s="306">
        <f t="shared" ca="1" si="2"/>
        <v>6322527207.016221</v>
      </c>
      <c r="W8" s="306">
        <f t="shared" ca="1" si="2"/>
        <v>6623859392.5386267</v>
      </c>
      <c r="X8" s="306">
        <f t="shared" ca="1" si="2"/>
        <v>6933119057.285162</v>
      </c>
      <c r="Y8" s="306">
        <f t="shared" ca="1" si="2"/>
        <v>7242564571.6427841</v>
      </c>
      <c r="Z8" s="306">
        <f t="shared" ca="1" si="2"/>
        <v>7858377318.8894472</v>
      </c>
      <c r="AA8" s="306">
        <f t="shared" ca="1" si="2"/>
        <v>8458357695.17624</v>
      </c>
      <c r="AB8" s="306">
        <f t="shared" ca="1" si="2"/>
        <v>9045143834.6115456</v>
      </c>
      <c r="AC8" s="306">
        <f t="shared" ca="1" si="2"/>
        <v>9622775295.6170025</v>
      </c>
      <c r="AD8" s="306">
        <f t="shared" ca="1" si="2"/>
        <v>10196805080.700506</v>
      </c>
      <c r="AE8" s="306">
        <f t="shared" ca="1" si="2"/>
        <v>10763754559.889425</v>
      </c>
      <c r="AF8" s="306">
        <f t="shared" ca="1" si="2"/>
        <v>11330960747.462551</v>
      </c>
      <c r="AG8" s="306">
        <f t="shared" ca="1" si="2"/>
        <v>11966269800.252832</v>
      </c>
      <c r="AH8" s="306">
        <f t="shared" ca="1" si="2"/>
        <v>12614770727.478416</v>
      </c>
      <c r="AI8" s="306">
        <f t="shared" ca="1" si="2"/>
        <v>13275286658.228741</v>
      </c>
      <c r="AJ8" s="306">
        <f t="shared" ca="1" si="2"/>
        <v>12835989584.584763</v>
      </c>
      <c r="AK8" s="306">
        <f t="shared" ca="1" si="2"/>
        <v>12383170493.797703</v>
      </c>
      <c r="AL8" s="306">
        <f t="shared" ca="1" si="2"/>
        <v>11916834571.774948</v>
      </c>
      <c r="AM8" s="306">
        <f t="shared" ca="1" si="2"/>
        <v>11437008991.901005</v>
      </c>
      <c r="AN8" s="306">
        <f t="shared" ca="1" si="2"/>
        <v>10943744538.880362</v>
      </c>
      <c r="AO8" s="306">
        <f t="shared" ca="1" si="2"/>
        <v>10437117322.673662</v>
      </c>
      <c r="AP8" s="306">
        <f t="shared" ca="1" si="2"/>
        <v>9917230587.0137177</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109413131.5911884</v>
      </c>
      <c r="F10" s="314">
        <f ca="1">E10+(F7*Assumptions!F105)</f>
        <v>127343252.26164435</v>
      </c>
      <c r="G10" s="314">
        <f ca="1">F10+(G7*Assumptions!G105)</f>
        <v>144149055.54472423</v>
      </c>
      <c r="H10" s="314">
        <f ca="1">G10+(H7*Assumptions!H105)</f>
        <v>158619789.61100736</v>
      </c>
      <c r="I10" s="314">
        <f ca="1">H10+(I7*Assumptions!I105)</f>
        <v>168092612.62693226</v>
      </c>
      <c r="J10" s="314">
        <f ca="1">I10+(J7*Assumptions!J105)</f>
        <v>176771803.69745743</v>
      </c>
      <c r="K10" s="314">
        <f ca="1">J10+(K7*Assumptions!K105)</f>
        <v>184537955.09483135</v>
      </c>
      <c r="L10" s="314">
        <f ca="1">K10+(L7*Assumptions!L105)</f>
        <v>191776802.98303184</v>
      </c>
      <c r="M10" s="314">
        <f ca="1">L10+(M7*Assumptions!M105)</f>
        <v>198691505.28343931</v>
      </c>
      <c r="N10" s="314">
        <f ca="1">M10+(N7*Assumptions!N105)</f>
        <v>205424945.04080763</v>
      </c>
      <c r="O10" s="314">
        <f ca="1">N10+(O7*Assumptions!O105)</f>
        <v>211946735.57783595</v>
      </c>
      <c r="P10" s="314">
        <f ca="1">O10+(P7*Assumptions!P105)</f>
        <v>230559759.45877054</v>
      </c>
      <c r="Q10" s="314">
        <f ca="1">P10+(Q7*Assumptions!Q105)</f>
        <v>247647504.00332561</v>
      </c>
      <c r="R10" s="314">
        <f ca="1">Q10+(R7*Assumptions!R105)</f>
        <v>264105278.97943926</v>
      </c>
      <c r="S10" s="314">
        <f ca="1">R10+(S7*Assumptions!S105)</f>
        <v>279784717.34680337</v>
      </c>
      <c r="T10" s="314">
        <f ca="1">S10+(T7*Assumptions!T105)</f>
        <v>294523816.90582013</v>
      </c>
      <c r="U10" s="314">
        <f ca="1">T10+(U7*Assumptions!U105)</f>
        <v>308418045.32443333</v>
      </c>
      <c r="V10" s="314">
        <f ca="1">U10+(V7*Assumptions!V105)</f>
        <v>321600226.68207681</v>
      </c>
      <c r="W10" s="314">
        <f ca="1">V10+(W7*Assumptions!W105)</f>
        <v>334857597.96689063</v>
      </c>
      <c r="X10" s="314">
        <f ca="1">W10+(X7*Assumptions!X105)</f>
        <v>348455850.85834199</v>
      </c>
      <c r="Y10" s="314">
        <f ca="1">X10+(Y7*Assumptions!Y105)</f>
        <v>362062095.28307009</v>
      </c>
      <c r="Z10" s="314">
        <f ca="1">Y10+(Z7*Assumptions!Z105)</f>
        <v>388842130.72202694</v>
      </c>
      <c r="AA10" s="314">
        <f ca="1">Z10+(AA7*Assumptions!AA105)</f>
        <v>414941374.20970941</v>
      </c>
      <c r="AB10" s="314">
        <f ca="1">AA10+(AB7*Assumptions!AB105)</f>
        <v>440473265.51277786</v>
      </c>
      <c r="AC10" s="314">
        <f ca="1">AB10+(AC7*Assumptions!AC105)</f>
        <v>465611505.64336288</v>
      </c>
      <c r="AD10" s="314">
        <f ca="1">AC10+(AD7*Assumptions!AD105)</f>
        <v>490594873.70930392</v>
      </c>
      <c r="AE10" s="314">
        <f ca="1">AD10+(AE7*Assumptions!AE105)</f>
        <v>515273788.62177783</v>
      </c>
      <c r="AF10" s="314">
        <f ca="1">AE10+(AF7*Assumptions!AF105)</f>
        <v>539963741.99477255</v>
      </c>
      <c r="AG10" s="314">
        <f ca="1">AF10+(AG7*Assumptions!AG105)</f>
        <v>567582118.57210505</v>
      </c>
      <c r="AH10" s="314">
        <f ca="1">AG10+(AH7*Assumptions!AH105)</f>
        <v>595767745.75015557</v>
      </c>
      <c r="AI10" s="314">
        <f ca="1">AH10+(AI7*Assumptions!AI105)</f>
        <v>624470018.07976985</v>
      </c>
      <c r="AJ10" s="314">
        <f ca="1">AI10+(AJ7*Assumptions!AJ105)</f>
        <v>605580243.91307878</v>
      </c>
      <c r="AK10" s="314">
        <f ca="1">AJ10+(AK7*Assumptions!AK105)</f>
        <v>586109023.00923526</v>
      </c>
      <c r="AL10" s="314">
        <f ca="1">AK10+(AL7*Assumptions!AL105)</f>
        <v>566056578.36225677</v>
      </c>
      <c r="AM10" s="314">
        <f ca="1">AL10+(AM7*Assumptions!AM105)</f>
        <v>545424078.42767715</v>
      </c>
      <c r="AN10" s="314">
        <f ca="1">AM10+(AN7*Assumptions!AN105)</f>
        <v>524213706.94778949</v>
      </c>
      <c r="AO10" s="314">
        <f ca="1">AN10+(AO7*Assumptions!AO105)</f>
        <v>502428736.65090144</v>
      </c>
      <c r="AP10" s="314">
        <f ca="1">AO10+(AP7*Assumptions!AP105)</f>
        <v>480073607.01752377</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M6CjY2JK3WLseptwhva51EnWP5mu1QSWfiOrZ3MpowTfHInDlQ3nYZb5uREaw/KQv+58bxRNhl02sC+no/+EUA==" saltValue="4i1mgKrbkmR1jvQYq+QZQg=="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218024728.85042414</v>
      </c>
      <c r="F4" s="77">
        <f>'Profit and Loss'!F4</f>
        <v>261562245.07111421</v>
      </c>
      <c r="G4" s="77">
        <f>'Profit and Loss'!G4</f>
        <v>269949734.4284023</v>
      </c>
      <c r="H4" s="77">
        <f>'Profit and Loss'!H4</f>
        <v>263995064.55930296</v>
      </c>
      <c r="I4" s="77">
        <f>'Profit and Loss'!I4</f>
        <v>258040699.60603887</v>
      </c>
      <c r="J4" s="77">
        <f>'Profit and Loss'!J4</f>
        <v>252095151.02377942</v>
      </c>
      <c r="K4" s="77">
        <f>'Profit and Loss'!K4</f>
        <v>208271373.94070908</v>
      </c>
      <c r="L4" s="77">
        <f>'Profit and Loss'!L4</f>
        <v>201731253.90849781</v>
      </c>
      <c r="M4" s="77">
        <f>'Profit and Loss'!M4</f>
        <v>201454063.50607705</v>
      </c>
      <c r="N4" s="77">
        <f>'Profit and Loss'!N4</f>
        <v>201072442.3875314</v>
      </c>
      <c r="O4" s="77">
        <f>'Profit and Loss'!O4</f>
        <v>200585047.21222141</v>
      </c>
      <c r="P4" s="77">
        <f>'Profit and Loss'!P4</f>
        <v>200710760.19326955</v>
      </c>
      <c r="Q4" s="77">
        <f>'Profit and Loss'!Q4</f>
        <v>200673493.59764129</v>
      </c>
      <c r="R4" s="77">
        <f>'Profit and Loss'!R4</f>
        <v>202053281.82233575</v>
      </c>
      <c r="S4" s="77">
        <f>'Profit and Loss'!S4</f>
        <v>203309213.98185566</v>
      </c>
      <c r="T4" s="77">
        <f>'Profit and Loss'!T4</f>
        <v>204439037.97756106</v>
      </c>
      <c r="U4" s="77">
        <f>'Profit and Loss'!U4</f>
        <v>205440322.98530775</v>
      </c>
      <c r="V4" s="77">
        <f>'Profit and Loss'!V4</f>
        <v>206310455.01686686</v>
      </c>
      <c r="W4" s="77">
        <f>'Profit and Loss'!W4</f>
        <v>212588285.87165079</v>
      </c>
      <c r="X4" s="77">
        <f>'Profit and Loss'!X4</f>
        <v>219023197.71880341</v>
      </c>
      <c r="Y4" s="77">
        <f>'Profit and Loss'!Y4</f>
        <v>225618874.20436376</v>
      </c>
      <c r="Z4" s="77">
        <f>'Profit and Loss'!Z4</f>
        <v>232937412.09763965</v>
      </c>
      <c r="AA4" s="77">
        <f>'Profit and Loss'!AA4</f>
        <v>240435993.51345444</v>
      </c>
      <c r="AB4" s="77">
        <f>'Profit and Loss'!AB4</f>
        <v>248118700.11404696</v>
      </c>
      <c r="AC4" s="77">
        <f>'Profit and Loss'!AC4</f>
        <v>255989701.5962486</v>
      </c>
      <c r="AD4" s="77">
        <f>'Profit and Loss'!AD4</f>
        <v>264053257.42063016</v>
      </c>
      <c r="AE4" s="77">
        <f>'Profit and Loss'!AE4</f>
        <v>272313718.56623209</v>
      </c>
      <c r="AF4" s="77">
        <f>'Profit and Loss'!AF4</f>
        <v>280775529.31082708</v>
      </c>
      <c r="AG4" s="77">
        <f>'Profit and Loss'!AG4</f>
        <v>289443229.03664029</v>
      </c>
      <c r="AH4" s="77">
        <f>'Profit and Loss'!AH4</f>
        <v>298321454.06141657</v>
      </c>
      <c r="AI4" s="77">
        <f>'Profit and Loss'!AI4</f>
        <v>307414939.49469632</v>
      </c>
      <c r="AJ4" s="77">
        <f>'Profit and Loss'!AJ4</f>
        <v>315132007.27288353</v>
      </c>
      <c r="AK4" s="77">
        <f>'Profit and Loss'!AK4</f>
        <v>323041716.27191907</v>
      </c>
      <c r="AL4" s="77">
        <f>'Profit and Loss'!AL4</f>
        <v>331148732.34944469</v>
      </c>
      <c r="AM4" s="77">
        <f>'Profit and Loss'!AM4</f>
        <v>339457827.23307955</v>
      </c>
      <c r="AN4" s="77">
        <f>'Profit and Loss'!AN4</f>
        <v>347973880.6119777</v>
      </c>
      <c r="AO4" s="77">
        <f>'Profit and Loss'!AO4</f>
        <v>356701882.25598514</v>
      </c>
      <c r="AP4" s="77">
        <f>'Profit and Loss'!AP4</f>
        <v>365646934.16207373</v>
      </c>
    </row>
    <row r="5" spans="1:45" x14ac:dyDescent="0.35">
      <c r="A5" t="s">
        <v>455</v>
      </c>
      <c r="B5" t="s">
        <v>454</v>
      </c>
      <c r="C5" s="162"/>
      <c r="D5" s="162"/>
      <c r="E5" s="77"/>
      <c r="F5" s="77">
        <f>'Cash Flow'!F8</f>
        <v>533808470.49298817</v>
      </c>
      <c r="G5" s="77">
        <f>'Cash Flow'!G8</f>
        <v>554307438.48736203</v>
      </c>
      <c r="H5" s="77">
        <f>'Cash Flow'!H8</f>
        <v>558050133.84368062</v>
      </c>
      <c r="I5" s="77">
        <f>'Cash Flow'!I8</f>
        <v>562168890.48360729</v>
      </c>
      <c r="J5" s="77">
        <f>'Cash Flow'!J8</f>
        <v>566661263.81642377</v>
      </c>
      <c r="K5" s="77">
        <f>'Cash Flow'!K8</f>
        <v>571525015.59033859</v>
      </c>
      <c r="L5" s="77">
        <f>'Cash Flow'!L8</f>
        <v>576758106.61169982</v>
      </c>
      <c r="M5" s="77">
        <f>'Cash Flow'!M8</f>
        <v>589388887.42688727</v>
      </c>
      <c r="N5" s="77">
        <f>'Cash Flow'!N8</f>
        <v>602284221.72550893</v>
      </c>
      <c r="O5" s="77">
        <f>'Cash Flow'!O8</f>
        <v>615449026.85452676</v>
      </c>
      <c r="P5" s="77">
        <f>'Cash Flow'!P8</f>
        <v>947433671.09180248</v>
      </c>
      <c r="Q5" s="77">
        <f>'Cash Flow'!Q8</f>
        <v>965091506.10882592</v>
      </c>
      <c r="R5" s="77">
        <f>'Cash Flow'!R8</f>
        <v>987228901.1848278</v>
      </c>
      <c r="S5" s="77">
        <f>'Cash Flow'!S8</f>
        <v>1009734935.5899403</v>
      </c>
      <c r="T5" s="77">
        <f>'Cash Flow'!T8</f>
        <v>1032612518.0775996</v>
      </c>
      <c r="U5" s="77">
        <f>'Cash Flow'!U8</f>
        <v>1055864409.1585183</v>
      </c>
      <c r="V5" s="77">
        <f>'Cash Flow'!V8</f>
        <v>1079493210.0329401</v>
      </c>
      <c r="W5" s="77">
        <f>'Cash Flow'!W8</f>
        <v>1118293849.9700656</v>
      </c>
      <c r="X5" s="77">
        <f>'Cash Flow'!X8</f>
        <v>1158313922.0073733</v>
      </c>
      <c r="Y5" s="77">
        <f>'Cash Flow'!Y8</f>
        <v>1199588922.8348374</v>
      </c>
      <c r="Z5" s="77">
        <f>'Cash Flow'!Z8</f>
        <v>1580706465.6691179</v>
      </c>
      <c r="AA5" s="77">
        <f>'Cash Flow'!AA8</f>
        <v>1640106834.4440041</v>
      </c>
      <c r="AB5" s="77">
        <f>'Cash Flow'!AB8</f>
        <v>1701406571.3384948</v>
      </c>
      <c r="AC5" s="77">
        <f>'Cash Flow'!AC8</f>
        <v>1764661311.3717775</v>
      </c>
      <c r="AD5" s="77">
        <f>'Cash Flow'!AD8</f>
        <v>1829928224.6154468</v>
      </c>
      <c r="AE5" s="77">
        <f>'Cash Flow'!AE8</f>
        <v>1897266056.5496764</v>
      </c>
      <c r="AF5" s="77">
        <f>'Cash Flow'!AF8</f>
        <v>1966735169.4330993</v>
      </c>
      <c r="AG5" s="77">
        <f>'Cash Flow'!AG8</f>
        <v>2038397584.7106097</v>
      </c>
      <c r="AH5" s="77">
        <f>'Cash Flow'!AH8</f>
        <v>2112317026.4838688</v>
      </c>
      <c r="AI5" s="77">
        <f>'Cash Flow'!AI8</f>
        <v>2188558966.0698056</v>
      </c>
      <c r="AJ5" s="77">
        <f>'Cash Flow'!AJ8</f>
        <v>1131607220.1191859</v>
      </c>
      <c r="AK5" s="77">
        <f>'Cash Flow'!AK8</f>
        <v>1161743475.7675133</v>
      </c>
      <c r="AL5" s="77">
        <f>'Cash Flow'!AL8</f>
        <v>1192682301.3255706</v>
      </c>
      <c r="AM5" s="77">
        <f>'Cash Flow'!AM8</f>
        <v>1224445070.3331742</v>
      </c>
      <c r="AN5" s="77">
        <f>'Cash Flow'!AN8</f>
        <v>1257053725.5368834</v>
      </c>
      <c r="AO5" s="77">
        <f>'Cash Flow'!AO8</f>
        <v>1290530794.0487576</v>
      </c>
      <c r="AP5" s="77">
        <f>'Cash Flow'!AP8</f>
        <v>1324899402.908814</v>
      </c>
    </row>
    <row r="6" spans="1:45" x14ac:dyDescent="0.35">
      <c r="A6" t="s">
        <v>421</v>
      </c>
      <c r="B6" t="s">
        <v>454</v>
      </c>
      <c r="C6" s="162"/>
      <c r="D6" s="162"/>
      <c r="E6" s="77"/>
      <c r="F6" s="77">
        <f>'Cash Flow'!F7</f>
        <v>6978774.5895433677</v>
      </c>
      <c r="G6" s="77">
        <f>'Cash Flow'!G7</f>
        <v>6978774.5895433677</v>
      </c>
      <c r="H6" s="77">
        <f>'Cash Flow'!H7</f>
        <v>6978774.5895433677</v>
      </c>
      <c r="I6" s="77">
        <f>'Cash Flow'!I7</f>
        <v>6978774.5895433677</v>
      </c>
      <c r="J6" s="77">
        <f>'Cash Flow'!J7</f>
        <v>6978774.5895433677</v>
      </c>
      <c r="K6" s="77">
        <f>'Cash Flow'!K7</f>
        <v>6978774.5895433677</v>
      </c>
      <c r="L6" s="77">
        <f>'Cash Flow'!L7</f>
        <v>6978774.5895433677</v>
      </c>
      <c r="M6" s="77">
        <f>'Cash Flow'!M7</f>
        <v>6978774.5895433677</v>
      </c>
      <c r="N6" s="77">
        <f>'Cash Flow'!N7</f>
        <v>6978774.5895433677</v>
      </c>
      <c r="O6" s="77">
        <f>'Cash Flow'!O7</f>
        <v>6978774.5895433677</v>
      </c>
      <c r="P6" s="77">
        <f>'Cash Flow'!P7</f>
        <v>6978774.5895433677</v>
      </c>
      <c r="Q6" s="77">
        <f>'Cash Flow'!Q7</f>
        <v>6978774.5895433677</v>
      </c>
      <c r="R6" s="77">
        <f>'Cash Flow'!R7</f>
        <v>6978774.5895433677</v>
      </c>
      <c r="S6" s="77">
        <f>'Cash Flow'!S7</f>
        <v>6978774.5895433677</v>
      </c>
      <c r="T6" s="77">
        <f>'Cash Flow'!T7</f>
        <v>6978774.5895433677</v>
      </c>
      <c r="U6" s="77">
        <f>'Cash Flow'!U7</f>
        <v>6978774.5895433677</v>
      </c>
      <c r="V6" s="77">
        <f>'Cash Flow'!V7</f>
        <v>6978774.5895433677</v>
      </c>
      <c r="W6" s="77">
        <f>'Cash Flow'!W7</f>
        <v>6978774.5895433677</v>
      </c>
      <c r="X6" s="77">
        <f>'Cash Flow'!X7</f>
        <v>6978774.5895433677</v>
      </c>
      <c r="Y6" s="77">
        <f>'Cash Flow'!Y7</f>
        <v>6978774.5895433677</v>
      </c>
      <c r="Z6" s="77">
        <f>'Cash Flow'!Z7</f>
        <v>6978774.5895433677</v>
      </c>
      <c r="AA6" s="77">
        <f>'Cash Flow'!AA7</f>
        <v>6978774.5895433677</v>
      </c>
      <c r="AB6" s="77">
        <f>'Cash Flow'!AB7</f>
        <v>6978774.5895433677</v>
      </c>
      <c r="AC6" s="77">
        <f>'Cash Flow'!AC7</f>
        <v>6978774.5895433677</v>
      </c>
      <c r="AD6" s="77">
        <f>'Cash Flow'!AD7</f>
        <v>6978774.5895433677</v>
      </c>
      <c r="AE6" s="77">
        <f>'Cash Flow'!AE7</f>
        <v>6978774.5895433677</v>
      </c>
      <c r="AF6" s="77">
        <f>'Cash Flow'!AF7</f>
        <v>6978774.5895433677</v>
      </c>
      <c r="AG6" s="77">
        <f>'Cash Flow'!AG7</f>
        <v>6978774.5895433677</v>
      </c>
      <c r="AH6" s="77">
        <f>'Cash Flow'!AH7</f>
        <v>6978774.5895433677</v>
      </c>
      <c r="AI6" s="77">
        <f>'Cash Flow'!AI7</f>
        <v>6978774.5895433677</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109413131.5911884</v>
      </c>
      <c r="F7" s="77">
        <f ca="1">'Debt worksheet'!F10</f>
        <v>127343252.26164435</v>
      </c>
      <c r="G7" s="77">
        <f ca="1">'Debt worksheet'!G10</f>
        <v>144149055.54472423</v>
      </c>
      <c r="H7" s="77">
        <f ca="1">'Debt worksheet'!H10</f>
        <v>158619789.61100736</v>
      </c>
      <c r="I7" s="77">
        <f ca="1">'Debt worksheet'!I10</f>
        <v>168092612.62693226</v>
      </c>
      <c r="J7" s="77">
        <f ca="1">'Debt worksheet'!J10</f>
        <v>176771803.69745743</v>
      </c>
      <c r="K7" s="77">
        <f ca="1">'Debt worksheet'!K10</f>
        <v>184537955.09483135</v>
      </c>
      <c r="L7" s="77">
        <f ca="1">'Debt worksheet'!L10</f>
        <v>191776802.98303184</v>
      </c>
      <c r="M7" s="77">
        <f ca="1">'Debt worksheet'!M10</f>
        <v>198691505.28343931</v>
      </c>
      <c r="N7" s="77">
        <f ca="1">'Debt worksheet'!N10</f>
        <v>205424945.04080763</v>
      </c>
      <c r="O7" s="77">
        <f ca="1">'Debt worksheet'!O10</f>
        <v>211946735.57783595</v>
      </c>
      <c r="P7" s="77">
        <f ca="1">'Debt worksheet'!P10</f>
        <v>230559759.45877054</v>
      </c>
      <c r="Q7" s="77">
        <f ca="1">'Debt worksheet'!Q10</f>
        <v>247647504.00332561</v>
      </c>
      <c r="R7" s="77">
        <f ca="1">'Debt worksheet'!R10</f>
        <v>264105278.97943926</v>
      </c>
      <c r="S7" s="77">
        <f ca="1">'Debt worksheet'!S10</f>
        <v>279784717.34680337</v>
      </c>
      <c r="T7" s="77">
        <f ca="1">'Debt worksheet'!T10</f>
        <v>294523816.90582013</v>
      </c>
      <c r="U7" s="77">
        <f ca="1">'Debt worksheet'!U10</f>
        <v>308418045.32443333</v>
      </c>
      <c r="V7" s="77">
        <f ca="1">'Debt worksheet'!V10</f>
        <v>321600226.68207681</v>
      </c>
      <c r="W7" s="77">
        <f ca="1">'Debt worksheet'!W10</f>
        <v>334857597.96689063</v>
      </c>
      <c r="X7" s="77">
        <f ca="1">'Debt worksheet'!X10</f>
        <v>348455850.85834199</v>
      </c>
      <c r="Y7" s="77">
        <f ca="1">'Debt worksheet'!Y10</f>
        <v>362062095.28307009</v>
      </c>
      <c r="Z7" s="77">
        <f ca="1">'Debt worksheet'!Z10</f>
        <v>388842130.72202694</v>
      </c>
      <c r="AA7" s="77">
        <f ca="1">'Debt worksheet'!AA10</f>
        <v>414941374.20970941</v>
      </c>
      <c r="AB7" s="77">
        <f ca="1">'Debt worksheet'!AB10</f>
        <v>440473265.51277786</v>
      </c>
      <c r="AC7" s="77">
        <f ca="1">'Debt worksheet'!AC10</f>
        <v>465611505.64336288</v>
      </c>
      <c r="AD7" s="77">
        <f ca="1">'Debt worksheet'!AD10</f>
        <v>490594873.70930392</v>
      </c>
      <c r="AE7" s="77">
        <f ca="1">'Debt worksheet'!AE10</f>
        <v>515273788.62177783</v>
      </c>
      <c r="AF7" s="77">
        <f ca="1">'Debt worksheet'!AF10</f>
        <v>539963741.99477255</v>
      </c>
      <c r="AG7" s="77">
        <f ca="1">'Debt worksheet'!AG10</f>
        <v>567582118.57210505</v>
      </c>
      <c r="AH7" s="77">
        <f ca="1">'Debt worksheet'!AH10</f>
        <v>595767745.75015557</v>
      </c>
      <c r="AI7" s="77">
        <f ca="1">'Debt worksheet'!AI10</f>
        <v>624470018.07976985</v>
      </c>
      <c r="AJ7" s="77">
        <f ca="1">'Debt worksheet'!AJ10</f>
        <v>605580243.91307878</v>
      </c>
      <c r="AK7" s="77">
        <f ca="1">'Debt worksheet'!AK10</f>
        <v>586109023.00923526</v>
      </c>
      <c r="AL7" s="77">
        <f ca="1">'Debt worksheet'!AL10</f>
        <v>566056578.36225677</v>
      </c>
      <c r="AM7" s="77">
        <f ca="1">'Debt worksheet'!AM10</f>
        <v>545424078.42767715</v>
      </c>
      <c r="AN7" s="77">
        <f ca="1">'Debt worksheet'!AN10</f>
        <v>524213706.94778949</v>
      </c>
      <c r="AO7" s="77">
        <f ca="1">'Debt worksheet'!AO10</f>
        <v>502428736.65090144</v>
      </c>
      <c r="AP7" s="77">
        <f ca="1">'Debt worksheet'!AP10</f>
        <v>480073607.01752377</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218024728.85042414</v>
      </c>
      <c r="F9" s="77">
        <f t="shared" ref="F9:AP9" si="1">SUM(F4:F6)</f>
        <v>802349490.15364575</v>
      </c>
      <c r="G9" s="77">
        <f t="shared" si="1"/>
        <v>831235947.50530767</v>
      </c>
      <c r="H9" s="77">
        <f t="shared" si="1"/>
        <v>829023972.99252689</v>
      </c>
      <c r="I9" s="77">
        <f t="shared" si="1"/>
        <v>827188364.67918944</v>
      </c>
      <c r="J9" s="77">
        <f t="shared" si="1"/>
        <v>825735189.42974651</v>
      </c>
      <c r="K9" s="77">
        <f t="shared" si="1"/>
        <v>786775164.12059104</v>
      </c>
      <c r="L9" s="77">
        <f t="shared" si="1"/>
        <v>785468135.10974097</v>
      </c>
      <c r="M9" s="77">
        <f t="shared" si="1"/>
        <v>797821725.52250767</v>
      </c>
      <c r="N9" s="77">
        <f t="shared" si="1"/>
        <v>810335438.70258367</v>
      </c>
      <c r="O9" s="77">
        <f t="shared" si="1"/>
        <v>823012848.65629148</v>
      </c>
      <c r="P9" s="77">
        <f t="shared" si="1"/>
        <v>1155123205.8746154</v>
      </c>
      <c r="Q9" s="77">
        <f t="shared" si="1"/>
        <v>1172743774.2960105</v>
      </c>
      <c r="R9" s="77">
        <f t="shared" si="1"/>
        <v>1196260957.5967069</v>
      </c>
      <c r="S9" s="77">
        <f t="shared" si="1"/>
        <v>1220022924.1613393</v>
      </c>
      <c r="T9" s="77">
        <f t="shared" si="1"/>
        <v>1244030330.6447041</v>
      </c>
      <c r="U9" s="77">
        <f t="shared" si="1"/>
        <v>1268283506.7333694</v>
      </c>
      <c r="V9" s="77">
        <f t="shared" si="1"/>
        <v>1292782439.6393504</v>
      </c>
      <c r="W9" s="77">
        <f t="shared" si="1"/>
        <v>1337860910.4312596</v>
      </c>
      <c r="X9" s="77">
        <f t="shared" si="1"/>
        <v>1384315894.3157201</v>
      </c>
      <c r="Y9" s="77">
        <f t="shared" si="1"/>
        <v>1432186571.6287446</v>
      </c>
      <c r="Z9" s="77">
        <f t="shared" si="1"/>
        <v>1820622652.3563008</v>
      </c>
      <c r="AA9" s="77">
        <f t="shared" si="1"/>
        <v>1887521602.5470018</v>
      </c>
      <c r="AB9" s="77">
        <f t="shared" si="1"/>
        <v>1956504046.0420852</v>
      </c>
      <c r="AC9" s="77">
        <f t="shared" si="1"/>
        <v>2027629787.5575695</v>
      </c>
      <c r="AD9" s="77">
        <f t="shared" si="1"/>
        <v>2100960256.6256204</v>
      </c>
      <c r="AE9" s="77">
        <f t="shared" si="1"/>
        <v>2176558549.705452</v>
      </c>
      <c r="AF9" s="77">
        <f t="shared" si="1"/>
        <v>2254489473.3334699</v>
      </c>
      <c r="AG9" s="77">
        <f t="shared" si="1"/>
        <v>2334819588.3367934</v>
      </c>
      <c r="AH9" s="77">
        <f t="shared" si="1"/>
        <v>2417617255.1348286</v>
      </c>
      <c r="AI9" s="77">
        <f t="shared" si="1"/>
        <v>2502952680.1540451</v>
      </c>
      <c r="AJ9" s="77">
        <f t="shared" si="1"/>
        <v>1446739227.3920693</v>
      </c>
      <c r="AK9" s="77">
        <f t="shared" si="1"/>
        <v>1484785192.0394323</v>
      </c>
      <c r="AL9" s="77">
        <f t="shared" si="1"/>
        <v>1523831033.6750152</v>
      </c>
      <c r="AM9" s="77">
        <f t="shared" si="1"/>
        <v>1563902897.5662537</v>
      </c>
      <c r="AN9" s="77">
        <f t="shared" si="1"/>
        <v>1605027606.1488609</v>
      </c>
      <c r="AO9" s="77">
        <f t="shared" si="1"/>
        <v>1647232676.3047428</v>
      </c>
      <c r="AP9" s="77">
        <f t="shared" si="1"/>
        <v>1690546337.0708876</v>
      </c>
    </row>
    <row r="10" spans="1:45" x14ac:dyDescent="0.35">
      <c r="A10" t="s">
        <v>457</v>
      </c>
      <c r="B10" t="s">
        <v>454</v>
      </c>
      <c r="C10" s="162"/>
      <c r="D10" s="162"/>
      <c r="E10" s="77">
        <f t="shared" ref="E10:AP10" si="2">SUM(E4:E7)</f>
        <v>327437860.44161254</v>
      </c>
      <c r="F10" s="77">
        <f t="shared" ca="1" si="2"/>
        <v>929692742.41529012</v>
      </c>
      <c r="G10" s="77">
        <f t="shared" ca="1" si="2"/>
        <v>975385003.0500319</v>
      </c>
      <c r="H10" s="77">
        <f t="shared" ca="1" si="2"/>
        <v>987643762.60353422</v>
      </c>
      <c r="I10" s="77">
        <f t="shared" ca="1" si="2"/>
        <v>995280977.30612171</v>
      </c>
      <c r="J10" s="77">
        <f t="shared" ca="1" si="2"/>
        <v>1002506993.1272039</v>
      </c>
      <c r="K10" s="77">
        <f t="shared" ca="1" si="2"/>
        <v>971313119.21542239</v>
      </c>
      <c r="L10" s="77">
        <f t="shared" ca="1" si="2"/>
        <v>977244938.09277284</v>
      </c>
      <c r="M10" s="77">
        <f t="shared" ca="1" si="2"/>
        <v>996513230.80594695</v>
      </c>
      <c r="N10" s="77">
        <f t="shared" ca="1" si="2"/>
        <v>1015760383.7433913</v>
      </c>
      <c r="O10" s="77">
        <f t="shared" ca="1" si="2"/>
        <v>1034959584.2341274</v>
      </c>
      <c r="P10" s="77">
        <f t="shared" ca="1" si="2"/>
        <v>1385682965.3333859</v>
      </c>
      <c r="Q10" s="77">
        <f t="shared" ca="1" si="2"/>
        <v>1420391278.2993362</v>
      </c>
      <c r="R10" s="77">
        <f t="shared" ca="1" si="2"/>
        <v>1460366236.5761461</v>
      </c>
      <c r="S10" s="77">
        <f t="shared" ca="1" si="2"/>
        <v>1499807641.5081427</v>
      </c>
      <c r="T10" s="77">
        <f t="shared" ca="1" si="2"/>
        <v>1538554147.5505242</v>
      </c>
      <c r="U10" s="77">
        <f t="shared" ca="1" si="2"/>
        <v>1576701552.0578027</v>
      </c>
      <c r="V10" s="77">
        <f t="shared" ca="1" si="2"/>
        <v>1614382666.3214273</v>
      </c>
      <c r="W10" s="77">
        <f t="shared" ca="1" si="2"/>
        <v>1672718508.3981502</v>
      </c>
      <c r="X10" s="77">
        <f t="shared" ca="1" si="2"/>
        <v>1732771745.174062</v>
      </c>
      <c r="Y10" s="77">
        <f t="shared" ca="1" si="2"/>
        <v>1794248666.9118147</v>
      </c>
      <c r="Z10" s="77">
        <f t="shared" ca="1" si="2"/>
        <v>2209464783.0783277</v>
      </c>
      <c r="AA10" s="77">
        <f t="shared" ca="1" si="2"/>
        <v>2302462976.756711</v>
      </c>
      <c r="AB10" s="77">
        <f t="shared" ca="1" si="2"/>
        <v>2396977311.554863</v>
      </c>
      <c r="AC10" s="77">
        <f t="shared" ca="1" si="2"/>
        <v>2493241293.2009325</v>
      </c>
      <c r="AD10" s="77">
        <f t="shared" ca="1" si="2"/>
        <v>2591555130.3349242</v>
      </c>
      <c r="AE10" s="77">
        <f t="shared" ca="1" si="2"/>
        <v>2691832338.32723</v>
      </c>
      <c r="AF10" s="77">
        <f t="shared" ca="1" si="2"/>
        <v>2794453215.3282423</v>
      </c>
      <c r="AG10" s="77">
        <f t="shared" ca="1" si="2"/>
        <v>2902401706.9088984</v>
      </c>
      <c r="AH10" s="77">
        <f t="shared" ca="1" si="2"/>
        <v>3013385000.884984</v>
      </c>
      <c r="AI10" s="77">
        <f t="shared" ca="1" si="2"/>
        <v>3127422698.2338152</v>
      </c>
      <c r="AJ10" s="77">
        <f t="shared" ca="1" si="2"/>
        <v>2052319471.3051481</v>
      </c>
      <c r="AK10" s="77">
        <f t="shared" ca="1" si="2"/>
        <v>2070894215.0486674</v>
      </c>
      <c r="AL10" s="77">
        <f t="shared" ca="1" si="2"/>
        <v>2089887612.037272</v>
      </c>
      <c r="AM10" s="77">
        <f t="shared" ca="1" si="2"/>
        <v>2109326975.9939308</v>
      </c>
      <c r="AN10" s="77">
        <f t="shared" ca="1" si="2"/>
        <v>2129241313.0966504</v>
      </c>
      <c r="AO10" s="77">
        <f t="shared" ca="1" si="2"/>
        <v>2149661412.9556441</v>
      </c>
      <c r="AP10" s="77">
        <f t="shared" ca="1" si="2"/>
        <v>2170619944.0884113</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197981120.23757231</v>
      </c>
      <c r="F14" s="77">
        <f t="shared" ref="F14:AP14" si="3">F9/F$12</f>
        <v>710816888.59267807</v>
      </c>
      <c r="G14" s="77">
        <f t="shared" si="3"/>
        <v>721968586.57475793</v>
      </c>
      <c r="H14" s="77">
        <f t="shared" si="3"/>
        <v>705928803.75053895</v>
      </c>
      <c r="I14" s="77">
        <f t="shared" si="3"/>
        <v>690554657.15778112</v>
      </c>
      <c r="J14" s="77">
        <f t="shared" si="3"/>
        <v>675825014.8735292</v>
      </c>
      <c r="K14" s="77">
        <f t="shared" si="3"/>
        <v>631311848.50869465</v>
      </c>
      <c r="L14" s="77">
        <f t="shared" si="3"/>
        <v>617904983.02721035</v>
      </c>
      <c r="M14" s="77">
        <f t="shared" si="3"/>
        <v>615316856.89385629</v>
      </c>
      <c r="N14" s="77">
        <f t="shared" si="3"/>
        <v>612713734.11149812</v>
      </c>
      <c r="O14" s="77">
        <f t="shared" si="3"/>
        <v>610097473.26429272</v>
      </c>
      <c r="P14" s="77">
        <f t="shared" si="3"/>
        <v>839500091.76846278</v>
      </c>
      <c r="Q14" s="77">
        <f t="shared" si="3"/>
        <v>835594174.5429709</v>
      </c>
      <c r="R14" s="77">
        <f t="shared" si="3"/>
        <v>835637699.12566864</v>
      </c>
      <c r="S14" s="77">
        <f t="shared" si="3"/>
        <v>835525896.50158656</v>
      </c>
      <c r="T14" s="77">
        <f t="shared" si="3"/>
        <v>835261995.0600543</v>
      </c>
      <c r="U14" s="77">
        <f t="shared" si="3"/>
        <v>834848988.23976338</v>
      </c>
      <c r="V14" s="77">
        <f t="shared" si="3"/>
        <v>834289644.39958072</v>
      </c>
      <c r="W14" s="77">
        <f t="shared" si="3"/>
        <v>846451739.11737597</v>
      </c>
      <c r="X14" s="77">
        <f t="shared" si="3"/>
        <v>858669961.68316853</v>
      </c>
      <c r="Y14" s="77">
        <f t="shared" si="3"/>
        <v>870944519.74388385</v>
      </c>
      <c r="Z14" s="77">
        <f t="shared" si="3"/>
        <v>1085452100.9513419</v>
      </c>
      <c r="AA14" s="77">
        <f t="shared" si="3"/>
        <v>1103271706.1267385</v>
      </c>
      <c r="AB14" s="77">
        <f t="shared" si="3"/>
        <v>1121169122.1451173</v>
      </c>
      <c r="AC14" s="77">
        <f t="shared" si="3"/>
        <v>1139144634.8990216</v>
      </c>
      <c r="AD14" s="77">
        <f t="shared" si="3"/>
        <v>1157198525.5199301</v>
      </c>
      <c r="AE14" s="77">
        <f t="shared" si="3"/>
        <v>1175331070.3036597</v>
      </c>
      <c r="AF14" s="77">
        <f t="shared" si="3"/>
        <v>1193542540.6349816</v>
      </c>
      <c r="AG14" s="77">
        <f t="shared" si="3"/>
        <v>1211833202.9114389</v>
      </c>
      <c r="AH14" s="77">
        <f t="shared" si="3"/>
        <v>1230203318.4663486</v>
      </c>
      <c r="AI14" s="77">
        <f t="shared" si="3"/>
        <v>1248653143.4909666</v>
      </c>
      <c r="AJ14" s="77">
        <f t="shared" si="3"/>
        <v>707586048.3556453</v>
      </c>
      <c r="AK14" s="77">
        <f t="shared" si="3"/>
        <v>711954861.43381417</v>
      </c>
      <c r="AL14" s="77">
        <f t="shared" si="3"/>
        <v>716350345.11154711</v>
      </c>
      <c r="AM14" s="77">
        <f t="shared" si="3"/>
        <v>720772607.18509841</v>
      </c>
      <c r="AN14" s="77">
        <f t="shared" si="3"/>
        <v>725221755.11593437</v>
      </c>
      <c r="AO14" s="77">
        <f t="shared" si="3"/>
        <v>729697896.01266134</v>
      </c>
      <c r="AP14" s="77">
        <f t="shared" si="3"/>
        <v>734201136.61260808</v>
      </c>
    </row>
    <row r="15" spans="1:45" x14ac:dyDescent="0.35">
      <c r="A15" t="s">
        <v>457</v>
      </c>
      <c r="B15" t="s">
        <v>458</v>
      </c>
      <c r="C15" s="162"/>
      <c r="D15" s="162"/>
      <c r="E15" s="77">
        <f>E10/E$12</f>
        <v>297335603.90252131</v>
      </c>
      <c r="F15" s="77">
        <f t="shared" ref="F15:AP15" ca="1" si="4">F10/F$12</f>
        <v>823632731.89627492</v>
      </c>
      <c r="G15" s="77">
        <f t="shared" ca="1" si="4"/>
        <v>847169006.74432278</v>
      </c>
      <c r="H15" s="77">
        <f t="shared" ca="1" si="4"/>
        <v>840996403.69830298</v>
      </c>
      <c r="I15" s="77">
        <f t="shared" ca="1" si="4"/>
        <v>830881989.40738952</v>
      </c>
      <c r="J15" s="77">
        <f t="shared" ca="1" si="4"/>
        <v>820504336.27384233</v>
      </c>
      <c r="K15" s="77">
        <f t="shared" ca="1" si="4"/>
        <v>779385914.47282577</v>
      </c>
      <c r="L15" s="77">
        <f t="shared" ca="1" si="4"/>
        <v>768770227.45330906</v>
      </c>
      <c r="M15" s="77">
        <f t="shared" ca="1" si="4"/>
        <v>768556896.12999737</v>
      </c>
      <c r="N15" s="77">
        <f t="shared" ca="1" si="4"/>
        <v>768040379.28096747</v>
      </c>
      <c r="O15" s="77">
        <f t="shared" ca="1" si="4"/>
        <v>767213085.8015337</v>
      </c>
      <c r="P15" s="77">
        <f t="shared" ca="1" si="4"/>
        <v>1007062251.5791126</v>
      </c>
      <c r="Q15" s="77">
        <f t="shared" ca="1" si="4"/>
        <v>1012046027.2159952</v>
      </c>
      <c r="R15" s="77">
        <f t="shared" ca="1" si="4"/>
        <v>1020126147.2789055</v>
      </c>
      <c r="S15" s="77">
        <f t="shared" ca="1" si="4"/>
        <v>1027134900.0367668</v>
      </c>
      <c r="T15" s="77">
        <f t="shared" ca="1" si="4"/>
        <v>1033010028.0794489</v>
      </c>
      <c r="U15" s="77">
        <f t="shared" ca="1" si="4"/>
        <v>1037865499.7113733</v>
      </c>
      <c r="V15" s="77">
        <f t="shared" ca="1" si="4"/>
        <v>1041832484.1926899</v>
      </c>
      <c r="W15" s="77">
        <f t="shared" ca="1" si="4"/>
        <v>1058312922.8516213</v>
      </c>
      <c r="X15" s="77">
        <f t="shared" ca="1" si="4"/>
        <v>1074811792.7012324</v>
      </c>
      <c r="Y15" s="77">
        <f t="shared" ca="1" si="4"/>
        <v>1091122535.6117215</v>
      </c>
      <c r="Z15" s="77">
        <f t="shared" ca="1" si="4"/>
        <v>1317279111.9930675</v>
      </c>
      <c r="AA15" s="77">
        <f t="shared" ca="1" si="4"/>
        <v>1345808309.2835863</v>
      </c>
      <c r="AB15" s="77">
        <f t="shared" ca="1" si="4"/>
        <v>1373581083.8900363</v>
      </c>
      <c r="AC15" s="77">
        <f t="shared" ca="1" si="4"/>
        <v>1400730281.2806509</v>
      </c>
      <c r="AD15" s="77">
        <f t="shared" ca="1" si="4"/>
        <v>1427415757.2327559</v>
      </c>
      <c r="AE15" s="77">
        <f t="shared" ca="1" si="4"/>
        <v>1453576419.3948717</v>
      </c>
      <c r="AF15" s="77">
        <f t="shared" ca="1" si="4"/>
        <v>1479403133.0636103</v>
      </c>
      <c r="AG15" s="77">
        <f t="shared" ca="1" si="4"/>
        <v>1506423354.5875514</v>
      </c>
      <c r="AH15" s="77">
        <f t="shared" ca="1" si="4"/>
        <v>1533359434.8037891</v>
      </c>
      <c r="AI15" s="77">
        <f t="shared" ca="1" si="4"/>
        <v>1560183783.7918355</v>
      </c>
      <c r="AJ15" s="77">
        <f t="shared" ca="1" si="4"/>
        <v>1003769440.3862388</v>
      </c>
      <c r="AK15" s="77">
        <f t="shared" ca="1" si="4"/>
        <v>992994280.8049674</v>
      </c>
      <c r="AL15" s="77">
        <f t="shared" ca="1" si="4"/>
        <v>982452567.93118238</v>
      </c>
      <c r="AM15" s="77">
        <f t="shared" ca="1" si="4"/>
        <v>972148019.07392502</v>
      </c>
      <c r="AN15" s="77">
        <f t="shared" ca="1" si="4"/>
        <v>962084462.74293733</v>
      </c>
      <c r="AO15" s="77">
        <f t="shared" ca="1" si="4"/>
        <v>952265841.2120657</v>
      </c>
      <c r="AP15" s="77">
        <f t="shared" ca="1" si="4"/>
        <v>942696213.1454916</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639448.23632714641</v>
      </c>
      <c r="F17" s="38">
        <f>Assumptions!F302</f>
        <v>647685.54602969915</v>
      </c>
      <c r="G17" s="38">
        <f>Assumptions!G302</f>
        <v>656028.96795100695</v>
      </c>
      <c r="H17" s="38">
        <f>Assumptions!H302</f>
        <v>664479.86901830416</v>
      </c>
      <c r="I17" s="38">
        <f>Assumptions!I302</f>
        <v>673039.63376744825</v>
      </c>
      <c r="J17" s="38">
        <f>Assumptions!J302</f>
        <v>681709.66456975194</v>
      </c>
      <c r="K17" s="38">
        <f>Assumptions!K302</f>
        <v>690491.38186173839</v>
      </c>
      <c r="L17" s="38">
        <f>Assumptions!L302</f>
        <v>699386.22437785531</v>
      </c>
      <c r="M17" s="38">
        <f>Assumptions!M302</f>
        <v>708395.64938618708</v>
      </c>
      <c r="N17" s="38">
        <f>Assumptions!N302</f>
        <v>717521.13292720285</v>
      </c>
      <c r="O17" s="38">
        <f>Assumptions!O302</f>
        <v>726764.17005558102</v>
      </c>
      <c r="P17" s="38">
        <f>Assumptions!P302</f>
        <v>736126.27508514852</v>
      </c>
      <c r="Q17" s="38">
        <f>Assumptions!Q302</f>
        <v>745608.98183697497</v>
      </c>
      <c r="R17" s="38">
        <f>Assumptions!R302</f>
        <v>755213.84389066265</v>
      </c>
      <c r="S17" s="38">
        <f>Assumptions!S302</f>
        <v>764942.43483887496</v>
      </c>
      <c r="T17" s="38">
        <f>Assumptions!T302</f>
        <v>774796.34854514233</v>
      </c>
      <c r="U17" s="38">
        <f>Assumptions!U302</f>
        <v>784777.19940498914</v>
      </c>
      <c r="V17" s="38">
        <f>Assumptions!V302</f>
        <v>794886.62261042523</v>
      </c>
      <c r="W17" s="38">
        <f>Assumptions!W302</f>
        <v>805126.27441784414</v>
      </c>
      <c r="X17" s="38">
        <f>Assumptions!X302</f>
        <v>815497.83241937275</v>
      </c>
      <c r="Y17" s="38">
        <f>Assumptions!Y302</f>
        <v>826002.99581771565</v>
      </c>
      <c r="Z17" s="38">
        <f>Assumptions!Z302</f>
        <v>836643.48570454016</v>
      </c>
      <c r="AA17" s="38">
        <f>Assumptions!AA302</f>
        <v>847421.04534244922</v>
      </c>
      <c r="AB17" s="38">
        <f>Assumptions!AB302</f>
        <v>858337.44045058324</v>
      </c>
      <c r="AC17" s="38">
        <f>Assumptions!AC302</f>
        <v>869394.45949390519</v>
      </c>
      <c r="AD17" s="38">
        <f>Assumptions!AD302</f>
        <v>880593.91397620807</v>
      </c>
      <c r="AE17" s="38">
        <f>Assumptions!AE302</f>
        <v>891937.63873689994</v>
      </c>
      <c r="AF17" s="38">
        <f>Assumptions!AF302</f>
        <v>903427.49225161108</v>
      </c>
      <c r="AG17" s="38">
        <f>Assumptions!AG302</f>
        <v>915065.3569366734</v>
      </c>
      <c r="AH17" s="38">
        <f>Assumptions!AH302</f>
        <v>926853.13945752149</v>
      </c>
      <c r="AI17" s="38">
        <f>Assumptions!AI302</f>
        <v>938792.77104106825</v>
      </c>
      <c r="AJ17" s="38">
        <f>Assumptions!AJ302</f>
        <v>950886.20779210271</v>
      </c>
      <c r="AK17" s="38">
        <f>Assumptions!AK302</f>
        <v>963135.43101376481</v>
      </c>
      <c r="AL17" s="38">
        <f>Assumptions!AL302</f>
        <v>975542.44753214822</v>
      </c>
      <c r="AM17" s="38">
        <f>Assumptions!AM302</f>
        <v>988109.29002508335</v>
      </c>
      <c r="AN17" s="38">
        <f>Assumptions!AN302</f>
        <v>1000838.017355159</v>
      </c>
      <c r="AO17" s="38">
        <f>Assumptions!AO302</f>
        <v>1013730.7149070301</v>
      </c>
      <c r="AP17" s="38">
        <f>Assumptions!AP302</f>
        <v>1026789.4949290727</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784564.92640677956</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24487072019.385212</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30099996342.123642</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816235733.97950709</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1003333211.4041214</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1040.3673507529534</v>
      </c>
    </row>
    <row r="30" spans="1:42" x14ac:dyDescent="0.35">
      <c r="A30" t="s">
        <v>466</v>
      </c>
      <c r="B30" s="296">
        <f ca="1">B27/$B$21</f>
        <v>1278.8402560885258</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35"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362314050.94288588</v>
      </c>
      <c r="C7"/>
    </row>
    <row r="8" spans="1:3" ht="15.5" x14ac:dyDescent="0.35">
      <c r="A8" s="17" t="s">
        <v>360</v>
      </c>
      <c r="B8" s="207">
        <v>0.7</v>
      </c>
      <c r="C8"/>
    </row>
    <row r="9" spans="1:3" ht="15.5" x14ac:dyDescent="0.35">
      <c r="A9" s="17"/>
      <c r="B9" s="208"/>
      <c r="C9"/>
    </row>
    <row r="10" spans="1:3" ht="15.5" x14ac:dyDescent="0.35">
      <c r="A10" s="17" t="s">
        <v>577</v>
      </c>
      <c r="B10" s="209">
        <f>Assumptions!C302</f>
        <v>623286.57257164724</v>
      </c>
      <c r="C10"/>
    </row>
    <row r="11" spans="1:3" ht="15.5" x14ac:dyDescent="0.35">
      <c r="A11" s="17" t="s">
        <v>362</v>
      </c>
      <c r="B11" s="210">
        <v>2.7</v>
      </c>
      <c r="C11"/>
    </row>
    <row r="12" spans="1:3" ht="15.5" x14ac:dyDescent="0.35">
      <c r="A12" s="17" t="s">
        <v>578</v>
      </c>
      <c r="B12" s="209">
        <f>B10/B11</f>
        <v>230846.8787302397</v>
      </c>
      <c r="C12"/>
    </row>
    <row r="13" spans="1:3" ht="15.5" x14ac:dyDescent="0.35">
      <c r="A13" s="17"/>
      <c r="B13" s="270"/>
      <c r="C13"/>
    </row>
    <row r="14" spans="1:3" ht="15.5" x14ac:dyDescent="0.35">
      <c r="A14" s="16" t="s">
        <v>558</v>
      </c>
      <c r="B14" s="211">
        <f>(B7*B8)/B12</f>
        <v>1098.6496202809487</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403455680.90145957</v>
      </c>
      <c r="C18"/>
    </row>
    <row r="19" spans="1:3" ht="15.5" x14ac:dyDescent="0.35">
      <c r="A19" s="17" t="s">
        <v>360</v>
      </c>
      <c r="B19" s="212">
        <f>B8</f>
        <v>0.7</v>
      </c>
      <c r="C19"/>
    </row>
    <row r="20" spans="1:3" ht="15.5" x14ac:dyDescent="0.35">
      <c r="A20" s="17"/>
      <c r="B20" s="271"/>
      <c r="C20"/>
    </row>
    <row r="21" spans="1:3" ht="15.5" x14ac:dyDescent="0.35">
      <c r="A21" s="17" t="s">
        <v>575</v>
      </c>
      <c r="B21" s="213">
        <f>Assumptions!E302</f>
        <v>639448.23632714641</v>
      </c>
      <c r="C21"/>
    </row>
    <row r="22" spans="1:3" ht="15.5" x14ac:dyDescent="0.35">
      <c r="A22" s="17" t="s">
        <v>362</v>
      </c>
      <c r="B22" s="272">
        <f>B11</f>
        <v>2.7</v>
      </c>
      <c r="C22"/>
    </row>
    <row r="23" spans="1:3" ht="15.5" x14ac:dyDescent="0.35">
      <c r="A23" s="17" t="s">
        <v>576</v>
      </c>
      <c r="B23" s="209">
        <f>B21/B22</f>
        <v>236832.68012116532</v>
      </c>
      <c r="C23"/>
    </row>
    <row r="24" spans="1:3" ht="15.5" x14ac:dyDescent="0.35">
      <c r="A24" s="17"/>
      <c r="B24" s="273"/>
      <c r="C24"/>
    </row>
    <row r="25" spans="1:3" ht="15.5" x14ac:dyDescent="0.35">
      <c r="A25" s="17" t="s">
        <v>370</v>
      </c>
      <c r="B25" s="214">
        <f>(B18*B19)/B23</f>
        <v>1192.4831340275086</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1082.8549035882356</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883290036.86137569</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726764.17005558102</v>
      </c>
      <c r="C36"/>
    </row>
    <row r="37" spans="1:3" ht="15.5" x14ac:dyDescent="0.35">
      <c r="A37" s="17" t="str">
        <f>A11</f>
        <v>Assumed average occupancy rate per household</v>
      </c>
      <c r="B37" s="210">
        <f>B11</f>
        <v>2.7</v>
      </c>
      <c r="C37"/>
    </row>
    <row r="38" spans="1:3" ht="15.5" x14ac:dyDescent="0.35">
      <c r="A38" s="17" t="s">
        <v>372</v>
      </c>
      <c r="B38" s="209">
        <f>B36/B37</f>
        <v>269171.91483540036</v>
      </c>
      <c r="C38"/>
    </row>
    <row r="39" spans="1:3" ht="15.5" x14ac:dyDescent="0.35">
      <c r="A39" s="17"/>
      <c r="B39" s="270"/>
      <c r="C39"/>
    </row>
    <row r="40" spans="1:3" ht="15.5" x14ac:dyDescent="0.35">
      <c r="A40" s="17" t="s">
        <v>374</v>
      </c>
      <c r="B40" s="214">
        <f>(B33*B34)/B38</f>
        <v>2297.0562370188491</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1702.8023419552369</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2459927992.8939466</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938792.77104106825</v>
      </c>
      <c r="C51"/>
    </row>
    <row r="52" spans="1:3" ht="15.5" x14ac:dyDescent="0.35">
      <c r="A52" s="17" t="str">
        <f>A37</f>
        <v>Assumed average occupancy rate per household</v>
      </c>
      <c r="B52" s="275">
        <v>2.7</v>
      </c>
      <c r="C52"/>
    </row>
    <row r="53" spans="1:3" ht="15.5" x14ac:dyDescent="0.35">
      <c r="A53" s="17" t="s">
        <v>380</v>
      </c>
      <c r="B53" s="209">
        <f>B51/B52</f>
        <v>347701.02631150675</v>
      </c>
      <c r="C53"/>
    </row>
    <row r="54" spans="1:3" ht="15.5" x14ac:dyDescent="0.35">
      <c r="A54" s="17"/>
      <c r="B54" s="270"/>
      <c r="C54"/>
    </row>
    <row r="55" spans="1:3" ht="15.5" x14ac:dyDescent="0.35">
      <c r="A55" s="17" t="s">
        <v>381</v>
      </c>
      <c r="B55" s="214">
        <f>(B48*B49)/B53</f>
        <v>4952.3857127849287</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2470.606830516695</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1040.3673507529534</v>
      </c>
      <c r="C64" s="287">
        <f ca="1">NPC!B30</f>
        <v>1278.8402560885258</v>
      </c>
    </row>
    <row r="66" spans="1:5" ht="15.5" x14ac:dyDescent="0.35">
      <c r="B66" s="111">
        <v>2022</v>
      </c>
      <c r="C66" s="111">
        <v>2024</v>
      </c>
      <c r="D66" s="111">
        <v>2034</v>
      </c>
      <c r="E66" s="111">
        <v>2054</v>
      </c>
    </row>
    <row r="67" spans="1:5" ht="15.5" x14ac:dyDescent="0.35">
      <c r="A67" s="245" t="s">
        <v>373</v>
      </c>
      <c r="B67" s="276">
        <f>'Model outputs'!B14</f>
        <v>1098.6496202809487</v>
      </c>
      <c r="C67" s="276">
        <f>'Model outputs'!B25</f>
        <v>1192.4831340275086</v>
      </c>
      <c r="D67" s="276">
        <f>'Model outputs'!B40</f>
        <v>2297.0562370188491</v>
      </c>
      <c r="E67" s="1">
        <f>'Model outputs'!B55</f>
        <v>4952.3857127849287</v>
      </c>
    </row>
    <row r="68" spans="1:5" ht="15.5" x14ac:dyDescent="0.35">
      <c r="A68" s="245" t="s">
        <v>561</v>
      </c>
      <c r="B68" s="267">
        <f>B14</f>
        <v>1098.6496202809487</v>
      </c>
      <c r="C68" s="267">
        <f>B29</f>
        <v>1082.8549035882356</v>
      </c>
      <c r="D68" s="267">
        <f>B44</f>
        <v>1702.8023419552369</v>
      </c>
      <c r="E68" s="267">
        <f>B59</f>
        <v>2470.606830516695</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324294508</v>
      </c>
      <c r="AM80" s="89">
        <f t="shared" ref="AM80" si="30">SUBTOTAL(9, AM12:AM79)</f>
        <v>327306050.94288576</v>
      </c>
      <c r="AN80" s="89"/>
      <c r="AO80" s="89">
        <f>SUBTOTAL(9, AO12:AO79)</f>
        <v>362314050.94288588</v>
      </c>
      <c r="AP80" s="89">
        <f t="shared" ref="AP80" si="31">SUBTOTAL(9, AP12:AP79)</f>
        <v>329635000</v>
      </c>
      <c r="AQ80" s="89">
        <f>SUBTOTAL(9, AQ12:AQ79)</f>
        <v>370119000</v>
      </c>
      <c r="AR80" s="89"/>
      <c r="AS80" s="89"/>
      <c r="AT80" s="89"/>
      <c r="AU80" s="89"/>
      <c r="AV80" s="79">
        <f>SUBTOTAL(9, AV12:AV79)</f>
        <v>368481419.92525488</v>
      </c>
      <c r="AW80" s="79">
        <f>SUBTOTAL(9, AW12:AW79)</f>
        <v>34974260.976204611</v>
      </c>
      <c r="AX80" s="79">
        <f>SUBTOTAL(9, AX12:AX78)</f>
        <v>403455680.90145957</v>
      </c>
      <c r="AY80" s="79">
        <f t="shared" ref="AY80:BV80" si="32">SUBTOTAL(9, AY12:AY79)</f>
        <v>281499000</v>
      </c>
      <c r="AZ80" s="79">
        <f t="shared" si="32"/>
        <v>161095203.17860001</v>
      </c>
      <c r="BA80" s="79">
        <f>SUBTOTAL(9, BA12:BA79)</f>
        <v>200432623.2699976</v>
      </c>
      <c r="BB80" s="79">
        <f t="shared" ref="BB80:BC80" si="33">SUBTOTAL(9, BB12:BB79)</f>
        <v>187401000</v>
      </c>
      <c r="BC80" s="79">
        <f t="shared" si="33"/>
        <v>193013000</v>
      </c>
      <c r="BD80" s="79"/>
      <c r="BE80" s="79"/>
      <c r="BF80" s="79">
        <f t="shared" ref="BF80" si="34">SUBTOTAL(9, BF12:BF79)</f>
        <v>183970130.23107624</v>
      </c>
      <c r="BG80" s="79"/>
      <c r="BH80" s="79">
        <f>SUBTOTAL(9, BH12:BH78)</f>
        <v>197981120.23757231</v>
      </c>
      <c r="BI80" s="24"/>
      <c r="BJ80" s="79">
        <f t="shared" si="32"/>
        <v>18184000</v>
      </c>
      <c r="BK80" s="79">
        <f t="shared" si="32"/>
        <v>18401000.085132137</v>
      </c>
      <c r="BL80" s="79"/>
      <c r="BM80" s="79">
        <f>SUBTOTAL(9, BM12:BM79)</f>
        <v>6457874288.4572058</v>
      </c>
      <c r="BN80" s="79">
        <f t="shared" si="32"/>
        <v>14851415364.222715</v>
      </c>
      <c r="BO80" s="79">
        <f t="shared" si="32"/>
        <v>13881957146.436401</v>
      </c>
      <c r="BP80" s="79">
        <f t="shared" si="32"/>
        <v>10832538403.661785</v>
      </c>
      <c r="BQ80" s="79">
        <f t="shared" si="32"/>
        <v>15925105741.938057</v>
      </c>
      <c r="BR80" s="79">
        <f t="shared" si="32"/>
        <v>13378822072.799923</v>
      </c>
      <c r="BS80" s="79">
        <f t="shared" si="32"/>
        <v>195420497.40900016</v>
      </c>
      <c r="BT80" s="79">
        <f t="shared" si="32"/>
        <v>621774.65999999992</v>
      </c>
      <c r="BU80" s="79">
        <f t="shared" si="32"/>
        <v>593292.11</v>
      </c>
      <c r="BV80" s="81">
        <f t="shared" si="32"/>
        <v>607533.38500000001</v>
      </c>
      <c r="BW80" s="82">
        <f>((BX80/BV80)^(1/BX1))-1</f>
        <v>1.2881902294181069E-2</v>
      </c>
      <c r="BX80" s="81">
        <f>SUBTOTAL(109, BX12:BX79)</f>
        <v>891937.63873690192</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7fJIgjpA1Z6dy54zVb3V2NnqmKW2J3FqtLV/JfRvp2x6CXTwydNKoI19Yn0G9XpFObRHurwSDloHy2IW5H2cBA==" saltValue="ur7iBS+vAKMpyhbjKYX3sA==" spinCount="100000" sheet="1" objects="1" scenarios="1"/>
  <autoFilter ref="A9:BY78" xr:uid="{EF67D162-69F8-4B24-B62E-28ABFE5E44B1}">
    <filterColumn colId="32">
      <filters>
        <filter val="I"/>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sqref="A1:XFD1048576"/>
      <selection pane="topRight" sqref="A1:XFD1048576"/>
      <selection pane="bottomLeft" sqref="A1:XFD1048576"/>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300"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300" t="s">
        <v>227</v>
      </c>
      <c r="C7" s="112" t="s">
        <v>228</v>
      </c>
      <c r="E7" s="1"/>
    </row>
    <row r="8" spans="1:42" ht="21" x14ac:dyDescent="0.5">
      <c r="A8" s="19" t="s">
        <v>548</v>
      </c>
      <c r="B8" s="260">
        <v>0.01</v>
      </c>
      <c r="C8" s="112" t="s">
        <v>523</v>
      </c>
      <c r="E8" s="1"/>
    </row>
    <row r="9" spans="1:42" ht="21" x14ac:dyDescent="0.5">
      <c r="A9" s="19" t="s">
        <v>547</v>
      </c>
      <c r="B9" s="299"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1.2881902294181069E-2</v>
      </c>
      <c r="C28" s="234">
        <f t="shared" ref="C28:AP28" si="6">(1+$B$28)^C17</f>
        <v>1.0259297479950789</v>
      </c>
      <c r="D28" s="231">
        <f t="shared" si="6"/>
        <v>1.0391456747694452</v>
      </c>
      <c r="E28" s="231">
        <f t="shared" si="6"/>
        <v>1.052531847821246</v>
      </c>
      <c r="F28" s="231">
        <f t="shared" si="6"/>
        <v>1.0660904602463932</v>
      </c>
      <c r="G28" s="231">
        <f t="shared" si="6"/>
        <v>1.0798237333920455</v>
      </c>
      <c r="H28" s="231">
        <f t="shared" si="6"/>
        <v>1.0937339172205396</v>
      </c>
      <c r="I28" s="231">
        <f t="shared" si="6"/>
        <v>1.1078232906780066</v>
      </c>
      <c r="J28" s="231">
        <f t="shared" si="6"/>
        <v>1.1220941620677387</v>
      </c>
      <c r="K28" s="231">
        <f t="shared" si="6"/>
        <v>1.1365488694283663</v>
      </c>
      <c r="L28" s="231">
        <f t="shared" si="6"/>
        <v>1.1511897809169043</v>
      </c>
      <c r="M28" s="231">
        <f t="shared" si="6"/>
        <v>1.1660192951967356</v>
      </c>
      <c r="N28" s="231">
        <f t="shared" si="6"/>
        <v>1.1810398418305899</v>
      </c>
      <c r="O28" s="231">
        <f t="shared" si="6"/>
        <v>1.1962538816785864</v>
      </c>
      <c r="P28" s="231">
        <f t="shared" si="6"/>
        <v>1.2116639073014046</v>
      </c>
      <c r="Q28" s="231">
        <f t="shared" si="6"/>
        <v>1.227272443368647</v>
      </c>
      <c r="R28" s="231">
        <f t="shared" si="6"/>
        <v>1.2430820470724628</v>
      </c>
      <c r="S28" s="231">
        <f t="shared" si="6"/>
        <v>1.2590953085465006</v>
      </c>
      <c r="T28" s="231">
        <f t="shared" si="6"/>
        <v>1.2753148512902583</v>
      </c>
      <c r="U28" s="231">
        <f t="shared" si="6"/>
        <v>1.2917433325988976</v>
      </c>
      <c r="V28" s="231">
        <f t="shared" si="6"/>
        <v>1.3083834439985964</v>
      </c>
      <c r="W28" s="231">
        <f t="shared" si="6"/>
        <v>1.3252379116875102</v>
      </c>
      <c r="X28" s="231">
        <f t="shared" si="6"/>
        <v>1.3423094969824132</v>
      </c>
      <c r="Y28" s="231">
        <f t="shared" si="6"/>
        <v>1.359600996771092</v>
      </c>
      <c r="Z28" s="231">
        <f t="shared" si="6"/>
        <v>1.3771152439705683</v>
      </c>
      <c r="AA28" s="231">
        <f t="shared" si="6"/>
        <v>1.3948551079912246</v>
      </c>
      <c r="AB28" s="231">
        <f t="shared" si="6"/>
        <v>1.4128234952069065</v>
      </c>
      <c r="AC28" s="231">
        <f t="shared" si="6"/>
        <v>1.4310233494310856</v>
      </c>
      <c r="AD28" s="231">
        <f t="shared" si="6"/>
        <v>1.4494576523991485</v>
      </c>
      <c r="AE28" s="231">
        <f t="shared" si="6"/>
        <v>1.4681294242569072</v>
      </c>
      <c r="AF28" s="231">
        <f t="shared" si="6"/>
        <v>1.4870417240553966</v>
      </c>
      <c r="AG28" s="231">
        <f t="shared" si="6"/>
        <v>1.5061976502520489</v>
      </c>
      <c r="AH28" s="231">
        <f t="shared" si="6"/>
        <v>1.5256003412183208</v>
      </c>
      <c r="AI28" s="231">
        <f t="shared" si="6"/>
        <v>1.5452529757538644</v>
      </c>
      <c r="AJ28" s="231">
        <f t="shared" si="6"/>
        <v>1.5651587736073183</v>
      </c>
      <c r="AK28" s="231">
        <f t="shared" si="6"/>
        <v>1.5853209960038077</v>
      </c>
      <c r="AL28" s="231">
        <f t="shared" si="6"/>
        <v>1.6057429461792427</v>
      </c>
      <c r="AM28" s="231">
        <f t="shared" si="6"/>
        <v>1.6264279699214939</v>
      </c>
      <c r="AN28" s="231">
        <f t="shared" si="6"/>
        <v>1.6473794561185457</v>
      </c>
      <c r="AO28" s="231">
        <f t="shared" si="6"/>
        <v>1.668600837313706</v>
      </c>
      <c r="AP28" s="172">
        <f t="shared" si="6"/>
        <v>1.6900955902679697</v>
      </c>
    </row>
    <row r="29" spans="1:42" ht="15" customHeight="1" x14ac:dyDescent="0.35">
      <c r="A29" s="17" t="s">
        <v>244</v>
      </c>
      <c r="B29" s="171"/>
      <c r="C29" s="234"/>
      <c r="D29" s="231"/>
      <c r="E29" s="235">
        <v>1</v>
      </c>
      <c r="F29" s="235">
        <f t="shared" ref="F29:AP29" si="7">E29*(1+$B$28)</f>
        <v>1.0128819022941811</v>
      </c>
      <c r="G29" s="235">
        <f t="shared" si="7"/>
        <v>1.0259297479950789</v>
      </c>
      <c r="H29" s="235">
        <f t="shared" si="7"/>
        <v>1.0391456747694452</v>
      </c>
      <c r="I29" s="235">
        <f t="shared" si="7"/>
        <v>1.052531847821246</v>
      </c>
      <c r="J29" s="235">
        <f t="shared" si="7"/>
        <v>1.0660904602463932</v>
      </c>
      <c r="K29" s="235">
        <f t="shared" si="7"/>
        <v>1.0798237333920457</v>
      </c>
      <c r="L29" s="235">
        <f t="shared" si="7"/>
        <v>1.0937339172205398</v>
      </c>
      <c r="M29" s="235">
        <f t="shared" si="7"/>
        <v>1.1078232906780068</v>
      </c>
      <c r="N29" s="235">
        <f t="shared" si="7"/>
        <v>1.1220941620677389</v>
      </c>
      <c r="O29" s="235">
        <f t="shared" si="7"/>
        <v>1.1365488694283665</v>
      </c>
      <c r="P29" s="235">
        <f t="shared" si="7"/>
        <v>1.1511897809169047</v>
      </c>
      <c r="Q29" s="235">
        <f t="shared" si="7"/>
        <v>1.1660192951967361</v>
      </c>
      <c r="R29" s="235">
        <f t="shared" si="7"/>
        <v>1.1810398418305903</v>
      </c>
      <c r="S29" s="235">
        <f t="shared" si="7"/>
        <v>1.196253881678587</v>
      </c>
      <c r="T29" s="235">
        <f t="shared" si="7"/>
        <v>1.2116639073014055</v>
      </c>
      <c r="U29" s="235">
        <f t="shared" si="7"/>
        <v>1.2272724433686479</v>
      </c>
      <c r="V29" s="235">
        <f t="shared" si="7"/>
        <v>1.2430820470724637</v>
      </c>
      <c r="W29" s="235">
        <f t="shared" si="7"/>
        <v>1.2590953085465018</v>
      </c>
      <c r="X29" s="235">
        <f t="shared" si="7"/>
        <v>1.2753148512902595</v>
      </c>
      <c r="Y29" s="235">
        <f t="shared" si="7"/>
        <v>1.2917433325988987</v>
      </c>
      <c r="Z29" s="235">
        <f t="shared" si="7"/>
        <v>1.3083834439985975</v>
      </c>
      <c r="AA29" s="235">
        <f t="shared" si="7"/>
        <v>1.3252379116875115</v>
      </c>
      <c r="AB29" s="235">
        <f t="shared" si="7"/>
        <v>1.3423094969824145</v>
      </c>
      <c r="AC29" s="235">
        <f t="shared" si="7"/>
        <v>1.3596009967710934</v>
      </c>
      <c r="AD29" s="235">
        <f t="shared" si="7"/>
        <v>1.3771152439705698</v>
      </c>
      <c r="AE29" s="235">
        <f t="shared" si="7"/>
        <v>1.3948551079912261</v>
      </c>
      <c r="AF29" s="235">
        <f t="shared" si="7"/>
        <v>1.4128234952069085</v>
      </c>
      <c r="AG29" s="235">
        <f t="shared" si="7"/>
        <v>1.4310233494310873</v>
      </c>
      <c r="AH29" s="235">
        <f t="shared" si="7"/>
        <v>1.4494576523991503</v>
      </c>
      <c r="AI29" s="235">
        <f t="shared" si="7"/>
        <v>1.4681294242569092</v>
      </c>
      <c r="AJ29" s="235">
        <f t="shared" si="7"/>
        <v>1.487041724055399</v>
      </c>
      <c r="AK29" s="235">
        <f t="shared" si="7"/>
        <v>1.5061976502520513</v>
      </c>
      <c r="AL29" s="235">
        <f t="shared" si="7"/>
        <v>1.5256003412183234</v>
      </c>
      <c r="AM29" s="235">
        <f t="shared" si="7"/>
        <v>1.5452529757538671</v>
      </c>
      <c r="AN29" s="235">
        <f t="shared" si="7"/>
        <v>1.5651587736073209</v>
      </c>
      <c r="AO29" s="235">
        <f t="shared" si="7"/>
        <v>1.5853209960038106</v>
      </c>
      <c r="AP29" s="236">
        <f t="shared" si="7"/>
        <v>1.6057429461792454</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13378822072.799923</v>
      </c>
      <c r="C35" s="196">
        <f>B35*(1+Inflation!Z19)*(1+Inflation!AD19)</f>
        <v>15725693887.917387</v>
      </c>
      <c r="D35" s="29">
        <f>$C35*D$26</f>
        <v>17046652174.502449</v>
      </c>
      <c r="E35" s="29">
        <f>$C35*E$26</f>
        <v>17984218044.100082</v>
      </c>
      <c r="F35" s="29">
        <f>$C35*F$26</f>
        <v>18613665675.643585</v>
      </c>
      <c r="AP35" s="30"/>
    </row>
    <row r="36" spans="1:42" ht="15" customHeight="1" x14ac:dyDescent="0.35">
      <c r="A36" s="17" t="s">
        <v>249</v>
      </c>
      <c r="B36" s="253">
        <f>B35</f>
        <v>13378822072.799923</v>
      </c>
      <c r="C36" s="196">
        <f>C35</f>
        <v>15725693887.917387</v>
      </c>
      <c r="D36" s="29">
        <f t="shared" ref="D36:F37" si="8">$C36*D$26</f>
        <v>17046652174.502449</v>
      </c>
      <c r="E36" s="29">
        <f t="shared" si="8"/>
        <v>17984218044.100082</v>
      </c>
      <c r="F36" s="29">
        <f t="shared" si="8"/>
        <v>18613665675.643585</v>
      </c>
      <c r="AP36" s="30"/>
    </row>
    <row r="37" spans="1:42" ht="15" customHeight="1" x14ac:dyDescent="0.35">
      <c r="A37" s="17" t="s">
        <v>250</v>
      </c>
      <c r="B37" s="253">
        <f>B36/2</f>
        <v>6689411036.3999615</v>
      </c>
      <c r="C37" s="196">
        <f>C36/2</f>
        <v>7862846943.9586935</v>
      </c>
      <c r="D37" s="29">
        <f t="shared" si="8"/>
        <v>8523326087.2512245</v>
      </c>
      <c r="E37" s="29">
        <f>$C37*E$26</f>
        <v>8992109022.0500412</v>
      </c>
      <c r="F37" s="29">
        <f>$C37*F$26</f>
        <v>9306832837.8217926</v>
      </c>
      <c r="AP37" s="30"/>
    </row>
    <row r="38" spans="1:42" ht="15" customHeight="1" x14ac:dyDescent="0.35">
      <c r="A38" s="17"/>
      <c r="B38" s="174"/>
      <c r="C38" s="196"/>
      <c r="AP38" s="30"/>
    </row>
    <row r="39" spans="1:42" ht="15" customHeight="1" x14ac:dyDescent="0.35">
      <c r="A39" s="17" t="s">
        <v>251</v>
      </c>
      <c r="B39" s="301">
        <v>1251063592.1857181</v>
      </c>
      <c r="C39" s="295" t="s">
        <v>552</v>
      </c>
      <c r="E39" s="1">
        <v>1657774721.0786121</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607533.38500000001</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0.13982466276788885</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0.22368962575241902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0.23196152071242154</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0.23196152071242154</v>
      </c>
      <c r="C56" s="177"/>
      <c r="E56" s="1"/>
      <c r="AP56" s="30"/>
    </row>
    <row r="57" spans="1:42" ht="15" customHeight="1" x14ac:dyDescent="0.35">
      <c r="A57" s="221" t="s">
        <v>533</v>
      </c>
      <c r="B57" s="68">
        <v>0</v>
      </c>
      <c r="C57" s="177"/>
      <c r="E57" s="1"/>
      <c r="AP57" s="30"/>
    </row>
    <row r="58" spans="1:42" ht="15" customHeight="1" x14ac:dyDescent="0.35">
      <c r="A58" s="221" t="s">
        <v>534</v>
      </c>
      <c r="B58" s="68">
        <f>B52</f>
        <v>0.23196152071242154</v>
      </c>
      <c r="C58" s="177"/>
      <c r="E58" s="1"/>
      <c r="AP58" s="30"/>
    </row>
    <row r="59" spans="1:42" ht="15" customHeight="1" x14ac:dyDescent="0.35">
      <c r="A59" s="221" t="s">
        <v>535</v>
      </c>
      <c r="B59" s="68">
        <v>0</v>
      </c>
      <c r="C59" s="177"/>
      <c r="E59" s="1"/>
      <c r="AP59" s="30"/>
    </row>
    <row r="60" spans="1:42" ht="15" customHeight="1" x14ac:dyDescent="0.35">
      <c r="A60" s="221" t="s">
        <v>536</v>
      </c>
      <c r="B60" s="68">
        <f>B52</f>
        <v>0.23196152071242154</v>
      </c>
      <c r="C60" s="177"/>
      <c r="E60" s="1"/>
      <c r="AP60" s="30"/>
    </row>
    <row r="61" spans="1:42" ht="15" customHeight="1" x14ac:dyDescent="0.35">
      <c r="A61" s="221" t="s">
        <v>537</v>
      </c>
      <c r="B61" s="68">
        <v>0</v>
      </c>
      <c r="C61" s="177"/>
      <c r="E61" s="1"/>
      <c r="AP61" s="30"/>
    </row>
    <row r="62" spans="1:42" ht="15" customHeight="1" x14ac:dyDescent="0.35">
      <c r="A62" s="222" t="s">
        <v>538</v>
      </c>
      <c r="B62" s="68">
        <f>B49</f>
        <v>0.22368962575241902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34744346.811548956</v>
      </c>
      <c r="C66" s="294" t="s">
        <v>552</v>
      </c>
      <c r="E66" s="1"/>
      <c r="AP66" s="30"/>
    </row>
    <row r="67" spans="1:42" ht="15" customHeight="1" x14ac:dyDescent="0.35">
      <c r="A67" s="178" t="s">
        <v>259</v>
      </c>
      <c r="B67" s="174">
        <v>139824662.76788884</v>
      </c>
      <c r="C67" s="294" t="s">
        <v>552</v>
      </c>
      <c r="E67" s="1"/>
      <c r="AP67" s="30"/>
    </row>
    <row r="68" spans="1:42" ht="15" customHeight="1" x14ac:dyDescent="0.35">
      <c r="A68" s="178" t="s">
        <v>260</v>
      </c>
      <c r="B68" s="174">
        <f>B66+B67</f>
        <v>174569009.57943779</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34794228.10686323</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209363237.68630102</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209363237.68630102</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607533.38500000001</v>
      </c>
      <c r="C88" s="196"/>
      <c r="AP88" s="30"/>
    </row>
    <row r="89" spans="1:42" ht="15" customHeight="1" x14ac:dyDescent="0.35">
      <c r="A89" s="17" t="s">
        <v>255</v>
      </c>
      <c r="B89" s="46">
        <v>4344965.8520436771</v>
      </c>
      <c r="C89" s="196"/>
      <c r="AP89" s="30"/>
    </row>
    <row r="90" spans="1:42" ht="15" customHeight="1" x14ac:dyDescent="0.35">
      <c r="A90" s="17" t="s">
        <v>256</v>
      </c>
      <c r="B90" s="68">
        <f>B88/B89</f>
        <v>0.13982466276788885</v>
      </c>
      <c r="C90" s="196"/>
      <c r="AP90" s="30"/>
    </row>
    <row r="91" spans="1:42" ht="15" customHeight="1" x14ac:dyDescent="0.35">
      <c r="A91" s="17"/>
      <c r="B91" s="174"/>
      <c r="C91" s="196"/>
      <c r="AP91" s="30"/>
    </row>
    <row r="92" spans="1:42" ht="15" customHeight="1" x14ac:dyDescent="0.35">
      <c r="A92" s="17" t="s">
        <v>266</v>
      </c>
      <c r="B92" s="254">
        <f>B86*B90</f>
        <v>139824662.76788884</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27964932.55357777</v>
      </c>
      <c r="G94" s="1">
        <f>$B$92/$B$93</f>
        <v>27964932.55357777</v>
      </c>
      <c r="H94" s="1">
        <f>$B$92/$B$93</f>
        <v>27964932.55357777</v>
      </c>
      <c r="I94" s="1">
        <f t="shared" ref="I94:J94" si="10">$B$92/$B$93</f>
        <v>27964932.55357777</v>
      </c>
      <c r="J94" s="1">
        <f t="shared" si="10"/>
        <v>27964932.55357777</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0.6</v>
      </c>
      <c r="C99" s="295" t="s">
        <v>552</v>
      </c>
      <c r="AP99" s="30"/>
    </row>
    <row r="100" spans="1:42" ht="15" customHeight="1" thickBot="1" x14ac:dyDescent="0.4">
      <c r="A100" s="17" t="s">
        <v>273</v>
      </c>
      <c r="B100" s="253">
        <f>Data!AL80</f>
        <v>324294508</v>
      </c>
      <c r="C100" s="1">
        <f>Data!AO80</f>
        <v>362314050.94288588</v>
      </c>
      <c r="E100" s="6">
        <f>Data!AX80</f>
        <v>403455680.90145957</v>
      </c>
      <c r="AP100" s="30"/>
    </row>
    <row r="101" spans="1:42" ht="15" customHeight="1" x14ac:dyDescent="0.35">
      <c r="A101" t="s">
        <v>586</v>
      </c>
      <c r="B101" s="174"/>
      <c r="E101" s="6">
        <f>(1+B99)*E100</f>
        <v>645529089.44233537</v>
      </c>
      <c r="G101" s="403" t="s">
        <v>274</v>
      </c>
      <c r="H101" s="404"/>
      <c r="AP101" s="30"/>
    </row>
    <row r="102" spans="1:42" ht="15" customHeight="1" x14ac:dyDescent="0.35">
      <c r="A102" s="17" t="s">
        <v>275</v>
      </c>
      <c r="B102" s="253">
        <f>Data!AZ80</f>
        <v>161095203.17860001</v>
      </c>
      <c r="C102" s="1">
        <f>Data!BA80</f>
        <v>200432623.2699976</v>
      </c>
      <c r="E102" s="6">
        <f>Data!BH80*E22</f>
        <v>218024728.85042414</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-0.50475107217015935</v>
      </c>
      <c r="C121" s="180" t="s">
        <v>552</v>
      </c>
      <c r="AP121" s="30"/>
    </row>
    <row r="122" spans="1:42" ht="15" customHeight="1" x14ac:dyDescent="0.35">
      <c r="A122" s="17" t="s">
        <v>283</v>
      </c>
      <c r="B122" s="171">
        <v>-0.45122704694129745</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-0.46193185198706982</v>
      </c>
      <c r="AP124" s="30"/>
    </row>
    <row r="125" spans="1:42" ht="15" customHeight="1" x14ac:dyDescent="0.35">
      <c r="A125" s="179" t="str">
        <f>$B$321</f>
        <v>1 CSE - Best case</v>
      </c>
      <c r="B125" s="171">
        <f t="shared" ref="B125:B126" si="16">$B$122+($B$121-$B$122)*B130</f>
        <v>-0.47263665703284219</v>
      </c>
      <c r="AP125" s="30"/>
    </row>
    <row r="126" spans="1:42" ht="15" customHeight="1" x14ac:dyDescent="0.35">
      <c r="A126" s="179" t="str">
        <f>$B$322</f>
        <v>4 CSE - Base case</v>
      </c>
      <c r="B126" s="171">
        <f t="shared" si="16"/>
        <v>-0.4779890595557284</v>
      </c>
      <c r="AP126" s="30"/>
    </row>
    <row r="127" spans="1:42" ht="15" customHeight="1" x14ac:dyDescent="0.35">
      <c r="A127" s="179" t="str">
        <f>$B$323</f>
        <v>4 CSE - Best case</v>
      </c>
      <c r="B127" s="171">
        <f>$B$122+($B$121-$B$122)*B132</f>
        <v>-0.49404626712438698</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-0.43883525938771628</v>
      </c>
      <c r="C134" s="180"/>
      <c r="AP134" s="30"/>
    </row>
    <row r="135" spans="1:42" ht="15" customHeight="1" x14ac:dyDescent="0.35">
      <c r="A135" s="179" t="str">
        <f>B319</f>
        <v>No centralised services entity (CSE)</v>
      </c>
      <c r="B135" s="187">
        <f>B122</f>
        <v>-0.45122704694129745</v>
      </c>
      <c r="AP135" s="30"/>
    </row>
    <row r="136" spans="1:42" ht="15" customHeight="1" x14ac:dyDescent="0.35">
      <c r="A136" s="179" t="str">
        <f>$B$320</f>
        <v>1 CSE - Base case</v>
      </c>
      <c r="B136" s="187">
        <f>B124*B116</f>
        <v>-0.43883525938771628</v>
      </c>
      <c r="AP136" s="30"/>
    </row>
    <row r="137" spans="1:42" ht="15" customHeight="1" x14ac:dyDescent="0.35">
      <c r="A137" s="179" t="str">
        <f>$B$321</f>
        <v>1 CSE - Best case</v>
      </c>
      <c r="B137" s="185">
        <f>B125*B117</f>
        <v>-0.46082074060702111</v>
      </c>
      <c r="AP137" s="30"/>
    </row>
    <row r="138" spans="1:42" ht="15" customHeight="1" x14ac:dyDescent="0.35">
      <c r="A138" s="179" t="str">
        <f>$B$322</f>
        <v>4 CSE - Base case</v>
      </c>
      <c r="B138" s="185">
        <f t="shared" ref="B138:B139" si="17">B126*B118</f>
        <v>-0.43019015360015556</v>
      </c>
      <c r="AP138" s="30"/>
    </row>
    <row r="139" spans="1:42" ht="15" customHeight="1" thickBot="1" x14ac:dyDescent="0.4">
      <c r="A139" s="179" t="str">
        <f>$B$323</f>
        <v>4 CSE - Best case</v>
      </c>
      <c r="B139" s="185">
        <f t="shared" si="17"/>
        <v>-0.46934395376816762</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-0.43470463321747854</v>
      </c>
      <c r="C141" s="180"/>
      <c r="F141" t="s">
        <v>550</v>
      </c>
      <c r="AP141" s="30"/>
    </row>
    <row r="142" spans="1:42" ht="15" customHeight="1" x14ac:dyDescent="0.35">
      <c r="A142" s="179" t="str">
        <f>B319</f>
        <v>No centralised services entity (CSE)</v>
      </c>
      <c r="B142" s="187">
        <v>-0.44697978054931387</v>
      </c>
      <c r="C142" s="180" t="s">
        <v>552</v>
      </c>
      <c r="AP142" s="30"/>
    </row>
    <row r="143" spans="1:42" ht="15" customHeight="1" x14ac:dyDescent="0.35">
      <c r="A143" s="179" t="str">
        <f>$B$320</f>
        <v>1 CSE - Base case</v>
      </c>
      <c r="B143" s="187">
        <f>($B$142+($D$140-$B$142)*B148)*B116</f>
        <v>-0.43470463321747854</v>
      </c>
      <c r="C143" s="180"/>
      <c r="D143" s="181"/>
      <c r="AP143" s="30"/>
    </row>
    <row r="144" spans="1:42" ht="15" customHeight="1" x14ac:dyDescent="0.35">
      <c r="A144" s="179" t="str">
        <f>$B$321</f>
        <v>1 CSE - Best case</v>
      </c>
      <c r="B144" s="187">
        <f>($B$142+($D$140-$B$142)*B149)*B117</f>
        <v>-0.4564831716213486</v>
      </c>
      <c r="C144" s="180"/>
      <c r="AP144" s="30"/>
    </row>
    <row r="145" spans="1:42" ht="15" customHeight="1" x14ac:dyDescent="0.35">
      <c r="A145" s="179" t="str">
        <f>$B$322</f>
        <v>4 CSE - Base case</v>
      </c>
      <c r="B145" s="187">
        <f>($B$142+($D$140-$B$142)*B150)*B118</f>
        <v>-0.42614090124719123</v>
      </c>
      <c r="C145" s="180"/>
      <c r="AP145" s="30"/>
    </row>
    <row r="146" spans="1:42" ht="15" customHeight="1" x14ac:dyDescent="0.35">
      <c r="A146" s="179" t="str">
        <f>$B$323</f>
        <v>4 CSE - Best case</v>
      </c>
      <c r="B146" s="187">
        <f>($B$142+($D$140-$B$142)*B151)*B119</f>
        <v>-0.46492615830436962</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-0.46492615830436962</v>
      </c>
      <c r="C153" s="180"/>
      <c r="AP153" s="30"/>
    </row>
    <row r="154" spans="1:42" ht="15" customHeight="1" x14ac:dyDescent="0.35">
      <c r="A154" s="179" t="str">
        <f>B319</f>
        <v>No centralised services entity (CSE)</v>
      </c>
      <c r="B154" s="187">
        <v>-0.44697978054931387</v>
      </c>
      <c r="C154" s="180" t="s">
        <v>552</v>
      </c>
      <c r="AP154" s="30"/>
    </row>
    <row r="155" spans="1:42" ht="15" customHeight="1" x14ac:dyDescent="0.35">
      <c r="A155" s="179" t="str">
        <f>$B$320</f>
        <v>1 CSE - Base case</v>
      </c>
      <c r="B155" s="187">
        <f>($B$154+($D$140-$B$154)*B160)*B116</f>
        <v>-0.46492615830436962</v>
      </c>
      <c r="C155" s="180"/>
      <c r="D155" s="20"/>
      <c r="AP155" s="30"/>
    </row>
    <row r="156" spans="1:42" ht="15" customHeight="1" x14ac:dyDescent="0.35">
      <c r="A156" s="179" t="str">
        <f>$B$321</f>
        <v>1 CSE - Best case</v>
      </c>
      <c r="B156" s="187">
        <f>($B$154+($D$140-$B$154)*B161)*B117</f>
        <v>-0.48233052860355807</v>
      </c>
      <c r="C156" s="180"/>
      <c r="AP156" s="30"/>
    </row>
    <row r="157" spans="1:42" ht="15" customHeight="1" x14ac:dyDescent="0.35">
      <c r="A157" s="179" t="str">
        <f>$B$322</f>
        <v>4 CSE - Base case</v>
      </c>
      <c r="B157" s="187">
        <f>($B$154+($D$140-$B$154)*B162)*B118</f>
        <v>-0.44045636049887649</v>
      </c>
      <c r="C157" s="180"/>
      <c r="AP157" s="30"/>
    </row>
    <row r="158" spans="1:42" ht="15" customHeight="1" x14ac:dyDescent="0.35">
      <c r="A158" s="179" t="str">
        <f>$B$323</f>
        <v>4 CSE - Best case</v>
      </c>
      <c r="B158" s="187">
        <f>($B$154+($D$140-$B$154)*B163)*B119</f>
        <v>-0.46996307915218477</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607533.38500000001</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0.75941673124999998</v>
      </c>
      <c r="AP171" s="30"/>
    </row>
    <row r="172" spans="1:42" ht="15" customHeight="1" x14ac:dyDescent="0.35">
      <c r="A172" s="51" t="s">
        <v>291</v>
      </c>
      <c r="B172" s="190">
        <f>B165*B167</f>
        <v>-4.0499999999999998E-3</v>
      </c>
      <c r="AP172" s="30"/>
    </row>
    <row r="173" spans="1:42" ht="15" customHeight="1" x14ac:dyDescent="0.35">
      <c r="A173" s="51" t="s">
        <v>292</v>
      </c>
      <c r="B173" s="190">
        <f>B172*B171</f>
        <v>-3.0756377615624997E-3</v>
      </c>
      <c r="AP173" s="30"/>
    </row>
    <row r="174" spans="1:42" ht="15" customHeight="1" x14ac:dyDescent="0.35">
      <c r="A174" s="51"/>
      <c r="B174" s="28"/>
      <c r="AP174" s="30"/>
    </row>
    <row r="175" spans="1:42" ht="15" customHeight="1" x14ac:dyDescent="0.35">
      <c r="A175" s="262" t="s">
        <v>293</v>
      </c>
      <c r="B175" s="191">
        <f>INDEX(A176:B180,MATCH(B3,A176:A180,0),2)</f>
        <v>-3.2705102092499996E-3</v>
      </c>
      <c r="AP175" s="30"/>
    </row>
    <row r="176" spans="1:42" ht="15" customHeight="1" x14ac:dyDescent="0.35">
      <c r="A176" s="263" t="str">
        <f>B319</f>
        <v>No centralised services entity (CSE)</v>
      </c>
      <c r="B176" s="192">
        <f>B173</f>
        <v>-3.0756377615624997E-3</v>
      </c>
      <c r="C176" s="113"/>
      <c r="AP176" s="30"/>
    </row>
    <row r="177" spans="1:42" ht="15" customHeight="1" x14ac:dyDescent="0.35">
      <c r="A177" s="179" t="str">
        <f>$B$320</f>
        <v>1 CSE - Base case</v>
      </c>
      <c r="B177" s="192">
        <f>($B$173+($B$172-$B$173)*B182)</f>
        <v>-3.2705102092499996E-3</v>
      </c>
      <c r="C177" s="113"/>
      <c r="AP177" s="30"/>
    </row>
    <row r="178" spans="1:42" ht="15" customHeight="1" x14ac:dyDescent="0.35">
      <c r="A178" s="179" t="str">
        <f>$B$321</f>
        <v>1 CSE - Best case</v>
      </c>
      <c r="B178" s="192">
        <f>($B$173+($B$172-$B$173)*B183)</f>
        <v>-3.4653826569374995E-3</v>
      </c>
      <c r="C178" s="113"/>
      <c r="AP178" s="30"/>
    </row>
    <row r="179" spans="1:42" ht="15" customHeight="1" x14ac:dyDescent="0.35">
      <c r="A179" s="179" t="str">
        <f>$B$322</f>
        <v>4 CSE - Base case</v>
      </c>
      <c r="B179" s="192">
        <f>($B$173+($B$172-$B$173)*B184)</f>
        <v>-3.5628188807812497E-3</v>
      </c>
      <c r="C179" s="113"/>
      <c r="AP179" s="30"/>
    </row>
    <row r="180" spans="1:42" ht="15" customHeight="1" x14ac:dyDescent="0.35">
      <c r="A180" s="179" t="str">
        <f>$B$323</f>
        <v>4 CSE - Best case</v>
      </c>
      <c r="B180" s="192">
        <f>($B$173+($B$172-$B$173)*B185)</f>
        <v>-3.8551275523124998E-3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0.56116474061228372</v>
      </c>
      <c r="AP188" s="30"/>
    </row>
    <row r="189" spans="1:42" ht="15" hidden="1" customHeight="1" outlineLevel="1" x14ac:dyDescent="0.35">
      <c r="A189" s="51" t="s">
        <v>111</v>
      </c>
      <c r="B189" s="195">
        <f>B188/B187-1</f>
        <v>-0.43883525938771628</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-0.26330115563262974</v>
      </c>
      <c r="AP192" s="30"/>
    </row>
    <row r="193" spans="1:42" ht="15" hidden="1" customHeight="1" outlineLevel="1" x14ac:dyDescent="0.35">
      <c r="A193" s="51"/>
      <c r="B193" s="195"/>
      <c r="AP193" s="30"/>
    </row>
    <row r="194" spans="1:42" ht="15" hidden="1" customHeight="1" outlineLevel="1" x14ac:dyDescent="0.35">
      <c r="A194" s="51" t="s">
        <v>298</v>
      </c>
      <c r="B194" s="195">
        <f>1+B192</f>
        <v>0.73669884436737032</v>
      </c>
      <c r="AP194" s="30"/>
    </row>
    <row r="195" spans="1:42" ht="15" hidden="1" customHeight="1" outlineLevel="1" x14ac:dyDescent="0.35">
      <c r="A195" s="51" t="s">
        <v>295</v>
      </c>
      <c r="B195" s="195">
        <f>B188</f>
        <v>0.56116474061228372</v>
      </c>
      <c r="C195" s="196"/>
      <c r="AP195" s="30"/>
    </row>
    <row r="196" spans="1:42" ht="15" hidden="1" customHeight="1" outlineLevel="1" x14ac:dyDescent="0.35">
      <c r="A196" s="51" t="s">
        <v>111</v>
      </c>
      <c r="B196" s="195">
        <f>B195/B194-1</f>
        <v>-0.23827118109004775</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-0.14296270865402863</v>
      </c>
      <c r="AP199" s="30"/>
    </row>
    <row r="200" spans="1:42" ht="15" hidden="1" customHeight="1" outlineLevel="1" x14ac:dyDescent="0.35">
      <c r="A200" s="51"/>
      <c r="B200" s="195"/>
      <c r="AP200" s="30"/>
    </row>
    <row r="201" spans="1:42" ht="15" hidden="1" customHeight="1" outlineLevel="1" x14ac:dyDescent="0.35">
      <c r="A201" s="51" t="s">
        <v>300</v>
      </c>
      <c r="B201" s="195">
        <f>(1+B192)*(1+B199)</f>
        <v>0.6313783821143184</v>
      </c>
      <c r="AP201" s="30"/>
    </row>
    <row r="202" spans="1:42" ht="15" hidden="1" customHeight="1" outlineLevel="1" x14ac:dyDescent="0.35">
      <c r="A202" s="51" t="s">
        <v>295</v>
      </c>
      <c r="B202" s="195">
        <f>B195</f>
        <v>0.56116474061228372</v>
      </c>
      <c r="AP202" s="30"/>
    </row>
    <row r="203" spans="1:42" ht="15" hidden="1" customHeight="1" outlineLevel="1" x14ac:dyDescent="0.35">
      <c r="A203" s="51" t="s">
        <v>301</v>
      </c>
      <c r="B203" s="195">
        <f>B202/B201-1</f>
        <v>-0.11120691409627914</v>
      </c>
      <c r="AP203" s="30"/>
    </row>
    <row r="204" spans="1:42" ht="15" hidden="1" customHeight="1" outlineLevel="1" x14ac:dyDescent="0.35">
      <c r="A204" s="51"/>
      <c r="B204" s="195"/>
      <c r="AP204" s="30"/>
    </row>
    <row r="205" spans="1:42" ht="15" customHeight="1" collapsed="1" x14ac:dyDescent="0.35">
      <c r="A205" s="51" t="s">
        <v>302</v>
      </c>
      <c r="B205" s="171">
        <f>((1+B192)^(1/5))-1</f>
        <v>-5.9285154495704484E-2</v>
      </c>
      <c r="AP205" s="30"/>
    </row>
    <row r="206" spans="1:42" ht="15" customHeight="1" x14ac:dyDescent="0.35">
      <c r="A206" s="51" t="s">
        <v>303</v>
      </c>
      <c r="B206" s="171">
        <f>((1+B199)^(1/5))-1</f>
        <v>-3.0383619278862573E-2</v>
      </c>
      <c r="AP206" s="30"/>
    </row>
    <row r="207" spans="1:42" ht="15" customHeight="1" x14ac:dyDescent="0.35">
      <c r="A207" s="51" t="s">
        <v>304</v>
      </c>
      <c r="B207" s="171">
        <f>((1+B203)^(1/5))-1</f>
        <v>-2.3302370873799827E-2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0.56529536678252146</v>
      </c>
      <c r="C211" s="198">
        <f>1+B153</f>
        <v>0.53507384169563044</v>
      </c>
      <c r="AP211" s="30"/>
    </row>
    <row r="212" spans="1:42" ht="15" hidden="1" customHeight="1" outlineLevel="1" x14ac:dyDescent="0.35">
      <c r="A212" s="51" t="s">
        <v>111</v>
      </c>
      <c r="B212" s="171">
        <f>B211/B210-1</f>
        <v>-0.43470463321747854</v>
      </c>
      <c r="C212" s="198">
        <f>C211/C210-1</f>
        <v>-0.46492615830436956</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-0.26082277993048714</v>
      </c>
      <c r="C215" s="198">
        <f>C212*C214</f>
        <v>-0.27895569498262174</v>
      </c>
      <c r="AP215" s="30"/>
    </row>
    <row r="216" spans="1:42" ht="15" hidden="1" customHeight="1" outlineLevel="1" x14ac:dyDescent="0.35">
      <c r="A216" s="51"/>
      <c r="B216" s="171"/>
      <c r="C216" s="198"/>
      <c r="AP216" s="30"/>
    </row>
    <row r="217" spans="1:42" ht="15" hidden="1" customHeight="1" outlineLevel="1" x14ac:dyDescent="0.35">
      <c r="A217" s="51" t="s">
        <v>309</v>
      </c>
      <c r="B217" s="171">
        <f>1+B215</f>
        <v>0.73917722006951281</v>
      </c>
      <c r="C217" s="198">
        <f>1+C215</f>
        <v>0.72104430501737826</v>
      </c>
      <c r="AP217" s="30"/>
    </row>
    <row r="218" spans="1:42" ht="15" hidden="1" customHeight="1" outlineLevel="1" x14ac:dyDescent="0.35">
      <c r="A218" s="51" t="s">
        <v>308</v>
      </c>
      <c r="B218" s="171">
        <f>B211</f>
        <v>0.56529536678252146</v>
      </c>
      <c r="C218" s="198">
        <f>C211</f>
        <v>0.53507384169563044</v>
      </c>
      <c r="AP218" s="30"/>
    </row>
    <row r="219" spans="1:42" ht="15" hidden="1" customHeight="1" outlineLevel="1" x14ac:dyDescent="0.35">
      <c r="A219" s="51" t="s">
        <v>111</v>
      </c>
      <c r="B219" s="171">
        <f>B218/B217-1</f>
        <v>-0.23523702918041678</v>
      </c>
      <c r="C219" s="198">
        <f>C218/C217-1</f>
        <v>-0.25791821948758842</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-0.14114221750825007</v>
      </c>
      <c r="C222" s="198">
        <f>C219*C221</f>
        <v>-0.15475093169255305</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0.63484810809731795</v>
      </c>
      <c r="C224" s="198">
        <f>(1+C215)*(1+C222)</f>
        <v>0.60946202702432961</v>
      </c>
      <c r="AP224" s="30"/>
    </row>
    <row r="225" spans="1:42" ht="15" hidden="1" customHeight="1" outlineLevel="1" x14ac:dyDescent="0.35">
      <c r="A225" s="51" t="s">
        <v>308</v>
      </c>
      <c r="B225" s="171">
        <f>B218</f>
        <v>0.56529536678252146</v>
      </c>
      <c r="C225" s="198">
        <f>C218</f>
        <v>0.53507384169563044</v>
      </c>
      <c r="AP225" s="30"/>
    </row>
    <row r="226" spans="1:42" ht="15" hidden="1" customHeight="1" outlineLevel="1" x14ac:dyDescent="0.35">
      <c r="A226" s="51" t="s">
        <v>301</v>
      </c>
      <c r="B226" s="171">
        <f>B225/B224-1</f>
        <v>-0.1095580823628044</v>
      </c>
      <c r="C226" s="198">
        <f>C225/C224-1</f>
        <v>-0.12205548833271218</v>
      </c>
      <c r="AP226" s="30"/>
    </row>
    <row r="227" spans="1:42" ht="15" hidden="1" customHeight="1" outlineLevel="1" x14ac:dyDescent="0.35">
      <c r="A227" s="51"/>
      <c r="B227" s="171"/>
      <c r="C227" s="198"/>
      <c r="AP227" s="30"/>
    </row>
    <row r="228" spans="1:42" ht="15" customHeight="1" collapsed="1" x14ac:dyDescent="0.35">
      <c r="A228" s="51" t="s">
        <v>311</v>
      </c>
      <c r="B228" s="171">
        <f>((1+B215)^(1/5))-1</f>
        <v>-5.8653060715092575E-2</v>
      </c>
      <c r="C228" s="198">
        <f>((1+C215)^(1/5))-1</f>
        <v>-6.3317534925421137E-2</v>
      </c>
      <c r="AP228" s="30"/>
    </row>
    <row r="229" spans="1:42" ht="15" customHeight="1" x14ac:dyDescent="0.35">
      <c r="A229" s="51" t="s">
        <v>312</v>
      </c>
      <c r="B229" s="171">
        <f>((1+B222)^(1/5))-1</f>
        <v>-2.9972043225277467E-2</v>
      </c>
      <c r="C229" s="198">
        <f>((1+C222)^(1/5))-1</f>
        <v>-3.3065758022562286E-2</v>
      </c>
      <c r="AP229" s="30"/>
    </row>
    <row r="230" spans="1:42" ht="15" customHeight="1" thickBot="1" x14ac:dyDescent="0.4">
      <c r="A230" s="51" t="s">
        <v>313</v>
      </c>
      <c r="B230" s="199">
        <f>((1+B226)^(1/5))-1</f>
        <v>-2.2940258164503291E-2</v>
      </c>
      <c r="C230" s="200">
        <f>((1+C226)^(1/5))-1</f>
        <v>-2.5698404708429878E-2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0.94071484550429552</v>
      </c>
      <c r="I232" s="4">
        <f>H232*(1+$B$205)</f>
        <v>0.8849444205521706</v>
      </c>
      <c r="J232" s="4">
        <f>I232*(1+$B$205)</f>
        <v>0.83248035385962349</v>
      </c>
      <c r="K232" s="4">
        <f>J232*(1+$B$205)</f>
        <v>0.78312662746641692</v>
      </c>
      <c r="L232" s="4">
        <f>K232*(1+$B$205)</f>
        <v>0.73669884436737043</v>
      </c>
      <c r="M232" s="4">
        <f>L232*(1+$B$206)</f>
        <v>0.71431526715693416</v>
      </c>
      <c r="N232" s="4">
        <f>M232*(1+$B$206)</f>
        <v>0.69261178403455892</v>
      </c>
      <c r="O232" s="4">
        <f>N232*(1+$B$206)</f>
        <v>0.67156773128039915</v>
      </c>
      <c r="P232" s="4">
        <f>O232*(1+$B$206)</f>
        <v>0.65116307301320597</v>
      </c>
      <c r="Q232" s="4">
        <f>P232*(1+$B$206)</f>
        <v>0.63137838211431851</v>
      </c>
      <c r="R232" s="4">
        <f>Q232*(1+$B$207)</f>
        <v>0.61666576889259095</v>
      </c>
      <c r="S232" s="4">
        <f>R232*(1+$B$207)</f>
        <v>0.60229599444067883</v>
      </c>
      <c r="T232" s="4">
        <f>S232*(1+$B$207)</f>
        <v>0.5882610698024181</v>
      </c>
      <c r="U232" s="4">
        <f>T232*(1+$B$207)</f>
        <v>0.57455319218326395</v>
      </c>
      <c r="V232" s="4">
        <f>U232*(1+$B$207)</f>
        <v>0.56116474061228394</v>
      </c>
      <c r="W232" s="4">
        <f t="shared" ref="W232:AP232" si="18">V232</f>
        <v>0.56116474061228394</v>
      </c>
      <c r="X232" s="4">
        <f t="shared" si="18"/>
        <v>0.56116474061228394</v>
      </c>
      <c r="Y232" s="4">
        <f t="shared" si="18"/>
        <v>0.56116474061228394</v>
      </c>
      <c r="Z232" s="4">
        <f t="shared" si="18"/>
        <v>0.56116474061228394</v>
      </c>
      <c r="AA232" s="4">
        <f t="shared" si="18"/>
        <v>0.56116474061228394</v>
      </c>
      <c r="AB232" s="4">
        <f t="shared" si="18"/>
        <v>0.56116474061228394</v>
      </c>
      <c r="AC232" s="4">
        <f t="shared" si="18"/>
        <v>0.56116474061228394</v>
      </c>
      <c r="AD232" s="4">
        <f t="shared" si="18"/>
        <v>0.56116474061228394</v>
      </c>
      <c r="AE232" s="4">
        <f t="shared" si="18"/>
        <v>0.56116474061228394</v>
      </c>
      <c r="AF232" s="4">
        <f t="shared" si="18"/>
        <v>0.56116474061228394</v>
      </c>
      <c r="AG232" s="4">
        <f t="shared" si="18"/>
        <v>0.56116474061228394</v>
      </c>
      <c r="AH232" s="4">
        <f t="shared" si="18"/>
        <v>0.56116474061228394</v>
      </c>
      <c r="AI232" s="4">
        <f t="shared" si="18"/>
        <v>0.56116474061228394</v>
      </c>
      <c r="AJ232" s="4">
        <f t="shared" si="18"/>
        <v>0.56116474061228394</v>
      </c>
      <c r="AK232" s="4">
        <f t="shared" si="18"/>
        <v>0.56116474061228394</v>
      </c>
      <c r="AL232" s="4">
        <f t="shared" si="18"/>
        <v>0.56116474061228394</v>
      </c>
      <c r="AM232" s="4">
        <f t="shared" si="18"/>
        <v>0.56116474061228394</v>
      </c>
      <c r="AN232" s="4">
        <f t="shared" si="18"/>
        <v>0.56116474061228394</v>
      </c>
      <c r="AO232" s="4">
        <f t="shared" si="18"/>
        <v>0.56116474061228394</v>
      </c>
      <c r="AP232" s="202">
        <f t="shared" si="18"/>
        <v>0.56116474061228394</v>
      </c>
    </row>
    <row r="233" spans="1:42" ht="15" customHeight="1" x14ac:dyDescent="0.35">
      <c r="A233" s="51" t="s">
        <v>315</v>
      </c>
      <c r="B233" s="28">
        <v>1</v>
      </c>
      <c r="C233" s="43">
        <v>1</v>
      </c>
      <c r="D233" s="4">
        <v>1</v>
      </c>
      <c r="E233" s="4">
        <v>1</v>
      </c>
      <c r="F233" s="4">
        <v>1</v>
      </c>
      <c r="G233" s="4">
        <v>1</v>
      </c>
      <c r="H233" s="4">
        <f>G233*(1+$B$228)</f>
        <v>0.94134693928490742</v>
      </c>
      <c r="I233" s="4">
        <f>H233*(1+$B$228)</f>
        <v>0.88613406010106321</v>
      </c>
      <c r="J233" s="4">
        <f>I233*(1+$B$228)</f>
        <v>0.8341595852722441</v>
      </c>
      <c r="K233" s="4">
        <f>J233*(1+$B$228)</f>
        <v>0.78523357247119474</v>
      </c>
      <c r="L233" s="4">
        <f>K233*(1+$B$228)</f>
        <v>0.7391772200695127</v>
      </c>
      <c r="M233" s="4">
        <f>L233*(1+$B$229)</f>
        <v>0.71702256847844881</v>
      </c>
      <c r="N233" s="4">
        <f>M233*(1+$B$229)</f>
        <v>0.69553193706251326</v>
      </c>
      <c r="O233" s="4">
        <f>N233*(1+$B$229)</f>
        <v>0.6746854237803146</v>
      </c>
      <c r="P233" s="4">
        <f>O233*(1+$B$229)</f>
        <v>0.65446372309530632</v>
      </c>
      <c r="Q233" s="4">
        <f>P233*(1+$B$229)</f>
        <v>0.63484810809731773</v>
      </c>
      <c r="R233" s="4">
        <f>Q233*(1+$B$230)</f>
        <v>0.62028452860231875</v>
      </c>
      <c r="S233" s="4">
        <f>R233*(1+$B$230)</f>
        <v>0.60605504138073429</v>
      </c>
      <c r="T233" s="4">
        <f>S233*(1+$B$230)</f>
        <v>0.59215198226956156</v>
      </c>
      <c r="U233" s="4">
        <f>T233*(1+$B$230)</f>
        <v>0.57856786292367546</v>
      </c>
      <c r="V233" s="4">
        <f>U233*(1+$B$230)</f>
        <v>0.56529536678252135</v>
      </c>
      <c r="W233" s="4">
        <f t="shared" ref="W233:AP233" si="19">V233</f>
        <v>0.56529536678252135</v>
      </c>
      <c r="X233" s="4">
        <f t="shared" si="19"/>
        <v>0.56529536678252135</v>
      </c>
      <c r="Y233" s="4">
        <f t="shared" si="19"/>
        <v>0.56529536678252135</v>
      </c>
      <c r="Z233" s="4">
        <f t="shared" si="19"/>
        <v>0.56529536678252135</v>
      </c>
      <c r="AA233" s="4">
        <f t="shared" si="19"/>
        <v>0.56529536678252135</v>
      </c>
      <c r="AB233" s="4">
        <f t="shared" si="19"/>
        <v>0.56529536678252135</v>
      </c>
      <c r="AC233" s="4">
        <f t="shared" si="19"/>
        <v>0.56529536678252135</v>
      </c>
      <c r="AD233" s="4">
        <f t="shared" si="19"/>
        <v>0.56529536678252135</v>
      </c>
      <c r="AE233" s="4">
        <f t="shared" si="19"/>
        <v>0.56529536678252135</v>
      </c>
      <c r="AF233" s="4">
        <f t="shared" si="19"/>
        <v>0.56529536678252135</v>
      </c>
      <c r="AG233" s="4">
        <f t="shared" si="19"/>
        <v>0.56529536678252135</v>
      </c>
      <c r="AH233" s="4">
        <f t="shared" si="19"/>
        <v>0.56529536678252135</v>
      </c>
      <c r="AI233" s="4">
        <f t="shared" si="19"/>
        <v>0.56529536678252135</v>
      </c>
      <c r="AJ233" s="4">
        <f t="shared" si="19"/>
        <v>0.56529536678252135</v>
      </c>
      <c r="AK233" s="4">
        <f t="shared" si="19"/>
        <v>0.56529536678252135</v>
      </c>
      <c r="AL233" s="4">
        <f t="shared" si="19"/>
        <v>0.56529536678252135</v>
      </c>
      <c r="AM233" s="4">
        <f t="shared" si="19"/>
        <v>0.56529536678252135</v>
      </c>
      <c r="AN233" s="4">
        <f t="shared" si="19"/>
        <v>0.56529536678252135</v>
      </c>
      <c r="AO233" s="4">
        <f t="shared" si="19"/>
        <v>0.56529536678252135</v>
      </c>
      <c r="AP233" s="202">
        <f t="shared" si="19"/>
        <v>0.56529536678252135</v>
      </c>
    </row>
    <row r="234" spans="1:42" ht="15" customHeight="1" x14ac:dyDescent="0.35">
      <c r="A234" s="51" t="s">
        <v>316</v>
      </c>
      <c r="B234" s="28">
        <v>1</v>
      </c>
      <c r="C234" s="43">
        <v>1</v>
      </c>
      <c r="D234" s="4">
        <v>1</v>
      </c>
      <c r="E234" s="4">
        <v>1</v>
      </c>
      <c r="F234" s="4">
        <v>1</v>
      </c>
      <c r="G234" s="4">
        <v>1</v>
      </c>
      <c r="H234" s="4">
        <f>G234*(1+$C$228)</f>
        <v>0.93668246507457886</v>
      </c>
      <c r="I234" s="4">
        <f>H234*(1+$C$228)</f>
        <v>0.87737404037818967</v>
      </c>
      <c r="J234" s="4">
        <f>I234*(1+$C$228)</f>
        <v>0.82182087893388578</v>
      </c>
      <c r="K234" s="4">
        <f>J234*(1+$C$228)</f>
        <v>0.7697852067295492</v>
      </c>
      <c r="L234" s="4">
        <f>K234*(1+$C$228)</f>
        <v>0.72104430501737848</v>
      </c>
      <c r="M234" s="4">
        <f>L234*(1+$C$229)</f>
        <v>0.69720242850412728</v>
      </c>
      <c r="N234" s="4">
        <f>M234*(1+$C$229)</f>
        <v>0.67414890171046704</v>
      </c>
      <c r="O234" s="4">
        <f>N234*(1+$C$229)</f>
        <v>0.65185765725533262</v>
      </c>
      <c r="P234" s="4">
        <f>O234*(1+$C$229)</f>
        <v>0.63030348969537342</v>
      </c>
      <c r="Q234" s="4">
        <f>P234*(1+$C$229)</f>
        <v>0.60946202702432961</v>
      </c>
      <c r="R234" s="4">
        <f>Q234*(1+$C$230)</f>
        <v>0.59379982519943841</v>
      </c>
      <c r="S234" s="4">
        <f>R234*(1+$C$230)</f>
        <v>0.57854011697566832</v>
      </c>
      <c r="T234" s="4">
        <f>S234*(1+$C$230)</f>
        <v>0.56367255890956525</v>
      </c>
      <c r="U234" s="4">
        <f>T234*(1+$C$230)</f>
        <v>0.54918707336767092</v>
      </c>
      <c r="V234" s="4">
        <f>U234*(1+$C$230)</f>
        <v>0.53507384169563033</v>
      </c>
      <c r="W234" s="4">
        <f t="shared" ref="W234:AP234" si="20">V234</f>
        <v>0.53507384169563033</v>
      </c>
      <c r="X234" s="4">
        <f t="shared" si="20"/>
        <v>0.53507384169563033</v>
      </c>
      <c r="Y234" s="4">
        <f t="shared" si="20"/>
        <v>0.53507384169563033</v>
      </c>
      <c r="Z234" s="4">
        <f t="shared" si="20"/>
        <v>0.53507384169563033</v>
      </c>
      <c r="AA234" s="4">
        <f t="shared" si="20"/>
        <v>0.53507384169563033</v>
      </c>
      <c r="AB234" s="4">
        <f t="shared" si="20"/>
        <v>0.53507384169563033</v>
      </c>
      <c r="AC234" s="4">
        <f t="shared" si="20"/>
        <v>0.53507384169563033</v>
      </c>
      <c r="AD234" s="4">
        <f t="shared" si="20"/>
        <v>0.53507384169563033</v>
      </c>
      <c r="AE234" s="4">
        <f t="shared" si="20"/>
        <v>0.53507384169563033</v>
      </c>
      <c r="AF234" s="4">
        <f t="shared" si="20"/>
        <v>0.53507384169563033</v>
      </c>
      <c r="AG234" s="4">
        <f t="shared" si="20"/>
        <v>0.53507384169563033</v>
      </c>
      <c r="AH234" s="4">
        <f t="shared" si="20"/>
        <v>0.53507384169563033</v>
      </c>
      <c r="AI234" s="4">
        <f t="shared" si="20"/>
        <v>0.53507384169563033</v>
      </c>
      <c r="AJ234" s="4">
        <f t="shared" si="20"/>
        <v>0.53507384169563033</v>
      </c>
      <c r="AK234" s="4">
        <f t="shared" si="20"/>
        <v>0.53507384169563033</v>
      </c>
      <c r="AL234" s="4">
        <f t="shared" si="20"/>
        <v>0.53507384169563033</v>
      </c>
      <c r="AM234" s="4">
        <f t="shared" si="20"/>
        <v>0.53507384169563033</v>
      </c>
      <c r="AN234" s="4">
        <f t="shared" si="20"/>
        <v>0.53507384169563033</v>
      </c>
      <c r="AO234" s="4">
        <f t="shared" si="20"/>
        <v>0.53507384169563033</v>
      </c>
      <c r="AP234" s="202">
        <f t="shared" si="20"/>
        <v>0.53507384169563033</v>
      </c>
    </row>
    <row r="235" spans="1:42" ht="15" customHeight="1" x14ac:dyDescent="0.35">
      <c r="A235" s="51" t="s">
        <v>317</v>
      </c>
      <c r="B235" s="28">
        <v>1</v>
      </c>
      <c r="C235" s="43">
        <v>1</v>
      </c>
      <c r="D235" s="43">
        <v>1</v>
      </c>
      <c r="E235" s="43">
        <v>1</v>
      </c>
      <c r="F235" s="203">
        <f>E235*(1+$B$175)</f>
        <v>0.99672948979075005</v>
      </c>
      <c r="G235" s="4">
        <f t="shared" ref="G235:AP235" si="21">F235*(1+$B$175)</f>
        <v>0.99346967581852885</v>
      </c>
      <c r="H235" s="4">
        <f t="shared" si="21"/>
        <v>0.99022052310118414</v>
      </c>
      <c r="I235" s="4">
        <f t="shared" si="21"/>
        <v>0.98698199677097287</v>
      </c>
      <c r="J235" s="4">
        <f t="shared" si="21"/>
        <v>0.98375406207418747</v>
      </c>
      <c r="K235" s="4">
        <f t="shared" si="21"/>
        <v>0.98053668437078279</v>
      </c>
      <c r="L235" s="4">
        <f t="shared" si="21"/>
        <v>0.97732982913400401</v>
      </c>
      <c r="M235" s="4">
        <f t="shared" si="21"/>
        <v>0.97413346195001671</v>
      </c>
      <c r="N235" s="4">
        <f t="shared" si="21"/>
        <v>0.97094754851753717</v>
      </c>
      <c r="O235" s="4">
        <f t="shared" si="21"/>
        <v>0.9677720546474643</v>
      </c>
      <c r="P235" s="4">
        <f t="shared" si="21"/>
        <v>0.96460694626251298</v>
      </c>
      <c r="Q235" s="4">
        <f t="shared" si="21"/>
        <v>0.96145218939684796</v>
      </c>
      <c r="R235" s="4">
        <f t="shared" si="21"/>
        <v>0.9583077501957199</v>
      </c>
      <c r="S235" s="4">
        <f t="shared" si="21"/>
        <v>0.95517359491510145</v>
      </c>
      <c r="T235" s="4">
        <f t="shared" si="21"/>
        <v>0.95204968992132566</v>
      </c>
      <c r="U235" s="4">
        <f t="shared" si="21"/>
        <v>0.94893600169072467</v>
      </c>
      <c r="V235" s="4">
        <f t="shared" si="21"/>
        <v>0.94583249680927028</v>
      </c>
      <c r="W235" s="4">
        <f t="shared" si="21"/>
        <v>0.9427391419722152</v>
      </c>
      <c r="X235" s="4">
        <f t="shared" si="21"/>
        <v>0.93965590398373555</v>
      </c>
      <c r="Y235" s="4">
        <f t="shared" si="21"/>
        <v>0.93658274975657474</v>
      </c>
      <c r="Z235" s="4">
        <f t="shared" si="21"/>
        <v>0.93351964631168849</v>
      </c>
      <c r="AA235" s="4">
        <f t="shared" si="21"/>
        <v>0.93046656077789069</v>
      </c>
      <c r="AB235" s="4">
        <f t="shared" si="21"/>
        <v>0.92742346039150092</v>
      </c>
      <c r="AC235" s="4">
        <f t="shared" si="21"/>
        <v>0.92439031249599257</v>
      </c>
      <c r="AD235" s="4">
        <f t="shared" si="21"/>
        <v>0.92136708454164262</v>
      </c>
      <c r="AE235" s="4">
        <f t="shared" si="21"/>
        <v>0.91835374408518233</v>
      </c>
      <c r="AF235" s="4">
        <f t="shared" si="21"/>
        <v>0.91535025878944887</v>
      </c>
      <c r="AG235" s="4">
        <f t="shared" si="21"/>
        <v>0.91235659642303835</v>
      </c>
      <c r="AH235" s="4">
        <f t="shared" si="21"/>
        <v>0.90937272485996024</v>
      </c>
      <c r="AI235" s="4">
        <f t="shared" si="21"/>
        <v>0.90639861207929229</v>
      </c>
      <c r="AJ235" s="4">
        <f t="shared" si="21"/>
        <v>0.90343422616483693</v>
      </c>
      <c r="AK235" s="4">
        <f t="shared" si="21"/>
        <v>0.90047953530477898</v>
      </c>
      <c r="AL235" s="4">
        <f t="shared" si="21"/>
        <v>0.89753450779134403</v>
      </c>
      <c r="AM235" s="4">
        <f t="shared" si="21"/>
        <v>0.89459911202045828</v>
      </c>
      <c r="AN235" s="4">
        <f t="shared" si="21"/>
        <v>0.89167331649140946</v>
      </c>
      <c r="AO235" s="4">
        <f t="shared" si="21"/>
        <v>0.88875708980650858</v>
      </c>
      <c r="AP235" s="202">
        <f t="shared" si="21"/>
        <v>0.88585040067075316</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195420497.40900016</v>
      </c>
      <c r="C239" s="1">
        <f>B239*(1+Inflation!Z19)*(1+Inflation!AD19)</f>
        <v>229700559.95634791</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13881957146.436401</v>
      </c>
      <c r="C241" s="1">
        <f>B241*(1+Inflation!Z19)*(1+Inflation!AD19)</f>
        <v>16317087368.541365</v>
      </c>
      <c r="E241" s="29"/>
      <c r="G241" s="37"/>
      <c r="AP241" s="30"/>
    </row>
    <row r="242" spans="1:42" ht="15" customHeight="1" x14ac:dyDescent="0.35">
      <c r="A242" s="179" t="str">
        <f t="shared" ref="A242:A244" si="22">B305</f>
        <v>Method 1: RFI G tables</v>
      </c>
      <c r="B242" s="254">
        <f>Data!BM80</f>
        <v>6457874288.4572058</v>
      </c>
      <c r="E242" s="29"/>
      <c r="G242" s="37"/>
      <c r="AP242" s="30"/>
    </row>
    <row r="243" spans="1:42" ht="15" customHeight="1" x14ac:dyDescent="0.35">
      <c r="A243" s="179" t="str">
        <f t="shared" si="22"/>
        <v>Method 2: Original NZ$185bn</v>
      </c>
      <c r="B243" s="254">
        <f>Data!BN80</f>
        <v>14851415364.222715</v>
      </c>
      <c r="E243" s="29"/>
      <c r="G243" s="37"/>
      <c r="AP243" s="30"/>
    </row>
    <row r="244" spans="1:42" ht="15" customHeight="1" x14ac:dyDescent="0.35">
      <c r="A244" s="179" t="str">
        <f t="shared" si="22"/>
        <v>Method 3: Revised NZ$185bn</v>
      </c>
      <c r="B244" s="254">
        <f>Data!BO80</f>
        <v>13881957146.436401</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13881957146.436401</v>
      </c>
      <c r="C248" s="1">
        <f>C241*B246</f>
        <v>16317087368.541365</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462731904.88121337</v>
      </c>
      <c r="C252" s="1">
        <f>C248/C250</f>
        <v>543902912.2847122</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185092761.95248535</v>
      </c>
      <c r="C256" s="1">
        <f>$C$252*C254</f>
        <v>217561164.91388488</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462731904.88121337</v>
      </c>
      <c r="C260" s="1">
        <f>$C$252*C258</f>
        <v>543902912.2847122</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1.5999999999999996</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740371047.80994141</v>
      </c>
      <c r="C264" s="1">
        <f>$C$252*C262</f>
        <v>870244659.65553927</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0.13059073356504303</v>
      </c>
      <c r="E273" s="29"/>
      <c r="G273" s="37"/>
      <c r="AP273" s="30"/>
    </row>
    <row r="274" spans="1:42" ht="15" customHeight="1" x14ac:dyDescent="0.35">
      <c r="A274" s="51"/>
      <c r="B274" s="28"/>
      <c r="E274" s="29"/>
      <c r="G274" s="37"/>
      <c r="AP274" s="30"/>
    </row>
    <row r="275" spans="1:42" ht="15" customHeight="1" x14ac:dyDescent="0.35">
      <c r="A275" s="51" t="s">
        <v>333</v>
      </c>
      <c r="B275" s="258">
        <f>B271*B273</f>
        <v>3.9177220069512905E-3</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229700559.95634791</v>
      </c>
      <c r="G277" s="6">
        <f t="shared" si="23"/>
        <v>229700559.95634791</v>
      </c>
      <c r="H277" s="6">
        <f t="shared" si="23"/>
        <v>229700559.95634791</v>
      </c>
      <c r="I277" s="6">
        <f t="shared" si="23"/>
        <v>229700559.95634791</v>
      </c>
      <c r="J277" s="6">
        <f t="shared" si="23"/>
        <v>229700559.95634791</v>
      </c>
      <c r="K277" s="6">
        <f t="shared" si="23"/>
        <v>229700559.95634791</v>
      </c>
      <c r="L277" s="6">
        <f t="shared" si="23"/>
        <v>229700559.95634791</v>
      </c>
      <c r="M277" s="6">
        <f t="shared" si="23"/>
        <v>229700559.95634791</v>
      </c>
      <c r="N277" s="6">
        <f t="shared" si="23"/>
        <v>229700559.95634791</v>
      </c>
      <c r="O277" s="6">
        <f t="shared" si="23"/>
        <v>229700559.95634791</v>
      </c>
      <c r="P277" s="6">
        <f t="shared" si="23"/>
        <v>229700559.95634791</v>
      </c>
      <c r="Q277" s="6">
        <f t="shared" si="23"/>
        <v>229700559.95634791</v>
      </c>
      <c r="R277" s="6">
        <f t="shared" si="23"/>
        <v>229700559.95634791</v>
      </c>
      <c r="S277" s="6">
        <f t="shared" si="23"/>
        <v>229700559.95634791</v>
      </c>
      <c r="T277" s="6">
        <f t="shared" si="23"/>
        <v>229700559.95634791</v>
      </c>
      <c r="U277" s="6">
        <f t="shared" si="23"/>
        <v>229700559.95634791</v>
      </c>
      <c r="V277" s="6">
        <f t="shared" si="23"/>
        <v>229700559.95634791</v>
      </c>
      <c r="W277" s="6">
        <f t="shared" si="23"/>
        <v>229700559.95634791</v>
      </c>
      <c r="X277" s="6">
        <f t="shared" si="23"/>
        <v>229700559.95634791</v>
      </c>
      <c r="Y277" s="6">
        <f t="shared" si="23"/>
        <v>229700559.95634791</v>
      </c>
      <c r="Z277" s="6">
        <f t="shared" si="23"/>
        <v>229700559.95634791</v>
      </c>
      <c r="AA277" s="6">
        <f t="shared" si="23"/>
        <v>229700559.95634791</v>
      </c>
      <c r="AB277" s="6">
        <f t="shared" si="23"/>
        <v>229700559.95634791</v>
      </c>
      <c r="AC277" s="6">
        <f t="shared" si="23"/>
        <v>229700559.95634791</v>
      </c>
      <c r="AD277" s="6">
        <f t="shared" si="23"/>
        <v>229700559.95634791</v>
      </c>
      <c r="AE277" s="6">
        <f t="shared" si="23"/>
        <v>229700559.95634791</v>
      </c>
      <c r="AF277" s="6">
        <f t="shared" si="23"/>
        <v>229700559.95634791</v>
      </c>
      <c r="AG277" s="6">
        <f t="shared" si="23"/>
        <v>229700559.95634791</v>
      </c>
      <c r="AH277" s="6">
        <f t="shared" si="23"/>
        <v>229700559.95634791</v>
      </c>
      <c r="AI277" s="6">
        <f t="shared" si="23"/>
        <v>229700559.95634791</v>
      </c>
      <c r="AJ277" s="6">
        <f t="shared" si="23"/>
        <v>229700559.95634791</v>
      </c>
      <c r="AK277" s="6">
        <f t="shared" si="23"/>
        <v>229700559.95634791</v>
      </c>
      <c r="AL277" s="6">
        <f t="shared" si="23"/>
        <v>229700559.95634791</v>
      </c>
      <c r="AM277" s="6">
        <f t="shared" si="23"/>
        <v>229700559.95634791</v>
      </c>
      <c r="AN277" s="6">
        <f t="shared" si="23"/>
        <v>229700559.95634791</v>
      </c>
      <c r="AO277" s="6">
        <f t="shared" si="23"/>
        <v>229700559.95634791</v>
      </c>
      <c r="AP277" s="64">
        <f t="shared" si="23"/>
        <v>229700559.95634791</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217561164.91388488</v>
      </c>
      <c r="G279" s="6">
        <f t="shared" ref="G279:AE279" si="24">IF(G$276&lt;=$C$255,$C$256,IF(G$276&lt;=$C$259,$C$260,IF(G$276&lt;=$C$263,$C$264,0)))</f>
        <v>217561164.91388488</v>
      </c>
      <c r="H279" s="6">
        <f t="shared" si="24"/>
        <v>217561164.91388488</v>
      </c>
      <c r="I279" s="6">
        <f t="shared" si="24"/>
        <v>217561164.91388488</v>
      </c>
      <c r="J279" s="6">
        <f t="shared" si="24"/>
        <v>217561164.91388488</v>
      </c>
      <c r="K279" s="6">
        <f t="shared" si="24"/>
        <v>217561164.91388488</v>
      </c>
      <c r="L279" s="6">
        <f t="shared" si="24"/>
        <v>217561164.91388488</v>
      </c>
      <c r="M279" s="6">
        <f t="shared" si="24"/>
        <v>217561164.91388488</v>
      </c>
      <c r="N279" s="6">
        <f t="shared" si="24"/>
        <v>217561164.91388488</v>
      </c>
      <c r="O279" s="6">
        <f t="shared" si="24"/>
        <v>217561164.91388488</v>
      </c>
      <c r="P279" s="6">
        <f t="shared" si="24"/>
        <v>543902912.2847122</v>
      </c>
      <c r="Q279" s="6">
        <f t="shared" si="24"/>
        <v>543902912.2847122</v>
      </c>
      <c r="R279" s="6">
        <f t="shared" si="24"/>
        <v>543902912.2847122</v>
      </c>
      <c r="S279" s="6">
        <f t="shared" si="24"/>
        <v>543902912.2847122</v>
      </c>
      <c r="T279" s="6">
        <f t="shared" si="24"/>
        <v>543902912.2847122</v>
      </c>
      <c r="U279" s="6">
        <f t="shared" si="24"/>
        <v>543902912.2847122</v>
      </c>
      <c r="V279" s="6">
        <f t="shared" si="24"/>
        <v>543902912.2847122</v>
      </c>
      <c r="W279" s="6">
        <f t="shared" si="24"/>
        <v>543902912.2847122</v>
      </c>
      <c r="X279" s="6">
        <f t="shared" si="24"/>
        <v>543902912.2847122</v>
      </c>
      <c r="Y279" s="6">
        <f t="shared" si="24"/>
        <v>543902912.2847122</v>
      </c>
      <c r="Z279" s="6">
        <f t="shared" si="24"/>
        <v>870244659.65553927</v>
      </c>
      <c r="AA279" s="6">
        <f t="shared" si="24"/>
        <v>870244659.65553927</v>
      </c>
      <c r="AB279" s="6">
        <f t="shared" si="24"/>
        <v>870244659.65553927</v>
      </c>
      <c r="AC279" s="6">
        <f t="shared" si="24"/>
        <v>870244659.65553927</v>
      </c>
      <c r="AD279" s="6">
        <f t="shared" si="24"/>
        <v>870244659.65553927</v>
      </c>
      <c r="AE279" s="6">
        <f t="shared" si="24"/>
        <v>870244659.65553927</v>
      </c>
      <c r="AF279" s="6">
        <f>IF(AF$276&lt;=$C$255,$C$256,IF(AF$276&lt;=$C$259,$C$260,IF(AF$276&lt;=$C$263,$C$264,0)))</f>
        <v>870244659.65553927</v>
      </c>
      <c r="AG279" s="6">
        <f t="shared" ref="AG279:AI279" si="25">IF(AG$276&lt;=$C$255,$C$256,IF(AG$276&lt;=$C$259,$C$260,IF(AG$276&lt;=$C$263,$C$264,0)))</f>
        <v>870244659.65553927</v>
      </c>
      <c r="AH279" s="6">
        <f t="shared" si="25"/>
        <v>870244659.65553927</v>
      </c>
      <c r="AI279" s="6">
        <f t="shared" si="25"/>
        <v>870244659.65553927</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16317087368.541355</v>
      </c>
      <c r="C281" s="161"/>
      <c r="D281" s="161"/>
      <c r="E281" s="161"/>
      <c r="F281" s="6">
        <f t="shared" ref="F281:AP281" si="27">F279+F280</f>
        <v>217561164.91388488</v>
      </c>
      <c r="G281" s="6">
        <f t="shared" si="27"/>
        <v>217561164.91388488</v>
      </c>
      <c r="H281" s="6">
        <f t="shared" si="27"/>
        <v>217561164.91388488</v>
      </c>
      <c r="I281" s="6">
        <f t="shared" si="27"/>
        <v>217561164.91388488</v>
      </c>
      <c r="J281" s="6">
        <f t="shared" si="27"/>
        <v>217561164.91388488</v>
      </c>
      <c r="K281" s="6">
        <f t="shared" si="27"/>
        <v>217561164.91388488</v>
      </c>
      <c r="L281" s="6">
        <f t="shared" si="27"/>
        <v>217561164.91388488</v>
      </c>
      <c r="M281" s="6">
        <f t="shared" si="27"/>
        <v>217561164.91388488</v>
      </c>
      <c r="N281" s="6">
        <f t="shared" si="27"/>
        <v>217561164.91388488</v>
      </c>
      <c r="O281" s="6">
        <f t="shared" si="27"/>
        <v>217561164.91388488</v>
      </c>
      <c r="P281" s="6">
        <f t="shared" si="27"/>
        <v>543902912.2847122</v>
      </c>
      <c r="Q281" s="6">
        <f t="shared" si="27"/>
        <v>543902912.2847122</v>
      </c>
      <c r="R281" s="6">
        <f t="shared" si="27"/>
        <v>543902912.2847122</v>
      </c>
      <c r="S281" s="6">
        <f t="shared" si="27"/>
        <v>543902912.2847122</v>
      </c>
      <c r="T281" s="6">
        <f t="shared" si="27"/>
        <v>543902912.2847122</v>
      </c>
      <c r="U281" s="6">
        <f t="shared" si="27"/>
        <v>543902912.2847122</v>
      </c>
      <c r="V281" s="6">
        <f t="shared" si="27"/>
        <v>543902912.2847122</v>
      </c>
      <c r="W281" s="6">
        <f t="shared" si="27"/>
        <v>543902912.2847122</v>
      </c>
      <c r="X281" s="6">
        <f t="shared" si="27"/>
        <v>543902912.2847122</v>
      </c>
      <c r="Y281" s="6">
        <f t="shared" si="27"/>
        <v>543902912.2847122</v>
      </c>
      <c r="Z281" s="6">
        <f t="shared" si="27"/>
        <v>870244659.65553927</v>
      </c>
      <c r="AA281" s="6">
        <f t="shared" si="27"/>
        <v>870244659.65553927</v>
      </c>
      <c r="AB281" s="6">
        <f t="shared" si="27"/>
        <v>870244659.65553927</v>
      </c>
      <c r="AC281" s="6">
        <f t="shared" si="27"/>
        <v>870244659.65553927</v>
      </c>
      <c r="AD281" s="6">
        <f t="shared" si="27"/>
        <v>870244659.65553927</v>
      </c>
      <c r="AE281" s="6">
        <f t="shared" si="27"/>
        <v>870244659.65553927</v>
      </c>
      <c r="AF281" s="6">
        <f t="shared" si="27"/>
        <v>870244659.65553927</v>
      </c>
      <c r="AG281" s="6">
        <f t="shared" si="27"/>
        <v>870244659.65553927</v>
      </c>
      <c r="AH281" s="6">
        <f t="shared" si="27"/>
        <v>870244659.65553927</v>
      </c>
      <c r="AI281" s="6">
        <f t="shared" si="27"/>
        <v>870244659.65553927</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43512232.982776977</v>
      </c>
      <c r="G282" s="6">
        <f>$B282*G$281</f>
        <v>43512232.982776977</v>
      </c>
      <c r="H282" s="6">
        <f t="shared" si="28"/>
        <v>43512232.982776977</v>
      </c>
      <c r="I282" s="6">
        <f t="shared" si="28"/>
        <v>43512232.982776977</v>
      </c>
      <c r="J282" s="6">
        <f t="shared" si="28"/>
        <v>43512232.982776977</v>
      </c>
      <c r="K282" s="6">
        <f t="shared" si="28"/>
        <v>43512232.982776977</v>
      </c>
      <c r="L282" s="6">
        <f t="shared" si="28"/>
        <v>43512232.982776977</v>
      </c>
      <c r="M282" s="6">
        <f t="shared" ref="M282:V283" si="29">$B282*M$281</f>
        <v>43512232.982776977</v>
      </c>
      <c r="N282" s="6">
        <f t="shared" si="29"/>
        <v>43512232.982776977</v>
      </c>
      <c r="O282" s="6">
        <f t="shared" si="29"/>
        <v>43512232.982776977</v>
      </c>
      <c r="P282" s="6">
        <f t="shared" si="29"/>
        <v>108780582.45694244</v>
      </c>
      <c r="Q282" s="6">
        <f t="shared" si="29"/>
        <v>108780582.45694244</v>
      </c>
      <c r="R282" s="6">
        <f t="shared" si="29"/>
        <v>108780582.45694244</v>
      </c>
      <c r="S282" s="6">
        <f t="shared" si="29"/>
        <v>108780582.45694244</v>
      </c>
      <c r="T282" s="6">
        <f t="shared" si="29"/>
        <v>108780582.45694244</v>
      </c>
      <c r="U282" s="6">
        <f t="shared" si="29"/>
        <v>108780582.45694244</v>
      </c>
      <c r="V282" s="6">
        <f t="shared" si="29"/>
        <v>108780582.45694244</v>
      </c>
      <c r="W282" s="6">
        <f t="shared" ref="W282:AF283" si="30">$B282*W$281</f>
        <v>108780582.45694244</v>
      </c>
      <c r="X282" s="6">
        <f t="shared" si="30"/>
        <v>108780582.45694244</v>
      </c>
      <c r="Y282" s="6">
        <f t="shared" si="30"/>
        <v>108780582.45694244</v>
      </c>
      <c r="Z282" s="6">
        <f t="shared" si="30"/>
        <v>174048931.93110788</v>
      </c>
      <c r="AA282" s="6">
        <f t="shared" si="30"/>
        <v>174048931.93110788</v>
      </c>
      <c r="AB282" s="6">
        <f t="shared" si="30"/>
        <v>174048931.93110788</v>
      </c>
      <c r="AC282" s="6">
        <f t="shared" si="30"/>
        <v>174048931.93110788</v>
      </c>
      <c r="AD282" s="6">
        <f t="shared" si="30"/>
        <v>174048931.93110788</v>
      </c>
      <c r="AE282" s="6">
        <f t="shared" si="30"/>
        <v>174048931.93110788</v>
      </c>
      <c r="AF282" s="6">
        <f t="shared" si="30"/>
        <v>174048931.93110788</v>
      </c>
      <c r="AG282" s="6">
        <f t="shared" ref="AG282:AP283" si="31">$B282*AG$281</f>
        <v>174048931.93110788</v>
      </c>
      <c r="AH282" s="6">
        <f t="shared" si="31"/>
        <v>174048931.93110788</v>
      </c>
      <c r="AI282" s="6">
        <f t="shared" si="31"/>
        <v>174048931.93110788</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174048931.93110791</v>
      </c>
      <c r="G283" s="6">
        <f t="shared" si="28"/>
        <v>174048931.93110791</v>
      </c>
      <c r="H283" s="6">
        <f t="shared" si="28"/>
        <v>174048931.93110791</v>
      </c>
      <c r="I283" s="6">
        <f t="shared" si="28"/>
        <v>174048931.93110791</v>
      </c>
      <c r="J283" s="6">
        <f t="shared" si="28"/>
        <v>174048931.93110791</v>
      </c>
      <c r="K283" s="6">
        <f t="shared" si="28"/>
        <v>174048931.93110791</v>
      </c>
      <c r="L283" s="6">
        <f t="shared" si="28"/>
        <v>174048931.93110791</v>
      </c>
      <c r="M283" s="6">
        <f t="shared" si="29"/>
        <v>174048931.93110791</v>
      </c>
      <c r="N283" s="6">
        <f t="shared" si="29"/>
        <v>174048931.93110791</v>
      </c>
      <c r="O283" s="6">
        <f t="shared" si="29"/>
        <v>174048931.93110791</v>
      </c>
      <c r="P283" s="6">
        <f t="shared" si="29"/>
        <v>435122329.82776976</v>
      </c>
      <c r="Q283" s="6">
        <f t="shared" si="29"/>
        <v>435122329.82776976</v>
      </c>
      <c r="R283" s="6">
        <f t="shared" si="29"/>
        <v>435122329.82776976</v>
      </c>
      <c r="S283" s="6">
        <f t="shared" si="29"/>
        <v>435122329.82776976</v>
      </c>
      <c r="T283" s="6">
        <f t="shared" si="29"/>
        <v>435122329.82776976</v>
      </c>
      <c r="U283" s="6">
        <f t="shared" si="29"/>
        <v>435122329.82776976</v>
      </c>
      <c r="V283" s="6">
        <f t="shared" si="29"/>
        <v>435122329.82776976</v>
      </c>
      <c r="W283" s="6">
        <f t="shared" si="30"/>
        <v>435122329.82776976</v>
      </c>
      <c r="X283" s="6">
        <f t="shared" si="30"/>
        <v>435122329.82776976</v>
      </c>
      <c r="Y283" s="6">
        <f t="shared" si="30"/>
        <v>435122329.82776976</v>
      </c>
      <c r="Z283" s="6">
        <f t="shared" si="30"/>
        <v>696195727.72443151</v>
      </c>
      <c r="AA283" s="6">
        <f t="shared" si="30"/>
        <v>696195727.72443151</v>
      </c>
      <c r="AB283" s="6">
        <f t="shared" si="30"/>
        <v>696195727.72443151</v>
      </c>
      <c r="AC283" s="6">
        <f t="shared" si="30"/>
        <v>696195727.72443151</v>
      </c>
      <c r="AD283" s="6">
        <f t="shared" si="30"/>
        <v>696195727.72443151</v>
      </c>
      <c r="AE283" s="6">
        <f t="shared" si="30"/>
        <v>696195727.72443151</v>
      </c>
      <c r="AF283" s="6">
        <f t="shared" si="30"/>
        <v>696195727.72443151</v>
      </c>
      <c r="AG283" s="6">
        <f t="shared" si="31"/>
        <v>696195727.72443151</v>
      </c>
      <c r="AH283" s="6">
        <f t="shared" si="31"/>
        <v>696195727.72443151</v>
      </c>
      <c r="AI283" s="6">
        <f t="shared" si="31"/>
        <v>696195727.72443151</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-2552125.6429880708</v>
      </c>
      <c r="I285" s="6">
        <f t="shared" si="32"/>
        <v>-4954561.3056854159</v>
      </c>
      <c r="J285" s="6">
        <f t="shared" si="32"/>
        <v>-7216086.7635944709</v>
      </c>
      <c r="K285" s="6">
        <f t="shared" si="32"/>
        <v>-9344966.8315120637</v>
      </c>
      <c r="L285" s="6">
        <f t="shared" si="32"/>
        <v>-11348981.567550931</v>
      </c>
      <c r="M285" s="6">
        <f t="shared" si="32"/>
        <v>-12312979.929233555</v>
      </c>
      <c r="N285" s="6">
        <f t="shared" si="32"/>
        <v>-13248085.290350728</v>
      </c>
      <c r="O285" s="6">
        <f t="shared" si="32"/>
        <v>-14155163.633164309</v>
      </c>
      <c r="P285" s="6">
        <f t="shared" si="32"/>
        <v>-37587637.461695924</v>
      </c>
      <c r="Q285" s="6">
        <f t="shared" si="32"/>
        <v>-39721435.486428261</v>
      </c>
      <c r="R285" s="6">
        <f t="shared" si="32"/>
        <v>-41305670.146552235</v>
      </c>
      <c r="S285" s="6">
        <f t="shared" si="32"/>
        <v>-42853562.054579809</v>
      </c>
      <c r="T285" s="6">
        <f t="shared" si="32"/>
        <v>-44365944.92262648</v>
      </c>
      <c r="U285" s="6">
        <f t="shared" si="32"/>
        <v>-45843633.337236591</v>
      </c>
      <c r="V285" s="6">
        <f t="shared" si="32"/>
        <v>-47287423.198128857</v>
      </c>
      <c r="W285" s="6">
        <f t="shared" si="32"/>
        <v>-47287423.198128857</v>
      </c>
      <c r="X285" s="6">
        <f t="shared" si="32"/>
        <v>-47287423.198128857</v>
      </c>
      <c r="Y285" s="6">
        <f t="shared" si="32"/>
        <v>-47287423.198128857</v>
      </c>
      <c r="Z285" s="6">
        <f t="shared" si="32"/>
        <v>-75659877.117006153</v>
      </c>
      <c r="AA285" s="6">
        <f t="shared" si="32"/>
        <v>-75659877.117006153</v>
      </c>
      <c r="AB285" s="6">
        <f t="shared" si="32"/>
        <v>-75659877.117006153</v>
      </c>
      <c r="AC285" s="6">
        <f t="shared" si="32"/>
        <v>-75659877.117006153</v>
      </c>
      <c r="AD285" s="6">
        <f t="shared" si="32"/>
        <v>-75659877.117006153</v>
      </c>
      <c r="AE285" s="6">
        <f t="shared" si="32"/>
        <v>-75659877.117006153</v>
      </c>
      <c r="AF285" s="6">
        <f t="shared" si="32"/>
        <v>-75659877.117006153</v>
      </c>
      <c r="AG285" s="6">
        <f t="shared" si="32"/>
        <v>-75659877.117006153</v>
      </c>
      <c r="AH285" s="6">
        <f t="shared" si="32"/>
        <v>-75659877.117006153</v>
      </c>
      <c r="AI285" s="6">
        <f t="shared" si="32"/>
        <v>-75659877.117006153</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-11020349.326280177</v>
      </c>
      <c r="I286" s="6">
        <f t="shared" si="33"/>
        <v>-21342917.299203247</v>
      </c>
      <c r="J286" s="6">
        <f t="shared" si="33"/>
        <v>-31011885.713980764</v>
      </c>
      <c r="K286" s="6">
        <f t="shared" si="33"/>
        <v>-40068638.883462772</v>
      </c>
      <c r="L286" s="6">
        <f t="shared" si="33"/>
        <v>-48551940.767825186</v>
      </c>
      <c r="M286" s="6">
        <f t="shared" si="33"/>
        <v>-52701593.910189927</v>
      </c>
      <c r="N286" s="6">
        <f t="shared" si="33"/>
        <v>-56714035.625871673</v>
      </c>
      <c r="O286" s="6">
        <f t="shared" si="33"/>
        <v>-60593802.914703056</v>
      </c>
      <c r="P286" s="6">
        <f t="shared" si="33"/>
        <v>-160863206.89294523</v>
      </c>
      <c r="Q286" s="6">
        <f t="shared" si="33"/>
        <v>-169931792.68738827</v>
      </c>
      <c r="R286" s="6">
        <f t="shared" si="33"/>
        <v>-176746766.43566769</v>
      </c>
      <c r="S286" s="6">
        <f t="shared" si="33"/>
        <v>-183386606.23048651</v>
      </c>
      <c r="T286" s="6">
        <f t="shared" si="33"/>
        <v>-189855812.73505893</v>
      </c>
      <c r="U286" s="6">
        <f t="shared" si="33"/>
        <v>-196158770.95273447</v>
      </c>
      <c r="V286" s="6">
        <f t="shared" si="33"/>
        <v>-202299753.19927183</v>
      </c>
      <c r="W286" s="6">
        <f t="shared" si="33"/>
        <v>-202299753.19927183</v>
      </c>
      <c r="X286" s="6">
        <f t="shared" si="33"/>
        <v>-202299753.19927183</v>
      </c>
      <c r="Y286" s="6">
        <f t="shared" si="33"/>
        <v>-202299753.19927183</v>
      </c>
      <c r="Z286" s="6">
        <f t="shared" si="33"/>
        <v>-323679605.11883491</v>
      </c>
      <c r="AA286" s="6">
        <f t="shared" si="33"/>
        <v>-323679605.11883491</v>
      </c>
      <c r="AB286" s="6">
        <f t="shared" si="33"/>
        <v>-323679605.11883491</v>
      </c>
      <c r="AC286" s="6">
        <f t="shared" si="33"/>
        <v>-323679605.11883491</v>
      </c>
      <c r="AD286" s="6">
        <f t="shared" si="33"/>
        <v>-323679605.11883491</v>
      </c>
      <c r="AE286" s="6">
        <f t="shared" si="33"/>
        <v>-323679605.11883491</v>
      </c>
      <c r="AF286" s="6">
        <f t="shared" si="33"/>
        <v>-323679605.11883491</v>
      </c>
      <c r="AG286" s="6">
        <f t="shared" si="33"/>
        <v>-323679605.11883491</v>
      </c>
      <c r="AH286" s="6">
        <f t="shared" si="33"/>
        <v>-323679605.11883491</v>
      </c>
      <c r="AI286" s="6">
        <f t="shared" si="33"/>
        <v>-323679605.11883491</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-711536.01098716259</v>
      </c>
      <c r="G287" s="6">
        <f>(G281*G$235)-G281</f>
        <v>-1420744.9361861646</v>
      </c>
      <c r="H287" s="6">
        <f t="shared" si="34"/>
        <v>-2127634.386354804</v>
      </c>
      <c r="I287" s="6">
        <f t="shared" si="34"/>
        <v>-2832211.9473598599</v>
      </c>
      <c r="J287" s="6">
        <f t="shared" si="34"/>
        <v>-3534485.1802584231</v>
      </c>
      <c r="K287" s="6">
        <f t="shared" si="34"/>
        <v>-4234461.6213791072</v>
      </c>
      <c r="L287" s="6">
        <f t="shared" si="34"/>
        <v>-4932148.7824029028</v>
      </c>
      <c r="M287" s="6">
        <f t="shared" si="34"/>
        <v>-5627554.1504437029</v>
      </c>
      <c r="N287" s="6">
        <f t="shared" si="34"/>
        <v>-6320685.1881287396</v>
      </c>
      <c r="O287" s="6">
        <f t="shared" si="34"/>
        <v>-7011549.3336786926</v>
      </c>
      <c r="P287" s="6">
        <f t="shared" si="34"/>
        <v>-19250385.002468526</v>
      </c>
      <c r="Q287" s="6">
        <f t="shared" si="34"/>
        <v>-20966266.449253917</v>
      </c>
      <c r="R287" s="6">
        <f t="shared" si="34"/>
        <v>-22676536.088249683</v>
      </c>
      <c r="S287" s="6">
        <f t="shared" si="34"/>
        <v>-24381212.272930562</v>
      </c>
      <c r="T287" s="6">
        <f t="shared" si="34"/>
        <v>-26080313.296745956</v>
      </c>
      <c r="U287" s="6">
        <f t="shared" si="34"/>
        <v>-27773857.393316448</v>
      </c>
      <c r="V287" s="6">
        <f t="shared" si="34"/>
        <v>-29461862.736629307</v>
      </c>
      <c r="W287" s="6">
        <f t="shared" si="34"/>
        <v>-31144347.441233575</v>
      </c>
      <c r="X287" s="6">
        <f t="shared" si="34"/>
        <v>-32821329.562434554</v>
      </c>
      <c r="Y287" s="6">
        <f t="shared" si="34"/>
        <v>-34492827.096487343</v>
      </c>
      <c r="Z287" s="6">
        <f t="shared" si="34"/>
        <v>-57854172.769264579</v>
      </c>
      <c r="AA287" s="6">
        <f t="shared" si="34"/>
        <v>-60511104.150523663</v>
      </c>
      <c r="AB287" s="6">
        <f t="shared" si="34"/>
        <v>-63159346.010575056</v>
      </c>
      <c r="AC287" s="6">
        <f t="shared" si="34"/>
        <v>-65798926.768586636</v>
      </c>
      <c r="AD287" s="6">
        <f t="shared" si="34"/>
        <v>-68429874.750781059</v>
      </c>
      <c r="AE287" s="6">
        <f t="shared" si="34"/>
        <v>-71052218.190739512</v>
      </c>
      <c r="AF287" s="6">
        <f t="shared" si="34"/>
        <v>-73665985.229705572</v>
      </c>
      <c r="AG287" s="6">
        <f t="shared" ref="AG287:AP287" si="35">(AG281*AG$235)-AG281</f>
        <v>-76271203.916886091</v>
      </c>
      <c r="AH287" s="6">
        <f t="shared" si="35"/>
        <v>-78867902.209752798</v>
      </c>
      <c r="AI287" s="6">
        <f t="shared" si="35"/>
        <v>-81456107.974342346</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216849628.90289772</v>
      </c>
      <c r="G289" s="6">
        <f>G281+G285+G286+G287</f>
        <v>216140419.97769871</v>
      </c>
      <c r="H289" s="6">
        <f t="shared" si="36"/>
        <v>201861055.55826181</v>
      </c>
      <c r="I289" s="6">
        <f t="shared" si="36"/>
        <v>188431474.36163637</v>
      </c>
      <c r="J289" s="6">
        <f t="shared" si="36"/>
        <v>175798707.25605121</v>
      </c>
      <c r="K289" s="6">
        <f t="shared" si="36"/>
        <v>163913097.57753095</v>
      </c>
      <c r="L289" s="6">
        <f t="shared" si="36"/>
        <v>152728093.79610586</v>
      </c>
      <c r="M289" s="6">
        <f t="shared" si="36"/>
        <v>146919036.9240177</v>
      </c>
      <c r="N289" s="6">
        <f t="shared" si="36"/>
        <v>141278358.80953375</v>
      </c>
      <c r="O289" s="6">
        <f t="shared" si="36"/>
        <v>135800649.03233883</v>
      </c>
      <c r="P289" s="6">
        <f t="shared" si="36"/>
        <v>326201682.92760253</v>
      </c>
      <c r="Q289" s="6">
        <f t="shared" si="36"/>
        <v>313283417.66164172</v>
      </c>
      <c r="R289" s="6">
        <f t="shared" si="36"/>
        <v>303173939.61424261</v>
      </c>
      <c r="S289" s="6">
        <f t="shared" si="36"/>
        <v>293281531.72671533</v>
      </c>
      <c r="T289" s="6">
        <f t="shared" si="36"/>
        <v>283600841.33028084</v>
      </c>
      <c r="U289" s="6">
        <f t="shared" si="36"/>
        <v>274126650.60142469</v>
      </c>
      <c r="V289" s="6">
        <f t="shared" si="36"/>
        <v>264853873.15068215</v>
      </c>
      <c r="W289" s="6">
        <f t="shared" si="36"/>
        <v>263171388.44607788</v>
      </c>
      <c r="X289" s="6">
        <f t="shared" si="36"/>
        <v>261494406.3248769</v>
      </c>
      <c r="Y289" s="6">
        <f t="shared" si="36"/>
        <v>259822908.79082412</v>
      </c>
      <c r="Z289" s="6">
        <f t="shared" si="36"/>
        <v>413051004.6504336</v>
      </c>
      <c r="AA289" s="6">
        <f t="shared" si="36"/>
        <v>410394073.26917452</v>
      </c>
      <c r="AB289" s="6">
        <f t="shared" si="36"/>
        <v>407745831.40912312</v>
      </c>
      <c r="AC289" s="6">
        <f t="shared" si="36"/>
        <v>405106250.65111154</v>
      </c>
      <c r="AD289" s="6">
        <f t="shared" si="36"/>
        <v>402475302.66891712</v>
      </c>
      <c r="AE289" s="6">
        <f t="shared" si="36"/>
        <v>399852959.22895867</v>
      </c>
      <c r="AF289" s="6">
        <f t="shared" si="36"/>
        <v>397239192.18999261</v>
      </c>
      <c r="AG289" s="6">
        <f t="shared" si="36"/>
        <v>394633973.50281209</v>
      </c>
      <c r="AH289" s="6">
        <f t="shared" si="36"/>
        <v>392037275.20994538</v>
      </c>
      <c r="AI289" s="6">
        <f t="shared" si="36"/>
        <v>389449069.44535583</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5204391.0936695449</v>
      </c>
      <c r="G291" s="6">
        <f>(SUM($C$289:G289)*$B$266/$B$268)+(SUM($C$289:G289)*$B$267/$B$269)</f>
        <v>10391761.173134314</v>
      </c>
      <c r="H291" s="6">
        <f>(SUM($C$289:H289)*$B$266/$B$268)+(SUM($C$289:H289)*$B$267/$B$269)</f>
        <v>15236426.506532598</v>
      </c>
      <c r="I291" s="6">
        <f>(SUM($C$289:I289)*$B$266/$B$268)+(SUM($C$289:I289)*$B$267/$B$269)</f>
        <v>19758781.891211871</v>
      </c>
      <c r="J291" s="6">
        <f>(SUM($C$289:J289)*$B$266/$B$268)+(SUM($C$289:J289)*$B$267/$B$269)</f>
        <v>23977950.865357101</v>
      </c>
      <c r="K291" s="6">
        <f>(SUM($C$289:K289)*$B$266/$B$268)+(SUM($C$289:K289)*$B$267/$B$269)</f>
        <v>27911865.207217842</v>
      </c>
      <c r="L291" s="6">
        <f>(SUM($C$289:L289)*$B$266/$B$268)+(SUM($C$289:L289)*$B$267/$B$269)</f>
        <v>31577339.458324384</v>
      </c>
      <c r="M291" s="6">
        <f>(SUM($C$289:M289)*$B$266/$B$268)+(SUM($C$289:M289)*$B$267/$B$269)</f>
        <v>35103396.34450081</v>
      </c>
      <c r="N291" s="6">
        <f>(SUM($C$289:N289)*$B$266/$B$268)+(SUM($C$289:N289)*$B$267/$B$269)</f>
        <v>38494076.955929615</v>
      </c>
      <c r="O291" s="6">
        <f>(SUM($C$289:O289)*$B$266/$B$268)+(SUM($C$289:O289)*$B$267/$B$269)</f>
        <v>41753292.532705754</v>
      </c>
      <c r="P291" s="6">
        <f>(SUM($C$289:P289)*$B$266/$B$268)+(SUM($C$289:P289)*$B$267/$B$269)</f>
        <v>49582132.922968216</v>
      </c>
      <c r="Q291" s="6">
        <f>(SUM($C$289:Q289)*$B$266/$B$268)+(SUM($C$289:Q289)*$B$267/$B$269)</f>
        <v>57100934.946847618</v>
      </c>
      <c r="R291" s="6">
        <f>(SUM($C$289:R289)*$B$266/$B$268)+(SUM($C$289:R289)*$B$267/$B$269)</f>
        <v>64377109.497589439</v>
      </c>
      <c r="S291" s="6">
        <f>(SUM($C$289:S289)*$B$266/$B$268)+(SUM($C$289:S289)*$B$267/$B$269)</f>
        <v>71415866.259030595</v>
      </c>
      <c r="T291" s="6">
        <f>(SUM($C$289:T289)*$B$266/$B$268)+(SUM($C$289:T289)*$B$267/$B$269)</f>
        <v>78222286.450957343</v>
      </c>
      <c r="U291" s="6">
        <f>(SUM($C$289:U289)*$B$266/$B$268)+(SUM($C$289:U289)*$B$267/$B$269)</f>
        <v>84801326.065391526</v>
      </c>
      <c r="V291" s="6">
        <f>(SUM($C$289:V289)*$B$266/$B$268)+(SUM($C$289:V289)*$B$267/$B$269)</f>
        <v>91157819.02100791</v>
      </c>
      <c r="W291" s="6">
        <f>(SUM($C$289:W289)*$B$266/$B$268)+(SUM($C$289:W289)*$B$267/$B$269)</f>
        <v>97473932.34371376</v>
      </c>
      <c r="X291" s="6">
        <f>(SUM($C$289:X289)*$B$266/$B$268)+(SUM($C$289:X289)*$B$267/$B$269)</f>
        <v>103749798.09551081</v>
      </c>
      <c r="Y291" s="6">
        <f>(SUM($C$289:Y289)*$B$266/$B$268)+(SUM($C$289:Y289)*$B$267/$B$269)</f>
        <v>109985547.90649056</v>
      </c>
      <c r="Z291" s="6">
        <f>(SUM($C$289:Z289)*$B$266/$B$268)+(SUM($C$289:Z289)*$B$267/$B$269)</f>
        <v>119898772.01810099</v>
      </c>
      <c r="AA291" s="6">
        <f>(SUM($C$289:AA289)*$B$266/$B$268)+(SUM($C$289:AA289)*$B$267/$B$269)</f>
        <v>129748229.77656119</v>
      </c>
      <c r="AB291" s="6">
        <f>(SUM($C$289:AB289)*$B$266/$B$268)+(SUM($C$289:AB289)*$B$267/$B$269)</f>
        <v>139534129.73038015</v>
      </c>
      <c r="AC291" s="6">
        <f>(SUM($C$289:AC289)*$B$266/$B$268)+(SUM($C$289:AC289)*$B$267/$B$269)</f>
        <v>149256679.74600682</v>
      </c>
      <c r="AD291" s="6">
        <f>(SUM($C$289:AD289)*$B$266/$B$268)+(SUM($C$289:AD289)*$B$267/$B$269)</f>
        <v>158916087.01006082</v>
      </c>
      <c r="AE291" s="6">
        <f>(SUM($C$289:AE289)*$B$266/$B$268)+(SUM($C$289:AE289)*$B$267/$B$269)</f>
        <v>168512558.03155583</v>
      </c>
      <c r="AF291" s="6">
        <f>(SUM($C$289:AF289)*$B$266/$B$268)+(SUM($C$289:AF289)*$B$267/$B$269)</f>
        <v>178046298.64411569</v>
      </c>
      <c r="AG291" s="6">
        <f>(SUM($C$289:AG289)*$B$266/$B$268)+(SUM($C$289:AG289)*$B$267/$B$269)</f>
        <v>187517514.00818318</v>
      </c>
      <c r="AH291" s="6">
        <f>(SUM($C$289:AH289)*$B$266/$B$268)+(SUM($C$289:AH289)*$B$267/$B$269)</f>
        <v>196926408.61322185</v>
      </c>
      <c r="AI291" s="6">
        <f>(SUM($C$289:AI289)*$B$266/$B$268)+(SUM($C$289:AI289)*$B$267/$B$269)</f>
        <v>206273186.27991039</v>
      </c>
      <c r="AJ291" s="6">
        <f>(SUM($C$289:AJ289)*$B$266/$B$268)+(SUM($C$289:AJ289)*$B$267/$B$269)</f>
        <v>206273186.27991039</v>
      </c>
      <c r="AK291" s="6">
        <f>(SUM($C$289:AK289)*$B$266/$B$268)+(SUM($C$289:AK289)*$B$267/$B$269)</f>
        <v>206273186.27991039</v>
      </c>
      <c r="AL291" s="6">
        <f>(SUM($C$289:AL289)*$B$266/$B$268)+(SUM($C$289:AL289)*$B$267/$B$269)</f>
        <v>206273186.27991039</v>
      </c>
      <c r="AM291" s="6">
        <f>(SUM($C$289:AM289)*$B$266/$B$268)+(SUM($C$289:AM289)*$B$267/$B$269)</f>
        <v>206273186.27991039</v>
      </c>
      <c r="AN291" s="6">
        <f>(SUM($C$289:AN289)*$B$266/$B$268)+(SUM($C$289:AN289)*$B$267/$B$269)</f>
        <v>206273186.27991039</v>
      </c>
      <c r="AO291" s="6">
        <f>(SUM($C$289:AO289)*$B$266/$B$268)+(SUM($C$289:AO289)*$B$267/$B$269)</f>
        <v>206273186.27991039</v>
      </c>
      <c r="AP291" s="64">
        <f>(SUM($C$289:AP289)*$B$266/$B$268)+(SUM($C$289:AP289)*$B$267/$B$269)</f>
        <v>206273186.27991039</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849556.563352103</v>
      </c>
      <c r="G293" s="1">
        <f>(SUM($C$289:G289)*$B$275)</f>
        <v>1696334.6432904275</v>
      </c>
      <c r="H293" s="1">
        <f>(SUM($C$289:H289)*$B$275)</f>
        <v>2487170.1429974469</v>
      </c>
      <c r="I293" s="1">
        <f>(SUM($C$289:I289)*$B$275)</f>
        <v>3225392.2769063078</v>
      </c>
      <c r="J293" s="1">
        <f>(SUM($C$289:J289)*$B$275)</f>
        <v>3914122.741116927</v>
      </c>
      <c r="K293" s="1">
        <f>(SUM($C$289:K289)*$B$275)</f>
        <v>4556288.6907239743</v>
      </c>
      <c r="L293" s="1">
        <f>(SUM($C$289:L289)*$B$275)</f>
        <v>5154634.9048686996</v>
      </c>
      <c r="M293" s="1">
        <f>(SUM($C$289:M289)*$B$275)</f>
        <v>5730222.8490660125</v>
      </c>
      <c r="N293" s="1">
        <f>(SUM($C$289:N289)*$B$275)</f>
        <v>6283712.1844800841</v>
      </c>
      <c r="O293" s="1">
        <f>(SUM($C$289:O289)*$B$275)</f>
        <v>6815741.3757523466</v>
      </c>
      <c r="P293" s="1">
        <f>(SUM($C$289:P289)*$B$275)</f>
        <v>8093708.8876623623</v>
      </c>
      <c r="Q293" s="1">
        <f>(SUM($C$289:Q289)*$B$275)</f>
        <v>9321066.2274482884</v>
      </c>
      <c r="R293" s="1">
        <f>(SUM($C$289:R289)*$B$275)</f>
        <v>10508817.442609128</v>
      </c>
      <c r="S293" s="1">
        <f>(SUM($C$289:S289)*$B$275)</f>
        <v>11657812.953687264</v>
      </c>
      <c r="T293" s="1">
        <f>(SUM($C$289:T289)*$B$275)</f>
        <v>12768882.210956804</v>
      </c>
      <c r="U293" s="1">
        <f>(SUM($C$289:U289)*$B$275)</f>
        <v>13842834.222709853</v>
      </c>
      <c r="V293" s="1">
        <f>(SUM($C$289:V289)*$B$275)</f>
        <v>14880458.070178567</v>
      </c>
      <c r="W293" s="1">
        <f>(SUM($C$289:W289)*$B$275)</f>
        <v>15911490.410293693</v>
      </c>
      <c r="X293" s="1">
        <f>(SUM($C$289:X289)*$B$275)</f>
        <v>16935952.800647326</v>
      </c>
      <c r="Y293" s="1">
        <f>(SUM($C$289:Y289)*$B$275)</f>
        <v>17953866.728327233</v>
      </c>
      <c r="Z293" s="1">
        <f>(SUM($C$289:Z289)*$B$275)</f>
        <v>19572085.739239577</v>
      </c>
      <c r="AA293" s="1">
        <f>(SUM($C$289:AA289)*$B$275)</f>
        <v>21179895.631608602</v>
      </c>
      <c r="AB293" s="1">
        <f>(SUM($C$289:AB289)*$B$275)</f>
        <v>22777330.448562775</v>
      </c>
      <c r="AC293" s="1">
        <f>(SUM($C$289:AC289)*$B$275)</f>
        <v>24364424.121892162</v>
      </c>
      <c r="AD293" s="1">
        <f>(SUM($C$289:AD289)*$B$275)</f>
        <v>25941210.472412556</v>
      </c>
      <c r="AE293" s="1">
        <f>(SUM($C$289:AE289)*$B$275)</f>
        <v>27507723.210328449</v>
      </c>
      <c r="AF293" s="1">
        <f>(SUM($C$289:AF289)*$B$275)</f>
        <v>29063995.935594738</v>
      </c>
      <c r="AG293" s="1">
        <f>(SUM($C$289:AG289)*$B$275)</f>
        <v>30610062.138277337</v>
      </c>
      <c r="AH293" s="1">
        <f>(SUM($C$289:AH289)*$B$275)</f>
        <v>32145955.198912561</v>
      </c>
      <c r="AI293" s="1">
        <f>(SUM($C$289:AI289)*$B$275)</f>
        <v>33671708.388865337</v>
      </c>
      <c r="AJ293" s="1">
        <f>(SUM($C$289:AJ289)*$B$275)</f>
        <v>33671708.388865337</v>
      </c>
      <c r="AK293" s="1">
        <f>(SUM($C$289:AK289)*$B$275)</f>
        <v>33671708.388865337</v>
      </c>
      <c r="AL293" s="1">
        <f>(SUM($C$289:AL289)*$B$275)</f>
        <v>33671708.388865337</v>
      </c>
      <c r="AM293" s="1">
        <f>(SUM($C$289:AM289)*$B$275)</f>
        <v>33671708.388865337</v>
      </c>
      <c r="AN293" s="1">
        <f>(SUM($C$289:AN289)*$B$275)</f>
        <v>33671708.388865337</v>
      </c>
      <c r="AO293" s="1">
        <f>(SUM($C$289:AO289)*$B$275)</f>
        <v>33671708.388865337</v>
      </c>
      <c r="AP293" s="65">
        <f>(SUM($C$289:AP289)*$B$275)</f>
        <v>33671708.388865337</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607533.38500000001</v>
      </c>
      <c r="C302" s="99">
        <f t="shared" ref="C302:AP302" si="37">$B$302*C28</f>
        <v>623286.57257164724</v>
      </c>
      <c r="D302" s="69">
        <f t="shared" si="37"/>
        <v>631315.6893007902</v>
      </c>
      <c r="E302" s="69">
        <f t="shared" si="37"/>
        <v>639448.23632714641</v>
      </c>
      <c r="F302" s="69">
        <f t="shared" si="37"/>
        <v>647685.54602969915</v>
      </c>
      <c r="G302" s="69">
        <f t="shared" si="37"/>
        <v>656028.96795100695</v>
      </c>
      <c r="H302" s="69">
        <f t="shared" si="37"/>
        <v>664479.86901830416</v>
      </c>
      <c r="I302" s="69">
        <f t="shared" si="37"/>
        <v>673039.63376744825</v>
      </c>
      <c r="J302" s="69">
        <f t="shared" si="37"/>
        <v>681709.66456975194</v>
      </c>
      <c r="K302" s="69">
        <f t="shared" si="37"/>
        <v>690491.38186173839</v>
      </c>
      <c r="L302" s="69">
        <f t="shared" si="37"/>
        <v>699386.22437785531</v>
      </c>
      <c r="M302" s="69">
        <f t="shared" si="37"/>
        <v>708395.64938618708</v>
      </c>
      <c r="N302" s="69">
        <f t="shared" si="37"/>
        <v>717521.13292720285</v>
      </c>
      <c r="O302" s="69">
        <f t="shared" si="37"/>
        <v>726764.17005558102</v>
      </c>
      <c r="P302" s="69">
        <f t="shared" si="37"/>
        <v>736126.27508514852</v>
      </c>
      <c r="Q302" s="69">
        <f t="shared" si="37"/>
        <v>745608.98183697497</v>
      </c>
      <c r="R302" s="69">
        <f t="shared" si="37"/>
        <v>755213.84389066265</v>
      </c>
      <c r="S302" s="69">
        <f t="shared" si="37"/>
        <v>764942.43483887496</v>
      </c>
      <c r="T302" s="69">
        <f t="shared" si="37"/>
        <v>774796.34854514233</v>
      </c>
      <c r="U302" s="69">
        <f t="shared" si="37"/>
        <v>784777.19940498914</v>
      </c>
      <c r="V302" s="69">
        <f t="shared" si="37"/>
        <v>794886.62261042523</v>
      </c>
      <c r="W302" s="69">
        <f t="shared" si="37"/>
        <v>805126.27441784414</v>
      </c>
      <c r="X302" s="69">
        <f t="shared" si="37"/>
        <v>815497.83241937275</v>
      </c>
      <c r="Y302" s="69">
        <f t="shared" si="37"/>
        <v>826002.99581771565</v>
      </c>
      <c r="Z302" s="69">
        <f t="shared" si="37"/>
        <v>836643.48570454016</v>
      </c>
      <c r="AA302" s="69">
        <f t="shared" si="37"/>
        <v>847421.04534244922</v>
      </c>
      <c r="AB302" s="69">
        <f t="shared" si="37"/>
        <v>858337.44045058324</v>
      </c>
      <c r="AC302" s="69">
        <f t="shared" si="37"/>
        <v>869394.45949390519</v>
      </c>
      <c r="AD302" s="69">
        <f t="shared" si="37"/>
        <v>880593.91397620807</v>
      </c>
      <c r="AE302" s="69">
        <f t="shared" si="37"/>
        <v>891937.63873689994</v>
      </c>
      <c r="AF302" s="69">
        <f t="shared" si="37"/>
        <v>903427.49225161108</v>
      </c>
      <c r="AG302" s="69">
        <f t="shared" si="37"/>
        <v>915065.3569366734</v>
      </c>
      <c r="AH302" s="69">
        <f t="shared" si="37"/>
        <v>926853.13945752149</v>
      </c>
      <c r="AI302" s="69">
        <f t="shared" si="37"/>
        <v>938792.77104106825</v>
      </c>
      <c r="AJ302" s="69">
        <f t="shared" si="37"/>
        <v>950886.20779210271</v>
      </c>
      <c r="AK302" s="69">
        <f t="shared" si="37"/>
        <v>963135.43101376481</v>
      </c>
      <c r="AL302" s="69">
        <f t="shared" si="37"/>
        <v>975542.44753214822</v>
      </c>
      <c r="AM302" s="69">
        <f t="shared" si="37"/>
        <v>988109.29002508335</v>
      </c>
      <c r="AN302" s="69">
        <f t="shared" si="37"/>
        <v>1000838.017355159</v>
      </c>
      <c r="AO302" s="69">
        <f t="shared" si="37"/>
        <v>1013730.7149070301</v>
      </c>
      <c r="AP302" s="76">
        <f t="shared" si="37"/>
        <v>1026789.4949290727</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j74LO7KWjOyExnXpkf0qrMNIYg5+uMXrZU7YNt/0g8LptjjqFaeqbY9X7QuaXtvgdQcuIVqYwPT2OI3XqG+Vnw==" saltValue="dMxE57+TWkt9qEHjRDumLA=="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7.0000000000000007E-2</v>
      </c>
      <c r="J4" s="333">
        <v>0.04</v>
      </c>
      <c r="K4" s="333">
        <v>2.5000000000000001E-2</v>
      </c>
      <c r="L4" s="333">
        <v>0.02</v>
      </c>
      <c r="M4" s="333">
        <v>-2.5000000000000001E-2</v>
      </c>
      <c r="N4" s="333">
        <v>0.01</v>
      </c>
      <c r="O4" s="333">
        <v>0.02</v>
      </c>
      <c r="P4" s="333">
        <v>1.4999999999999999E-2</v>
      </c>
      <c r="Q4" s="333">
        <v>1.4999999999999999E-2</v>
      </c>
      <c r="R4" s="333">
        <v>6.5000000000000002E-2</v>
      </c>
      <c r="S4" s="333">
        <v>0.06</v>
      </c>
      <c r="T4" s="333">
        <v>0.04</v>
      </c>
      <c r="U4" s="333">
        <v>0.04</v>
      </c>
      <c r="V4" s="333">
        <v>0.04</v>
      </c>
      <c r="W4" s="333">
        <v>3.5000000000000003E-2</v>
      </c>
      <c r="X4" s="333">
        <v>0.03</v>
      </c>
      <c r="Y4" s="333">
        <v>0.03</v>
      </c>
      <c r="Z4" s="333">
        <v>2.5000000000000001E-2</v>
      </c>
      <c r="AA4" s="333">
        <v>0.03</v>
      </c>
      <c r="AB4" s="333">
        <v>0.06</v>
      </c>
      <c r="AC4" s="333">
        <v>5.5E-2</v>
      </c>
      <c r="AD4" s="333">
        <v>0.05</v>
      </c>
      <c r="AE4" s="333">
        <v>4.4999999999999998E-2</v>
      </c>
      <c r="AF4" s="333">
        <v>0.04</v>
      </c>
      <c r="AG4" s="333">
        <v>0.04</v>
      </c>
      <c r="AH4" s="333">
        <v>3.5000000000000003E-2</v>
      </c>
      <c r="AI4" s="333">
        <v>5.0000000000000001E-3</v>
      </c>
      <c r="AJ4" s="333">
        <v>0.03</v>
      </c>
      <c r="AK4" s="333">
        <v>0.03</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3.0142931941499076</v>
      </c>
      <c r="J6" s="348">
        <f ca="1">'Debt worksheet'!H3/'Profit and Loss'!H3</f>
        <v>3.2095110242177749</v>
      </c>
      <c r="K6" s="348">
        <f ca="1">'Debt worksheet'!I3/'Profit and Loss'!I3</f>
        <v>3.3936074949356123</v>
      </c>
      <c r="L6" s="348">
        <f ca="1">'Debt worksheet'!J3/'Profit and Loss'!J3</f>
        <v>3.5511800256250927</v>
      </c>
      <c r="M6" s="348">
        <f ca="1">'Debt worksheet'!K3/'Profit and Loss'!K3</f>
        <v>3.8423556761664659</v>
      </c>
      <c r="N6" s="348">
        <f ca="1">'Debt worksheet'!L3/'Profit and Loss'!L3</f>
        <v>3.9705779148436298</v>
      </c>
      <c r="O6" s="348">
        <f ca="1">'Debt worksheet'!M3/'Profit and Loss'!M3</f>
        <v>4.0363055369047736</v>
      </c>
      <c r="P6" s="348">
        <f ca="1">'Debt worksheet'!N3/'Profit and Loss'!N3</f>
        <v>4.1051234383134902</v>
      </c>
      <c r="Q6" s="348">
        <f ca="1">'Debt worksheet'!O3/'Profit and Loss'!O3</f>
        <v>4.1624002473222843</v>
      </c>
      <c r="R6" s="348">
        <f ca="1">'Debt worksheet'!P3/'Profit and Loss'!P3</f>
        <v>4.0105052799636995</v>
      </c>
      <c r="S6" s="348">
        <f ca="1">'Debt worksheet'!Q3/'Profit and Loss'!Q3</f>
        <v>4.1516832079500112</v>
      </c>
      <c r="T6" s="348">
        <f ca="1">'Debt worksheet'!R3/'Profit and Loss'!R3</f>
        <v>4.3035197701324845</v>
      </c>
      <c r="U6" s="348">
        <f ca="1">'Debt worksheet'!S3/'Profit and Loss'!S3</f>
        <v>4.4163892017350266</v>
      </c>
      <c r="V6" s="348">
        <f ca="1">'Debt worksheet'!T3/'Profit and Loss'!T3</f>
        <v>4.4916206204013349</v>
      </c>
      <c r="W6" s="348">
        <f ca="1">'Debt worksheet'!U3/'Profit and Loss'!U3</f>
        <v>4.5524027072744468</v>
      </c>
      <c r="X6" s="348">
        <f ca="1">'Debt worksheet'!V3/'Profit and Loss'!V3</f>
        <v>4.6053296330042741</v>
      </c>
      <c r="Y6" s="348">
        <f ca="1">'Debt worksheet'!W3/'Profit and Loss'!W3</f>
        <v>4.6338993176619354</v>
      </c>
      <c r="Z6" s="348">
        <f ca="1">'Debt worksheet'!X3/'Profit and Loss'!X3</f>
        <v>4.6761056483738139</v>
      </c>
      <c r="AA6" s="348">
        <f ca="1">'Debt worksheet'!Y3/'Profit and Loss'!Y3</f>
        <v>4.6914363849064946</v>
      </c>
      <c r="AB6" s="348">
        <f ca="1">'Debt worksheet'!Z3/'Profit and Loss'!Z3</f>
        <v>4.5646225650597829</v>
      </c>
      <c r="AC6" s="348">
        <f ca="1">'Debt worksheet'!AA3/'Profit and Loss'!AA3</f>
        <v>4.6348331386448249</v>
      </c>
      <c r="AD6" s="348">
        <f ca="1">'Debt worksheet'!AB3/'Profit and Loss'!AB3</f>
        <v>4.6907162499338622</v>
      </c>
      <c r="AE6" s="348">
        <f ca="1">'Debt worksheet'!AC3/'Profit and Loss'!AC3</f>
        <v>4.7390740072925421</v>
      </c>
      <c r="AF6" s="348">
        <f ca="1">'Debt worksheet'!AD3/'Profit and Loss'!AD3</f>
        <v>4.7861489189226596</v>
      </c>
      <c r="AG6" s="348">
        <f ca="1">'Debt worksheet'!AE3/'Profit and Loss'!AE3</f>
        <v>4.8145735942867338</v>
      </c>
      <c r="AH6" s="348">
        <f ca="1">'Debt worksheet'!AF3/'Profit and Loss'!AF3</f>
        <v>4.8479522888925146</v>
      </c>
      <c r="AI6" s="348">
        <f ca="1">'Debt worksheet'!AG3/'Profit and Loss'!AG3</f>
        <v>5.0134468223448643</v>
      </c>
      <c r="AJ6" s="348">
        <f ca="1">'Debt worksheet'!AH3/'Profit and Loss'!AH3</f>
        <v>5.074957762287263</v>
      </c>
      <c r="AK6" s="348">
        <f ca="1">'Debt worksheet'!AI3/'Profit and Loss'!AI3</f>
        <v>5.1281056859871548</v>
      </c>
      <c r="AL6" s="348">
        <f ca="1">'Debt worksheet'!AJ3/'Profit and Loss'!AJ3</f>
        <v>5.3279814203913913</v>
      </c>
      <c r="AM6" s="348">
        <f ca="1">'Debt worksheet'!AK3/'Profit and Loss'!AK3</f>
        <v>5.0861520422717463</v>
      </c>
      <c r="AN6" s="348">
        <f ca="1">'Debt worksheet'!AL3/'Profit and Loss'!AL3</f>
        <v>4.8443222311350933</v>
      </c>
      <c r="AO6" s="348">
        <f ca="1">'Debt worksheet'!AM3/'Profit and Loss'!AM3</f>
        <v>4.6026003932319348</v>
      </c>
      <c r="AP6" s="348">
        <f ca="1">'Debt worksheet'!AN3/'Profit and Loss'!AN3</f>
        <v>4.3610996550195855</v>
      </c>
      <c r="AQ6" s="348">
        <f ca="1">'Debt worksheet'!AO3/'Profit and Loss'!AO3</f>
        <v>4.1199380288472094</v>
      </c>
      <c r="AR6" s="349">
        <f ca="1">'Debt worksheet'!AP3/'Profit and Loss'!AP3</f>
        <v>3.8792385840312598</v>
      </c>
      <c r="AS6" s="350"/>
    </row>
    <row r="7" spans="1:45" ht="21" x14ac:dyDescent="0.5">
      <c r="A7" s="351" t="s">
        <v>356</v>
      </c>
      <c r="B7" s="352">
        <f ca="1">MIN('Price and Financial Ratios'!H7:AK7)</f>
        <v>0.12113125702641472</v>
      </c>
      <c r="C7" s="352"/>
      <c r="D7" s="352"/>
      <c r="E7" s="353"/>
      <c r="F7" s="354"/>
      <c r="G7" s="355"/>
      <c r="H7" s="355"/>
      <c r="I7" s="356">
        <f ca="1">'Cash Flow'!G5/'Debt worksheet'!G3</f>
        <v>0.13788690954110194</v>
      </c>
      <c r="J7" s="356">
        <f ca="1">'Cash Flow'!H5/'Debt worksheet'!H3</f>
        <v>0.13517477972791314</v>
      </c>
      <c r="K7" s="356">
        <f ca="1">'Cash Flow'!I5/'Debt worksheet'!I3</f>
        <v>0.13264301755197533</v>
      </c>
      <c r="L7" s="356">
        <f ca="1">'Cash Flow'!J5/'Debt worksheet'!J3</f>
        <v>0.1307626705428323</v>
      </c>
      <c r="M7" s="356">
        <f ca="1">'Cash Flow'!K5/'Debt worksheet'!K3</f>
        <v>0.13096556974619242</v>
      </c>
      <c r="N7" s="356">
        <f ca="1">'Cash Flow'!L5/'Debt worksheet'!L3</f>
        <v>0.12933299262394796</v>
      </c>
      <c r="O7" s="356">
        <f ca="1">'Cash Flow'!M5/'Debt worksheet'!M3</f>
        <v>0.12912518624948749</v>
      </c>
      <c r="P7" s="356">
        <f ca="1">'Cash Flow'!N5/'Debt worksheet'!N3</f>
        <v>0.12834481632949757</v>
      </c>
      <c r="Q7" s="356">
        <f ca="1">'Cash Flow'!O5/'Debt worksheet'!O3</f>
        <v>0.12804150582188908</v>
      </c>
      <c r="R7" s="356">
        <f ca="1">'Cash Flow'!P5/'Debt worksheet'!P3</f>
        <v>0.13648543022150461</v>
      </c>
      <c r="S7" s="356">
        <f ca="1">'Cash Flow'!Q5/'Debt worksheet'!Q3</f>
        <v>0.13530882022785848</v>
      </c>
      <c r="T7" s="356">
        <f ca="1">'Cash Flow'!R5/'Debt worksheet'!R3</f>
        <v>0.13185052595211147</v>
      </c>
      <c r="U7" s="356">
        <f ca="1">'Cash Flow'!S5/'Debt worksheet'!S3</f>
        <v>0.13006782765922073</v>
      </c>
      <c r="V7" s="356">
        <f ca="1">'Cash Flow'!T5/'Debt worksheet'!T3</f>
        <v>0.12973752760544432</v>
      </c>
      <c r="W7" s="356">
        <f ca="1">'Cash Flow'!U5/'Debt worksheet'!U3</f>
        <v>0.12962106397549131</v>
      </c>
      <c r="X7" s="356">
        <f ca="1">'Cash Flow'!V5/'Debt worksheet'!V3</f>
        <v>0.129489777108621</v>
      </c>
      <c r="Y7" s="356">
        <f ca="1">'Cash Flow'!W5/'Debt worksheet'!W3</f>
        <v>0.1292144165929508</v>
      </c>
      <c r="Z7" s="356">
        <f ca="1">'Cash Flow'!X5/'Debt worksheet'!X3</f>
        <v>0.12818120176543091</v>
      </c>
      <c r="AA7" s="356">
        <f ca="1">'Cash Flow'!Y5/'Debt worksheet'!Y3</f>
        <v>0.12839003645002647</v>
      </c>
      <c r="AB7" s="356">
        <f ca="1">'Cash Flow'!Z5/'Debt worksheet'!Z3</f>
        <v>0.13322542158620954</v>
      </c>
      <c r="AC7" s="356">
        <f ca="1">'Cash Flow'!AA5/'Debt worksheet'!AA3</f>
        <v>0.13235893568727272</v>
      </c>
      <c r="AD7" s="356">
        <f ca="1">'Cash Flow'!AB5/'Debt worksheet'!AB3</f>
        <v>0.13177740550495431</v>
      </c>
      <c r="AE7" s="356">
        <f ca="1">'Cash Flow'!AC5/'Debt worksheet'!AC3</f>
        <v>0.13123393857200044</v>
      </c>
      <c r="AF7" s="356">
        <f ca="1">'Cash Flow'!AD5/'Debt worksheet'!AD3</f>
        <v>0.13051312131376294</v>
      </c>
      <c r="AG7" s="356">
        <f ca="1">'Cash Flow'!AE5/'Debt worksheet'!AE3</f>
        <v>0.13046405877451228</v>
      </c>
      <c r="AH7" s="356">
        <f ca="1">'Cash Flow'!AF5/'Debt worksheet'!AF3</f>
        <v>0.13002237965135752</v>
      </c>
      <c r="AI7" s="356">
        <f ca="1">'Cash Flow'!AG5/'Debt worksheet'!AG3</f>
        <v>0.12382785212935576</v>
      </c>
      <c r="AJ7" s="356">
        <f ca="1">'Cash Flow'!AH5/'Debt worksheet'!AH3</f>
        <v>0.12232852206185042</v>
      </c>
      <c r="AK7" s="356">
        <f ca="1">'Cash Flow'!AI5/'Debt worksheet'!AI3</f>
        <v>0.12113125702641472</v>
      </c>
      <c r="AL7" s="357">
        <f ca="1">'Cash Flow'!AJ5/'Debt worksheet'!AJ3</f>
        <v>0.11833298475626013</v>
      </c>
      <c r="AM7" s="357">
        <f ca="1">'Cash Flow'!AK5/'Debt worksheet'!AK3</f>
        <v>0.12578403526390852</v>
      </c>
      <c r="AN7" s="357">
        <f ca="1">'Cash Flow'!AL5/'Debt worksheet'!AL3</f>
        <v>0.13397362365149296</v>
      </c>
      <c r="AO7" s="357">
        <f ca="1">'Cash Flow'!AM5/'Debt worksheet'!AM3</f>
        <v>0.14301370384411372</v>
      </c>
      <c r="AP7" s="357">
        <f ca="1">'Cash Flow'!AN5/'Debt worksheet'!AN3</f>
        <v>0.15303985332152803</v>
      </c>
      <c r="AQ7" s="357">
        <f ca="1">'Cash Flow'!AO5/'Debt worksheet'!AO3</f>
        <v>0.16421783274185617</v>
      </c>
      <c r="AR7" s="358">
        <f ca="1">'Cash Flow'!AP5/'Debt worksheet'!AP3</f>
        <v>0.17675245774627193</v>
      </c>
      <c r="AS7" s="359"/>
    </row>
    <row r="8" spans="1:45" ht="21" x14ac:dyDescent="0.5">
      <c r="A8" s="351" t="s">
        <v>357</v>
      </c>
      <c r="B8" s="352">
        <f ca="1">MAX('Price and Financial Ratios'!H8:AK8)</f>
        <v>0.57049969403629242</v>
      </c>
      <c r="C8" s="352"/>
      <c r="D8" s="352"/>
      <c r="E8" s="353"/>
      <c r="F8" s="354"/>
      <c r="G8" s="355"/>
      <c r="H8" s="355"/>
      <c r="I8" s="357">
        <f ca="1">'Balance Sheet'!F9/'Balance Sheet'!F6</f>
        <v>0.25844837684332356</v>
      </c>
      <c r="J8" s="357">
        <f ca="1">'Balance Sheet'!G9/'Balance Sheet'!G6</f>
        <v>0.27635731066631447</v>
      </c>
      <c r="K8" s="357">
        <f ca="1">'Balance Sheet'!H9/'Balance Sheet'!H6</f>
        <v>0.29156085822161054</v>
      </c>
      <c r="L8" s="357">
        <f ca="1">'Balance Sheet'!I9/'Balance Sheet'!I6</f>
        <v>0.30454069743800938</v>
      </c>
      <c r="M8" s="357">
        <f ca="1">'Balance Sheet'!J9/'Balance Sheet'!J6</f>
        <v>0.31520957498810326</v>
      </c>
      <c r="N8" s="357">
        <f ca="1">'Balance Sheet'!K9/'Balance Sheet'!K6</f>
        <v>0.3246031565472382</v>
      </c>
      <c r="O8" s="357">
        <f ca="1">'Balance Sheet'!L9/'Balance Sheet'!L6</f>
        <v>0.33327185917729352</v>
      </c>
      <c r="P8" s="357">
        <f ca="1">'Balance Sheet'!M9/'Balance Sheet'!M6</f>
        <v>0.34136882134664065</v>
      </c>
      <c r="Q8" s="357">
        <f ca="1">'Balance Sheet'!N9/'Balance Sheet'!N6</f>
        <v>0.34887363320172499</v>
      </c>
      <c r="R8" s="357">
        <f ca="1">'Balance Sheet'!O9/'Balance Sheet'!O6</f>
        <v>0.38178851631119498</v>
      </c>
      <c r="S8" s="357">
        <f ca="1">'Balance Sheet'!P9/'Balance Sheet'!P6</f>
        <v>0.39972487785705019</v>
      </c>
      <c r="T8" s="357">
        <f ca="1">'Balance Sheet'!Q9/'Balance Sheet'!Q6</f>
        <v>0.41533005699900599</v>
      </c>
      <c r="U8" s="357">
        <f ca="1">'Balance Sheet'!R9/'Balance Sheet'!R6</f>
        <v>0.42849528262613135</v>
      </c>
      <c r="V8" s="357">
        <f ca="1">'Balance Sheet'!S9/'Balance Sheet'!S6</f>
        <v>0.4392204419202726</v>
      </c>
      <c r="W8" s="357">
        <f ca="1">'Balance Sheet'!T9/'Balance Sheet'!T6</f>
        <v>0.44794681510217932</v>
      </c>
      <c r="X8" s="357">
        <f ca="1">'Balance Sheet'!U9/'Balance Sheet'!U6</f>
        <v>0.4551170289472361</v>
      </c>
      <c r="Y8" s="357">
        <f ca="1">'Balance Sheet'!V9/'Balance Sheet'!V6</f>
        <v>0.46218870902063397</v>
      </c>
      <c r="Z8" s="357">
        <f ca="1">'Balance Sheet'!W9/'Balance Sheet'!W6</f>
        <v>0.46915553399986715</v>
      </c>
      <c r="AA8" s="357">
        <f ca="1">'Balance Sheet'!X9/'Balance Sheet'!X6</f>
        <v>0.47550991218112676</v>
      </c>
      <c r="AB8" s="357">
        <f ca="1">'Balance Sheet'!Y9/'Balance Sheet'!Y6</f>
        <v>0.50106433121937088</v>
      </c>
      <c r="AC8" s="357">
        <f ca="1">'Balance Sheet'!Z9/'Balance Sheet'!Z6</f>
        <v>0.51348058744576563</v>
      </c>
      <c r="AD8" s="357">
        <f ca="1">'Balance Sheet'!AA9/'Balance Sheet'!AA6</f>
        <v>0.52358880099587446</v>
      </c>
      <c r="AE8" s="357">
        <f ca="1">'Balance Sheet'!AB9/'Balance Sheet'!AB6</f>
        <v>0.53189680654625893</v>
      </c>
      <c r="AF8" s="357">
        <f ca="1">'Balance Sheet'!AC9/'Balance Sheet'!AC6</f>
        <v>0.53891357351537283</v>
      </c>
      <c r="AG8" s="357">
        <f ca="1">'Balance Sheet'!AD9/'Balance Sheet'!AD6</f>
        <v>0.54461200012430977</v>
      </c>
      <c r="AH8" s="357">
        <f ca="1">'Balance Sheet'!AE9/'Balance Sheet'!AE6</f>
        <v>0.54949945467406913</v>
      </c>
      <c r="AI8" s="357">
        <f ca="1">'Balance Sheet'!AF9/'Balance Sheet'!AF6</f>
        <v>0.55682217361402575</v>
      </c>
      <c r="AJ8" s="357">
        <f ca="1">'Balance Sheet'!AG9/'Balance Sheet'!AG6</f>
        <v>0.56383047684248555</v>
      </c>
      <c r="AK8" s="357">
        <f ca="1">'Balance Sheet'!AH9/'Balance Sheet'!AH6</f>
        <v>0.57049969403629242</v>
      </c>
      <c r="AL8" s="357">
        <f ca="1">'Balance Sheet'!AI9/'Balance Sheet'!AI6</f>
        <v>0.53029064362037837</v>
      </c>
      <c r="AM8" s="357">
        <f ca="1">'Balance Sheet'!AJ9/'Balance Sheet'!AJ6</f>
        <v>0.51495606194501831</v>
      </c>
      <c r="AN8" s="357">
        <f ca="1">'Balance Sheet'!AK9/'Balance Sheet'!AK6</f>
        <v>0.49903110411729196</v>
      </c>
      <c r="AO8" s="357">
        <f ca="1">'Balance Sheet'!AL9/'Balance Sheet'!AL6</f>
        <v>0.48249446128764151</v>
      </c>
      <c r="AP8" s="357">
        <f ca="1">'Balance Sheet'!AM9/'Balance Sheet'!AM6</f>
        <v>0.4653230896634778</v>
      </c>
      <c r="AQ8" s="357">
        <f ca="1">'Balance Sheet'!AN9/'Balance Sheet'!AN6</f>
        <v>0.44749199029812808</v>
      </c>
      <c r="AR8" s="358">
        <f ca="1">'Balance Sheet'!AO9/'Balance Sheet'!AO6</f>
        <v>0.42897395540291783</v>
      </c>
      <c r="AS8" s="359"/>
    </row>
    <row r="9" spans="1:45" ht="21.5" thickBot="1" x14ac:dyDescent="0.55000000000000004">
      <c r="A9" s="360" t="s">
        <v>358</v>
      </c>
      <c r="B9" s="361">
        <f ca="1">MIN('Price and Financial Ratios'!H9:AK9)</f>
        <v>3.041674674532739</v>
      </c>
      <c r="C9" s="361"/>
      <c r="D9" s="361"/>
      <c r="E9" s="362"/>
      <c r="F9" s="363"/>
      <c r="G9" s="363"/>
      <c r="H9" s="363"/>
      <c r="I9" s="361">
        <f ca="1">('Cash Flow'!G5+'Profit and Loss'!G6)/('Profit and Loss'!G6)</f>
        <v>3.0432144330936319</v>
      </c>
      <c r="J9" s="361">
        <f ca="1">('Cash Flow'!H5+'Profit and Loss'!H6)/('Profit and Loss'!H6)</f>
        <v>3.041674674532739</v>
      </c>
      <c r="K9" s="361">
        <f ca="1">('Cash Flow'!I5+'Profit and Loss'!I6)/('Profit and Loss'!I6)</f>
        <v>3.0753407895129872</v>
      </c>
      <c r="L9" s="361">
        <f ca="1">('Cash Flow'!J5+'Profit and Loss'!J6)/('Profit and Loss'!J6)</f>
        <v>3.1032674772011957</v>
      </c>
      <c r="M9" s="361">
        <f ca="1">('Cash Flow'!K5+'Profit and Loss'!K6)/('Profit and Loss'!K6)</f>
        <v>3.1561722516295228</v>
      </c>
      <c r="N9" s="361">
        <f ca="1">('Cash Flow'!L5+'Profit and Loss'!L6)/('Profit and Loss'!L6)</f>
        <v>3.1660157798772124</v>
      </c>
      <c r="O9" s="361">
        <f ca="1">('Cash Flow'!M5+'Profit and Loss'!M6)/('Profit and Loss'!M6)</f>
        <v>3.1921452110046498</v>
      </c>
      <c r="P9" s="361">
        <f ca="1">('Cash Flow'!N5+'Profit and Loss'!N6)/('Profit and Loss'!N6)</f>
        <v>3.2035852265203211</v>
      </c>
      <c r="Q9" s="361">
        <f ca="1">('Cash Flow'!O5+'Profit and Loss'!O6)/('Profit and Loss'!O6)</f>
        <v>3.2211158515269309</v>
      </c>
      <c r="R9" s="361">
        <f ca="1">('Cash Flow'!P5+'Profit and Loss'!P6)/('Profit and Loss'!P6)</f>
        <v>3.2621095130339084</v>
      </c>
      <c r="S9" s="361">
        <f ca="1">('Cash Flow'!Q5+'Profit and Loss'!Q6)/('Profit and Loss'!Q6)</f>
        <v>3.3205599224522899</v>
      </c>
      <c r="T9" s="361">
        <f ca="1">('Cash Flow'!R5+'Profit and Loss'!R6)/('Profit and Loss'!R6)</f>
        <v>3.3152461215631313</v>
      </c>
      <c r="U9" s="361">
        <f ca="1">('Cash Flow'!S5+'Profit and Loss'!S6)/('Profit and Loss'!S6)</f>
        <v>3.3306334055573323</v>
      </c>
      <c r="V9" s="361">
        <f ca="1">('Cash Flow'!T5+'Profit and Loss'!T6)/('Profit and Loss'!T6)</f>
        <v>3.3659259302059414</v>
      </c>
      <c r="W9" s="361">
        <f ca="1">('Cash Flow'!U5+'Profit and Loss'!U6)/('Profit and Loss'!U6)</f>
        <v>3.3984381064324212</v>
      </c>
      <c r="X9" s="361">
        <f ca="1">('Cash Flow'!V5+'Profit and Loss'!V6)/('Profit and Loss'!V6)</f>
        <v>3.4250904158689441</v>
      </c>
      <c r="Y9" s="361">
        <f ca="1">('Cash Flow'!W5+'Profit and Loss'!W6)/('Profit and Loss'!W6)</f>
        <v>3.4397286172029387</v>
      </c>
      <c r="Z9" s="361">
        <f ca="1">('Cash Flow'!X5+'Profit and Loss'!X6)/('Profit and Loss'!X6)</f>
        <v>3.4366193168213006</v>
      </c>
      <c r="AA9" s="361">
        <f ca="1">('Cash Flow'!Y5+'Profit and Loss'!Y6)/('Profit and Loss'!Y6)</f>
        <v>3.4585379692433049</v>
      </c>
      <c r="AB9" s="361">
        <f ca="1">('Cash Flow'!Z5+'Profit and Loss'!Z6)/('Profit and Loss'!Z6)</f>
        <v>3.4814536342314004</v>
      </c>
      <c r="AC9" s="361">
        <f ca="1">('Cash Flow'!AA5+'Profit and Loss'!AA6)/('Profit and Loss'!AA6)</f>
        <v>3.5066829263247588</v>
      </c>
      <c r="AD9" s="361">
        <f ca="1">('Cash Flow'!AB5+'Profit and Loss'!AB6)/('Profit and Loss'!AB6)</f>
        <v>3.5305064329059843</v>
      </c>
      <c r="AE9" s="361">
        <f ca="1">('Cash Flow'!AC5+'Profit and Loss'!AC6)/('Profit and Loss'!AC6)</f>
        <v>3.5493997377193915</v>
      </c>
      <c r="AF9" s="361">
        <f ca="1">('Cash Flow'!AD5+'Profit and Loss'!AD6)/('Profit and Loss'!AD6)</f>
        <v>3.5599501887092897</v>
      </c>
      <c r="AG9" s="361">
        <f ca="1">('Cash Flow'!AE5+'Profit and Loss'!AE6)/('Profit and Loss'!AE6)</f>
        <v>3.5817664448234479</v>
      </c>
      <c r="AH9" s="361">
        <f ca="1">('Cash Flow'!AF5+'Profit and Loss'!AF6)/('Profit and Loss'!AF6)</f>
        <v>3.5918943681102244</v>
      </c>
      <c r="AI9" s="361">
        <f ca="1">('Cash Flow'!AG5+'Profit and Loss'!AG6)/('Profit and Loss'!AG6)</f>
        <v>3.4720449887500817</v>
      </c>
      <c r="AJ9" s="361">
        <f ca="1">('Cash Flow'!AH5+'Profit and Loss'!AH6)/('Profit and Loss'!AH6)</f>
        <v>3.4570247545293546</v>
      </c>
      <c r="AK9" s="361">
        <f ca="1">('Cash Flow'!AI5+'Profit and Loss'!AI6)/('Profit and Loss'!AI6)</f>
        <v>3.4469437940642464</v>
      </c>
      <c r="AL9" s="361">
        <f ca="1">('Cash Flow'!AJ5+'Profit and Loss'!AJ6)/('Profit and Loss'!AJ6)</f>
        <v>3.5940481208773427</v>
      </c>
      <c r="AM9" s="361">
        <f ca="1">('Cash Flow'!AK5+'Profit and Loss'!AK6)/('Profit and Loss'!AK6)</f>
        <v>3.754713719070542</v>
      </c>
      <c r="AN9" s="361">
        <f ca="1">('Cash Flow'!AL5+'Profit and Loss'!AL6)/('Profit and Loss'!AL6)</f>
        <v>3.9308346316692937</v>
      </c>
      <c r="AO9" s="361">
        <f ca="1">('Cash Flow'!AM5+'Profit and Loss'!AM6)/('Profit and Loss'!AM6)</f>
        <v>4.1246707243290563</v>
      </c>
      <c r="AP9" s="361">
        <f ca="1">('Cash Flow'!AN5+'Profit and Loss'!AN6)/('Profit and Loss'!AN6)</f>
        <v>4.3389401218611301</v>
      </c>
      <c r="AQ9" s="361">
        <f ca="1">('Cash Flow'!AO5+'Profit and Loss'!AO6)/('Profit and Loss'!AO6)</f>
        <v>4.5769411244965506</v>
      </c>
      <c r="AR9" s="364">
        <f ca="1">('Cash Flow'!AP5+'Profit and Loss'!AP6)/('Profit and Loss'!AP6)</f>
        <v>4.8427151828436603</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1.07</v>
      </c>
      <c r="J12" s="370">
        <f t="shared" ref="J12:AI12" si="1">(1+J4)</f>
        <v>1.04</v>
      </c>
      <c r="K12" s="370">
        <f t="shared" si="1"/>
        <v>1.0249999999999999</v>
      </c>
      <c r="L12" s="370">
        <f t="shared" si="1"/>
        <v>1.02</v>
      </c>
      <c r="M12" s="370">
        <f t="shared" si="1"/>
        <v>0.97499999999999998</v>
      </c>
      <c r="N12" s="370">
        <f t="shared" si="1"/>
        <v>1.01</v>
      </c>
      <c r="O12" s="370">
        <f t="shared" si="1"/>
        <v>1.02</v>
      </c>
      <c r="P12" s="370">
        <f t="shared" si="1"/>
        <v>1.0149999999999999</v>
      </c>
      <c r="Q12" s="370">
        <f t="shared" si="1"/>
        <v>1.0149999999999999</v>
      </c>
      <c r="R12" s="370">
        <f t="shared" si="1"/>
        <v>1.0649999999999999</v>
      </c>
      <c r="S12" s="370">
        <f t="shared" si="1"/>
        <v>1.06</v>
      </c>
      <c r="T12" s="370">
        <f t="shared" si="1"/>
        <v>1.04</v>
      </c>
      <c r="U12" s="370">
        <f t="shared" si="1"/>
        <v>1.04</v>
      </c>
      <c r="V12" s="370">
        <f t="shared" si="1"/>
        <v>1.04</v>
      </c>
      <c r="W12" s="370">
        <f t="shared" si="1"/>
        <v>1.0349999999999999</v>
      </c>
      <c r="X12" s="370">
        <f t="shared" si="1"/>
        <v>1.03</v>
      </c>
      <c r="Y12" s="370">
        <f t="shared" si="1"/>
        <v>1.03</v>
      </c>
      <c r="Z12" s="370">
        <f t="shared" si="1"/>
        <v>1.0249999999999999</v>
      </c>
      <c r="AA12" s="370">
        <f t="shared" si="1"/>
        <v>1.03</v>
      </c>
      <c r="AB12" s="370">
        <f t="shared" si="1"/>
        <v>1.06</v>
      </c>
      <c r="AC12" s="370">
        <f t="shared" si="1"/>
        <v>1.0549999999999999</v>
      </c>
      <c r="AD12" s="370">
        <f t="shared" si="1"/>
        <v>1.05</v>
      </c>
      <c r="AE12" s="370">
        <f t="shared" si="1"/>
        <v>1.0449999999999999</v>
      </c>
      <c r="AF12" s="370">
        <f t="shared" si="1"/>
        <v>1.04</v>
      </c>
      <c r="AG12" s="370">
        <f t="shared" si="1"/>
        <v>1.04</v>
      </c>
      <c r="AH12" s="370">
        <f t="shared" si="1"/>
        <v>1.0349999999999999</v>
      </c>
      <c r="AI12" s="370">
        <f t="shared" si="1"/>
        <v>1.0049999999999999</v>
      </c>
      <c r="AJ12" s="370">
        <f>(1+AJ4)</f>
        <v>1.03</v>
      </c>
      <c r="AK12" s="370">
        <f>(1+AK4)</f>
        <v>1.03</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607533.38500000001</v>
      </c>
    </row>
    <row r="25" spans="5:14" x14ac:dyDescent="0.35">
      <c r="G25" s="382" t="s">
        <v>365</v>
      </c>
      <c r="H25" s="383">
        <v>0.12</v>
      </c>
      <c r="I25" s="383" t="str">
        <f>IF(AND($J$24&gt;=500000,$J$24&lt;800000),"YES","")</f>
        <v>YES</v>
      </c>
      <c r="J25" s="379"/>
    </row>
    <row r="26" spans="5:14" x14ac:dyDescent="0.35">
      <c r="G26" s="382" t="s">
        <v>366</v>
      </c>
      <c r="H26" s="383">
        <v>0.14499999999999999</v>
      </c>
      <c r="I26" s="383" t="str">
        <f>IF(AND($J$24&gt;=200000,$J$24&lt;500000),"YES","")</f>
        <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ecH59qPpUP7NDuwKgyFm1P8hGUDqoDtPhNpmgyb7mXqbSk9dP2kD7TTv73jsSX5hhSKJJWXw/Z/vZzuh6Tm0+Q==" saltValue="bSPsMMTmnidRAyufcQU1sw=="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229700559.95634791</v>
      </c>
      <c r="G3" s="306">
        <f>Assumptions!G277</f>
        <v>229700559.95634791</v>
      </c>
      <c r="H3" s="306">
        <f>Assumptions!H277</f>
        <v>229700559.95634791</v>
      </c>
      <c r="I3" s="306">
        <f>Assumptions!I277</f>
        <v>229700559.95634791</v>
      </c>
      <c r="J3" s="306">
        <f>Assumptions!J277</f>
        <v>229700559.95634791</v>
      </c>
      <c r="K3" s="306">
        <f>Assumptions!K277</f>
        <v>229700559.95634791</v>
      </c>
      <c r="L3" s="306">
        <f>Assumptions!L277</f>
        <v>229700559.95634791</v>
      </c>
      <c r="M3" s="306">
        <f>Assumptions!M277</f>
        <v>229700559.95634791</v>
      </c>
      <c r="N3" s="306">
        <f>Assumptions!N277</f>
        <v>229700559.95634791</v>
      </c>
      <c r="O3" s="306">
        <f>Assumptions!O277</f>
        <v>229700559.95634791</v>
      </c>
      <c r="P3" s="306">
        <f>Assumptions!P277</f>
        <v>229700559.95634791</v>
      </c>
      <c r="Q3" s="306">
        <f>Assumptions!Q277</f>
        <v>229700559.95634791</v>
      </c>
      <c r="R3" s="306">
        <f>Assumptions!R277</f>
        <v>229700559.95634791</v>
      </c>
      <c r="S3" s="306">
        <f>Assumptions!S277</f>
        <v>229700559.95634791</v>
      </c>
      <c r="T3" s="306">
        <f>Assumptions!T277</f>
        <v>229700559.95634791</v>
      </c>
      <c r="U3" s="306">
        <f>Assumptions!U277</f>
        <v>229700559.95634791</v>
      </c>
      <c r="V3" s="306">
        <f>Assumptions!V277</f>
        <v>229700559.95634791</v>
      </c>
      <c r="W3" s="306">
        <f>Assumptions!W277</f>
        <v>229700559.95634791</v>
      </c>
      <c r="X3" s="306">
        <f>Assumptions!X277</f>
        <v>229700559.95634791</v>
      </c>
      <c r="Y3" s="306">
        <f>Assumptions!Y277</f>
        <v>229700559.95634791</v>
      </c>
      <c r="Z3" s="306">
        <f>Assumptions!Z277</f>
        <v>229700559.95634791</v>
      </c>
      <c r="AA3" s="306">
        <f>Assumptions!AA277</f>
        <v>229700559.95634791</v>
      </c>
      <c r="AB3" s="306">
        <f>Assumptions!AB277</f>
        <v>229700559.95634791</v>
      </c>
      <c r="AC3" s="306">
        <f>Assumptions!AC277</f>
        <v>229700559.95634791</v>
      </c>
      <c r="AD3" s="306">
        <f>Assumptions!AD277</f>
        <v>229700559.95634791</v>
      </c>
      <c r="AE3" s="306">
        <f>Assumptions!AE277</f>
        <v>229700559.95634791</v>
      </c>
      <c r="AF3" s="306">
        <f>Assumptions!AF277</f>
        <v>229700559.95634791</v>
      </c>
      <c r="AG3" s="306">
        <f>Assumptions!AG277</f>
        <v>229700559.95634791</v>
      </c>
      <c r="AH3" s="306">
        <f>Assumptions!AH277</f>
        <v>229700559.95634791</v>
      </c>
      <c r="AI3" s="306">
        <f>Assumptions!AI277</f>
        <v>229700559.95634791</v>
      </c>
      <c r="AJ3" s="306">
        <f>Assumptions!AJ277</f>
        <v>229700559.95634791</v>
      </c>
      <c r="AK3" s="306">
        <f>Assumptions!AK277</f>
        <v>229700559.95634791</v>
      </c>
      <c r="AL3" s="306">
        <f>Assumptions!AL277</f>
        <v>229700559.95634791</v>
      </c>
      <c r="AM3" s="306">
        <f>Assumptions!AM277</f>
        <v>229700559.95634791</v>
      </c>
      <c r="AN3" s="306">
        <f>Assumptions!AN277</f>
        <v>229700559.95634791</v>
      </c>
      <c r="AO3" s="306">
        <f>Assumptions!AO277</f>
        <v>229700559.95634791</v>
      </c>
      <c r="AP3" s="306">
        <f>Assumptions!AP277</f>
        <v>229700559.95634791</v>
      </c>
    </row>
    <row r="4" spans="1:42" x14ac:dyDescent="0.35">
      <c r="A4" s="304" t="s">
        <v>383</v>
      </c>
      <c r="C4" s="305"/>
      <c r="D4" s="305"/>
      <c r="E4" s="305"/>
      <c r="F4" s="306">
        <f>Assumptions!F281</f>
        <v>217561164.91388488</v>
      </c>
      <c r="G4" s="306">
        <f>Assumptions!G281</f>
        <v>217561164.91388488</v>
      </c>
      <c r="H4" s="306">
        <f>Assumptions!H281</f>
        <v>217561164.91388488</v>
      </c>
      <c r="I4" s="306">
        <f>Assumptions!I281</f>
        <v>217561164.91388488</v>
      </c>
      <c r="J4" s="306">
        <f>Assumptions!J281</f>
        <v>217561164.91388488</v>
      </c>
      <c r="K4" s="306">
        <f>Assumptions!K281</f>
        <v>217561164.91388488</v>
      </c>
      <c r="L4" s="306">
        <f>Assumptions!L281</f>
        <v>217561164.91388488</v>
      </c>
      <c r="M4" s="306">
        <f>Assumptions!M281</f>
        <v>217561164.91388488</v>
      </c>
      <c r="N4" s="306">
        <f>Assumptions!N281</f>
        <v>217561164.91388488</v>
      </c>
      <c r="O4" s="306">
        <f>Assumptions!O281</f>
        <v>217561164.91388488</v>
      </c>
      <c r="P4" s="306">
        <f>Assumptions!P281</f>
        <v>543902912.2847122</v>
      </c>
      <c r="Q4" s="306">
        <f>Assumptions!Q281</f>
        <v>543902912.2847122</v>
      </c>
      <c r="R4" s="306">
        <f>Assumptions!R281</f>
        <v>543902912.2847122</v>
      </c>
      <c r="S4" s="306">
        <f>Assumptions!S281</f>
        <v>543902912.2847122</v>
      </c>
      <c r="T4" s="306">
        <f>Assumptions!T281</f>
        <v>543902912.2847122</v>
      </c>
      <c r="U4" s="306">
        <f>Assumptions!U281</f>
        <v>543902912.2847122</v>
      </c>
      <c r="V4" s="306">
        <f>Assumptions!V281</f>
        <v>543902912.2847122</v>
      </c>
      <c r="W4" s="306">
        <f>Assumptions!W281</f>
        <v>543902912.2847122</v>
      </c>
      <c r="X4" s="306">
        <f>Assumptions!X281</f>
        <v>543902912.2847122</v>
      </c>
      <c r="Y4" s="306">
        <f>Assumptions!Y281</f>
        <v>543902912.2847122</v>
      </c>
      <c r="Z4" s="306">
        <f>Assumptions!Z281</f>
        <v>870244659.65553927</v>
      </c>
      <c r="AA4" s="306">
        <f>Assumptions!AA281</f>
        <v>870244659.65553927</v>
      </c>
      <c r="AB4" s="306">
        <f>Assumptions!AB281</f>
        <v>870244659.65553927</v>
      </c>
      <c r="AC4" s="306">
        <f>Assumptions!AC281</f>
        <v>870244659.65553927</v>
      </c>
      <c r="AD4" s="306">
        <f>Assumptions!AD281</f>
        <v>870244659.65553927</v>
      </c>
      <c r="AE4" s="306">
        <f>Assumptions!AE281</f>
        <v>870244659.65553927</v>
      </c>
      <c r="AF4" s="306">
        <f>Assumptions!AF281</f>
        <v>870244659.65553927</v>
      </c>
      <c r="AG4" s="306">
        <f>Assumptions!AG281</f>
        <v>870244659.65553927</v>
      </c>
      <c r="AH4" s="306">
        <f>Assumptions!AH281</f>
        <v>870244659.65553927</v>
      </c>
      <c r="AI4" s="306">
        <f>Assumptions!AI281</f>
        <v>870244659.65553927</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43512232.982776977</v>
      </c>
      <c r="G5" s="306">
        <f t="shared" si="1"/>
        <v>43512232.982776977</v>
      </c>
      <c r="H5" s="306">
        <f t="shared" si="1"/>
        <v>43512232.982776977</v>
      </c>
      <c r="I5" s="306">
        <f t="shared" si="1"/>
        <v>43512232.982776977</v>
      </c>
      <c r="J5" s="306">
        <f t="shared" si="1"/>
        <v>43512232.982776977</v>
      </c>
      <c r="K5" s="306">
        <f t="shared" si="1"/>
        <v>43512232.982776977</v>
      </c>
      <c r="L5" s="306">
        <f t="shared" si="1"/>
        <v>43512232.982776977</v>
      </c>
      <c r="M5" s="306">
        <f t="shared" ref="M5:V6" si="2">$B5*M$4</f>
        <v>43512232.982776977</v>
      </c>
      <c r="N5" s="306">
        <f t="shared" si="2"/>
        <v>43512232.982776977</v>
      </c>
      <c r="O5" s="306">
        <f t="shared" si="2"/>
        <v>43512232.982776977</v>
      </c>
      <c r="P5" s="306">
        <f t="shared" si="2"/>
        <v>108780582.45694244</v>
      </c>
      <c r="Q5" s="306">
        <f t="shared" si="2"/>
        <v>108780582.45694244</v>
      </c>
      <c r="R5" s="306">
        <f t="shared" si="2"/>
        <v>108780582.45694244</v>
      </c>
      <c r="S5" s="306">
        <f t="shared" si="2"/>
        <v>108780582.45694244</v>
      </c>
      <c r="T5" s="306">
        <f t="shared" si="2"/>
        <v>108780582.45694244</v>
      </c>
      <c r="U5" s="306">
        <f t="shared" si="2"/>
        <v>108780582.45694244</v>
      </c>
      <c r="V5" s="306">
        <f t="shared" si="2"/>
        <v>108780582.45694244</v>
      </c>
      <c r="W5" s="306">
        <f t="shared" ref="W5:AF6" si="3">$B5*W$4</f>
        <v>108780582.45694244</v>
      </c>
      <c r="X5" s="306">
        <f t="shared" si="3"/>
        <v>108780582.45694244</v>
      </c>
      <c r="Y5" s="306">
        <f t="shared" si="3"/>
        <v>108780582.45694244</v>
      </c>
      <c r="Z5" s="306">
        <f t="shared" si="3"/>
        <v>174048931.93110788</v>
      </c>
      <c r="AA5" s="306">
        <f t="shared" si="3"/>
        <v>174048931.93110788</v>
      </c>
      <c r="AB5" s="306">
        <f t="shared" si="3"/>
        <v>174048931.93110788</v>
      </c>
      <c r="AC5" s="306">
        <f t="shared" si="3"/>
        <v>174048931.93110788</v>
      </c>
      <c r="AD5" s="306">
        <f t="shared" si="3"/>
        <v>174048931.93110788</v>
      </c>
      <c r="AE5" s="306">
        <f t="shared" si="3"/>
        <v>174048931.93110788</v>
      </c>
      <c r="AF5" s="306">
        <f t="shared" si="3"/>
        <v>174048931.93110788</v>
      </c>
      <c r="AG5" s="306">
        <f t="shared" ref="AG5:AP6" si="4">$B5*AG$4</f>
        <v>174048931.93110788</v>
      </c>
      <c r="AH5" s="306">
        <f t="shared" si="4"/>
        <v>174048931.93110788</v>
      </c>
      <c r="AI5" s="306">
        <f t="shared" si="4"/>
        <v>174048931.93110788</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174048931.93110791</v>
      </c>
      <c r="G6" s="306">
        <f t="shared" si="1"/>
        <v>174048931.93110791</v>
      </c>
      <c r="H6" s="306">
        <f t="shared" si="1"/>
        <v>174048931.93110791</v>
      </c>
      <c r="I6" s="306">
        <f t="shared" si="1"/>
        <v>174048931.93110791</v>
      </c>
      <c r="J6" s="306">
        <f t="shared" si="1"/>
        <v>174048931.93110791</v>
      </c>
      <c r="K6" s="306">
        <f t="shared" si="1"/>
        <v>174048931.93110791</v>
      </c>
      <c r="L6" s="306">
        <f t="shared" si="1"/>
        <v>174048931.93110791</v>
      </c>
      <c r="M6" s="306">
        <f t="shared" si="2"/>
        <v>174048931.93110791</v>
      </c>
      <c r="N6" s="306">
        <f t="shared" si="2"/>
        <v>174048931.93110791</v>
      </c>
      <c r="O6" s="306">
        <f t="shared" si="2"/>
        <v>174048931.93110791</v>
      </c>
      <c r="P6" s="306">
        <f t="shared" si="2"/>
        <v>435122329.82776976</v>
      </c>
      <c r="Q6" s="306">
        <f t="shared" si="2"/>
        <v>435122329.82776976</v>
      </c>
      <c r="R6" s="306">
        <f t="shared" si="2"/>
        <v>435122329.82776976</v>
      </c>
      <c r="S6" s="306">
        <f t="shared" si="2"/>
        <v>435122329.82776976</v>
      </c>
      <c r="T6" s="306">
        <f t="shared" si="2"/>
        <v>435122329.82776976</v>
      </c>
      <c r="U6" s="306">
        <f t="shared" si="2"/>
        <v>435122329.82776976</v>
      </c>
      <c r="V6" s="306">
        <f t="shared" si="2"/>
        <v>435122329.82776976</v>
      </c>
      <c r="W6" s="306">
        <f t="shared" si="3"/>
        <v>435122329.82776976</v>
      </c>
      <c r="X6" s="306">
        <f t="shared" si="3"/>
        <v>435122329.82776976</v>
      </c>
      <c r="Y6" s="306">
        <f t="shared" si="3"/>
        <v>435122329.82776976</v>
      </c>
      <c r="Z6" s="306">
        <f t="shared" si="3"/>
        <v>696195727.72443151</v>
      </c>
      <c r="AA6" s="306">
        <f t="shared" si="3"/>
        <v>696195727.72443151</v>
      </c>
      <c r="AB6" s="306">
        <f t="shared" si="3"/>
        <v>696195727.72443151</v>
      </c>
      <c r="AC6" s="306">
        <f t="shared" si="3"/>
        <v>696195727.72443151</v>
      </c>
      <c r="AD6" s="306">
        <f t="shared" si="3"/>
        <v>696195727.72443151</v>
      </c>
      <c r="AE6" s="306">
        <f t="shared" si="3"/>
        <v>696195727.72443151</v>
      </c>
      <c r="AF6" s="306">
        <f t="shared" si="3"/>
        <v>696195727.72443151</v>
      </c>
      <c r="AG6" s="306">
        <f t="shared" si="4"/>
        <v>696195727.72443151</v>
      </c>
      <c r="AH6" s="306">
        <f t="shared" si="4"/>
        <v>696195727.72443151</v>
      </c>
      <c r="AI6" s="306">
        <f t="shared" si="4"/>
        <v>696195727.72443151</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5204391.0936695449</v>
      </c>
      <c r="G7" s="306">
        <f>Assumptions!G291</f>
        <v>10391761.173134314</v>
      </c>
      <c r="H7" s="306">
        <f>Assumptions!H291</f>
        <v>15236426.506532598</v>
      </c>
      <c r="I7" s="306">
        <f>Assumptions!I291</f>
        <v>19758781.891211871</v>
      </c>
      <c r="J7" s="306">
        <f>Assumptions!J291</f>
        <v>23977950.865357101</v>
      </c>
      <c r="K7" s="306">
        <f>Assumptions!K291</f>
        <v>27911865.207217842</v>
      </c>
      <c r="L7" s="306">
        <f>Assumptions!L291</f>
        <v>31577339.458324384</v>
      </c>
      <c r="M7" s="306">
        <f>Assumptions!M291</f>
        <v>35103396.34450081</v>
      </c>
      <c r="N7" s="306">
        <f>Assumptions!N291</f>
        <v>38494076.955929615</v>
      </c>
      <c r="O7" s="306">
        <f>Assumptions!O291</f>
        <v>41753292.532705754</v>
      </c>
      <c r="P7" s="306">
        <f>Assumptions!P291</f>
        <v>49582132.922968216</v>
      </c>
      <c r="Q7" s="306">
        <f>Assumptions!Q291</f>
        <v>57100934.946847618</v>
      </c>
      <c r="R7" s="306">
        <f>Assumptions!R291</f>
        <v>64377109.497589439</v>
      </c>
      <c r="S7" s="306">
        <f>Assumptions!S291</f>
        <v>71415866.259030595</v>
      </c>
      <c r="T7" s="306">
        <f>Assumptions!T291</f>
        <v>78222286.450957343</v>
      </c>
      <c r="U7" s="306">
        <f>Assumptions!U291</f>
        <v>84801326.065391526</v>
      </c>
      <c r="V7" s="306">
        <f>Assumptions!V291</f>
        <v>91157819.02100791</v>
      </c>
      <c r="W7" s="306">
        <f>Assumptions!W291</f>
        <v>97473932.34371376</v>
      </c>
      <c r="X7" s="306">
        <f>Assumptions!X291</f>
        <v>103749798.09551081</v>
      </c>
      <c r="Y7" s="306">
        <f>Assumptions!Y291</f>
        <v>109985547.90649056</v>
      </c>
      <c r="Z7" s="306">
        <f>Assumptions!Z291</f>
        <v>119898772.01810099</v>
      </c>
      <c r="AA7" s="306">
        <f>Assumptions!AA291</f>
        <v>129748229.77656119</v>
      </c>
      <c r="AB7" s="306">
        <f>Assumptions!AB291</f>
        <v>139534129.73038015</v>
      </c>
      <c r="AC7" s="306">
        <f>Assumptions!AC291</f>
        <v>149256679.74600682</v>
      </c>
      <c r="AD7" s="306">
        <f>Assumptions!AD291</f>
        <v>158916087.01006082</v>
      </c>
      <c r="AE7" s="306">
        <f>Assumptions!AE291</f>
        <v>168512558.03155583</v>
      </c>
      <c r="AF7" s="306">
        <f>Assumptions!AF291</f>
        <v>178046298.64411569</v>
      </c>
      <c r="AG7" s="306">
        <f>Assumptions!AG291</f>
        <v>187517514.00818318</v>
      </c>
      <c r="AH7" s="306">
        <f>Assumptions!AH291</f>
        <v>196926408.61322185</v>
      </c>
      <c r="AI7" s="306">
        <f>Assumptions!AI291</f>
        <v>206273186.27991039</v>
      </c>
      <c r="AJ7" s="306">
        <f>Assumptions!AJ291</f>
        <v>206273186.27991039</v>
      </c>
      <c r="AK7" s="306">
        <f>Assumptions!AK291</f>
        <v>206273186.27991039</v>
      </c>
      <c r="AL7" s="306">
        <f>Assumptions!AL291</f>
        <v>206273186.27991039</v>
      </c>
      <c r="AM7" s="306">
        <f>Assumptions!AM291</f>
        <v>206273186.27991039</v>
      </c>
      <c r="AN7" s="306">
        <f>Assumptions!AN291</f>
        <v>206273186.27991039</v>
      </c>
      <c r="AO7" s="306">
        <f>Assumptions!AO291</f>
        <v>206273186.27991039</v>
      </c>
      <c r="AP7" s="306">
        <f>Assumptions!AP291</f>
        <v>206273186.27991039</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271884309.78048337</v>
      </c>
      <c r="G11" s="306">
        <f t="shared" ref="G11:AP11" si="5">G3*G$9</f>
        <v>280040839.07389784</v>
      </c>
      <c r="H11" s="306">
        <f t="shared" si="5"/>
        <v>288442064.24611479</v>
      </c>
      <c r="I11" s="306">
        <f t="shared" si="5"/>
        <v>297095326.17349821</v>
      </c>
      <c r="J11" s="306">
        <f t="shared" si="5"/>
        <v>306008185.95870322</v>
      </c>
      <c r="K11" s="306">
        <f t="shared" si="5"/>
        <v>315188431.53746426</v>
      </c>
      <c r="L11" s="306">
        <f t="shared" si="5"/>
        <v>324644084.48358822</v>
      </c>
      <c r="M11" s="306">
        <f t="shared" si="5"/>
        <v>334383407.01809591</v>
      </c>
      <c r="N11" s="306">
        <f t="shared" si="5"/>
        <v>344414909.22863877</v>
      </c>
      <c r="O11" s="306">
        <f t="shared" si="5"/>
        <v>354747356.50549793</v>
      </c>
      <c r="P11" s="306">
        <f t="shared" si="5"/>
        <v>365389777.20066291</v>
      </c>
      <c r="Q11" s="306">
        <f t="shared" si="5"/>
        <v>376351470.5166828</v>
      </c>
      <c r="R11" s="306">
        <f t="shared" si="5"/>
        <v>387642014.63218331</v>
      </c>
      <c r="S11" s="306">
        <f t="shared" si="5"/>
        <v>399271275.07114881</v>
      </c>
      <c r="T11" s="306">
        <f t="shared" si="5"/>
        <v>411249413.32328331</v>
      </c>
      <c r="U11" s="306">
        <f t="shared" si="5"/>
        <v>423586895.72298181</v>
      </c>
      <c r="V11" s="306">
        <f t="shared" si="5"/>
        <v>436294502.59467125</v>
      </c>
      <c r="W11" s="306">
        <f t="shared" si="5"/>
        <v>449383337.6725114</v>
      </c>
      <c r="X11" s="306">
        <f t="shared" si="5"/>
        <v>462864837.80268669</v>
      </c>
      <c r="Y11" s="306">
        <f t="shared" si="5"/>
        <v>476750782.93676728</v>
      </c>
      <c r="Z11" s="306">
        <f t="shared" si="5"/>
        <v>491053306.42487031</v>
      </c>
      <c r="AA11" s="306">
        <f t="shared" si="5"/>
        <v>505784905.61761647</v>
      </c>
      <c r="AB11" s="306">
        <f t="shared" si="5"/>
        <v>520958452.78614503</v>
      </c>
      <c r="AC11" s="306">
        <f t="shared" si="5"/>
        <v>536587206.36972934</v>
      </c>
      <c r="AD11" s="306">
        <f t="shared" si="5"/>
        <v>552684822.56082129</v>
      </c>
      <c r="AE11" s="306">
        <f t="shared" si="5"/>
        <v>569265367.23764598</v>
      </c>
      <c r="AF11" s="306">
        <f t="shared" si="5"/>
        <v>586343328.25477529</v>
      </c>
      <c r="AG11" s="306">
        <f t="shared" si="5"/>
        <v>603933628.10241854</v>
      </c>
      <c r="AH11" s="306">
        <f t="shared" si="5"/>
        <v>622051636.94549119</v>
      </c>
      <c r="AI11" s="306">
        <f t="shared" si="5"/>
        <v>640713186.0538559</v>
      </c>
      <c r="AJ11" s="306">
        <f t="shared" si="5"/>
        <v>659934581.6354717</v>
      </c>
      <c r="AK11" s="306">
        <f t="shared" si="5"/>
        <v>679732619.08453584</v>
      </c>
      <c r="AL11" s="306">
        <f t="shared" si="5"/>
        <v>700124597.65707195</v>
      </c>
      <c r="AM11" s="306">
        <f t="shared" si="5"/>
        <v>721128335.58678412</v>
      </c>
      <c r="AN11" s="306">
        <f t="shared" si="5"/>
        <v>742762185.65438759</v>
      </c>
      <c r="AO11" s="306">
        <f t="shared" si="5"/>
        <v>765045051.22401917</v>
      </c>
      <c r="AP11" s="306">
        <f t="shared" si="5"/>
        <v>787996402.7607398</v>
      </c>
    </row>
    <row r="12" spans="1:42" x14ac:dyDescent="0.35">
      <c r="A12" s="303" t="s">
        <v>389</v>
      </c>
      <c r="C12" s="305"/>
      <c r="D12" s="305"/>
      <c r="E12" s="305"/>
      <c r="F12" s="306">
        <f t="shared" ref="F12:AP12" si="6">F4*F$9</f>
        <v>257515554.89847562</v>
      </c>
      <c r="G12" s="306">
        <f t="shared" si="6"/>
        <v>265241021.54542989</v>
      </c>
      <c r="H12" s="306">
        <f t="shared" si="6"/>
        <v>273198252.19179279</v>
      </c>
      <c r="I12" s="306">
        <f t="shared" si="6"/>
        <v>281394199.7575466</v>
      </c>
      <c r="J12" s="306">
        <f t="shared" si="6"/>
        <v>289836025.75027299</v>
      </c>
      <c r="K12" s="306">
        <f t="shared" si="6"/>
        <v>298531106.52278113</v>
      </c>
      <c r="L12" s="306">
        <f t="shared" si="6"/>
        <v>307487039.71846461</v>
      </c>
      <c r="M12" s="306">
        <f t="shared" si="6"/>
        <v>316711650.91001856</v>
      </c>
      <c r="N12" s="306">
        <f t="shared" si="6"/>
        <v>326213000.4373191</v>
      </c>
      <c r="O12" s="306">
        <f t="shared" si="6"/>
        <v>335999390.45043874</v>
      </c>
      <c r="P12" s="306">
        <f t="shared" si="6"/>
        <v>865198430.40987968</v>
      </c>
      <c r="Q12" s="306">
        <f t="shared" si="6"/>
        <v>891154383.32217622</v>
      </c>
      <c r="R12" s="306">
        <f t="shared" si="6"/>
        <v>917889014.82184148</v>
      </c>
      <c r="S12" s="306">
        <f t="shared" si="6"/>
        <v>945425685.26649678</v>
      </c>
      <c r="T12" s="306">
        <f t="shared" si="6"/>
        <v>973788455.82449174</v>
      </c>
      <c r="U12" s="306">
        <f t="shared" si="6"/>
        <v>1003002109.4992265</v>
      </c>
      <c r="V12" s="306">
        <f t="shared" si="6"/>
        <v>1033092172.7842033</v>
      </c>
      <c r="W12" s="306">
        <f t="shared" si="6"/>
        <v>1064084937.9677293</v>
      </c>
      <c r="X12" s="306">
        <f t="shared" si="6"/>
        <v>1096007486.1067612</v>
      </c>
      <c r="Y12" s="306">
        <f t="shared" si="6"/>
        <v>1128887710.6899641</v>
      </c>
      <c r="Z12" s="306">
        <f t="shared" si="6"/>
        <v>1860406947.2170601</v>
      </c>
      <c r="AA12" s="306">
        <f t="shared" si="6"/>
        <v>1916219155.6335721</v>
      </c>
      <c r="AB12" s="306">
        <f t="shared" si="6"/>
        <v>1973705730.3025794</v>
      </c>
      <c r="AC12" s="306">
        <f t="shared" si="6"/>
        <v>2032916902.2116568</v>
      </c>
      <c r="AD12" s="306">
        <f t="shared" si="6"/>
        <v>2093904409.2780066</v>
      </c>
      <c r="AE12" s="306">
        <f t="shared" si="6"/>
        <v>2156721541.5563469</v>
      </c>
      <c r="AF12" s="306">
        <f t="shared" si="6"/>
        <v>2221423187.8030372</v>
      </c>
      <c r="AG12" s="306">
        <f t="shared" si="6"/>
        <v>2288065883.4371285</v>
      </c>
      <c r="AH12" s="306">
        <f t="shared" si="6"/>
        <v>2356707859.9402423</v>
      </c>
      <c r="AI12" s="306">
        <f t="shared" si="6"/>
        <v>2427409095.7384501</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51503110.979695126</v>
      </c>
      <c r="G13" s="306">
        <f t="shared" si="7"/>
        <v>53048204.30908598</v>
      </c>
      <c r="H13" s="306">
        <f t="shared" si="7"/>
        <v>54639650.43835856</v>
      </c>
      <c r="I13" s="306">
        <f t="shared" si="7"/>
        <v>56278839.951509319</v>
      </c>
      <c r="J13" s="306">
        <f t="shared" si="7"/>
        <v>57967205.150054596</v>
      </c>
      <c r="K13" s="306">
        <f t="shared" si="7"/>
        <v>59706221.304556236</v>
      </c>
      <c r="L13" s="306">
        <f t="shared" si="7"/>
        <v>61497407.943692923</v>
      </c>
      <c r="M13" s="306">
        <f t="shared" si="7"/>
        <v>63342330.182003714</v>
      </c>
      <c r="N13" s="306">
        <f t="shared" si="7"/>
        <v>65242600.087463826</v>
      </c>
      <c r="O13" s="306">
        <f t="shared" si="7"/>
        <v>67199878.090087742</v>
      </c>
      <c r="P13" s="306">
        <f t="shared" si="7"/>
        <v>173039686.08197594</v>
      </c>
      <c r="Q13" s="306">
        <f t="shared" si="7"/>
        <v>178230876.66443524</v>
      </c>
      <c r="R13" s="306">
        <f t="shared" si="7"/>
        <v>183577802.96436831</v>
      </c>
      <c r="S13" s="306">
        <f t="shared" si="7"/>
        <v>189085137.05329934</v>
      </c>
      <c r="T13" s="306">
        <f t="shared" si="7"/>
        <v>194757691.16489834</v>
      </c>
      <c r="U13" s="306">
        <f t="shared" si="7"/>
        <v>200600421.8998453</v>
      </c>
      <c r="V13" s="306">
        <f t="shared" si="7"/>
        <v>206618434.55684066</v>
      </c>
      <c r="W13" s="306">
        <f t="shared" si="7"/>
        <v>212816987.59354588</v>
      </c>
      <c r="X13" s="306">
        <f t="shared" si="7"/>
        <v>219201497.22135225</v>
      </c>
      <c r="Y13" s="306">
        <f t="shared" si="7"/>
        <v>225777542.1379928</v>
      </c>
      <c r="Z13" s="306">
        <f t="shared" si="7"/>
        <v>372081389.44341207</v>
      </c>
      <c r="AA13" s="306">
        <f t="shared" si="7"/>
        <v>383243831.12671447</v>
      </c>
      <c r="AB13" s="306">
        <f t="shared" si="7"/>
        <v>394741146.06051594</v>
      </c>
      <c r="AC13" s="306">
        <f t="shared" si="7"/>
        <v>406583380.44233143</v>
      </c>
      <c r="AD13" s="306">
        <f t="shared" si="7"/>
        <v>418780881.85560137</v>
      </c>
      <c r="AE13" s="306">
        <f t="shared" si="7"/>
        <v>431344308.31126946</v>
      </c>
      <c r="AF13" s="306">
        <f t="shared" si="7"/>
        <v>444284637.56060755</v>
      </c>
      <c r="AG13" s="306">
        <f t="shared" si="7"/>
        <v>457613176.68742573</v>
      </c>
      <c r="AH13" s="306">
        <f t="shared" si="7"/>
        <v>471341571.98804855</v>
      </c>
      <c r="AI13" s="306">
        <f t="shared" si="7"/>
        <v>485481819.14769006</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206012443.91878051</v>
      </c>
      <c r="G14" s="306">
        <f t="shared" si="8"/>
        <v>212192817.23634392</v>
      </c>
      <c r="H14" s="306">
        <f t="shared" si="8"/>
        <v>218558601.75343424</v>
      </c>
      <c r="I14" s="306">
        <f t="shared" si="8"/>
        <v>225115359.80603728</v>
      </c>
      <c r="J14" s="306">
        <f t="shared" si="8"/>
        <v>231868820.60021839</v>
      </c>
      <c r="K14" s="306">
        <f t="shared" si="8"/>
        <v>238824885.21822494</v>
      </c>
      <c r="L14" s="306">
        <f t="shared" si="8"/>
        <v>245989631.77477169</v>
      </c>
      <c r="M14" s="306">
        <f t="shared" si="8"/>
        <v>253369320.72801486</v>
      </c>
      <c r="N14" s="306">
        <f t="shared" si="8"/>
        <v>260970400.3498553</v>
      </c>
      <c r="O14" s="306">
        <f t="shared" si="8"/>
        <v>268799512.36035097</v>
      </c>
      <c r="P14" s="306">
        <f t="shared" si="8"/>
        <v>692158744.32790375</v>
      </c>
      <c r="Q14" s="306">
        <f t="shared" si="8"/>
        <v>712923506.65774095</v>
      </c>
      <c r="R14" s="306">
        <f t="shared" si="8"/>
        <v>734311211.85747325</v>
      </c>
      <c r="S14" s="306">
        <f t="shared" si="8"/>
        <v>756340548.21319735</v>
      </c>
      <c r="T14" s="306">
        <f t="shared" si="8"/>
        <v>779030764.65959334</v>
      </c>
      <c r="U14" s="306">
        <f t="shared" si="8"/>
        <v>802401687.59938121</v>
      </c>
      <c r="V14" s="306">
        <f t="shared" si="8"/>
        <v>826473738.22736263</v>
      </c>
      <c r="W14" s="306">
        <f t="shared" si="8"/>
        <v>851267950.37418354</v>
      </c>
      <c r="X14" s="306">
        <f t="shared" si="8"/>
        <v>876805988.885409</v>
      </c>
      <c r="Y14" s="306">
        <f t="shared" si="8"/>
        <v>903110168.5519712</v>
      </c>
      <c r="Z14" s="306">
        <f t="shared" si="8"/>
        <v>1488325557.7736483</v>
      </c>
      <c r="AA14" s="306">
        <f t="shared" si="8"/>
        <v>1532975324.5068579</v>
      </c>
      <c r="AB14" s="306">
        <f t="shared" si="8"/>
        <v>1578964584.2420638</v>
      </c>
      <c r="AC14" s="306">
        <f t="shared" si="8"/>
        <v>1626333521.7693257</v>
      </c>
      <c r="AD14" s="306">
        <f t="shared" si="8"/>
        <v>1675123527.4224055</v>
      </c>
      <c r="AE14" s="306">
        <f t="shared" si="8"/>
        <v>1725377233.2450778</v>
      </c>
      <c r="AF14" s="306">
        <f t="shared" si="8"/>
        <v>1777138550.2424302</v>
      </c>
      <c r="AG14" s="306">
        <f t="shared" si="8"/>
        <v>1830452706.7497029</v>
      </c>
      <c r="AH14" s="306">
        <f t="shared" si="8"/>
        <v>1885366287.9521942</v>
      </c>
      <c r="AI14" s="306">
        <f t="shared" si="8"/>
        <v>1941927276.5907602</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6160160.3435313478</v>
      </c>
      <c r="G15" s="306">
        <f t="shared" si="9"/>
        <v>12669179.034361616</v>
      </c>
      <c r="H15" s="306">
        <f t="shared" si="9"/>
        <v>19132849.802863654</v>
      </c>
      <c r="I15" s="306">
        <f t="shared" si="9"/>
        <v>25556061.996001128</v>
      </c>
      <c r="J15" s="306">
        <f t="shared" si="9"/>
        <v>31943540.967898581</v>
      </c>
      <c r="K15" s="306">
        <f t="shared" si="9"/>
        <v>38299850.107548632</v>
      </c>
      <c r="L15" s="306">
        <f t="shared" si="9"/>
        <v>44629392.548382863</v>
      </c>
      <c r="M15" s="306">
        <f t="shared" si="9"/>
        <v>51101282.773587629</v>
      </c>
      <c r="N15" s="306">
        <f t="shared" si="9"/>
        <v>57718335.658982545</v>
      </c>
      <c r="O15" s="306">
        <f t="shared" si="9"/>
        <v>64483387.215916879</v>
      </c>
      <c r="P15" s="306">
        <f t="shared" si="9"/>
        <v>78871398.94347629</v>
      </c>
      <c r="Q15" s="306">
        <f t="shared" si="9"/>
        <v>93556675.870565966</v>
      </c>
      <c r="R15" s="306">
        <f t="shared" si="9"/>
        <v>108642627.71751496</v>
      </c>
      <c r="S15" s="306">
        <f t="shared" si="9"/>
        <v>124136850.11030279</v>
      </c>
      <c r="T15" s="306">
        <f t="shared" si="9"/>
        <v>140046978.63111594</v>
      </c>
      <c r="U15" s="306">
        <f t="shared" si="9"/>
        <v>156380683.04255733</v>
      </c>
      <c r="V15" s="306">
        <f t="shared" si="9"/>
        <v>173145661.09435642</v>
      </c>
      <c r="W15" s="306">
        <f t="shared" si="9"/>
        <v>190696796.99956745</v>
      </c>
      <c r="X15" s="306">
        <f t="shared" si="9"/>
        <v>209064067.91810256</v>
      </c>
      <c r="Y15" s="306">
        <f t="shared" si="9"/>
        <v>228278486.06948775</v>
      </c>
      <c r="Z15" s="306">
        <f t="shared" si="9"/>
        <v>256319307.39289048</v>
      </c>
      <c r="AA15" s="306">
        <f t="shared" si="9"/>
        <v>285696718.21462721</v>
      </c>
      <c r="AB15" s="306">
        <f t="shared" si="9"/>
        <v>316461937.87692249</v>
      </c>
      <c r="AC15" s="306">
        <f t="shared" si="9"/>
        <v>348667956.36959374</v>
      </c>
      <c r="AD15" s="306">
        <f t="shared" si="9"/>
        <v>382369591.81948328</v>
      </c>
      <c r="AE15" s="306">
        <f t="shared" si="9"/>
        <v>417623549.76504582</v>
      </c>
      <c r="AF15" s="306">
        <f t="shared" si="9"/>
        <v>454488484.2695806</v>
      </c>
      <c r="AG15" s="306">
        <f t="shared" si="9"/>
        <v>493025060.92814809</v>
      </c>
      <c r="AH15" s="306">
        <f t="shared" si="9"/>
        <v>533296021.82480884</v>
      </c>
      <c r="AI15" s="306">
        <f t="shared" si="9"/>
        <v>575366252.49846077</v>
      </c>
      <c r="AJ15" s="306">
        <f t="shared" si="9"/>
        <v>592627240.07341468</v>
      </c>
      <c r="AK15" s="306">
        <f t="shared" si="9"/>
        <v>610406057.27561712</v>
      </c>
      <c r="AL15" s="306">
        <f t="shared" si="9"/>
        <v>628718238.99388564</v>
      </c>
      <c r="AM15" s="306">
        <f t="shared" si="9"/>
        <v>647579786.16370225</v>
      </c>
      <c r="AN15" s="306">
        <f t="shared" si="9"/>
        <v>667007179.74861324</v>
      </c>
      <c r="AO15" s="306">
        <f t="shared" si="9"/>
        <v>687017395.14107168</v>
      </c>
      <c r="AP15" s="306">
        <f t="shared" si="9"/>
        <v>707627916.99530387</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0.94134693928490742</v>
      </c>
      <c r="I17" s="311">
        <f>Assumptions!I233</f>
        <v>0.88613406010106321</v>
      </c>
      <c r="J17" s="311">
        <f>Assumptions!J233</f>
        <v>0.8341595852722441</v>
      </c>
      <c r="K17" s="311">
        <f>Assumptions!K233</f>
        <v>0.78523357247119474</v>
      </c>
      <c r="L17" s="311">
        <f>Assumptions!L233</f>
        <v>0.7391772200695127</v>
      </c>
      <c r="M17" s="311">
        <f>Assumptions!M233</f>
        <v>0.71702256847844881</v>
      </c>
      <c r="N17" s="311">
        <f>Assumptions!N233</f>
        <v>0.69553193706251326</v>
      </c>
      <c r="O17" s="311">
        <f>Assumptions!O233</f>
        <v>0.6746854237803146</v>
      </c>
      <c r="P17" s="311">
        <f>Assumptions!P233</f>
        <v>0.65446372309530632</v>
      </c>
      <c r="Q17" s="311">
        <f>Assumptions!Q233</f>
        <v>0.63484810809731773</v>
      </c>
      <c r="R17" s="311">
        <f>Assumptions!R233</f>
        <v>0.62028452860231875</v>
      </c>
      <c r="S17" s="311">
        <f>Assumptions!S233</f>
        <v>0.60605504138073429</v>
      </c>
      <c r="T17" s="311">
        <f>Assumptions!T233</f>
        <v>0.59215198226956156</v>
      </c>
      <c r="U17" s="311">
        <f>Assumptions!U233</f>
        <v>0.57856786292367546</v>
      </c>
      <c r="V17" s="311">
        <f>Assumptions!V233</f>
        <v>0.56529536678252135</v>
      </c>
      <c r="W17" s="311">
        <f>Assumptions!W233</f>
        <v>0.56529536678252135</v>
      </c>
      <c r="X17" s="311">
        <f>Assumptions!X233</f>
        <v>0.56529536678252135</v>
      </c>
      <c r="Y17" s="311">
        <f>Assumptions!Y233</f>
        <v>0.56529536678252135</v>
      </c>
      <c r="Z17" s="311">
        <f>Assumptions!Z233</f>
        <v>0.56529536678252135</v>
      </c>
      <c r="AA17" s="311">
        <f>Assumptions!AA233</f>
        <v>0.56529536678252135</v>
      </c>
      <c r="AB17" s="311">
        <f>Assumptions!AB233</f>
        <v>0.56529536678252135</v>
      </c>
      <c r="AC17" s="311">
        <f>Assumptions!AC233</f>
        <v>0.56529536678252135</v>
      </c>
      <c r="AD17" s="311">
        <f>Assumptions!AD233</f>
        <v>0.56529536678252135</v>
      </c>
      <c r="AE17" s="311">
        <f>Assumptions!AE233</f>
        <v>0.56529536678252135</v>
      </c>
      <c r="AF17" s="311">
        <f>Assumptions!AF233</f>
        <v>0.56529536678252135</v>
      </c>
      <c r="AG17" s="311">
        <f>Assumptions!AG233</f>
        <v>0.56529536678252135</v>
      </c>
      <c r="AH17" s="311">
        <f>Assumptions!AH233</f>
        <v>0.56529536678252135</v>
      </c>
      <c r="AI17" s="311">
        <f>Assumptions!AI233</f>
        <v>0.56529536678252135</v>
      </c>
      <c r="AJ17" s="311">
        <f>Assumptions!AJ233</f>
        <v>0.56529536678252135</v>
      </c>
      <c r="AK17" s="311">
        <f>Assumptions!AK233</f>
        <v>0.56529536678252135</v>
      </c>
      <c r="AL17" s="311">
        <f>Assumptions!AL233</f>
        <v>0.56529536678252135</v>
      </c>
      <c r="AM17" s="311">
        <f>Assumptions!AM233</f>
        <v>0.56529536678252135</v>
      </c>
      <c r="AN17" s="311">
        <f>Assumptions!AN233</f>
        <v>0.56529536678252135</v>
      </c>
      <c r="AO17" s="311">
        <f>Assumptions!AO233</f>
        <v>0.56529536678252135</v>
      </c>
      <c r="AP17" s="311">
        <f>Assumptions!AP233</f>
        <v>0.56529536678252135</v>
      </c>
    </row>
    <row r="18" spans="1:42" x14ac:dyDescent="0.35">
      <c r="A18" s="303" t="s">
        <v>316</v>
      </c>
      <c r="C18" s="311">
        <f>Assumptions!C234</f>
        <v>1</v>
      </c>
      <c r="D18" s="311">
        <f>Assumptions!D234</f>
        <v>1</v>
      </c>
      <c r="E18" s="311">
        <f>Assumptions!E234</f>
        <v>1</v>
      </c>
      <c r="F18" s="311">
        <f>Assumptions!F234</f>
        <v>1</v>
      </c>
      <c r="G18" s="311">
        <f>Assumptions!G234</f>
        <v>1</v>
      </c>
      <c r="H18" s="311">
        <f>Assumptions!H234</f>
        <v>0.93668246507457886</v>
      </c>
      <c r="I18" s="311">
        <f>Assumptions!I234</f>
        <v>0.87737404037818967</v>
      </c>
      <c r="J18" s="311">
        <f>Assumptions!J234</f>
        <v>0.82182087893388578</v>
      </c>
      <c r="K18" s="311">
        <f>Assumptions!K234</f>
        <v>0.7697852067295492</v>
      </c>
      <c r="L18" s="311">
        <f>Assumptions!L234</f>
        <v>0.72104430501737848</v>
      </c>
      <c r="M18" s="311">
        <f>Assumptions!M234</f>
        <v>0.69720242850412728</v>
      </c>
      <c r="N18" s="311">
        <f>Assumptions!N234</f>
        <v>0.67414890171046704</v>
      </c>
      <c r="O18" s="311">
        <f>Assumptions!O234</f>
        <v>0.65185765725533262</v>
      </c>
      <c r="P18" s="311">
        <f>Assumptions!P234</f>
        <v>0.63030348969537342</v>
      </c>
      <c r="Q18" s="311">
        <f>Assumptions!Q234</f>
        <v>0.60946202702432961</v>
      </c>
      <c r="R18" s="311">
        <f>Assumptions!R234</f>
        <v>0.59379982519943841</v>
      </c>
      <c r="S18" s="311">
        <f>Assumptions!S234</f>
        <v>0.57854011697566832</v>
      </c>
      <c r="T18" s="311">
        <f>Assumptions!T234</f>
        <v>0.56367255890956525</v>
      </c>
      <c r="U18" s="311">
        <f>Assumptions!U234</f>
        <v>0.54918707336767092</v>
      </c>
      <c r="V18" s="311">
        <f>Assumptions!V234</f>
        <v>0.53507384169563033</v>
      </c>
      <c r="W18" s="311">
        <f>Assumptions!W234</f>
        <v>0.53507384169563033</v>
      </c>
      <c r="X18" s="311">
        <f>Assumptions!X234</f>
        <v>0.53507384169563033</v>
      </c>
      <c r="Y18" s="311">
        <f>Assumptions!Y234</f>
        <v>0.53507384169563033</v>
      </c>
      <c r="Z18" s="311">
        <f>Assumptions!Z234</f>
        <v>0.53507384169563033</v>
      </c>
      <c r="AA18" s="311">
        <f>Assumptions!AA234</f>
        <v>0.53507384169563033</v>
      </c>
      <c r="AB18" s="311">
        <f>Assumptions!AB234</f>
        <v>0.53507384169563033</v>
      </c>
      <c r="AC18" s="311">
        <f>Assumptions!AC234</f>
        <v>0.53507384169563033</v>
      </c>
      <c r="AD18" s="311">
        <f>Assumptions!AD234</f>
        <v>0.53507384169563033</v>
      </c>
      <c r="AE18" s="311">
        <f>Assumptions!AE234</f>
        <v>0.53507384169563033</v>
      </c>
      <c r="AF18" s="311">
        <f>Assumptions!AF234</f>
        <v>0.53507384169563033</v>
      </c>
      <c r="AG18" s="311">
        <f>Assumptions!AG234</f>
        <v>0.53507384169563033</v>
      </c>
      <c r="AH18" s="311">
        <f>Assumptions!AH234</f>
        <v>0.53507384169563033</v>
      </c>
      <c r="AI18" s="311">
        <f>Assumptions!AI234</f>
        <v>0.53507384169563033</v>
      </c>
      <c r="AJ18" s="311">
        <f>Assumptions!AJ234</f>
        <v>0.53507384169563033</v>
      </c>
      <c r="AK18" s="311">
        <f>Assumptions!AK234</f>
        <v>0.53507384169563033</v>
      </c>
      <c r="AL18" s="311">
        <f>Assumptions!AL234</f>
        <v>0.53507384169563033</v>
      </c>
      <c r="AM18" s="311">
        <f>Assumptions!AM234</f>
        <v>0.53507384169563033</v>
      </c>
      <c r="AN18" s="311">
        <f>Assumptions!AN234</f>
        <v>0.53507384169563033</v>
      </c>
      <c r="AO18" s="311">
        <f>Assumptions!AO234</f>
        <v>0.53507384169563033</v>
      </c>
      <c r="AP18" s="311">
        <f>Assumptions!AP234</f>
        <v>0.53507384169563033</v>
      </c>
    </row>
    <row r="19" spans="1:42" x14ac:dyDescent="0.35">
      <c r="A19" s="303" t="s">
        <v>393</v>
      </c>
      <c r="C19" s="312">
        <f>Assumptions!C235</f>
        <v>1</v>
      </c>
      <c r="D19" s="312">
        <f>Assumptions!D235</f>
        <v>1</v>
      </c>
      <c r="E19" s="312">
        <f>Assumptions!E235</f>
        <v>1</v>
      </c>
      <c r="F19" s="312">
        <f>Assumptions!F235</f>
        <v>0.99672948979075005</v>
      </c>
      <c r="G19" s="312">
        <f>Assumptions!G235</f>
        <v>0.99346967581852885</v>
      </c>
      <c r="H19" s="312">
        <f>Assumptions!H235</f>
        <v>0.99022052310118414</v>
      </c>
      <c r="I19" s="312">
        <f>Assumptions!I235</f>
        <v>0.98698199677097287</v>
      </c>
      <c r="J19" s="312">
        <f>Assumptions!J235</f>
        <v>0.98375406207418747</v>
      </c>
      <c r="K19" s="312">
        <f>Assumptions!K235</f>
        <v>0.98053668437078279</v>
      </c>
      <c r="L19" s="312">
        <f>Assumptions!L235</f>
        <v>0.97732982913400401</v>
      </c>
      <c r="M19" s="312">
        <f>Assumptions!M235</f>
        <v>0.97413346195001671</v>
      </c>
      <c r="N19" s="312">
        <f>Assumptions!N235</f>
        <v>0.97094754851753717</v>
      </c>
      <c r="O19" s="312">
        <f>Assumptions!O235</f>
        <v>0.9677720546474643</v>
      </c>
      <c r="P19" s="312">
        <f>Assumptions!P235</f>
        <v>0.96460694626251298</v>
      </c>
      <c r="Q19" s="312">
        <f>Assumptions!Q235</f>
        <v>0.96145218939684796</v>
      </c>
      <c r="R19" s="312">
        <f>Assumptions!R235</f>
        <v>0.9583077501957199</v>
      </c>
      <c r="S19" s="312">
        <f>Assumptions!S235</f>
        <v>0.95517359491510145</v>
      </c>
      <c r="T19" s="312">
        <f>Assumptions!T235</f>
        <v>0.95204968992132566</v>
      </c>
      <c r="U19" s="312">
        <f>Assumptions!U235</f>
        <v>0.94893600169072467</v>
      </c>
      <c r="V19" s="312">
        <f>Assumptions!V235</f>
        <v>0.94583249680927028</v>
      </c>
      <c r="W19" s="312">
        <f>Assumptions!W235</f>
        <v>0.9427391419722152</v>
      </c>
      <c r="X19" s="312">
        <f>Assumptions!X235</f>
        <v>0.93965590398373555</v>
      </c>
      <c r="Y19" s="312">
        <f>Assumptions!Y235</f>
        <v>0.93658274975657474</v>
      </c>
      <c r="Z19" s="312">
        <f>Assumptions!Z235</f>
        <v>0.93351964631168849</v>
      </c>
      <c r="AA19" s="312">
        <f>Assumptions!AA235</f>
        <v>0.93046656077789069</v>
      </c>
      <c r="AB19" s="312">
        <f>Assumptions!AB235</f>
        <v>0.92742346039150092</v>
      </c>
      <c r="AC19" s="312">
        <f>Assumptions!AC235</f>
        <v>0.92439031249599257</v>
      </c>
      <c r="AD19" s="312">
        <f>Assumptions!AD235</f>
        <v>0.92136708454164262</v>
      </c>
      <c r="AE19" s="312">
        <f>Assumptions!AE235</f>
        <v>0.91835374408518233</v>
      </c>
      <c r="AF19" s="312">
        <f>Assumptions!AF235</f>
        <v>0.91535025878944887</v>
      </c>
      <c r="AG19" s="312">
        <f>Assumptions!AG235</f>
        <v>0.91235659642303835</v>
      </c>
      <c r="AH19" s="312">
        <f>Assumptions!AH235</f>
        <v>0.90937272485996024</v>
      </c>
      <c r="AI19" s="312">
        <f>Assumptions!AI235</f>
        <v>0.90639861207929229</v>
      </c>
      <c r="AJ19" s="312">
        <f>Assumptions!AJ235</f>
        <v>0.90343422616483693</v>
      </c>
      <c r="AK19" s="312">
        <f>Assumptions!AK235</f>
        <v>0.90047953530477898</v>
      </c>
      <c r="AL19" s="312">
        <f>Assumptions!AL235</f>
        <v>0.89753450779134403</v>
      </c>
      <c r="AM19" s="312">
        <f>Assumptions!AM235</f>
        <v>0.89459911202045828</v>
      </c>
      <c r="AN19" s="312">
        <f>Assumptions!AN235</f>
        <v>0.89167331649140946</v>
      </c>
      <c r="AO19" s="312">
        <f>Assumptions!AO235</f>
        <v>0.88875708980650858</v>
      </c>
      <c r="AP19" s="312">
        <f>Assumptions!AP235</f>
        <v>0.88585040067075316</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-889200.41087192297</v>
      </c>
      <c r="G21" s="306">
        <f t="shared" si="10"/>
        <v>-1828757.4632037282</v>
      </c>
      <c r="H21" s="306">
        <f t="shared" si="10"/>
        <v>-2820812.5039416552</v>
      </c>
      <c r="I21" s="306">
        <f t="shared" si="10"/>
        <v>-3867587.9154554605</v>
      </c>
      <c r="J21" s="306">
        <f t="shared" si="10"/>
        <v>-4971389.9938755631</v>
      </c>
      <c r="K21" s="306">
        <f t="shared" si="10"/>
        <v>-6134611.9256916046</v>
      </c>
      <c r="L21" s="306">
        <f t="shared" si="10"/>
        <v>-7359736.8658778071</v>
      </c>
      <c r="M21" s="306">
        <f t="shared" si="10"/>
        <v>-8649341.120916605</v>
      </c>
      <c r="N21" s="306">
        <f t="shared" si="10"/>
        <v>-10006097.440201879</v>
      </c>
      <c r="O21" s="306">
        <f t="shared" si="10"/>
        <v>-11432778.419415712</v>
      </c>
      <c r="P21" s="306">
        <f t="shared" si="10"/>
        <v>-12932260.019591451</v>
      </c>
      <c r="Q21" s="306">
        <f t="shared" si="10"/>
        <v>-14507525.205694854</v>
      </c>
      <c r="R21" s="306">
        <f t="shared" si="10"/>
        <v>-16161667.708679378</v>
      </c>
      <c r="S21" s="306">
        <f t="shared" si="10"/>
        <v>-17897895.915103257</v>
      </c>
      <c r="T21" s="306">
        <f t="shared" si="10"/>
        <v>-19719536.888524354</v>
      </c>
      <c r="U21" s="306">
        <f t="shared" si="10"/>
        <v>-21630040.527029514</v>
      </c>
      <c r="V21" s="306">
        <f t="shared" si="10"/>
        <v>-23632983.861394703</v>
      </c>
      <c r="W21" s="306">
        <f t="shared" si="10"/>
        <v>-25732075.498517752</v>
      </c>
      <c r="X21" s="306">
        <f t="shared" si="10"/>
        <v>-27931160.214918017</v>
      </c>
      <c r="Y21" s="306">
        <f t="shared" si="10"/>
        <v>-30234223.705249906</v>
      </c>
      <c r="Z21" s="306">
        <f t="shared" si="10"/>
        <v>-32645397.490940213</v>
      </c>
      <c r="AA21" s="306">
        <f t="shared" si="10"/>
        <v>-35168963.99422282</v>
      </c>
      <c r="AB21" s="306">
        <f t="shared" si="10"/>
        <v>-37809361.783016026</v>
      </c>
      <c r="AC21" s="306">
        <f t="shared" si="10"/>
        <v>-40571190.992263556</v>
      </c>
      <c r="AD21" s="306">
        <f t="shared" si="10"/>
        <v>-43459218.927542329</v>
      </c>
      <c r="AE21" s="306">
        <f t="shared" si="10"/>
        <v>-46478385.856927514</v>
      </c>
      <c r="AF21" s="306">
        <f t="shared" si="10"/>
        <v>-49633810.997299969</v>
      </c>
      <c r="AG21" s="306">
        <f t="shared" si="10"/>
        <v>-52930798.701478958</v>
      </c>
      <c r="AH21" s="306">
        <f t="shared" si="10"/>
        <v>-56374844.852771163</v>
      </c>
      <c r="AI21" s="306">
        <f t="shared" si="10"/>
        <v>-59971643.473739505</v>
      </c>
      <c r="AJ21" s="306">
        <f t="shared" si="10"/>
        <v>-63727093.556213975</v>
      </c>
      <c r="AK21" s="306">
        <f t="shared" si="10"/>
        <v>-67647306.1197927</v>
      </c>
      <c r="AL21" s="306">
        <f t="shared" si="10"/>
        <v>-71738611.506319046</v>
      </c>
      <c r="AM21" s="306">
        <f t="shared" si="10"/>
        <v>-76007566.918056011</v>
      </c>
      <c r="AN21" s="306">
        <f t="shared" si="10"/>
        <v>-80460964.20753181</v>
      </c>
      <c r="AO21" s="306">
        <f t="shared" si="10"/>
        <v>-85105837.927288651</v>
      </c>
      <c r="AP21" s="306">
        <f t="shared" si="10"/>
        <v>-89949473.648026228</v>
      </c>
    </row>
    <row r="23" spans="1:42" x14ac:dyDescent="0.35">
      <c r="A23" s="303" t="s">
        <v>395</v>
      </c>
      <c r="C23" s="305"/>
      <c r="D23" s="305"/>
      <c r="E23" s="305"/>
      <c r="F23" s="306">
        <f t="shared" ref="F23:AP23" si="11">(F13*F17)-F13</f>
        <v>0</v>
      </c>
      <c r="G23" s="306">
        <f t="shared" si="11"/>
        <v>0</v>
      </c>
      <c r="H23" s="306">
        <f>(H13*H17)-H13</f>
        <v>-3204782.7346124798</v>
      </c>
      <c r="I23" s="306">
        <f t="shared" si="11"/>
        <v>-6408243.0075004399</v>
      </c>
      <c r="J23" s="306">
        <f t="shared" si="11"/>
        <v>-9613305.3426939622</v>
      </c>
      <c r="K23" s="306">
        <f t="shared" si="11"/>
        <v>-12822891.850823782</v>
      </c>
      <c r="L23" s="306">
        <f t="shared" si="11"/>
        <v>-16039924.898393221</v>
      </c>
      <c r="M23" s="306">
        <f t="shared" si="11"/>
        <v>-17924449.901493438</v>
      </c>
      <c r="N23" s="306">
        <f t="shared" si="11"/>
        <v>-19864288.069635212</v>
      </c>
      <c r="O23" s="306">
        <f t="shared" si="11"/>
        <v>-21861099.862891413</v>
      </c>
      <c r="P23" s="306">
        <f t="shared" si="11"/>
        <v>-59791488.885522902</v>
      </c>
      <c r="Q23" s="306">
        <f t="shared" si="11"/>
        <v>-65081341.809492156</v>
      </c>
      <c r="R23" s="306">
        <f t="shared" si="11"/>
        <v>-69707331.990765765</v>
      </c>
      <c r="S23" s="306">
        <f t="shared" si="11"/>
        <v>-74489136.491980195</v>
      </c>
      <c r="T23" s="306">
        <f t="shared" si="11"/>
        <v>-79431538.279360712</v>
      </c>
      <c r="U23" s="306">
        <f t="shared" si="11"/>
        <v>-84539464.499664143</v>
      </c>
      <c r="V23" s="306">
        <f t="shared" si="11"/>
        <v>-89817990.810001031</v>
      </c>
      <c r="W23" s="306">
        <f t="shared" si="11"/>
        <v>-92512530.534301072</v>
      </c>
      <c r="X23" s="306">
        <f t="shared" si="11"/>
        <v>-95287906.450330094</v>
      </c>
      <c r="Y23" s="306">
        <f t="shared" si="11"/>
        <v>-98146543.643839985</v>
      </c>
      <c r="Z23" s="306">
        <f t="shared" si="11"/>
        <v>-161745503.92504826</v>
      </c>
      <c r="AA23" s="306">
        <f t="shared" si="11"/>
        <v>-166597869.04279974</v>
      </c>
      <c r="AB23" s="306">
        <f t="shared" si="11"/>
        <v>-171595805.11408374</v>
      </c>
      <c r="AC23" s="306">
        <f t="shared" si="11"/>
        <v>-176743679.26750627</v>
      </c>
      <c r="AD23" s="306">
        <f t="shared" si="11"/>
        <v>-182045989.64553145</v>
      </c>
      <c r="AE23" s="306">
        <f t="shared" si="11"/>
        <v>-187507369.33489743</v>
      </c>
      <c r="AF23" s="306">
        <f t="shared" si="11"/>
        <v>-193132590.41494435</v>
      </c>
      <c r="AG23" s="306">
        <f t="shared" si="11"/>
        <v>-198926568.12739265</v>
      </c>
      <c r="AH23" s="306">
        <f t="shared" si="11"/>
        <v>-204894365.17121446</v>
      </c>
      <c r="AI23" s="306">
        <f t="shared" si="11"/>
        <v>-211041196.12635094</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-13838591.899774283</v>
      </c>
      <c r="I24" s="306">
        <f t="shared" ref="I24:AP24" si="12">(I14*I18)-I14</f>
        <v>-27604987.021824419</v>
      </c>
      <c r="J24" s="306">
        <f t="shared" si="12"/>
        <v>-41314182.657183439</v>
      </c>
      <c r="K24" s="306">
        <f t="shared" si="12"/>
        <v>-54981021.578352809</v>
      </c>
      <c r="L24" s="306">
        <f t="shared" si="12"/>
        <v>-68620208.690250605</v>
      </c>
      <c r="M24" s="306">
        <f t="shared" si="12"/>
        <v>-76719615.008001775</v>
      </c>
      <c r="N24" s="306">
        <f t="shared" si="12"/>
        <v>-85037491.575059474</v>
      </c>
      <c r="O24" s="306">
        <f t="shared" si="12"/>
        <v>-93580491.961756766</v>
      </c>
      <c r="P24" s="306">
        <f t="shared" si="12"/>
        <v>-255888672.35485828</v>
      </c>
      <c r="Q24" s="306">
        <f t="shared" si="12"/>
        <v>-278423701.17682099</v>
      </c>
      <c r="R24" s="306">
        <f t="shared" si="12"/>
        <v>-298277342.61451787</v>
      </c>
      <c r="S24" s="306">
        <f t="shared" si="12"/>
        <v>-318767198.97649306</v>
      </c>
      <c r="T24" s="306">
        <f t="shared" si="12"/>
        <v>-339912500.07464504</v>
      </c>
      <c r="U24" s="306">
        <f t="shared" si="12"/>
        <v>-361733053.1213969</v>
      </c>
      <c r="V24" s="306">
        <f t="shared" si="12"/>
        <v>-384249260.05349898</v>
      </c>
      <c r="W24" s="306">
        <f t="shared" si="12"/>
        <v>-395776737.85510397</v>
      </c>
      <c r="X24" s="306">
        <f t="shared" si="12"/>
        <v>-407650039.99075705</v>
      </c>
      <c r="Y24" s="306">
        <f t="shared" si="12"/>
        <v>-419879541.19047976</v>
      </c>
      <c r="Z24" s="306">
        <f t="shared" si="12"/>
        <v>-691961483.88191044</v>
      </c>
      <c r="AA24" s="306">
        <f t="shared" si="12"/>
        <v>-712720328.39836788</v>
      </c>
      <c r="AB24" s="306">
        <f t="shared" si="12"/>
        <v>-734101938.250319</v>
      </c>
      <c r="AC24" s="306">
        <f t="shared" si="12"/>
        <v>-756124996.39782858</v>
      </c>
      <c r="AD24" s="306">
        <f t="shared" si="12"/>
        <v>-778808746.28976345</v>
      </c>
      <c r="AE24" s="306">
        <f t="shared" si="12"/>
        <v>-802173008.67845643</v>
      </c>
      <c r="AF24" s="306">
        <f t="shared" si="12"/>
        <v>-826238198.93881011</v>
      </c>
      <c r="AG24" s="306">
        <f t="shared" si="12"/>
        <v>-851025344.90697432</v>
      </c>
      <c r="AH24" s="306">
        <f t="shared" si="12"/>
        <v>-876556105.25418365</v>
      </c>
      <c r="AI24" s="306">
        <f t="shared" si="12"/>
        <v>-902852788.41180921</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-842207.25133612752</v>
      </c>
      <c r="G26" s="306">
        <f t="shared" si="13"/>
        <v>-1732109.856916219</v>
      </c>
      <c r="H26" s="306">
        <f t="shared" si="13"/>
        <v>-2671735.9961065054</v>
      </c>
      <c r="I26" s="306">
        <f t="shared" si="13"/>
        <v>-3663190.6010732651</v>
      </c>
      <c r="J26" s="306">
        <f t="shared" si="13"/>
        <v>-4708658.0830031633</v>
      </c>
      <c r="K26" s="306">
        <f t="shared" si="13"/>
        <v>-5810405.1513923407</v>
      </c>
      <c r="L26" s="306">
        <f t="shared" si="13"/>
        <v>-6970783.7294968963</v>
      </c>
      <c r="M26" s="306">
        <f t="shared" si="13"/>
        <v>-8192233.969137013</v>
      </c>
      <c r="N26" s="306">
        <f t="shared" si="13"/>
        <v>-9477287.3681538105</v>
      </c>
      <c r="O26" s="306">
        <f t="shared" si="13"/>
        <v>-10828569.993922055</v>
      </c>
      <c r="P26" s="306">
        <f t="shared" si="13"/>
        <v>-30622014.541086316</v>
      </c>
      <c r="Q26" s="306">
        <f t="shared" si="13"/>
        <v>-34352050.386471987</v>
      </c>
      <c r="R26" s="306">
        <f t="shared" si="13"/>
        <v>-38268858.098556757</v>
      </c>
      <c r="S26" s="306">
        <f t="shared" si="13"/>
        <v>-42380034.745423794</v>
      </c>
      <c r="T26" s="306">
        <f t="shared" si="13"/>
        <v>-46693458.407817841</v>
      </c>
      <c r="U26" s="306">
        <f t="shared" si="13"/>
        <v>-51217298.023668051</v>
      </c>
      <c r="V26" s="306">
        <f t="shared" si="13"/>
        <v>-55960023.565606236</v>
      </c>
      <c r="W26" s="306">
        <f t="shared" si="13"/>
        <v>-60930416.56247437</v>
      </c>
      <c r="X26" s="306">
        <f t="shared" si="13"/>
        <v>-66137580.976171017</v>
      </c>
      <c r="Y26" s="306">
        <f t="shared" si="13"/>
        <v>-71590954.445552945</v>
      </c>
      <c r="Z26" s="306">
        <f t="shared" si="13"/>
        <v>-123680511.85518193</v>
      </c>
      <c r="AA26" s="306">
        <f t="shared" si="13"/>
        <v>-133241308.19448853</v>
      </c>
      <c r="AB26" s="306">
        <f t="shared" si="13"/>
        <v>-143244732.11082673</v>
      </c>
      <c r="AC26" s="306">
        <f t="shared" si="13"/>
        <v>-153708211.69783831</v>
      </c>
      <c r="AD26" s="306">
        <f t="shared" si="13"/>
        <v>-164649808.39263916</v>
      </c>
      <c r="AE26" s="306">
        <f t="shared" si="13"/>
        <v>-176088238.91890955</v>
      </c>
      <c r="AF26" s="306">
        <f t="shared" si="13"/>
        <v>-188042897.96664453</v>
      </c>
      <c r="AG26" s="306">
        <f t="shared" si="13"/>
        <v>-200533881.63275766</v>
      </c>
      <c r="AH26" s="306">
        <f t="shared" si="13"/>
        <v>-213582011.64749861</v>
      </c>
      <c r="AI26" s="306">
        <f t="shared" si="13"/>
        <v>-227208860.41246891</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-20146.867294136435</v>
      </c>
      <c r="G28" s="306">
        <f t="shared" si="14"/>
        <v>-82733.846207479015</v>
      </c>
      <c r="H28" s="306">
        <f t="shared" si="14"/>
        <v>-187109.26265561953</v>
      </c>
      <c r="I28" s="306">
        <f t="shared" si="14"/>
        <v>-332688.89758516103</v>
      </c>
      <c r="J28" s="306">
        <f t="shared" si="14"/>
        <v>-518952.78369513154</v>
      </c>
      <c r="K28" s="306">
        <f t="shared" si="14"/>
        <v>-745442.07119492441</v>
      </c>
      <c r="L28" s="306">
        <f t="shared" si="14"/>
        <v>-1011755.9547174498</v>
      </c>
      <c r="M28" s="306">
        <f t="shared" si="14"/>
        <v>-1321813.2752659619</v>
      </c>
      <c r="N28" s="306">
        <f t="shared" si="14"/>
        <v>-1676859.1463810951</v>
      </c>
      <c r="O28" s="306">
        <f t="shared" si="14"/>
        <v>-2078167.079340972</v>
      </c>
      <c r="P28" s="306">
        <f t="shared" si="14"/>
        <v>-2791499.6611572355</v>
      </c>
      <c r="Q28" s="306">
        <f t="shared" si="14"/>
        <v>-3606405.0221190602</v>
      </c>
      <c r="R28" s="306">
        <f t="shared" si="14"/>
        <v>-4529555.5741920322</v>
      </c>
      <c r="S28" s="306">
        <f t="shared" si="14"/>
        <v>-5564608.7290077657</v>
      </c>
      <c r="T28" s="306">
        <f t="shared" si="14"/>
        <v>-6715296.0509434938</v>
      </c>
      <c r="U28" s="306">
        <f t="shared" si="14"/>
        <v>-7985422.9344884753</v>
      </c>
      <c r="V28" s="306">
        <f t="shared" si="14"/>
        <v>-9378868.1497895718</v>
      </c>
      <c r="W28" s="306">
        <f t="shared" si="14"/>
        <v>-10919462.21934554</v>
      </c>
      <c r="X28" s="306">
        <f t="shared" si="14"/>
        <v>-12615782.188000798</v>
      </c>
      <c r="Y28" s="306">
        <f t="shared" si="14"/>
        <v>-14476793.876258969</v>
      </c>
      <c r="Z28" s="306">
        <f t="shared" si="14"/>
        <v>-17040198.212622404</v>
      </c>
      <c r="AA28" s="306">
        <f t="shared" si="14"/>
        <v>-19865475.391932875</v>
      </c>
      <c r="AB28" s="306">
        <f t="shared" si="14"/>
        <v>-22967712.368906856</v>
      </c>
      <c r="AC28" s="306">
        <f t="shared" si="14"/>
        <v>-26362675.22376585</v>
      </c>
      <c r="AD28" s="306">
        <f t="shared" si="14"/>
        <v>-30066835.787388027</v>
      </c>
      <c r="AE28" s="306">
        <f t="shared" si="14"/>
        <v>-34097399.220171511</v>
      </c>
      <c r="AF28" s="306">
        <f t="shared" si="14"/>
        <v>-38472332.576595664</v>
      </c>
      <c r="AG28" s="306">
        <f t="shared" si="14"/>
        <v>-43210394.388481796</v>
      </c>
      <c r="AH28" s="306">
        <f t="shared" si="14"/>
        <v>-48331165.301005602</v>
      </c>
      <c r="AI28" s="306">
        <f t="shared" si="14"/>
        <v>-53855079.796592295</v>
      </c>
      <c r="AJ28" s="306">
        <f t="shared" si="14"/>
        <v>-57227508.033486247</v>
      </c>
      <c r="AK28" s="306">
        <f t="shared" si="14"/>
        <v>-60747894.472847104</v>
      </c>
      <c r="AL28" s="306">
        <f t="shared" si="14"/>
        <v>-64421923.819067836</v>
      </c>
      <c r="AM28" s="306">
        <f t="shared" si="14"/>
        <v>-68255484.499256015</v>
      </c>
      <c r="AN28" s="306">
        <f t="shared" si="14"/>
        <v>-72254675.658585548</v>
      </c>
      <c r="AO28" s="306">
        <f t="shared" si="14"/>
        <v>-76425814.389044642</v>
      </c>
      <c r="AP28" s="306">
        <f t="shared" si="14"/>
        <v>-80775443.199203491</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533808470.49298817</v>
      </c>
      <c r="G30" s="306">
        <f t="shared" si="15"/>
        <v>554307438.48736203</v>
      </c>
      <c r="H30" s="306">
        <f t="shared" si="15"/>
        <v>558050133.84368062</v>
      </c>
      <c r="I30" s="306">
        <f t="shared" si="15"/>
        <v>562168890.48360729</v>
      </c>
      <c r="J30" s="306">
        <f t="shared" si="15"/>
        <v>566661263.81642377</v>
      </c>
      <c r="K30" s="306">
        <f t="shared" si="15"/>
        <v>571525015.59033859</v>
      </c>
      <c r="L30" s="306">
        <f t="shared" si="15"/>
        <v>576758106.61169982</v>
      </c>
      <c r="M30" s="306">
        <f t="shared" si="15"/>
        <v>589388887.42688727</v>
      </c>
      <c r="N30" s="306">
        <f t="shared" si="15"/>
        <v>602284221.72550893</v>
      </c>
      <c r="O30" s="306">
        <f t="shared" si="15"/>
        <v>615449026.85452676</v>
      </c>
      <c r="P30" s="306">
        <f t="shared" si="15"/>
        <v>947433671.09180248</v>
      </c>
      <c r="Q30" s="306">
        <f t="shared" si="15"/>
        <v>965091506.10882592</v>
      </c>
      <c r="R30" s="306">
        <f t="shared" si="15"/>
        <v>987228901.1848278</v>
      </c>
      <c r="S30" s="306">
        <f t="shared" si="15"/>
        <v>1009734935.5899403</v>
      </c>
      <c r="T30" s="306">
        <f t="shared" si="15"/>
        <v>1032612518.0775996</v>
      </c>
      <c r="U30" s="306">
        <f t="shared" si="15"/>
        <v>1055864409.1585183</v>
      </c>
      <c r="V30" s="306">
        <f t="shared" si="15"/>
        <v>1079493210.0329401</v>
      </c>
      <c r="W30" s="306">
        <f t="shared" si="15"/>
        <v>1118293849.9700656</v>
      </c>
      <c r="X30" s="306">
        <f t="shared" si="15"/>
        <v>1158313922.0073733</v>
      </c>
      <c r="Y30" s="306">
        <f t="shared" si="15"/>
        <v>1199588922.8348374</v>
      </c>
      <c r="Z30" s="306">
        <f t="shared" si="15"/>
        <v>1580706465.6691179</v>
      </c>
      <c r="AA30" s="306">
        <f t="shared" si="15"/>
        <v>1640106834.4440041</v>
      </c>
      <c r="AB30" s="306">
        <f t="shared" si="15"/>
        <v>1701406571.3384948</v>
      </c>
      <c r="AC30" s="306">
        <f t="shared" si="15"/>
        <v>1764661311.3717775</v>
      </c>
      <c r="AD30" s="306">
        <f t="shared" si="15"/>
        <v>1829928224.6154468</v>
      </c>
      <c r="AE30" s="306">
        <f t="shared" si="15"/>
        <v>1897266056.5496764</v>
      </c>
      <c r="AF30" s="306">
        <f t="shared" si="15"/>
        <v>1966735169.4330993</v>
      </c>
      <c r="AG30" s="306">
        <f t="shared" si="15"/>
        <v>2038397584.7106097</v>
      </c>
      <c r="AH30" s="306">
        <f t="shared" si="15"/>
        <v>2112317026.4838688</v>
      </c>
      <c r="AI30" s="306">
        <f t="shared" si="15"/>
        <v>2188558966.0698056</v>
      </c>
      <c r="AJ30" s="306">
        <f t="shared" si="15"/>
        <v>1131607220.1191859</v>
      </c>
      <c r="AK30" s="306">
        <f t="shared" si="15"/>
        <v>1161743475.7675133</v>
      </c>
      <c r="AL30" s="306">
        <f t="shared" si="15"/>
        <v>1192682301.3255706</v>
      </c>
      <c r="AM30" s="306">
        <f t="shared" si="15"/>
        <v>1224445070.3331742</v>
      </c>
      <c r="AN30" s="306">
        <f t="shared" si="15"/>
        <v>1257053725.5368834</v>
      </c>
      <c r="AO30" s="306">
        <f t="shared" si="15"/>
        <v>1290530794.0487576</v>
      </c>
      <c r="AP30" s="306">
        <f t="shared" si="15"/>
        <v>1324899402.908814</v>
      </c>
    </row>
  </sheetData>
  <sheetProtection algorithmName="SHA-512" hashValue="63UCgnrmKK928JW5kjNLWMli97YVP9xUo/wJFo+OFCT2z5y9ybQonjgWv+rlrFbLnBFq/u2l/fgfubcBXOEvuQ==" saltValue="oRHlqWtdvlp4Ev1e7PThog=="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653844732.1005832</v>
      </c>
      <c r="G3" s="77">
        <f>F3*('Price and Financial Ratios'!I4+1)*(1+Assumptions!$B$28)</f>
        <v>708626220.77892268</v>
      </c>
      <c r="H3" s="77">
        <f>G3*('Price and Financial Ratios'!J4+1)*(1+Assumptions!$B$28)</f>
        <v>746464861.4988153</v>
      </c>
      <c r="I3" s="77">
        <f>H3*('Price and Financial Ratios'!K4+1)*(1+Assumptions!$B$28)</f>
        <v>774982767.63344944</v>
      </c>
      <c r="J3" s="77">
        <f>I3*('Price and Financial Ratios'!L4+1)*(1+Assumptions!$B$28)</f>
        <v>800665340.32429314</v>
      </c>
      <c r="K3" s="77">
        <f>J3*('Price and Financial Ratios'!M4+1)*(1+Assumptions!$B$28)</f>
        <v>790704947.18347073</v>
      </c>
      <c r="L3" s="77">
        <f>K3*('Price and Financial Ratios'!N4+1)*(1+Assumptions!$B$28)</f>
        <v>808899638.36717987</v>
      </c>
      <c r="M3" s="77">
        <f>L3*('Price and Financial Ratios'!O4+1)*(1+Assumptions!$B$28)</f>
        <v>835706200.56391287</v>
      </c>
      <c r="N3" s="77">
        <f>M3*('Price and Financial Ratios'!P4+1)*(1+Assumptions!$B$28)</f>
        <v>859168761.47901165</v>
      </c>
      <c r="O3" s="77">
        <f>N3*('Price and Financial Ratios'!Q4+1)*(1+Assumptions!$B$28)</f>
        <v>883290036.86137569</v>
      </c>
      <c r="P3" s="77">
        <f>O3*('Price and Financial Ratios'!R4+1)*(1+Assumptions!$B$28)</f>
        <v>952821944.84653461</v>
      </c>
      <c r="Q3" s="77">
        <f>P3*('Price and Financial Ratios'!S4+1)*(1+Assumptions!$B$28)</f>
        <v>1023001870.2864273</v>
      </c>
      <c r="R3" s="77">
        <f>Q3*('Price and Financial Ratios'!T4+1)*(1+Assumptions!$B$28)</f>
        <v>1077627283.6432705</v>
      </c>
      <c r="S3" s="77">
        <f>R3*('Price and Financial Ratios'!U4+1)*(1+Assumptions!$B$28)</f>
        <v>1135169539.941535</v>
      </c>
      <c r="T3" s="77">
        <f>S3*('Price and Financial Ratios'!V4+1)*(1+Assumptions!$B$28)</f>
        <v>1195784390.3640881</v>
      </c>
      <c r="U3" s="77">
        <f>T3*('Price and Financial Ratios'!W4+1)*(1+Assumptions!$B$28)</f>
        <v>1253579960.9272635</v>
      </c>
      <c r="V3" s="77">
        <f>U3*('Price and Financial Ratios'!X4+1)*(1+Assumptions!$B$28)</f>
        <v>1307820309.1669281</v>
      </c>
      <c r="W3" s="77">
        <f>V3*('Price and Financial Ratios'!Y4+1)*(1+Assumptions!$B$28)</f>
        <v>1364407548.286201</v>
      </c>
      <c r="X3" s="77">
        <f>W3*('Price and Financial Ratios'!Z4+1)*(1+Assumptions!$B$28)</f>
        <v>1416533305.8379836</v>
      </c>
      <c r="Y3" s="77">
        <f>X3*('Price and Financial Ratios'!AA4+1)*(1+Assumptions!$B$28)</f>
        <v>1477824377.964649</v>
      </c>
      <c r="Z3" s="77">
        <f>Y3*('Price and Financial Ratios'!AB4+1)*(1+Assumptions!$B$28)</f>
        <v>1586673261.2421215</v>
      </c>
      <c r="AA3" s="77">
        <f>Z3*('Price and Financial Ratios'!AC4+1)*(1+Assumptions!$B$28)</f>
        <v>1695503825.8803749</v>
      </c>
      <c r="AB3" s="77">
        <f>AA3*('Price and Financial Ratios'!AD4+1)*(1+Assumptions!$B$28)</f>
        <v>1803212397.530015</v>
      </c>
      <c r="AC3" s="77">
        <f>AB3*('Price and Financial Ratios'!AE4+1)*(1+Assumptions!$B$28)</f>
        <v>1908631057.6059318</v>
      </c>
      <c r="AD3" s="77">
        <f>AC3*('Price and Financial Ratios'!AF4+1)*(1+Assumptions!$B$28)</f>
        <v>2010546570.6618769</v>
      </c>
      <c r="AE3" s="77">
        <f>AD3*('Price and Financial Ratios'!AG4+1)*(1+Assumptions!$B$28)</f>
        <v>2117904084.5487659</v>
      </c>
      <c r="AF3" s="77">
        <f>AE3*('Price and Financial Ratios'!AH4+1)*(1+Assumptions!$B$28)</f>
        <v>2220268253.1655731</v>
      </c>
      <c r="AG3" s="77">
        <f>AF3*('Price and Financial Ratios'!AI4+1)*(1+Assumptions!$B$28)</f>
        <v>2260113879.5290723</v>
      </c>
      <c r="AH3" s="77">
        <f>AG3*('Price and Financial Ratios'!AJ4+1)*(1+Assumptions!$B$28)</f>
        <v>2357905299.0698552</v>
      </c>
      <c r="AI3" s="77">
        <f>AH3*('Price and Financial Ratios'!AK4+1)*(1+Assumptions!$B$28)</f>
        <v>2459927992.8939466</v>
      </c>
      <c r="AJ3" s="77">
        <f>AI3*('Price and Financial Ratios'!AL4+1)*(1+Assumptions!$B$28)</f>
        <v>2491616544.9491272</v>
      </c>
      <c r="AK3" s="77">
        <f>AJ3*('Price and Financial Ratios'!AM4+1)*(1+Assumptions!$B$28)</f>
        <v>2523713305.8357267</v>
      </c>
      <c r="AL3" s="77">
        <f>AK3*('Price and Financial Ratios'!AN4+1)*(1+Assumptions!$B$28)</f>
        <v>2556223534.0600271</v>
      </c>
      <c r="AM3" s="77">
        <f>AL3*('Price and Financial Ratios'!AO4+1)*(1+Assumptions!$B$28)</f>
        <v>2589152555.8678746</v>
      </c>
      <c r="AN3" s="77">
        <f>AM3*('Price and Financial Ratios'!AP4+1)*(1+Assumptions!$B$28)</f>
        <v>2622505766.1172938</v>
      </c>
      <c r="AO3" s="77">
        <f>AN3*('Price and Financial Ratios'!AQ4+1)*(1+Assumptions!$B$28)</f>
        <v>2656288629.1623435</v>
      </c>
      <c r="AP3" s="77">
        <f>AO3*('Price and Financial Ratios'!AR4+1)*(1+Assumptions!$B$28)</f>
        <v>2690506679.7483568</v>
      </c>
      <c r="AQ3" s="77"/>
      <c r="AR3" s="77"/>
      <c r="AS3" s="77"/>
    </row>
    <row r="4" spans="1:45" x14ac:dyDescent="0.35">
      <c r="A4" t="s">
        <v>400</v>
      </c>
      <c r="C4" s="162"/>
      <c r="D4" s="162"/>
      <c r="E4" s="162"/>
      <c r="F4" s="77">
        <f>F25</f>
        <v>261562245.07111421</v>
      </c>
      <c r="G4" s="77">
        <f t="shared" ref="G4:AF4" si="1">G25</f>
        <v>269949734.4284023</v>
      </c>
      <c r="H4" s="77">
        <f t="shared" si="1"/>
        <v>263995064.55930296</v>
      </c>
      <c r="I4" s="77">
        <f t="shared" si="1"/>
        <v>258040699.60603887</v>
      </c>
      <c r="J4" s="77">
        <f t="shared" si="1"/>
        <v>252095151.02377942</v>
      </c>
      <c r="K4" s="77">
        <f t="shared" si="1"/>
        <v>208271373.94070908</v>
      </c>
      <c r="L4" s="77">
        <f t="shared" si="1"/>
        <v>201731253.90849781</v>
      </c>
      <c r="M4" s="77">
        <f t="shared" si="1"/>
        <v>201454063.50607705</v>
      </c>
      <c r="N4" s="77">
        <f t="shared" si="1"/>
        <v>201072442.3875314</v>
      </c>
      <c r="O4" s="77">
        <f t="shared" si="1"/>
        <v>200585047.21222141</v>
      </c>
      <c r="P4" s="77">
        <f t="shared" si="1"/>
        <v>200710760.19326955</v>
      </c>
      <c r="Q4" s="77">
        <f t="shared" si="1"/>
        <v>200673493.59764129</v>
      </c>
      <c r="R4" s="77">
        <f t="shared" si="1"/>
        <v>202053281.82233575</v>
      </c>
      <c r="S4" s="77">
        <f t="shared" si="1"/>
        <v>203309213.98185566</v>
      </c>
      <c r="T4" s="77">
        <f t="shared" si="1"/>
        <v>204439037.97756106</v>
      </c>
      <c r="U4" s="77">
        <f t="shared" si="1"/>
        <v>205440322.98530775</v>
      </c>
      <c r="V4" s="77">
        <f t="shared" si="1"/>
        <v>206310455.01686686</v>
      </c>
      <c r="W4" s="77">
        <f t="shared" si="1"/>
        <v>212588285.87165079</v>
      </c>
      <c r="X4" s="77">
        <f t="shared" si="1"/>
        <v>219023197.71880341</v>
      </c>
      <c r="Y4" s="77">
        <f t="shared" si="1"/>
        <v>225618874.20436376</v>
      </c>
      <c r="Z4" s="77">
        <f t="shared" si="1"/>
        <v>232937412.09763965</v>
      </c>
      <c r="AA4" s="77">
        <f t="shared" si="1"/>
        <v>240435993.51345444</v>
      </c>
      <c r="AB4" s="77">
        <f t="shared" si="1"/>
        <v>248118700.11404696</v>
      </c>
      <c r="AC4" s="77">
        <f t="shared" si="1"/>
        <v>255989701.5962486</v>
      </c>
      <c r="AD4" s="77">
        <f t="shared" si="1"/>
        <v>264053257.42063016</v>
      </c>
      <c r="AE4" s="77">
        <f t="shared" si="1"/>
        <v>272313718.56623209</v>
      </c>
      <c r="AF4" s="77">
        <f t="shared" si="1"/>
        <v>280775529.31082708</v>
      </c>
      <c r="AG4" s="77">
        <f t="shared" ref="AG4:AP4" si="2">AG25</f>
        <v>289443229.03664029</v>
      </c>
      <c r="AH4" s="77">
        <f t="shared" si="2"/>
        <v>298321454.06141657</v>
      </c>
      <c r="AI4" s="77">
        <f t="shared" si="2"/>
        <v>307414939.49469632</v>
      </c>
      <c r="AJ4" s="77">
        <f t="shared" si="2"/>
        <v>315132007.27288353</v>
      </c>
      <c r="AK4" s="77">
        <f t="shared" si="2"/>
        <v>323041716.27191907</v>
      </c>
      <c r="AL4" s="77">
        <f t="shared" si="2"/>
        <v>331148732.34944469</v>
      </c>
      <c r="AM4" s="77">
        <f t="shared" si="2"/>
        <v>339457827.23307955</v>
      </c>
      <c r="AN4" s="77">
        <f t="shared" si="2"/>
        <v>347973880.6119777</v>
      </c>
      <c r="AO4" s="77">
        <f t="shared" si="2"/>
        <v>356701882.25598514</v>
      </c>
      <c r="AP4" s="77">
        <f t="shared" si="2"/>
        <v>365646934.16207373</v>
      </c>
    </row>
    <row r="5" spans="1:45" x14ac:dyDescent="0.35">
      <c r="A5" t="s">
        <v>401</v>
      </c>
      <c r="C5" s="162"/>
      <c r="D5" s="162"/>
      <c r="E5" s="162"/>
      <c r="F5" s="77">
        <f>Depreciation!F6+Depreciation!F7</f>
        <v>278044470.12401474</v>
      </c>
      <c r="G5" s="77">
        <f>Depreciation!G6+Depreciation!G7</f>
        <v>292710018.10825944</v>
      </c>
      <c r="H5" s="77">
        <f>Depreciation!H6+Depreciation!H7</f>
        <v>307574914.04897845</v>
      </c>
      <c r="I5" s="77">
        <f>Depreciation!I6+Depreciation!I7</f>
        <v>322651388.16949934</v>
      </c>
      <c r="J5" s="77">
        <f>Depreciation!J6+Depreciation!J7</f>
        <v>337951726.92660183</v>
      </c>
      <c r="K5" s="77">
        <f>Depreciation!K6+Depreciation!K7</f>
        <v>353488281.64501292</v>
      </c>
      <c r="L5" s="77">
        <f>Depreciation!L6+Depreciation!L7</f>
        <v>369273477.0319711</v>
      </c>
      <c r="M5" s="77">
        <f>Depreciation!M6+Depreciation!M7</f>
        <v>385484689.79168355</v>
      </c>
      <c r="N5" s="77">
        <f>Depreciation!N6+Depreciation!N7</f>
        <v>402133244.88762128</v>
      </c>
      <c r="O5" s="77">
        <f>Depreciation!O6+Depreciation!O7</f>
        <v>419230743.7214148</v>
      </c>
      <c r="P5" s="77">
        <f>Depreciation!P6+Depreciation!P7</f>
        <v>444261176.14413917</v>
      </c>
      <c r="Q5" s="77">
        <f>Depreciation!Q6+Depreciation!Q7</f>
        <v>469908146.38724875</v>
      </c>
      <c r="R5" s="77">
        <f>Depreciation!R6+Depreciation!R7</f>
        <v>496284642.34969831</v>
      </c>
      <c r="S5" s="77">
        <f>Depreciation!S6+Depreciation!S7</f>
        <v>523408125.18145162</v>
      </c>
      <c r="T5" s="77">
        <f>Depreciation!T6+Depreciation!T7</f>
        <v>551296391.95439923</v>
      </c>
      <c r="U5" s="77">
        <f>Depreciation!U6+Depreciation!U7</f>
        <v>579967578.76553917</v>
      </c>
      <c r="V5" s="77">
        <f>Depreciation!V6+Depreciation!V7</f>
        <v>609440163.68902767</v>
      </c>
      <c r="W5" s="77">
        <f>Depreciation!W6+Depreciation!W7</f>
        <v>640080134.67207885</v>
      </c>
      <c r="X5" s="77">
        <f>Depreciation!X6+Depreciation!X7</f>
        <v>671928905.72078919</v>
      </c>
      <c r="Y5" s="77">
        <f>Depreciation!Y6+Depreciation!Y7</f>
        <v>705029269.00625503</v>
      </c>
      <c r="Z5" s="77">
        <f>Depreciation!Z6+Depreciation!Z7</f>
        <v>747372613.81776083</v>
      </c>
      <c r="AA5" s="77">
        <f>Depreciation!AA6+Depreciation!AA7</f>
        <v>791481623.83224368</v>
      </c>
      <c r="AB5" s="77">
        <f>Depreciation!AB6+Depreciation!AB7</f>
        <v>837420390.66306758</v>
      </c>
      <c r="AC5" s="77">
        <f>Depreciation!AC6+Depreciation!AC7</f>
        <v>885255162.73932314</v>
      </c>
      <c r="AD5" s="77">
        <f>Depreciation!AD6+Depreciation!AD7</f>
        <v>935054414.38030457</v>
      </c>
      <c r="AE5" s="77">
        <f>Depreciation!AE6+Depreciation!AE7</f>
        <v>986888917.00269175</v>
      </c>
      <c r="AF5" s="77">
        <f>Depreciation!AF6+Depreciation!AF7</f>
        <v>1040831812.5243559</v>
      </c>
      <c r="AG5" s="77">
        <f>Depreciation!AG6+Depreciation!AG7</f>
        <v>1096958689.0305667</v>
      </c>
      <c r="AH5" s="77">
        <f>Depreciation!AH6+Depreciation!AH7</f>
        <v>1155347658.7702999</v>
      </c>
      <c r="AI5" s="77">
        <f>Depreciation!AI6+Depreciation!AI7</f>
        <v>1216079438.5523167</v>
      </c>
      <c r="AJ5" s="77">
        <f>Depreciation!AJ6+Depreciation!AJ7</f>
        <v>1252561821.7088864</v>
      </c>
      <c r="AK5" s="77">
        <f>Depreciation!AK6+Depreciation!AK7</f>
        <v>1290138676.360153</v>
      </c>
      <c r="AL5" s="77">
        <f>Depreciation!AL6+Depreciation!AL7</f>
        <v>1328842836.6509576</v>
      </c>
      <c r="AM5" s="77">
        <f>Depreciation!AM6+Depreciation!AM7</f>
        <v>1368708121.7504864</v>
      </c>
      <c r="AN5" s="77">
        <f>Depreciation!AN6+Depreciation!AN7</f>
        <v>1409769365.4030008</v>
      </c>
      <c r="AO5" s="77">
        <f>Depreciation!AO6+Depreciation!AO7</f>
        <v>1452062446.3650908</v>
      </c>
      <c r="AP5" s="77">
        <f>Depreciation!AP6+Depreciation!AP7</f>
        <v>1495624319.7560437</v>
      </c>
    </row>
    <row r="6" spans="1:45" x14ac:dyDescent="0.35">
      <c r="A6" t="s">
        <v>402</v>
      </c>
      <c r="C6" s="162"/>
      <c r="D6" s="162"/>
      <c r="E6" s="162"/>
      <c r="F6" s="77">
        <f ca="1">'Debt worksheet'!F10</f>
        <v>127343252.26164435</v>
      </c>
      <c r="G6" s="77">
        <f ca="1">'Debt worksheet'!G10</f>
        <v>144149055.54472423</v>
      </c>
      <c r="H6" s="77">
        <f ca="1">'Debt worksheet'!H10</f>
        <v>158619789.61100736</v>
      </c>
      <c r="I6" s="77">
        <f ca="1">'Debt worksheet'!I10</f>
        <v>168092612.62693226</v>
      </c>
      <c r="J6" s="77">
        <f ca="1">'Debt worksheet'!J10</f>
        <v>176771803.69745743</v>
      </c>
      <c r="K6" s="77">
        <f ca="1">'Debt worksheet'!K10</f>
        <v>184537955.09483135</v>
      </c>
      <c r="L6" s="77">
        <f ca="1">'Debt worksheet'!L10</f>
        <v>191776802.98303184</v>
      </c>
      <c r="M6" s="77">
        <f ca="1">'Debt worksheet'!M10</f>
        <v>198691505.28343931</v>
      </c>
      <c r="N6" s="77">
        <f ca="1">'Debt worksheet'!N10</f>
        <v>205424945.04080763</v>
      </c>
      <c r="O6" s="77">
        <f ca="1">'Debt worksheet'!O10</f>
        <v>211946735.57783595</v>
      </c>
      <c r="P6" s="77">
        <f ca="1">'Debt worksheet'!P10</f>
        <v>230559759.45877054</v>
      </c>
      <c r="Q6" s="77">
        <f ca="1">'Debt worksheet'!Q10</f>
        <v>247647504.00332561</v>
      </c>
      <c r="R6" s="77">
        <f ca="1">'Debt worksheet'!R10</f>
        <v>264105278.97943926</v>
      </c>
      <c r="S6" s="77">
        <f ca="1">'Debt worksheet'!S10</f>
        <v>279784717.34680337</v>
      </c>
      <c r="T6" s="77">
        <f ca="1">'Debt worksheet'!T10</f>
        <v>294523816.90582013</v>
      </c>
      <c r="U6" s="77">
        <f ca="1">'Debt worksheet'!U10</f>
        <v>308418045.32443333</v>
      </c>
      <c r="V6" s="77">
        <f ca="1">'Debt worksheet'!V10</f>
        <v>321600226.68207681</v>
      </c>
      <c r="W6" s="77">
        <f ca="1">'Debt worksheet'!W10</f>
        <v>334857597.96689063</v>
      </c>
      <c r="X6" s="77">
        <f ca="1">'Debt worksheet'!X10</f>
        <v>348455850.85834199</v>
      </c>
      <c r="Y6" s="77">
        <f ca="1">'Debt worksheet'!Y10</f>
        <v>362062095.28307009</v>
      </c>
      <c r="Z6" s="77">
        <f ca="1">'Debt worksheet'!Z10</f>
        <v>388842130.72202694</v>
      </c>
      <c r="AA6" s="77">
        <f ca="1">'Debt worksheet'!AA10</f>
        <v>414941374.20970941</v>
      </c>
      <c r="AB6" s="77">
        <f ca="1">'Debt worksheet'!AB10</f>
        <v>440473265.51277786</v>
      </c>
      <c r="AC6" s="77">
        <f ca="1">'Debt worksheet'!AC10</f>
        <v>465611505.64336288</v>
      </c>
      <c r="AD6" s="77">
        <f ca="1">'Debt worksheet'!AD10</f>
        <v>490594873.70930392</v>
      </c>
      <c r="AE6" s="77">
        <f ca="1">'Debt worksheet'!AE10</f>
        <v>515273788.62177783</v>
      </c>
      <c r="AF6" s="77">
        <f ca="1">'Debt worksheet'!AF10</f>
        <v>539963741.99477255</v>
      </c>
      <c r="AG6" s="77">
        <f ca="1">'Debt worksheet'!AG10</f>
        <v>567582118.57210505</v>
      </c>
      <c r="AH6" s="77">
        <f ca="1">'Debt worksheet'!AH10</f>
        <v>595767745.75015557</v>
      </c>
      <c r="AI6" s="77">
        <f ca="1">'Debt worksheet'!AI10</f>
        <v>624470018.07976985</v>
      </c>
      <c r="AJ6" s="77">
        <f ca="1">'Debt worksheet'!AJ10</f>
        <v>605580243.91307878</v>
      </c>
      <c r="AK6" s="77">
        <f ca="1">'Debt worksheet'!AK10</f>
        <v>586109023.00923526</v>
      </c>
      <c r="AL6" s="77">
        <f ca="1">'Debt worksheet'!AL10</f>
        <v>566056578.36225677</v>
      </c>
      <c r="AM6" s="77">
        <f ca="1">'Debt worksheet'!AM10</f>
        <v>545424078.42767715</v>
      </c>
      <c r="AN6" s="77">
        <f ca="1">'Debt worksheet'!AN10</f>
        <v>524213706.94778949</v>
      </c>
      <c r="AO6" s="77">
        <f ca="1">'Debt worksheet'!AO10</f>
        <v>502428736.65090144</v>
      </c>
      <c r="AP6" s="77">
        <f ca="1">'Debt worksheet'!AP10</f>
        <v>480073607.01752377</v>
      </c>
    </row>
    <row r="7" spans="1:45" x14ac:dyDescent="0.35">
      <c r="A7" t="s">
        <v>403</v>
      </c>
      <c r="C7" s="162"/>
      <c r="D7" s="162"/>
      <c r="E7" s="162"/>
      <c r="F7" s="77">
        <f t="shared" ref="F7:AP7" ca="1" si="3">F3-F4-F5-F6</f>
        <v>-13105235.356190071</v>
      </c>
      <c r="G7" s="77">
        <f t="shared" ca="1" si="3"/>
        <v>1817412.6975367069</v>
      </c>
      <c r="H7" s="77">
        <f t="shared" ca="1" si="3"/>
        <v>16275093.279526561</v>
      </c>
      <c r="I7" s="77">
        <f t="shared" ca="1" si="3"/>
        <v>26198067.230978966</v>
      </c>
      <c r="J7" s="77">
        <f t="shared" ca="1" si="3"/>
        <v>33846658.676454484</v>
      </c>
      <c r="K7" s="77">
        <f t="shared" ca="1" si="3"/>
        <v>44407336.502917349</v>
      </c>
      <c r="L7" s="77">
        <f t="shared" ca="1" si="3"/>
        <v>46118104.443679124</v>
      </c>
      <c r="M7" s="77">
        <f t="shared" ca="1" si="3"/>
        <v>50075941.982712954</v>
      </c>
      <c r="N7" s="77">
        <f t="shared" ca="1" si="3"/>
        <v>50538129.163051337</v>
      </c>
      <c r="O7" s="77">
        <f t="shared" ca="1" si="3"/>
        <v>51527510.349903554</v>
      </c>
      <c r="P7" s="77">
        <f t="shared" ca="1" si="3"/>
        <v>77290249.050355285</v>
      </c>
      <c r="Q7" s="77">
        <f t="shared" ca="1" si="3"/>
        <v>104772726.29821166</v>
      </c>
      <c r="R7" s="77">
        <f t="shared" ca="1" si="3"/>
        <v>115184080.49179721</v>
      </c>
      <c r="S7" s="77">
        <f t="shared" ca="1" si="3"/>
        <v>128667483.43142438</v>
      </c>
      <c r="T7" s="77">
        <f t="shared" ca="1" si="3"/>
        <v>145525143.5263077</v>
      </c>
      <c r="U7" s="77">
        <f t="shared" ca="1" si="3"/>
        <v>159754013.85198331</v>
      </c>
      <c r="V7" s="77">
        <f t="shared" ca="1" si="3"/>
        <v>170469463.77895665</v>
      </c>
      <c r="W7" s="77">
        <f t="shared" ca="1" si="3"/>
        <v>176881529.77558082</v>
      </c>
      <c r="X7" s="77">
        <f t="shared" ca="1" si="3"/>
        <v>177125351.54004902</v>
      </c>
      <c r="Y7" s="77">
        <f t="shared" ca="1" si="3"/>
        <v>185114139.47096002</v>
      </c>
      <c r="Z7" s="77">
        <f t="shared" ca="1" si="3"/>
        <v>217521104.60469413</v>
      </c>
      <c r="AA7" s="77">
        <f t="shared" ca="1" si="3"/>
        <v>248644834.32496738</v>
      </c>
      <c r="AB7" s="77">
        <f t="shared" ca="1" si="3"/>
        <v>277200041.2401225</v>
      </c>
      <c r="AC7" s="77">
        <f t="shared" ca="1" si="3"/>
        <v>301774687.62699711</v>
      </c>
      <c r="AD7" s="77">
        <f t="shared" ca="1" si="3"/>
        <v>320844025.15163821</v>
      </c>
      <c r="AE7" s="77">
        <f t="shared" ca="1" si="3"/>
        <v>343427660.35806435</v>
      </c>
      <c r="AF7" s="77">
        <f t="shared" ca="1" si="3"/>
        <v>358697169.33561766</v>
      </c>
      <c r="AG7" s="77">
        <f t="shared" ca="1" si="3"/>
        <v>306129842.88976038</v>
      </c>
      <c r="AH7" s="77">
        <f t="shared" ca="1" si="3"/>
        <v>308468440.48798311</v>
      </c>
      <c r="AI7" s="77">
        <f t="shared" ca="1" si="3"/>
        <v>311963596.76716399</v>
      </c>
      <c r="AJ7" s="77">
        <f t="shared" ca="1" si="3"/>
        <v>318342472.05427861</v>
      </c>
      <c r="AK7" s="77">
        <f t="shared" ca="1" si="3"/>
        <v>324423890.19441926</v>
      </c>
      <c r="AL7" s="77">
        <f t="shared" ca="1" si="3"/>
        <v>330175386.69736791</v>
      </c>
      <c r="AM7" s="77">
        <f t="shared" ca="1" si="3"/>
        <v>335562528.45663166</v>
      </c>
      <c r="AN7" s="77">
        <f t="shared" ca="1" si="3"/>
        <v>340548813.15452594</v>
      </c>
      <c r="AO7" s="77">
        <f t="shared" ca="1" si="3"/>
        <v>345095563.89036596</v>
      </c>
      <c r="AP7" s="77">
        <f t="shared" ca="1" si="3"/>
        <v>349161818.81271577</v>
      </c>
    </row>
    <row r="10" spans="1:45" x14ac:dyDescent="0.35">
      <c r="A10" t="s">
        <v>404</v>
      </c>
      <c r="C10" s="155"/>
      <c r="D10" s="155"/>
      <c r="E10" s="155"/>
      <c r="F10" s="38">
        <f>Assumptions!$E$102*Assumptions!F21*Assumptions!F29</f>
        <v>226354134.65782037</v>
      </c>
      <c r="G10" s="38">
        <f>Assumptions!$E$102*Assumptions!G21*Assumptions!G29</f>
        <v>233855406.63445362</v>
      </c>
      <c r="H10" s="38">
        <f>Assumptions!$E$102*Assumptions!H21*Assumptions!H29</f>
        <v>241605267.3163583</v>
      </c>
      <c r="I10" s="38">
        <f>Assumptions!$E$102*Assumptions!I21*Assumptions!I29</f>
        <v>249611954.81896085</v>
      </c>
      <c r="J10" s="38">
        <f>Assumptions!$E$102*Assumptions!J21*Assumptions!J29</f>
        <v>257883980.26504621</v>
      </c>
      <c r="K10" s="38">
        <f>Assumptions!$E$102*Assumptions!K21*Assumptions!K29</f>
        <v>266430136.83209616</v>
      </c>
      <c r="L10" s="38">
        <f>Assumptions!$E$102*Assumptions!L21*Assumptions!L29</f>
        <v>275259509.09945238</v>
      </c>
      <c r="M10" s="38">
        <f>Assumptions!$E$102*Assumptions!M21*Assumptions!M29</f>
        <v>284381482.70524007</v>
      </c>
      <c r="N10" s="38">
        <f>Assumptions!$E$102*Assumptions!N21*Assumptions!N29</f>
        <v>293805754.32331777</v>
      </c>
      <c r="O10" s="38">
        <f>Assumptions!$E$102*Assumptions!O21*Assumptions!O29</f>
        <v>303542341.97085851</v>
      </c>
      <c r="P10" s="38">
        <f>Assumptions!$E$102*Assumptions!P21*Assumptions!P29</f>
        <v>313601595.65751946</v>
      </c>
      <c r="Q10" s="38">
        <f>Assumptions!$E$102*Assumptions!Q21*Assumptions!Q29</f>
        <v>323994208.38752055</v>
      </c>
      <c r="R10" s="38">
        <f>Assumptions!$E$102*Assumptions!R21*Assumptions!R29</f>
        <v>334731227.52632606</v>
      </c>
      <c r="S10" s="38">
        <f>Assumptions!$E$102*Assumptions!S21*Assumptions!S29</f>
        <v>345824066.54401416</v>
      </c>
      <c r="T10" s="38">
        <f>Assumptions!$E$102*Assumptions!T21*Assumptions!T29</f>
        <v>357284517.14781469</v>
      </c>
      <c r="U10" s="38">
        <f>Assumptions!$E$102*Assumptions!U21*Assumptions!U29</f>
        <v>369124761.81671524</v>
      </c>
      <c r="V10" s="38">
        <f>Assumptions!$E$102*Assumptions!V21*Assumptions!V29</f>
        <v>381357386.75145704</v>
      </c>
      <c r="W10" s="38">
        <f>Assumptions!$E$102*Assumptions!W21*Assumptions!W29</f>
        <v>393995395.25368857</v>
      </c>
      <c r="X10" s="38">
        <f>Assumptions!$E$102*Assumptions!X21*Assumptions!X29</f>
        <v>407052221.54849792</v>
      </c>
      <c r="Y10" s="38">
        <f>Assumptions!$E$102*Assumptions!Y21*Assumptions!Y29</f>
        <v>420541745.06501734</v>
      </c>
      <c r="Z10" s="38">
        <f>Assumptions!$E$102*Assumptions!Z21*Assumptions!Z29</f>
        <v>434478305.19028068</v>
      </c>
      <c r="AA10" s="38">
        <f>Assumptions!$E$102*Assumptions!AA21*Assumptions!AA29</f>
        <v>448876716.51201689</v>
      </c>
      <c r="AB10" s="38">
        <f>Assumptions!$E$102*Assumptions!AB21*Assumptions!AB29</f>
        <v>463752284.56658268</v>
      </c>
      <c r="AC10" s="38">
        <f>Assumptions!$E$102*Assumptions!AC21*Assumptions!AC29</f>
        <v>479120822.10877413</v>
      </c>
      <c r="AD10" s="38">
        <f>Assumptions!$E$102*Assumptions!AD21*Assumptions!AD29</f>
        <v>494998665.92081279</v>
      </c>
      <c r="AE10" s="38">
        <f>Assumptions!$E$102*Assumptions!AE21*Assumptions!AE29</f>
        <v>511402694.17837381</v>
      </c>
      <c r="AF10" s="38">
        <f>Assumptions!$E$102*Assumptions!AF21*Assumptions!AF29</f>
        <v>528350344.39211589</v>
      </c>
      <c r="AG10" s="38">
        <f>Assumptions!$E$102*Assumptions!AG21*Assumptions!AG29</f>
        <v>545859631.94378543</v>
      </c>
      <c r="AH10" s="38">
        <f>Assumptions!$E$102*Assumptions!AH21*Assumptions!AH29</f>
        <v>563949169.23659933</v>
      </c>
      <c r="AI10" s="38">
        <f>Assumptions!$E$102*Assumptions!AI21*Assumptions!AI29</f>
        <v>582638185.48026156</v>
      </c>
      <c r="AJ10" s="38">
        <f>Assumptions!$E$102*Assumptions!AJ21*Assumptions!AJ29</f>
        <v>601946547.13164687</v>
      </c>
      <c r="AK10" s="38">
        <f>Assumptions!$E$102*Assumptions!AK21*Assumptions!AK29</f>
        <v>621894779.01287878</v>
      </c>
      <c r="AL10" s="38">
        <f>Assumptions!$E$102*Assumptions!AL21*Assumptions!AL29</f>
        <v>642504086.12925172</v>
      </c>
      <c r="AM10" s="38">
        <f>Assumptions!$E$102*Assumptions!AM21*Assumptions!AM29</f>
        <v>663796376.21018851</v>
      </c>
      <c r="AN10" s="38">
        <f>Assumptions!$E$102*Assumptions!AN21*Assumptions!AN29</f>
        <v>685794282.99719465</v>
      </c>
      <c r="AO10" s="38">
        <f>Assumptions!$E$102*Assumptions!AO21*Assumptions!AO29</f>
        <v>708521190.30356598</v>
      </c>
      <c r="AP10" s="38">
        <f>Assumptions!$E$102*Assumptions!AP21*Assumptions!AP29</f>
        <v>732001256.87142158</v>
      </c>
    </row>
    <row r="11" spans="1:45" x14ac:dyDescent="0.35">
      <c r="A11" t="s">
        <v>405</v>
      </c>
      <c r="C11" s="156"/>
      <c r="D11" s="156"/>
      <c r="E11" s="156"/>
      <c r="F11" s="38">
        <f>Assumptions!F94*Assumptions!F23</f>
        <v>35002991.08850763</v>
      </c>
      <c r="G11" s="38">
        <f>Assumptions!G94*Assumptions!G23</f>
        <v>35703050.910277784</v>
      </c>
      <c r="H11" s="38">
        <f>Assumptions!H94*Assumptions!H23</f>
        <v>36417111.928483337</v>
      </c>
      <c r="I11" s="38">
        <f>Assumptions!I94*Assumptions!I23</f>
        <v>37145454.167053007</v>
      </c>
      <c r="J11" s="38">
        <f>Assumptions!J94*Assumptions!J23</f>
        <v>37888363.250394069</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1063368.2294503634</v>
      </c>
      <c r="G12" s="38">
        <f>Assumptions!G293*Assumptions!G23</f>
        <v>2165723.87629512</v>
      </c>
      <c r="H12" s="38">
        <f>Assumptions!H293*Assumptions!H23</f>
        <v>3238897.6196952034</v>
      </c>
      <c r="I12" s="38">
        <f>Assumptions!I293*Assumptions!I23</f>
        <v>4284246.3776034368</v>
      </c>
      <c r="J12" s="38">
        <f>Assumptions!J293*Assumptions!J23</f>
        <v>5303059.6064531952</v>
      </c>
      <c r="K12" s="38">
        <f>Assumptions!K293*Assumptions!K23</f>
        <v>6296561.8483153088</v>
      </c>
      <c r="L12" s="38">
        <f>Assumptions!L293*Assumptions!L23</f>
        <v>7265915.15174824</v>
      </c>
      <c r="M12" s="38">
        <f>Assumptions!M293*Assumptions!M23</f>
        <v>8238802.5662591364</v>
      </c>
      <c r="N12" s="38">
        <f>Assumptions!N293*Assumptions!N23</f>
        <v>9215290.7039484251</v>
      </c>
      <c r="O12" s="38">
        <f>Assumptions!O293*Assumptions!O23</f>
        <v>10195441.328698885</v>
      </c>
      <c r="P12" s="38">
        <f>Assumptions!P293*Assumptions!P23</f>
        <v>12349252.727969598</v>
      </c>
      <c r="Q12" s="38">
        <f>Assumptions!Q293*Assumptions!Q23</f>
        <v>14506373.804302929</v>
      </c>
      <c r="R12" s="38">
        <f>Assumptions!R293*Assumptions!R23</f>
        <v>16681968.237394197</v>
      </c>
      <c r="S12" s="38">
        <f>Assumptions!S293*Assumptions!S23</f>
        <v>18876031.656504009</v>
      </c>
      <c r="T12" s="38">
        <f>Assumptions!T293*Assumptions!T23</f>
        <v>21088547.423560813</v>
      </c>
      <c r="U12" s="38">
        <f>Assumptions!U293*Assumptions!U23</f>
        <v>23319486.105545122</v>
      </c>
      <c r="V12" s="38">
        <f>Assumptions!V293*Assumptions!V23</f>
        <v>25568804.929791443</v>
      </c>
      <c r="W12" s="38">
        <f>Assumptions!W293*Assumptions!W23</f>
        <v>27887216.13103728</v>
      </c>
      <c r="X12" s="38">
        <f>Assumptions!X293*Assumptions!X23</f>
        <v>30276391.1636949</v>
      </c>
      <c r="Y12" s="38">
        <f>Assumptions!Y293*Assumptions!Y23</f>
        <v>32738037.495348003</v>
      </c>
      <c r="Z12" s="38">
        <f>Assumptions!Z293*Assumptions!Z23</f>
        <v>36402559.973227113</v>
      </c>
      <c r="AA12" s="38">
        <f>Assumptions!AA293*Assumptions!AA23</f>
        <v>40180820.779809438</v>
      </c>
      <c r="AB12" s="38">
        <f>Assumptions!AB293*Assumptions!AB23</f>
        <v>44075574.567749716</v>
      </c>
      <c r="AC12" s="38">
        <f>Assumptions!AC293*Assumptions!AC23</f>
        <v>48089635.196803682</v>
      </c>
      <c r="AD12" s="38">
        <f>Assumptions!AD293*Assumptions!AD23</f>
        <v>52225876.908870682</v>
      </c>
      <c r="AE12" s="38">
        <f>Assumptions!AE293*Assumptions!AE23</f>
        <v>56487235.524832398</v>
      </c>
      <c r="AF12" s="38">
        <f>Assumptions!AF293*Assumptions!AF23</f>
        <v>60876709.663564011</v>
      </c>
      <c r="AG12" s="38">
        <f>Assumptions!AG293*Assumptions!AG23</f>
        <v>65397361.983500421</v>
      </c>
      <c r="AH12" s="38">
        <f>Assumptions!AH293*Assumptions!AH23</f>
        <v>70052320.447145686</v>
      </c>
      <c r="AI12" s="38">
        <f>Assumptions!AI293*Assumptions!AI23</f>
        <v>74844779.608920142</v>
      </c>
      <c r="AJ12" s="38">
        <f>Assumptions!AJ293*Assumptions!AJ23</f>
        <v>76341675.201098531</v>
      </c>
      <c r="AK12" s="38">
        <f>Assumptions!AK293*Assumptions!AK23</f>
        <v>77868508.705120504</v>
      </c>
      <c r="AL12" s="38">
        <f>Assumptions!AL293*Assumptions!AL23</f>
        <v>79425878.879222915</v>
      </c>
      <c r="AM12" s="38">
        <f>Assumptions!AM293*Assumptions!AM23</f>
        <v>81014396.456807375</v>
      </c>
      <c r="AN12" s="38">
        <f>Assumptions!AN293*Assumptions!AN23</f>
        <v>82634684.385943532</v>
      </c>
      <c r="AO12" s="38">
        <f>Assumptions!AO293*Assumptions!AO23</f>
        <v>84287378.0736624</v>
      </c>
      <c r="AP12" s="38">
        <f>Assumptions!AP293*Assumptions!AP23</f>
        <v>85973125.635135666</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0.94071484550429552</v>
      </c>
      <c r="I14" s="45">
        <f>Assumptions!I232</f>
        <v>0.8849444205521706</v>
      </c>
      <c r="J14" s="45">
        <f>Assumptions!J232</f>
        <v>0.83248035385962349</v>
      </c>
      <c r="K14" s="45">
        <f>Assumptions!K232</f>
        <v>0.78312662746641692</v>
      </c>
      <c r="L14" s="45">
        <f>Assumptions!L232</f>
        <v>0.73669884436737043</v>
      </c>
      <c r="M14" s="45">
        <f>Assumptions!M232</f>
        <v>0.71431526715693416</v>
      </c>
      <c r="N14" s="45">
        <f>Assumptions!N232</f>
        <v>0.69261178403455892</v>
      </c>
      <c r="O14" s="45">
        <f>Assumptions!O232</f>
        <v>0.67156773128039915</v>
      </c>
      <c r="P14" s="45">
        <f>Assumptions!P232</f>
        <v>0.65116307301320597</v>
      </c>
      <c r="Q14" s="45">
        <f>Assumptions!Q232</f>
        <v>0.63137838211431851</v>
      </c>
      <c r="R14" s="45">
        <f>Assumptions!R232</f>
        <v>0.61666576889259095</v>
      </c>
      <c r="S14" s="45">
        <f>Assumptions!S232</f>
        <v>0.60229599444067883</v>
      </c>
      <c r="T14" s="45">
        <f>Assumptions!T232</f>
        <v>0.5882610698024181</v>
      </c>
      <c r="U14" s="45">
        <f>Assumptions!U232</f>
        <v>0.57455319218326395</v>
      </c>
      <c r="V14" s="45">
        <f>Assumptions!V232</f>
        <v>0.56116474061228394</v>
      </c>
      <c r="W14" s="45">
        <f>Assumptions!W232</f>
        <v>0.56116474061228394</v>
      </c>
      <c r="X14" s="45">
        <f>Assumptions!X232</f>
        <v>0.56116474061228394</v>
      </c>
      <c r="Y14" s="45">
        <f>Assumptions!Y232</f>
        <v>0.56116474061228394</v>
      </c>
      <c r="Z14" s="45">
        <f>Assumptions!Z232</f>
        <v>0.56116474061228394</v>
      </c>
      <c r="AA14" s="45">
        <f>Assumptions!AA232</f>
        <v>0.56116474061228394</v>
      </c>
      <c r="AB14" s="45">
        <f>Assumptions!AB232</f>
        <v>0.56116474061228394</v>
      </c>
      <c r="AC14" s="45">
        <f>Assumptions!AC232</f>
        <v>0.56116474061228394</v>
      </c>
      <c r="AD14" s="45">
        <f>Assumptions!AD232</f>
        <v>0.56116474061228394</v>
      </c>
      <c r="AE14" s="45">
        <f>Assumptions!AE232</f>
        <v>0.56116474061228394</v>
      </c>
      <c r="AF14" s="45">
        <f>Assumptions!AF232</f>
        <v>0.56116474061228394</v>
      </c>
      <c r="AG14" s="45">
        <f>Assumptions!AG232</f>
        <v>0.56116474061228394</v>
      </c>
      <c r="AH14" s="45">
        <f>Assumptions!AH232</f>
        <v>0.56116474061228394</v>
      </c>
      <c r="AI14" s="45">
        <f>Assumptions!AI232</f>
        <v>0.56116474061228394</v>
      </c>
      <c r="AJ14" s="45">
        <f>Assumptions!AJ232</f>
        <v>0.56116474061228394</v>
      </c>
      <c r="AK14" s="45">
        <f>Assumptions!AK232</f>
        <v>0.56116474061228394</v>
      </c>
      <c r="AL14" s="45">
        <f>Assumptions!AL232</f>
        <v>0.56116474061228394</v>
      </c>
      <c r="AM14" s="45">
        <f>Assumptions!AM232</f>
        <v>0.56116474061228394</v>
      </c>
      <c r="AN14" s="45">
        <f>Assumptions!AN232</f>
        <v>0.56116474061228394</v>
      </c>
      <c r="AO14" s="45">
        <f>Assumptions!AO232</f>
        <v>0.56116474061228394</v>
      </c>
      <c r="AP14" s="45">
        <f>Assumptions!AP232</f>
        <v>0.56116474061228394</v>
      </c>
    </row>
    <row r="15" spans="1:45" x14ac:dyDescent="0.35">
      <c r="A15" t="s">
        <v>393</v>
      </c>
      <c r="C15" s="45">
        <f>Assumptions!C235</f>
        <v>1</v>
      </c>
      <c r="D15" s="45">
        <f>Assumptions!D235</f>
        <v>1</v>
      </c>
      <c r="E15" s="45">
        <f>Assumptions!E235</f>
        <v>1</v>
      </c>
      <c r="F15" s="45">
        <f>Assumptions!F235</f>
        <v>0.99672948979075005</v>
      </c>
      <c r="G15" s="45">
        <f>Assumptions!G235</f>
        <v>0.99346967581852885</v>
      </c>
      <c r="H15" s="45">
        <f>Assumptions!H235</f>
        <v>0.99022052310118414</v>
      </c>
      <c r="I15" s="45">
        <f>Assumptions!I235</f>
        <v>0.98698199677097287</v>
      </c>
      <c r="J15" s="45">
        <f>Assumptions!J235</f>
        <v>0.98375406207418747</v>
      </c>
      <c r="K15" s="45">
        <f>Assumptions!K235</f>
        <v>0.98053668437078279</v>
      </c>
      <c r="L15" s="45">
        <f>Assumptions!L235</f>
        <v>0.97732982913400401</v>
      </c>
      <c r="M15" s="45">
        <f>Assumptions!M235</f>
        <v>0.97413346195001671</v>
      </c>
      <c r="N15" s="45">
        <f>Assumptions!N235</f>
        <v>0.97094754851753717</v>
      </c>
      <c r="O15" s="45">
        <f>Assumptions!O235</f>
        <v>0.9677720546474643</v>
      </c>
      <c r="P15" s="45">
        <f>Assumptions!P235</f>
        <v>0.96460694626251298</v>
      </c>
      <c r="Q15" s="45">
        <f>Assumptions!Q235</f>
        <v>0.96145218939684796</v>
      </c>
      <c r="R15" s="45">
        <f>Assumptions!R235</f>
        <v>0.9583077501957199</v>
      </c>
      <c r="S15" s="45">
        <f>Assumptions!S235</f>
        <v>0.95517359491510145</v>
      </c>
      <c r="T15" s="45">
        <f>Assumptions!T235</f>
        <v>0.95204968992132566</v>
      </c>
      <c r="U15" s="45">
        <f>Assumptions!U235</f>
        <v>0.94893600169072467</v>
      </c>
      <c r="V15" s="45">
        <f>Assumptions!V235</f>
        <v>0.94583249680927028</v>
      </c>
      <c r="W15" s="45">
        <f>Assumptions!W235</f>
        <v>0.9427391419722152</v>
      </c>
      <c r="X15" s="45">
        <f>Assumptions!X235</f>
        <v>0.93965590398373555</v>
      </c>
      <c r="Y15" s="45">
        <f>Assumptions!Y235</f>
        <v>0.93658274975657474</v>
      </c>
      <c r="Z15" s="45">
        <f>Assumptions!Z235</f>
        <v>0.93351964631168849</v>
      </c>
      <c r="AA15" s="45">
        <f>Assumptions!AA235</f>
        <v>0.93046656077789069</v>
      </c>
      <c r="AB15" s="45">
        <f>Assumptions!AB235</f>
        <v>0.92742346039150092</v>
      </c>
      <c r="AC15" s="45">
        <f>Assumptions!AC235</f>
        <v>0.92439031249599257</v>
      </c>
      <c r="AD15" s="45">
        <f>Assumptions!AD235</f>
        <v>0.92136708454164262</v>
      </c>
      <c r="AE15" s="45">
        <f>Assumptions!AE235</f>
        <v>0.91835374408518233</v>
      </c>
      <c r="AF15" s="45">
        <f>Assumptions!AF235</f>
        <v>0.91535025878944887</v>
      </c>
      <c r="AG15" s="45">
        <f>Assumptions!AG235</f>
        <v>0.91235659642303835</v>
      </c>
      <c r="AH15" s="45">
        <f>Assumptions!AH235</f>
        <v>0.90937272485996024</v>
      </c>
      <c r="AI15" s="45">
        <f>Assumptions!AI235</f>
        <v>0.90639861207929229</v>
      </c>
      <c r="AJ15" s="45">
        <f>Assumptions!AJ235</f>
        <v>0.90343422616483693</v>
      </c>
      <c r="AK15" s="45">
        <f>Assumptions!AK235</f>
        <v>0.90047953530477898</v>
      </c>
      <c r="AL15" s="45">
        <f>Assumptions!AL235</f>
        <v>0.89753450779134403</v>
      </c>
      <c r="AM15" s="45">
        <f>Assumptions!AM235</f>
        <v>0.89459911202045828</v>
      </c>
      <c r="AN15" s="45">
        <f>Assumptions!AN235</f>
        <v>0.89167331649140946</v>
      </c>
      <c r="AO15" s="45">
        <f>Assumptions!AO235</f>
        <v>0.88875708980650858</v>
      </c>
      <c r="AP15" s="45">
        <f>Assumptions!AP235</f>
        <v>0.88585040067075316</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-14323605.599826276</v>
      </c>
      <c r="I17" s="39">
        <f t="shared" si="4"/>
        <v>-28719248.098800957</v>
      </c>
      <c r="J17" s="39">
        <f t="shared" si="4"/>
        <v>-43200633.119272381</v>
      </c>
      <c r="K17" s="39">
        <f t="shared" si="4"/>
        <v>-57781602.319360703</v>
      </c>
      <c r="L17" s="39">
        <f t="shared" si="4"/>
        <v>-72476146.844756126</v>
      </c>
      <c r="M17" s="39">
        <f t="shared" si="4"/>
        <v>-81243447.912161469</v>
      </c>
      <c r="N17" s="39">
        <f t="shared" si="4"/>
        <v>-90312426.661825329</v>
      </c>
      <c r="O17" s="39">
        <f t="shared" si="4"/>
        <v>-99693100.025949985</v>
      </c>
      <c r="P17" s="39">
        <f t="shared" si="4"/>
        <v>-109395816.92732421</v>
      </c>
      <c r="Q17" s="39">
        <f t="shared" si="4"/>
        <v>-119431269.28139845</v>
      </c>
      <c r="R17" s="39">
        <f t="shared" si="4"/>
        <v>-128313937.73144341</v>
      </c>
      <c r="S17" s="39">
        <f t="shared" si="4"/>
        <v>-137535616.48336765</v>
      </c>
      <c r="T17" s="39">
        <f t="shared" si="4"/>
        <v>-147107944.86660081</v>
      </c>
      <c r="U17" s="39">
        <f t="shared" si="4"/>
        <v>-157042951.60103452</v>
      </c>
      <c r="V17" s="39">
        <f t="shared" si="4"/>
        <v>-167353067.73449719</v>
      </c>
      <c r="W17" s="39">
        <f t="shared" si="4"/>
        <v>-172899071.47371814</v>
      </c>
      <c r="X17" s="39">
        <f t="shared" si="4"/>
        <v>-178628867.22758114</v>
      </c>
      <c r="Y17" s="39">
        <f t="shared" si="4"/>
        <v>-184548545.77896965</v>
      </c>
      <c r="Z17" s="39">
        <f t="shared" si="4"/>
        <v>-190664399.75651208</v>
      </c>
      <c r="AA17" s="39">
        <f t="shared" si="4"/>
        <v>-196982930.32365721</v>
      </c>
      <c r="AB17" s="39">
        <f t="shared" si="4"/>
        <v>-203510854.08942223</v>
      </c>
      <c r="AC17" s="39">
        <f t="shared" si="4"/>
        <v>-210255110.24815965</v>
      </c>
      <c r="AD17" s="39">
        <f t="shared" si="4"/>
        <v>-217222867.95593327</v>
      </c>
      <c r="AE17" s="39">
        <f t="shared" si="4"/>
        <v>-224421533.95134348</v>
      </c>
      <c r="AF17" s="39">
        <f t="shared" si="4"/>
        <v>-231858760.42890328</v>
      </c>
      <c r="AG17" s="39">
        <f t="shared" si="4"/>
        <v>-239542453.1733343</v>
      </c>
      <c r="AH17" s="39">
        <f t="shared" si="4"/>
        <v>-247480779.96343005</v>
      </c>
      <c r="AI17" s="39">
        <f t="shared" si="4"/>
        <v>-255682179.25441879</v>
      </c>
      <c r="AJ17" s="39">
        <f t="shared" si="4"/>
        <v>-264155369.14805633</v>
      </c>
      <c r="AK17" s="39">
        <f t="shared" si="4"/>
        <v>-272909356.65998304</v>
      </c>
      <c r="AL17" s="39">
        <f t="shared" si="4"/>
        <v>-281953447.29419762</v>
      </c>
      <c r="AM17" s="39">
        <f t="shared" si="4"/>
        <v>-291297254.93482405</v>
      </c>
      <c r="AN17" s="39">
        <f t="shared" si="4"/>
        <v>-300950712.06568664</v>
      </c>
      <c r="AO17" s="39">
        <f t="shared" si="4"/>
        <v>-310924080.32855868</v>
      </c>
      <c r="AP17" s="39">
        <f t="shared" si="4"/>
        <v>-321227961.43130445</v>
      </c>
    </row>
    <row r="18" spans="1:42" x14ac:dyDescent="0.35">
      <c r="A18" t="s">
        <v>409</v>
      </c>
      <c r="C18" s="163"/>
      <c r="D18" s="163"/>
      <c r="E18" s="163"/>
      <c r="F18" s="39">
        <f>(F10*F15)-F10</f>
        <v>-740293.50830432773</v>
      </c>
      <c r="G18" s="39">
        <f t="shared" ref="G18:AP18" si="5">(G10*G15)-G10</f>
        <v>-1527151.6169127524</v>
      </c>
      <c r="H18" s="39">
        <f t="shared" si="5"/>
        <v>-2362773.1303525567</v>
      </c>
      <c r="I18" s="39">
        <f t="shared" si="5"/>
        <v>-3249449.2338370085</v>
      </c>
      <c r="J18" s="39">
        <f t="shared" si="5"/>
        <v>-4189567.1354474127</v>
      </c>
      <c r="K18" s="39">
        <f t="shared" si="5"/>
        <v>-5185613.8462986052</v>
      </c>
      <c r="L18" s="39">
        <f t="shared" si="5"/>
        <v>-6240180.103774786</v>
      </c>
      <c r="M18" s="39">
        <f t="shared" si="5"/>
        <v>-7355964.4431057572</v>
      </c>
      <c r="N18" s="39">
        <f t="shared" si="5"/>
        <v>-8535777.4227465987</v>
      </c>
      <c r="O18" s="39">
        <f t="shared" si="5"/>
        <v>-9782546.0092175603</v>
      </c>
      <c r="P18" s="39">
        <f t="shared" si="5"/>
        <v>-11099318.127268255</v>
      </c>
      <c r="Q18" s="39">
        <f t="shared" si="5"/>
        <v>-12489267.381440341</v>
      </c>
      <c r="R18" s="39">
        <f t="shared" si="5"/>
        <v>-13955697.955320895</v>
      </c>
      <c r="S18" s="39">
        <f t="shared" si="5"/>
        <v>-15502049.695008874</v>
      </c>
      <c r="T18" s="39">
        <f t="shared" si="5"/>
        <v>-17131903.383547127</v>
      </c>
      <c r="U18" s="39">
        <f t="shared" si="5"/>
        <v>-18848986.213320434</v>
      </c>
      <c r="V18" s="39">
        <f t="shared" si="5"/>
        <v>-20657177.46366787</v>
      </c>
      <c r="W18" s="39">
        <f t="shared" si="5"/>
        <v>-22560514.391222417</v>
      </c>
      <c r="X18" s="39">
        <f t="shared" si="5"/>
        <v>-24563198.340756297</v>
      </c>
      <c r="Y18" s="39">
        <f t="shared" si="5"/>
        <v>-26669601.084594965</v>
      </c>
      <c r="Z18" s="39">
        <f t="shared" si="5"/>
        <v>-28884271.398948014</v>
      </c>
      <c r="AA18" s="39">
        <f t="shared" si="5"/>
        <v>-31211941.885808289</v>
      </c>
      <c r="AB18" s="39">
        <f t="shared" si="5"/>
        <v>-33657536.049378514</v>
      </c>
      <c r="AC18" s="39">
        <f t="shared" si="5"/>
        <v>-36226175.636307538</v>
      </c>
      <c r="AD18" s="39">
        <f t="shared" si="5"/>
        <v>-38923188.249350965</v>
      </c>
      <c r="AE18" s="39">
        <f t="shared" si="5"/>
        <v>-41754115.244414747</v>
      </c>
      <c r="AF18" s="39">
        <f t="shared" si="5"/>
        <v>-44724719.921298206</v>
      </c>
      <c r="AG18" s="39">
        <f t="shared" si="5"/>
        <v>-47840996.018820941</v>
      </c>
      <c r="AH18" s="39">
        <f t="shared" si="5"/>
        <v>-51109176.525402129</v>
      </c>
      <c r="AI18" s="39">
        <f t="shared" si="5"/>
        <v>-54535742.816555202</v>
      </c>
      <c r="AJ18" s="39">
        <f t="shared" si="5"/>
        <v>-58127434.131171942</v>
      </c>
      <c r="AK18" s="39">
        <f t="shared" si="5"/>
        <v>-61891257.398893476</v>
      </c>
      <c r="AL18" s="39">
        <f t="shared" si="5"/>
        <v>-65834497.431306481</v>
      </c>
      <c r="AM18" s="39">
        <f t="shared" si="5"/>
        <v>-69964727.490155816</v>
      </c>
      <c r="AN18" s="39">
        <f t="shared" si="5"/>
        <v>-74289820.246237874</v>
      </c>
      <c r="AO18" s="39">
        <f t="shared" si="5"/>
        <v>-78817959.143125176</v>
      </c>
      <c r="AP18" s="39">
        <f t="shared" si="5"/>
        <v>-83557650.180377841</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-114477.63970924914</v>
      </c>
      <c r="G20" s="39">
        <f t="shared" si="6"/>
        <v>-233152.4967116788</v>
      </c>
      <c r="H20" s="39">
        <f t="shared" si="6"/>
        <v>-356140.30482619256</v>
      </c>
      <c r="I20" s="39">
        <f t="shared" si="6"/>
        <v>-483559.64229037613</v>
      </c>
      <c r="J20" s="39">
        <f t="shared" si="6"/>
        <v>-615531.99747654051</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-192018.54577939957</v>
      </c>
      <c r="I22" s="39">
        <f t="shared" si="7"/>
        <v>-492926.44947242737</v>
      </c>
      <c r="J22" s="39">
        <f t="shared" si="7"/>
        <v>-888366.66873436328</v>
      </c>
      <c r="K22" s="39">
        <f t="shared" si="7"/>
        <v>-1365556.6034104321</v>
      </c>
      <c r="L22" s="39">
        <f t="shared" si="7"/>
        <v>-1913123.8561839443</v>
      </c>
      <c r="M22" s="39">
        <f t="shared" si="7"/>
        <v>-2353700.1100885067</v>
      </c>
      <c r="N22" s="39">
        <f t="shared" si="7"/>
        <v>-2832671.7690896196</v>
      </c>
      <c r="O22" s="39">
        <f t="shared" si="7"/>
        <v>-3348511.9261821564</v>
      </c>
      <c r="P22" s="39">
        <f t="shared" si="7"/>
        <v>-4307875.3722081976</v>
      </c>
      <c r="Q22" s="39">
        <f t="shared" si="7"/>
        <v>-5347362.9813966136</v>
      </c>
      <c r="R22" s="39">
        <f t="shared" si="7"/>
        <v>-6394769.4676397238</v>
      </c>
      <c r="S22" s="39">
        <f t="shared" si="7"/>
        <v>-7507073.3988561928</v>
      </c>
      <c r="T22" s="39">
        <f t="shared" si="7"/>
        <v>-8682975.9555979017</v>
      </c>
      <c r="U22" s="39">
        <f t="shared" si="7"/>
        <v>-9921200.9235309027</v>
      </c>
      <c r="V22" s="39">
        <f t="shared" si="7"/>
        <v>-11220493.14359894</v>
      </c>
      <c r="W22" s="39">
        <f t="shared" si="7"/>
        <v>-12237893.724465044</v>
      </c>
      <c r="X22" s="39">
        <f t="shared" si="7"/>
        <v>-13286347.969644006</v>
      </c>
      <c r="Y22" s="39">
        <f t="shared" si="7"/>
        <v>-14366605.176115815</v>
      </c>
      <c r="Z22" s="39">
        <f t="shared" si="7"/>
        <v>-15974726.848228011</v>
      </c>
      <c r="AA22" s="39">
        <f t="shared" si="7"/>
        <v>-17632760.909319006</v>
      </c>
      <c r="AB22" s="39">
        <f t="shared" si="7"/>
        <v>-19341916.198101066</v>
      </c>
      <c r="AC22" s="39">
        <f t="shared" si="7"/>
        <v>-21103427.535449982</v>
      </c>
      <c r="AD22" s="39">
        <f t="shared" si="7"/>
        <v>-22918556.240055196</v>
      </c>
      <c r="AE22" s="39">
        <f t="shared" si="7"/>
        <v>-24788590.653634835</v>
      </c>
      <c r="AF22" s="39">
        <f t="shared" si="7"/>
        <v>-26714846.675880797</v>
      </c>
      <c r="AG22" s="39">
        <f t="shared" si="7"/>
        <v>-28698668.309301771</v>
      </c>
      <c r="AH22" s="39">
        <f t="shared" si="7"/>
        <v>-30741428.214134581</v>
      </c>
      <c r="AI22" s="39">
        <f t="shared" si="7"/>
        <v>-32844528.273496911</v>
      </c>
      <c r="AJ22" s="39">
        <f t="shared" si="7"/>
        <v>-33501418.838966846</v>
      </c>
      <c r="AK22" s="39">
        <f t="shared" si="7"/>
        <v>-34171447.215746179</v>
      </c>
      <c r="AL22" s="39">
        <f t="shared" si="7"/>
        <v>-34854876.160061106</v>
      </c>
      <c r="AM22" s="39">
        <f t="shared" si="7"/>
        <v>-35551973.683262326</v>
      </c>
      <c r="AN22" s="39">
        <f t="shared" si="7"/>
        <v>-36263013.156927578</v>
      </c>
      <c r="AO22" s="39">
        <f t="shared" si="7"/>
        <v>-36988273.420066133</v>
      </c>
      <c r="AP22" s="39">
        <f t="shared" si="7"/>
        <v>-37728038.888467461</v>
      </c>
    </row>
    <row r="23" spans="1:42" x14ac:dyDescent="0.35">
      <c r="A23" t="s">
        <v>412</v>
      </c>
      <c r="C23" s="163"/>
      <c r="D23" s="163"/>
      <c r="E23" s="163"/>
      <c r="F23" s="39">
        <f t="shared" ref="F23:AP23" si="8">(F12*F15)-F12</f>
        <v>-3477.7566506094299</v>
      </c>
      <c r="G23" s="39">
        <f t="shared" si="8"/>
        <v>-14142.878999759443</v>
      </c>
      <c r="H23" s="39">
        <f t="shared" si="8"/>
        <v>-31674.724449438974</v>
      </c>
      <c r="I23" s="39">
        <f t="shared" si="8"/>
        <v>-55772.33317758888</v>
      </c>
      <c r="J23" s="39">
        <f t="shared" si="8"/>
        <v>-86153.177183322608</v>
      </c>
      <c r="K23" s="39">
        <f t="shared" si="8"/>
        <v>-122551.9706326481</v>
      </c>
      <c r="L23" s="39">
        <f t="shared" si="8"/>
        <v>-164719.53798796143</v>
      </c>
      <c r="M23" s="39">
        <f t="shared" si="8"/>
        <v>-213109.30006644223</v>
      </c>
      <c r="N23" s="39">
        <f t="shared" si="8"/>
        <v>-267726.78607325256</v>
      </c>
      <c r="O23" s="39">
        <f t="shared" si="8"/>
        <v>-328578.1259862911</v>
      </c>
      <c r="P23" s="39">
        <f t="shared" si="8"/>
        <v>-437077.76541883685</v>
      </c>
      <c r="Q23" s="39">
        <f t="shared" si="8"/>
        <v>-559188.94994679466</v>
      </c>
      <c r="R23" s="39">
        <f t="shared" si="8"/>
        <v>-695508.78698050417</v>
      </c>
      <c r="S23" s="39">
        <f t="shared" si="8"/>
        <v>-846144.64142981544</v>
      </c>
      <c r="T23" s="39">
        <f t="shared" si="8"/>
        <v>-1011202.3880685717</v>
      </c>
      <c r="U23" s="39">
        <f t="shared" si="8"/>
        <v>-1190786.1990667246</v>
      </c>
      <c r="V23" s="39">
        <f t="shared" si="8"/>
        <v>-1384998.322617624</v>
      </c>
      <c r="W23" s="39">
        <f t="shared" si="8"/>
        <v>-1596845.9236694761</v>
      </c>
      <c r="X23" s="39">
        <f t="shared" si="8"/>
        <v>-1827001.4554079846</v>
      </c>
      <c r="Y23" s="39">
        <f t="shared" si="8"/>
        <v>-2076156.3163211234</v>
      </c>
      <c r="Z23" s="39">
        <f t="shared" si="8"/>
        <v>-2420055.0621801093</v>
      </c>
      <c r="AA23" s="39">
        <f t="shared" si="8"/>
        <v>-2793910.659587346</v>
      </c>
      <c r="AB23" s="39">
        <f t="shared" si="8"/>
        <v>-3198852.6833836436</v>
      </c>
      <c r="AC23" s="39">
        <f t="shared" si="8"/>
        <v>-3636042.289412044</v>
      </c>
      <c r="AD23" s="39">
        <f t="shared" si="8"/>
        <v>-4106672.9637138098</v>
      </c>
      <c r="AE23" s="39">
        <f t="shared" si="8"/>
        <v>-4611971.2875810489</v>
      </c>
      <c r="AF23" s="39">
        <f t="shared" si="8"/>
        <v>-5153197.7187705487</v>
      </c>
      <c r="AG23" s="39">
        <f t="shared" si="8"/>
        <v>-5731647.3891885802</v>
      </c>
      <c r="AH23" s="39">
        <f t="shared" si="8"/>
        <v>-6348650.9193617031</v>
      </c>
      <c r="AI23" s="39">
        <f t="shared" si="8"/>
        <v>-7005575.2500144094</v>
      </c>
      <c r="AJ23" s="39">
        <f t="shared" si="8"/>
        <v>-7371992.9416667521</v>
      </c>
      <c r="AK23" s="39">
        <f t="shared" si="8"/>
        <v>-7749510.1714574546</v>
      </c>
      <c r="AL23" s="39">
        <f t="shared" si="8"/>
        <v>-8138411.7734646648</v>
      </c>
      <c r="AM23" s="39">
        <f t="shared" si="8"/>
        <v>-8538989.3256741315</v>
      </c>
      <c r="AN23" s="39">
        <f t="shared" si="8"/>
        <v>-8951541.3023083806</v>
      </c>
      <c r="AO23" s="39">
        <f t="shared" si="8"/>
        <v>-9376373.2294932902</v>
      </c>
      <c r="AP23" s="39">
        <f t="shared" si="8"/>
        <v>-9813797.8443337381</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261562245.07111421</v>
      </c>
      <c r="G25" s="38">
        <f t="shared" si="9"/>
        <v>269949734.4284023</v>
      </c>
      <c r="H25" s="38">
        <f t="shared" si="9"/>
        <v>263995064.55930296</v>
      </c>
      <c r="I25" s="38">
        <f t="shared" si="9"/>
        <v>258040699.60603887</v>
      </c>
      <c r="J25" s="38">
        <f t="shared" si="9"/>
        <v>252095151.02377942</v>
      </c>
      <c r="K25" s="38">
        <f t="shared" si="9"/>
        <v>208271373.94070908</v>
      </c>
      <c r="L25" s="38">
        <f t="shared" si="9"/>
        <v>201731253.90849781</v>
      </c>
      <c r="M25" s="38">
        <f t="shared" si="9"/>
        <v>201454063.50607705</v>
      </c>
      <c r="N25" s="38">
        <f t="shared" si="9"/>
        <v>201072442.3875314</v>
      </c>
      <c r="O25" s="38">
        <f t="shared" si="9"/>
        <v>200585047.21222141</v>
      </c>
      <c r="P25" s="38">
        <f t="shared" si="9"/>
        <v>200710760.19326955</v>
      </c>
      <c r="Q25" s="38">
        <f t="shared" si="9"/>
        <v>200673493.59764129</v>
      </c>
      <c r="R25" s="38">
        <f t="shared" si="9"/>
        <v>202053281.82233575</v>
      </c>
      <c r="S25" s="38">
        <f t="shared" si="9"/>
        <v>203309213.98185566</v>
      </c>
      <c r="T25" s="38">
        <f t="shared" si="9"/>
        <v>204439037.97756106</v>
      </c>
      <c r="U25" s="38">
        <f t="shared" si="9"/>
        <v>205440322.98530775</v>
      </c>
      <c r="V25" s="38">
        <f t="shared" si="9"/>
        <v>206310455.01686686</v>
      </c>
      <c r="W25" s="38">
        <f t="shared" si="9"/>
        <v>212588285.87165079</v>
      </c>
      <c r="X25" s="38">
        <f t="shared" si="9"/>
        <v>219023197.71880341</v>
      </c>
      <c r="Y25" s="38">
        <f t="shared" si="9"/>
        <v>225618874.20436376</v>
      </c>
      <c r="Z25" s="38">
        <f t="shared" si="9"/>
        <v>232937412.09763965</v>
      </c>
      <c r="AA25" s="38">
        <f t="shared" si="9"/>
        <v>240435993.51345444</v>
      </c>
      <c r="AB25" s="38">
        <f t="shared" si="9"/>
        <v>248118700.11404696</v>
      </c>
      <c r="AC25" s="38">
        <f t="shared" si="9"/>
        <v>255989701.5962486</v>
      </c>
      <c r="AD25" s="38">
        <f t="shared" si="9"/>
        <v>264053257.42063016</v>
      </c>
      <c r="AE25" s="38">
        <f t="shared" si="9"/>
        <v>272313718.56623209</v>
      </c>
      <c r="AF25" s="38">
        <f t="shared" si="9"/>
        <v>280775529.31082708</v>
      </c>
      <c r="AG25" s="38">
        <f t="shared" si="9"/>
        <v>289443229.03664029</v>
      </c>
      <c r="AH25" s="38">
        <f t="shared" si="9"/>
        <v>298321454.06141657</v>
      </c>
      <c r="AI25" s="38">
        <f t="shared" si="9"/>
        <v>307414939.49469632</v>
      </c>
      <c r="AJ25" s="38">
        <f t="shared" si="9"/>
        <v>315132007.27288353</v>
      </c>
      <c r="AK25" s="38">
        <f t="shared" si="9"/>
        <v>323041716.27191907</v>
      </c>
      <c r="AL25" s="38">
        <f t="shared" si="9"/>
        <v>331148732.34944469</v>
      </c>
      <c r="AM25" s="38">
        <f t="shared" si="9"/>
        <v>339457827.23307955</v>
      </c>
      <c r="AN25" s="38">
        <f t="shared" si="9"/>
        <v>347973880.6119777</v>
      </c>
      <c r="AO25" s="38">
        <f t="shared" si="9"/>
        <v>356701882.25598514</v>
      </c>
      <c r="AP25" s="38">
        <f t="shared" si="9"/>
        <v>365646934.16207373</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9aPXVxOBckWvcwzwUTEtweSm8xH36LKFZxZ02GKZSNMT7V88gvcVzqEqMNz5Bxc+x1w5EZIZic191pRxXT7Yg==" saltValue="po64ulKNBA5rDSClCSkPtw=="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activeCell="F9" sqref="F9"/>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18613665675.643585</v>
      </c>
      <c r="F4" s="1">
        <f>E4+Depreciation!F16</f>
        <v>19147474146.136574</v>
      </c>
      <c r="G4" s="1">
        <f>F4+Depreciation!G16</f>
        <v>19701781584.623936</v>
      </c>
      <c r="H4" s="1">
        <f>G4+Depreciation!H16</f>
        <v>20259831718.467617</v>
      </c>
      <c r="I4" s="1">
        <f>H4+Depreciation!I16</f>
        <v>20822000608.951225</v>
      </c>
      <c r="J4" s="1">
        <f>I4+Depreciation!J16</f>
        <v>21388661872.767651</v>
      </c>
      <c r="K4" s="1">
        <f>J4+Depreciation!K16</f>
        <v>21960186888.35799</v>
      </c>
      <c r="L4" s="1">
        <f>K4+Depreciation!L16</f>
        <v>22536944994.969688</v>
      </c>
      <c r="M4" s="1">
        <f>L4+Depreciation!M16</f>
        <v>23126333882.396576</v>
      </c>
      <c r="N4" s="1">
        <f>M4+Depreciation!N16</f>
        <v>23728618104.122086</v>
      </c>
      <c r="O4" s="1">
        <f>N4+Depreciation!O16</f>
        <v>24344067130.976612</v>
      </c>
      <c r="P4" s="1">
        <f>O4+Depreciation!P16</f>
        <v>25291500802.068413</v>
      </c>
      <c r="Q4" s="1">
        <f>P4+Depreciation!Q16</f>
        <v>26256592308.177238</v>
      </c>
      <c r="R4" s="1">
        <f>Q4+Depreciation!R16</f>
        <v>27243821209.362068</v>
      </c>
      <c r="S4" s="1">
        <f>R4+Depreciation!S16</f>
        <v>28253556144.952007</v>
      </c>
      <c r="T4" s="1">
        <f>S4+Depreciation!T16</f>
        <v>29286168663.029606</v>
      </c>
      <c r="U4" s="1">
        <f>T4+Depreciation!U16</f>
        <v>30342033072.188126</v>
      </c>
      <c r="V4" s="1">
        <f>U4+Depreciation!V16</f>
        <v>31421526282.221066</v>
      </c>
      <c r="W4" s="1">
        <f>V4+Depreciation!W16</f>
        <v>32539820132.191132</v>
      </c>
      <c r="X4" s="1">
        <f>W4+Depreciation!X16</f>
        <v>33698134054.198505</v>
      </c>
      <c r="Y4" s="1">
        <f>X4+Depreciation!Y16</f>
        <v>34897722977.03334</v>
      </c>
      <c r="Z4" s="1">
        <f>Y4+Depreciation!Z16</f>
        <v>36478429442.702461</v>
      </c>
      <c r="AA4" s="1">
        <f>Z4+Depreciation!AA16</f>
        <v>38118536277.146469</v>
      </c>
      <c r="AB4" s="1">
        <f>AA4+Depreciation!AB16</f>
        <v>39819942848.484962</v>
      </c>
      <c r="AC4" s="1">
        <f>AB4+Depreciation!AC16</f>
        <v>41584604159.856743</v>
      </c>
      <c r="AD4" s="1">
        <f>AC4+Depreciation!AD16</f>
        <v>43414532384.472191</v>
      </c>
      <c r="AE4" s="1">
        <f>AD4+Depreciation!AE16</f>
        <v>45311798441.021866</v>
      </c>
      <c r="AF4" s="1">
        <f>AE4+Depreciation!AF16</f>
        <v>47278533610.454964</v>
      </c>
      <c r="AG4" s="1">
        <f>AF4+Depreciation!AG16</f>
        <v>49316931195.165573</v>
      </c>
      <c r="AH4" s="1">
        <f>AG4+Depreciation!AH16</f>
        <v>51429248221.649445</v>
      </c>
      <c r="AI4" s="1">
        <f>AH4+Depreciation!AI16</f>
        <v>53617807187.719254</v>
      </c>
      <c r="AJ4" s="1">
        <f>AI4+Depreciation!AJ16</f>
        <v>54749414407.83844</v>
      </c>
      <c r="AK4" s="1">
        <f>AJ4+Depreciation!AK16</f>
        <v>55911157883.605957</v>
      </c>
      <c r="AL4" s="1">
        <f>AK4+Depreciation!AL16</f>
        <v>57103840184.931526</v>
      </c>
      <c r="AM4" s="1">
        <f>AL4+Depreciation!AM16</f>
        <v>58328285255.264702</v>
      </c>
      <c r="AN4" s="1">
        <f>AM4+Depreciation!AN16</f>
        <v>59585338980.801582</v>
      </c>
      <c r="AO4" s="1">
        <f>AN4+Depreciation!AO16</f>
        <v>60875869774.850342</v>
      </c>
      <c r="AP4" s="1"/>
    </row>
    <row r="5" spans="1:42" x14ac:dyDescent="0.35">
      <c r="A5" t="s">
        <v>415</v>
      </c>
      <c r="B5" s="157"/>
      <c r="C5" s="157"/>
      <c r="D5" s="157"/>
      <c r="E5" s="1">
        <f>Depreciation!F10</f>
        <v>9584877307.9458065</v>
      </c>
      <c r="F5" s="1">
        <f>Depreciation!G10</f>
        <v>9877587326.0540657</v>
      </c>
      <c r="G5" s="1">
        <f>Depreciation!H10</f>
        <v>10185162240.103045</v>
      </c>
      <c r="H5" s="1">
        <f>Depreciation!I10</f>
        <v>10507813628.272543</v>
      </c>
      <c r="I5" s="1">
        <f>Depreciation!J10</f>
        <v>10845765355.199146</v>
      </c>
      <c r="J5" s="1">
        <f>Depreciation!K10</f>
        <v>11199253636.844158</v>
      </c>
      <c r="K5" s="1">
        <f>Depreciation!L10</f>
        <v>11568527113.876131</v>
      </c>
      <c r="L5" s="1">
        <f>Depreciation!M10</f>
        <v>11954011803.667814</v>
      </c>
      <c r="M5" s="1">
        <f>Depreciation!N10</f>
        <v>12356145048.555437</v>
      </c>
      <c r="N5" s="1">
        <f>Depreciation!O10</f>
        <v>12775375792.276854</v>
      </c>
      <c r="O5" s="1">
        <f>Depreciation!P10</f>
        <v>13219636968.420992</v>
      </c>
      <c r="P5" s="1">
        <f>Depreciation!Q10</f>
        <v>13689545114.808241</v>
      </c>
      <c r="Q5" s="1">
        <f>Depreciation!R10</f>
        <v>14185829757.157938</v>
      </c>
      <c r="R5" s="1">
        <f>Depreciation!S10</f>
        <v>14709237882.339388</v>
      </c>
      <c r="S5" s="1">
        <f>Depreciation!T10</f>
        <v>15260534274.293789</v>
      </c>
      <c r="T5" s="1">
        <f>Depreciation!U10</f>
        <v>15840501853.059328</v>
      </c>
      <c r="U5" s="1">
        <f>Depreciation!V10</f>
        <v>16449942016.748356</v>
      </c>
      <c r="V5" s="1">
        <f>Depreciation!W10</f>
        <v>17090022151.420435</v>
      </c>
      <c r="W5" s="1">
        <f>Depreciation!X10</f>
        <v>17761951057.141224</v>
      </c>
      <c r="X5" s="1">
        <f>Depreciation!Y10</f>
        <v>18466980326.14748</v>
      </c>
      <c r="Y5" s="1">
        <f>Depreciation!Z10</f>
        <v>19214352939.96524</v>
      </c>
      <c r="Z5" s="1">
        <f>Depreciation!AA10</f>
        <v>20005834563.797482</v>
      </c>
      <c r="AA5" s="1">
        <f>Depreciation!AB10</f>
        <v>20843254954.460548</v>
      </c>
      <c r="AB5" s="1">
        <f>Depreciation!AC10</f>
        <v>21728510117.199871</v>
      </c>
      <c r="AC5" s="1">
        <f>Depreciation!AD10</f>
        <v>22663564531.580177</v>
      </c>
      <c r="AD5" s="1">
        <f>Depreciation!AE10</f>
        <v>23650453448.582867</v>
      </c>
      <c r="AE5" s="1">
        <f>Depreciation!AF10</f>
        <v>24691285261.107224</v>
      </c>
      <c r="AF5" s="1">
        <f>Depreciation!AG10</f>
        <v>25788243950.137787</v>
      </c>
      <c r="AG5" s="1">
        <f>Depreciation!AH10</f>
        <v>26943591608.908089</v>
      </c>
      <c r="AH5" s="1">
        <f>Depreciation!AI10</f>
        <v>28159671047.460403</v>
      </c>
      <c r="AI5" s="1">
        <f>Depreciation!AJ10</f>
        <v>29412232869.169289</v>
      </c>
      <c r="AJ5" s="1">
        <f>Depreciation!AK10</f>
        <v>30702371545.529442</v>
      </c>
      <c r="AK5" s="1">
        <f>Depreciation!AL10</f>
        <v>32031214382.180397</v>
      </c>
      <c r="AL5" s="1">
        <f>Depreciation!AM10</f>
        <v>33399922503.930885</v>
      </c>
      <c r="AM5" s="1">
        <f>Depreciation!AN10</f>
        <v>34809691869.333885</v>
      </c>
      <c r="AN5" s="1">
        <f>Depreciation!AO10</f>
        <v>36261754315.698982</v>
      </c>
      <c r="AO5" s="1">
        <f>Depreciation!AP10</f>
        <v>37757378635.455025</v>
      </c>
      <c r="AP5" s="1"/>
    </row>
    <row r="6" spans="1:42" x14ac:dyDescent="0.35">
      <c r="A6" t="s">
        <v>416</v>
      </c>
      <c r="B6" s="157"/>
      <c r="C6" s="157"/>
      <c r="D6" s="157"/>
      <c r="E6" s="1">
        <f>E4-E5</f>
        <v>9028788367.6977787</v>
      </c>
      <c r="F6" s="1">
        <f t="shared" ref="F6:AE6" si="1">F4-F5</f>
        <v>9269886820.0825081</v>
      </c>
      <c r="G6" s="1">
        <f t="shared" si="1"/>
        <v>9516619344.5208912</v>
      </c>
      <c r="H6" s="1">
        <f t="shared" si="1"/>
        <v>9752018090.1950741</v>
      </c>
      <c r="I6" s="1">
        <f t="shared" si="1"/>
        <v>9976235253.752079</v>
      </c>
      <c r="J6" s="1">
        <f t="shared" si="1"/>
        <v>10189408235.923492</v>
      </c>
      <c r="K6" s="1">
        <f t="shared" si="1"/>
        <v>10391659774.481859</v>
      </c>
      <c r="L6" s="1">
        <f t="shared" si="1"/>
        <v>10582933191.301874</v>
      </c>
      <c r="M6" s="1">
        <f t="shared" si="1"/>
        <v>10770188833.841139</v>
      </c>
      <c r="N6" s="1">
        <f t="shared" si="1"/>
        <v>10953242311.845232</v>
      </c>
      <c r="O6" s="1">
        <f t="shared" si="1"/>
        <v>11124430162.55562</v>
      </c>
      <c r="P6" s="1">
        <f t="shared" si="1"/>
        <v>11601955687.260172</v>
      </c>
      <c r="Q6" s="1">
        <f t="shared" si="1"/>
        <v>12070762551.0193</v>
      </c>
      <c r="R6" s="1">
        <f t="shared" si="1"/>
        <v>12534583327.02268</v>
      </c>
      <c r="S6" s="1">
        <f t="shared" si="1"/>
        <v>12993021870.658218</v>
      </c>
      <c r="T6" s="1">
        <f t="shared" si="1"/>
        <v>13445666809.970278</v>
      </c>
      <c r="U6" s="1">
        <f t="shared" si="1"/>
        <v>13892091055.43977</v>
      </c>
      <c r="V6" s="1">
        <f t="shared" si="1"/>
        <v>14331504130.800631</v>
      </c>
      <c r="W6" s="1">
        <f t="shared" si="1"/>
        <v>14777869075.049908</v>
      </c>
      <c r="X6" s="1">
        <f t="shared" si="1"/>
        <v>15231153728.051025</v>
      </c>
      <c r="Y6" s="1">
        <f t="shared" si="1"/>
        <v>15683370037.0681</v>
      </c>
      <c r="Z6" s="1">
        <f t="shared" si="1"/>
        <v>16472594878.90498</v>
      </c>
      <c r="AA6" s="1">
        <f t="shared" si="1"/>
        <v>17275281322.685921</v>
      </c>
      <c r="AB6" s="1">
        <f t="shared" si="1"/>
        <v>18091432731.285091</v>
      </c>
      <c r="AC6" s="1">
        <f t="shared" si="1"/>
        <v>18921039628.276566</v>
      </c>
      <c r="AD6" s="1">
        <f t="shared" si="1"/>
        <v>19764078935.889324</v>
      </c>
      <c r="AE6" s="1">
        <f t="shared" si="1"/>
        <v>20620513179.914642</v>
      </c>
      <c r="AF6" s="1">
        <f t="shared" ref="AF6:AO6" si="2">AF4-AF5</f>
        <v>21490289660.317177</v>
      </c>
      <c r="AG6" s="1">
        <f t="shared" si="2"/>
        <v>22373339586.257484</v>
      </c>
      <c r="AH6" s="1">
        <f t="shared" si="2"/>
        <v>23269577174.189041</v>
      </c>
      <c r="AI6" s="1">
        <f t="shared" si="2"/>
        <v>24205574318.549965</v>
      </c>
      <c r="AJ6" s="1">
        <f t="shared" si="2"/>
        <v>24047042862.308998</v>
      </c>
      <c r="AK6" s="1">
        <f t="shared" si="2"/>
        <v>23879943501.42556</v>
      </c>
      <c r="AL6" s="1">
        <f t="shared" si="2"/>
        <v>23703917681.000641</v>
      </c>
      <c r="AM6" s="1">
        <f t="shared" si="2"/>
        <v>23518593385.930817</v>
      </c>
      <c r="AN6" s="1">
        <f t="shared" si="2"/>
        <v>23323584665.1026</v>
      </c>
      <c r="AO6" s="1">
        <f t="shared" si="2"/>
        <v>23118491139.395317</v>
      </c>
      <c r="AP6" s="1"/>
    </row>
    <row r="8" spans="1:42" x14ac:dyDescent="0.35">
      <c r="A8" t="s">
        <v>417</v>
      </c>
      <c r="B8" s="157"/>
      <c r="C8" s="157"/>
      <c r="D8" s="157"/>
      <c r="E8" s="1">
        <f ca="1">E6-E9</f>
        <v>6892781173.2077026</v>
      </c>
      <c r="F8" s="1">
        <f t="shared" ref="F8:AE8" ca="1" si="3">F6-F9</f>
        <v>6874099617.9108658</v>
      </c>
      <c r="G8" s="1">
        <f ca="1">G6-G9</f>
        <v>6886632015.8340731</v>
      </c>
      <c r="H8" s="1">
        <f t="shared" ca="1" si="3"/>
        <v>6908711326.425127</v>
      </c>
      <c r="I8" s="1">
        <f t="shared" ca="1" si="3"/>
        <v>6938065611.7687645</v>
      </c>
      <c r="J8" s="1">
        <f t="shared" ca="1" si="3"/>
        <v>6977609196.4977694</v>
      </c>
      <c r="K8" s="1">
        <f t="shared" ca="1" si="3"/>
        <v>7018494209.9200859</v>
      </c>
      <c r="L8" s="1">
        <f t="shared" ca="1" si="3"/>
        <v>7055939371.0876102</v>
      </c>
      <c r="M8" s="1">
        <f t="shared" ca="1" si="3"/>
        <v>7093582165.9520397</v>
      </c>
      <c r="N8" s="1">
        <f t="shared" ca="1" si="3"/>
        <v>7131944871.172924</v>
      </c>
      <c r="O8" s="1">
        <f t="shared" ca="1" si="3"/>
        <v>6877250475.9860039</v>
      </c>
      <c r="P8" s="1">
        <f t="shared" ca="1" si="3"/>
        <v>6964365367.2671909</v>
      </c>
      <c r="Q8" s="1">
        <f t="shared" ca="1" si="3"/>
        <v>7057412052.6829872</v>
      </c>
      <c r="R8" s="1">
        <f t="shared" ca="1" si="3"/>
        <v>7163573501.7093029</v>
      </c>
      <c r="S8" s="1">
        <f t="shared" ca="1" si="3"/>
        <v>7286221062.7479486</v>
      </c>
      <c r="T8" s="1">
        <f t="shared" ca="1" si="3"/>
        <v>7422723185.5190125</v>
      </c>
      <c r="U8" s="1">
        <f t="shared" ca="1" si="3"/>
        <v>7569563848.4235487</v>
      </c>
      <c r="V8" s="1">
        <f t="shared" ca="1" si="3"/>
        <v>7707644738.2620039</v>
      </c>
      <c r="W8" s="1">
        <f t="shared" ca="1" si="3"/>
        <v>7844750017.7647457</v>
      </c>
      <c r="X8" s="1">
        <f t="shared" ca="1" si="3"/>
        <v>7988589156.4082413</v>
      </c>
      <c r="Y8" s="1">
        <f t="shared" ca="1" si="3"/>
        <v>7824992718.1786528</v>
      </c>
      <c r="Z8" s="1">
        <f t="shared" ca="1" si="3"/>
        <v>8014237183.7287397</v>
      </c>
      <c r="AA8" s="1">
        <f t="shared" ca="1" si="3"/>
        <v>8230137488.0743752</v>
      </c>
      <c r="AB8" s="1">
        <f t="shared" ca="1" si="3"/>
        <v>8468657435.6680889</v>
      </c>
      <c r="AC8" s="1">
        <f t="shared" ca="1" si="3"/>
        <v>8724234547.5760593</v>
      </c>
      <c r="AD8" s="1">
        <f t="shared" ca="1" si="3"/>
        <v>9000324375.9998989</v>
      </c>
      <c r="AE8" s="1">
        <f t="shared" ca="1" si="3"/>
        <v>9289552432.4520912</v>
      </c>
      <c r="AF8" s="1">
        <f t="shared" ref="AF8:AO8" ca="1" si="4">AF6-AF9</f>
        <v>9524019860.0643444</v>
      </c>
      <c r="AG8" s="1">
        <f t="shared" ca="1" si="4"/>
        <v>9758568858.779068</v>
      </c>
      <c r="AH8" s="1">
        <f t="shared" ca="1" si="4"/>
        <v>9994290515.9603004</v>
      </c>
      <c r="AI8" s="1">
        <f t="shared" ca="1" si="4"/>
        <v>11369584733.965202</v>
      </c>
      <c r="AJ8" s="1">
        <f t="shared" ca="1" si="4"/>
        <v>11663872368.511295</v>
      </c>
      <c r="AK8" s="1">
        <f t="shared" ca="1" si="4"/>
        <v>11963108929.650612</v>
      </c>
      <c r="AL8" s="1">
        <f t="shared" ca="1" si="4"/>
        <v>12266908689.099636</v>
      </c>
      <c r="AM8" s="1">
        <f t="shared" ca="1" si="4"/>
        <v>12574848847.050455</v>
      </c>
      <c r="AN8" s="1">
        <f t="shared" ca="1" si="4"/>
        <v>12886467342.428938</v>
      </c>
      <c r="AO8" s="1">
        <f t="shared" ca="1" si="4"/>
        <v>13201260552.381599</v>
      </c>
    </row>
    <row r="9" spans="1:42" x14ac:dyDescent="0.35">
      <c r="A9" t="s">
        <v>418</v>
      </c>
      <c r="B9" s="157"/>
      <c r="C9" s="157"/>
      <c r="D9" s="157"/>
      <c r="E9" s="1">
        <f ca="1">'Debt worksheet'!F8</f>
        <v>2136007194.4900765</v>
      </c>
      <c r="F9" s="1">
        <f ca="1">'Debt worksheet'!G8</f>
        <v>2395787202.1716423</v>
      </c>
      <c r="G9" s="1">
        <f ca="1">'Debt worksheet'!H8</f>
        <v>2629987328.6868181</v>
      </c>
      <c r="H9" s="1">
        <f ca="1">'Debt worksheet'!I8</f>
        <v>2843306763.7699471</v>
      </c>
      <c r="I9" s="1">
        <f ca="1">'Debt worksheet'!J8</f>
        <v>3038169641.9833145</v>
      </c>
      <c r="J9" s="1">
        <f ca="1">'Debt worksheet'!K8</f>
        <v>3211799039.4257231</v>
      </c>
      <c r="K9" s="1">
        <f ca="1">'Debt worksheet'!L8</f>
        <v>3373165564.5617728</v>
      </c>
      <c r="L9" s="1">
        <f ca="1">'Debt worksheet'!M8</f>
        <v>3526993820.2142634</v>
      </c>
      <c r="M9" s="1">
        <f ca="1">'Debt worksheet'!N8</f>
        <v>3676606667.8890996</v>
      </c>
      <c r="N9" s="1">
        <f ca="1">'Debt worksheet'!O8</f>
        <v>3821297440.672308</v>
      </c>
      <c r="O9" s="1">
        <f ca="1">'Debt worksheet'!P8</f>
        <v>4247179686.5696158</v>
      </c>
      <c r="P9" s="1">
        <f ca="1">'Debt worksheet'!Q8</f>
        <v>4637590319.992981</v>
      </c>
      <c r="Q9" s="1">
        <f ca="1">'Debt worksheet'!R8</f>
        <v>5013350498.3363132</v>
      </c>
      <c r="R9" s="1">
        <f ca="1">'Debt worksheet'!S8</f>
        <v>5371009825.3133774</v>
      </c>
      <c r="S9" s="1">
        <f ca="1">'Debt worksheet'!T8</f>
        <v>5706800807.9102697</v>
      </c>
      <c r="T9" s="1">
        <f ca="1">'Debt worksheet'!U8</f>
        <v>6022943624.4512653</v>
      </c>
      <c r="U9" s="1">
        <f ca="1">'Debt worksheet'!V8</f>
        <v>6322527207.016221</v>
      </c>
      <c r="V9" s="1">
        <f ca="1">'Debt worksheet'!W8</f>
        <v>6623859392.5386267</v>
      </c>
      <c r="W9" s="1">
        <f ca="1">'Debt worksheet'!X8</f>
        <v>6933119057.285162</v>
      </c>
      <c r="X9" s="1">
        <f ca="1">'Debt worksheet'!Y8</f>
        <v>7242564571.6427841</v>
      </c>
      <c r="Y9" s="1">
        <f ca="1">'Debt worksheet'!Z8</f>
        <v>7858377318.8894472</v>
      </c>
      <c r="Z9" s="1">
        <f ca="1">'Debt worksheet'!AA8</f>
        <v>8458357695.17624</v>
      </c>
      <c r="AA9" s="1">
        <f ca="1">'Debt worksheet'!AB8</f>
        <v>9045143834.6115456</v>
      </c>
      <c r="AB9" s="1">
        <f ca="1">'Debt worksheet'!AC8</f>
        <v>9622775295.6170025</v>
      </c>
      <c r="AC9" s="1">
        <f ca="1">'Debt worksheet'!AD8</f>
        <v>10196805080.700506</v>
      </c>
      <c r="AD9" s="1">
        <f ca="1">'Debt worksheet'!AE8</f>
        <v>10763754559.889425</v>
      </c>
      <c r="AE9" s="1">
        <f ca="1">'Debt worksheet'!AF8</f>
        <v>11330960747.462551</v>
      </c>
      <c r="AF9" s="1">
        <f ca="1">'Debt worksheet'!AG8</f>
        <v>11966269800.252832</v>
      </c>
      <c r="AG9" s="1">
        <f ca="1">'Debt worksheet'!AH8</f>
        <v>12614770727.478416</v>
      </c>
      <c r="AH9" s="1">
        <f ca="1">'Debt worksheet'!AI8</f>
        <v>13275286658.228741</v>
      </c>
      <c r="AI9" s="1">
        <f ca="1">'Debt worksheet'!AJ8</f>
        <v>12835989584.584763</v>
      </c>
      <c r="AJ9" s="1">
        <f ca="1">'Debt worksheet'!AK8</f>
        <v>12383170493.797703</v>
      </c>
      <c r="AK9" s="1">
        <f ca="1">'Debt worksheet'!AL8</f>
        <v>11916834571.774948</v>
      </c>
      <c r="AL9" s="1">
        <f ca="1">'Debt worksheet'!AM8</f>
        <v>11437008991.901005</v>
      </c>
      <c r="AM9" s="1">
        <f ca="1">'Debt worksheet'!AN8</f>
        <v>10943744538.880362</v>
      </c>
      <c r="AN9" s="1">
        <f ca="1">'Debt worksheet'!AO8</f>
        <v>10437117322.673662</v>
      </c>
      <c r="AO9" s="1">
        <f ca="1">'Debt worksheet'!AP8</f>
        <v>9917230587.0137177</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-13105235.356190071</v>
      </c>
      <c r="G3" s="77">
        <f ca="1">'Profit and Loss'!G7</f>
        <v>1817412.6975367069</v>
      </c>
      <c r="H3" s="77">
        <f ca="1">'Profit and Loss'!H7</f>
        <v>16275093.279526561</v>
      </c>
      <c r="I3" s="77">
        <f ca="1">'Profit and Loss'!I7</f>
        <v>26198067.230978966</v>
      </c>
      <c r="J3" s="77">
        <f ca="1">'Profit and Loss'!J7</f>
        <v>33846658.676454484</v>
      </c>
      <c r="K3" s="77">
        <f ca="1">'Profit and Loss'!K7</f>
        <v>44407336.502917349</v>
      </c>
      <c r="L3" s="77">
        <f ca="1">'Profit and Loss'!L7</f>
        <v>46118104.443679124</v>
      </c>
      <c r="M3" s="77">
        <f ca="1">'Profit and Loss'!M7</f>
        <v>50075941.982712954</v>
      </c>
      <c r="N3" s="77">
        <f ca="1">'Profit and Loss'!N7</f>
        <v>50538129.163051337</v>
      </c>
      <c r="O3" s="77">
        <f ca="1">'Profit and Loss'!O7</f>
        <v>51527510.349903554</v>
      </c>
      <c r="P3" s="77">
        <f ca="1">'Profit and Loss'!P7</f>
        <v>77290249.050355285</v>
      </c>
      <c r="Q3" s="77">
        <f ca="1">'Profit and Loss'!Q7</f>
        <v>104772726.29821166</v>
      </c>
      <c r="R3" s="77">
        <f ca="1">'Profit and Loss'!R7</f>
        <v>115184080.49179721</v>
      </c>
      <c r="S3" s="77">
        <f ca="1">'Profit and Loss'!S7</f>
        <v>128667483.43142438</v>
      </c>
      <c r="T3" s="77">
        <f ca="1">'Profit and Loss'!T7</f>
        <v>145525143.5263077</v>
      </c>
      <c r="U3" s="77">
        <f ca="1">'Profit and Loss'!U7</f>
        <v>159754013.85198331</v>
      </c>
      <c r="V3" s="77">
        <f ca="1">'Profit and Loss'!V7</f>
        <v>170469463.77895665</v>
      </c>
      <c r="W3" s="77">
        <f ca="1">'Profit and Loss'!W7</f>
        <v>176881529.77558082</v>
      </c>
      <c r="X3" s="77">
        <f ca="1">'Profit and Loss'!X7</f>
        <v>177125351.54004902</v>
      </c>
      <c r="Y3" s="77">
        <f ca="1">'Profit and Loss'!Y7</f>
        <v>185114139.47096002</v>
      </c>
      <c r="Z3" s="77">
        <f ca="1">'Profit and Loss'!Z7</f>
        <v>217521104.60469413</v>
      </c>
      <c r="AA3" s="77">
        <f ca="1">'Profit and Loss'!AA7</f>
        <v>248644834.32496738</v>
      </c>
      <c r="AB3" s="77">
        <f ca="1">'Profit and Loss'!AB7</f>
        <v>277200041.2401225</v>
      </c>
      <c r="AC3" s="77">
        <f ca="1">'Profit and Loss'!AC7</f>
        <v>301774687.62699711</v>
      </c>
      <c r="AD3" s="77">
        <f ca="1">'Profit and Loss'!AD7</f>
        <v>320844025.15163821</v>
      </c>
      <c r="AE3" s="77">
        <f ca="1">'Profit and Loss'!AE7</f>
        <v>343427660.35806435</v>
      </c>
      <c r="AF3" s="77">
        <f ca="1">'Profit and Loss'!AF7</f>
        <v>358697169.33561766</v>
      </c>
      <c r="AG3" s="77">
        <f ca="1">'Profit and Loss'!AG7</f>
        <v>306129842.88976038</v>
      </c>
      <c r="AH3" s="77">
        <f ca="1">'Profit and Loss'!AH7</f>
        <v>308468440.48798311</v>
      </c>
      <c r="AI3" s="77">
        <f ca="1">'Profit and Loss'!AI7</f>
        <v>311963596.76716399</v>
      </c>
      <c r="AJ3" s="77">
        <f ca="1">'Profit and Loss'!AJ7</f>
        <v>318342472.05427861</v>
      </c>
      <c r="AK3" s="77">
        <f ca="1">'Profit and Loss'!AK7</f>
        <v>324423890.19441926</v>
      </c>
      <c r="AL3" s="77">
        <f ca="1">'Profit and Loss'!AL7</f>
        <v>330175386.69736791</v>
      </c>
      <c r="AM3" s="77">
        <f ca="1">'Profit and Loss'!AM7</f>
        <v>335562528.45663166</v>
      </c>
      <c r="AN3" s="77">
        <f ca="1">'Profit and Loss'!AN7</f>
        <v>340548813.15452594</v>
      </c>
      <c r="AO3" s="77">
        <f ca="1">'Profit and Loss'!AO7</f>
        <v>345095563.89036596</v>
      </c>
      <c r="AP3" s="77">
        <f ca="1">'Profit and Loss'!AP7</f>
        <v>349161818.81271577</v>
      </c>
    </row>
    <row r="4" spans="1:42" x14ac:dyDescent="0.35">
      <c r="A4" t="s">
        <v>401</v>
      </c>
      <c r="C4" s="162"/>
      <c r="D4" s="162"/>
      <c r="E4" s="162"/>
      <c r="F4" s="77">
        <f>Depreciation!F6+Depreciation!F7</f>
        <v>278044470.12401474</v>
      </c>
      <c r="G4" s="77">
        <f>Depreciation!G6+Depreciation!G7</f>
        <v>292710018.10825944</v>
      </c>
      <c r="H4" s="77">
        <f>Depreciation!H6+Depreciation!H7</f>
        <v>307574914.04897845</v>
      </c>
      <c r="I4" s="77">
        <f>Depreciation!I6+Depreciation!I7</f>
        <v>322651388.16949934</v>
      </c>
      <c r="J4" s="77">
        <f>Depreciation!J6+Depreciation!J7</f>
        <v>337951726.92660183</v>
      </c>
      <c r="K4" s="77">
        <f>Depreciation!K6+Depreciation!K7</f>
        <v>353488281.64501292</v>
      </c>
      <c r="L4" s="77">
        <f>Depreciation!L6+Depreciation!L7</f>
        <v>369273477.0319711</v>
      </c>
      <c r="M4" s="77">
        <f>Depreciation!M6+Depreciation!M7</f>
        <v>385484689.79168355</v>
      </c>
      <c r="N4" s="77">
        <f>Depreciation!N6+Depreciation!N7</f>
        <v>402133244.88762128</v>
      </c>
      <c r="O4" s="77">
        <f>Depreciation!O6+Depreciation!O7</f>
        <v>419230743.7214148</v>
      </c>
      <c r="P4" s="77">
        <f>Depreciation!P6+Depreciation!P7</f>
        <v>444261176.14413917</v>
      </c>
      <c r="Q4" s="77">
        <f>Depreciation!Q6+Depreciation!Q7</f>
        <v>469908146.38724875</v>
      </c>
      <c r="R4" s="77">
        <f>Depreciation!R6+Depreciation!R7</f>
        <v>496284642.34969831</v>
      </c>
      <c r="S4" s="77">
        <f>Depreciation!S6+Depreciation!S7</f>
        <v>523408125.18145162</v>
      </c>
      <c r="T4" s="77">
        <f>Depreciation!T6+Depreciation!T7</f>
        <v>551296391.95439923</v>
      </c>
      <c r="U4" s="77">
        <f>Depreciation!U6+Depreciation!U7</f>
        <v>579967578.76553917</v>
      </c>
      <c r="V4" s="77">
        <f>Depreciation!V6+Depreciation!V7</f>
        <v>609440163.68902767</v>
      </c>
      <c r="W4" s="77">
        <f>Depreciation!W6+Depreciation!W7</f>
        <v>640080134.67207885</v>
      </c>
      <c r="X4" s="77">
        <f>Depreciation!X6+Depreciation!X7</f>
        <v>671928905.72078919</v>
      </c>
      <c r="Y4" s="77">
        <f>Depreciation!Y6+Depreciation!Y7</f>
        <v>705029269.00625503</v>
      </c>
      <c r="Z4" s="77">
        <f>Depreciation!Z6+Depreciation!Z7</f>
        <v>747372613.81776083</v>
      </c>
      <c r="AA4" s="77">
        <f>Depreciation!AA6+Depreciation!AA7</f>
        <v>791481623.83224368</v>
      </c>
      <c r="AB4" s="77">
        <f>Depreciation!AB6+Depreciation!AB7</f>
        <v>837420390.66306758</v>
      </c>
      <c r="AC4" s="77">
        <f>Depreciation!AC6+Depreciation!AC7</f>
        <v>885255162.73932314</v>
      </c>
      <c r="AD4" s="77">
        <f>Depreciation!AD6+Depreciation!AD7</f>
        <v>935054414.38030457</v>
      </c>
      <c r="AE4" s="77">
        <f>Depreciation!AE6+Depreciation!AE7</f>
        <v>986888917.00269175</v>
      </c>
      <c r="AF4" s="77">
        <f>Depreciation!AF6+Depreciation!AF7</f>
        <v>1040831812.5243559</v>
      </c>
      <c r="AG4" s="77">
        <f>Depreciation!AG6+Depreciation!AG7</f>
        <v>1096958689.0305667</v>
      </c>
      <c r="AH4" s="77">
        <f>Depreciation!AH6+Depreciation!AH7</f>
        <v>1155347658.7702999</v>
      </c>
      <c r="AI4" s="77">
        <f>Depreciation!AI6+Depreciation!AI7</f>
        <v>1216079438.5523167</v>
      </c>
      <c r="AJ4" s="77">
        <f>Depreciation!AJ6+Depreciation!AJ7</f>
        <v>1252561821.7088864</v>
      </c>
      <c r="AK4" s="77">
        <f>Depreciation!AK6+Depreciation!AK7</f>
        <v>1290138676.360153</v>
      </c>
      <c r="AL4" s="77">
        <f>Depreciation!AL6+Depreciation!AL7</f>
        <v>1328842836.6509576</v>
      </c>
      <c r="AM4" s="77">
        <f>Depreciation!AM6+Depreciation!AM7</f>
        <v>1368708121.7504864</v>
      </c>
      <c r="AN4" s="77">
        <f>Depreciation!AN6+Depreciation!AN7</f>
        <v>1409769365.4030008</v>
      </c>
      <c r="AO4" s="77">
        <f>Depreciation!AO6+Depreciation!AO7</f>
        <v>1452062446.3650908</v>
      </c>
      <c r="AP4" s="77">
        <f>Depreciation!AP6+Depreciation!AP7</f>
        <v>1495624319.7560437</v>
      </c>
    </row>
    <row r="5" spans="1:42" x14ac:dyDescent="0.35">
      <c r="A5" t="s">
        <v>420</v>
      </c>
      <c r="C5" s="162"/>
      <c r="D5" s="162"/>
      <c r="E5" s="162"/>
      <c r="F5" s="77">
        <f t="shared" ref="F5:AF5" ca="1" si="1">F4+F3</f>
        <v>264939234.76782465</v>
      </c>
      <c r="G5" s="77">
        <f ca="1">G4+G3</f>
        <v>294527430.80579615</v>
      </c>
      <c r="H5" s="77">
        <f t="shared" ca="1" si="1"/>
        <v>323850007.32850504</v>
      </c>
      <c r="I5" s="77">
        <f t="shared" ca="1" si="1"/>
        <v>348849455.4004783</v>
      </c>
      <c r="J5" s="77">
        <f t="shared" ca="1" si="1"/>
        <v>371798385.60305631</v>
      </c>
      <c r="K5" s="77">
        <f t="shared" ca="1" si="1"/>
        <v>397895618.14793026</v>
      </c>
      <c r="L5" s="77">
        <f t="shared" ca="1" si="1"/>
        <v>415391581.47565019</v>
      </c>
      <c r="M5" s="77">
        <f t="shared" ca="1" si="1"/>
        <v>435560631.77439654</v>
      </c>
      <c r="N5" s="77">
        <f t="shared" ca="1" si="1"/>
        <v>452671374.05067265</v>
      </c>
      <c r="O5" s="77">
        <f t="shared" ca="1" si="1"/>
        <v>470758254.07131839</v>
      </c>
      <c r="P5" s="77">
        <f t="shared" ca="1" si="1"/>
        <v>521551425.19449449</v>
      </c>
      <c r="Q5" s="77">
        <f t="shared" ca="1" si="1"/>
        <v>574680872.68546045</v>
      </c>
      <c r="R5" s="77">
        <f t="shared" ca="1" si="1"/>
        <v>611468722.84149551</v>
      </c>
      <c r="S5" s="77">
        <f t="shared" ca="1" si="1"/>
        <v>652075608.61287594</v>
      </c>
      <c r="T5" s="77">
        <f t="shared" ca="1" si="1"/>
        <v>696821535.48070693</v>
      </c>
      <c r="U5" s="77">
        <f t="shared" ca="1" si="1"/>
        <v>739721592.61752248</v>
      </c>
      <c r="V5" s="77">
        <f t="shared" ca="1" si="1"/>
        <v>779909627.46798432</v>
      </c>
      <c r="W5" s="77">
        <f t="shared" ca="1" si="1"/>
        <v>816961664.44765973</v>
      </c>
      <c r="X5" s="77">
        <f t="shared" ca="1" si="1"/>
        <v>849054257.26083827</v>
      </c>
      <c r="Y5" s="77">
        <f t="shared" ca="1" si="1"/>
        <v>890143408.47721505</v>
      </c>
      <c r="Z5" s="77">
        <f t="shared" ca="1" si="1"/>
        <v>964893718.42245495</v>
      </c>
      <c r="AA5" s="77">
        <f t="shared" ca="1" si="1"/>
        <v>1040126458.1572111</v>
      </c>
      <c r="AB5" s="77">
        <f t="shared" ca="1" si="1"/>
        <v>1114620431.9031901</v>
      </c>
      <c r="AC5" s="77">
        <f t="shared" ca="1" si="1"/>
        <v>1187029850.3663201</v>
      </c>
      <c r="AD5" s="77">
        <f t="shared" ca="1" si="1"/>
        <v>1255898439.5319428</v>
      </c>
      <c r="AE5" s="77">
        <f t="shared" ca="1" si="1"/>
        <v>1330316577.3607562</v>
      </c>
      <c r="AF5" s="77">
        <f t="shared" ca="1" si="1"/>
        <v>1399528981.8599734</v>
      </c>
      <c r="AG5" s="77">
        <f t="shared" ref="AG5:AP5" ca="1" si="2">AG4+AG3</f>
        <v>1403088531.9203272</v>
      </c>
      <c r="AH5" s="77">
        <f t="shared" ca="1" si="2"/>
        <v>1463816099.2582831</v>
      </c>
      <c r="AI5" s="77">
        <f t="shared" ca="1" si="2"/>
        <v>1528043035.3194807</v>
      </c>
      <c r="AJ5" s="77">
        <f t="shared" ca="1" si="2"/>
        <v>1570904293.763165</v>
      </c>
      <c r="AK5" s="77">
        <f t="shared" ca="1" si="2"/>
        <v>1614562566.5545721</v>
      </c>
      <c r="AL5" s="77">
        <f t="shared" ca="1" si="2"/>
        <v>1659018223.3483255</v>
      </c>
      <c r="AM5" s="77">
        <f t="shared" ca="1" si="2"/>
        <v>1704270650.207118</v>
      </c>
      <c r="AN5" s="77">
        <f t="shared" ca="1" si="2"/>
        <v>1750318178.5575268</v>
      </c>
      <c r="AO5" s="77">
        <f t="shared" ca="1" si="2"/>
        <v>1797158010.2554569</v>
      </c>
      <c r="AP5" s="77">
        <f t="shared" ca="1" si="2"/>
        <v>1844786138.5687594</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6978774.5895433677</v>
      </c>
      <c r="G7" s="77">
        <f>IF(AND(G1&lt;Assumptions!$B$77+Assumptions!$B$82,G1&gt;=Assumptions!$B$77),Assumptions!$B$78/Assumptions!$B$82,0)</f>
        <v>6978774.5895433677</v>
      </c>
      <c r="H7" s="77">
        <f>IF(AND(H1&lt;Assumptions!$B$77+Assumptions!$B$82,H1&gt;=Assumptions!$B$77),Assumptions!$B$78/Assumptions!$B$82,0)</f>
        <v>6978774.5895433677</v>
      </c>
      <c r="I7" s="77">
        <f>IF(AND(I1&lt;Assumptions!$B$77+Assumptions!$B$82,I1&gt;=Assumptions!$B$77),Assumptions!$B$78/Assumptions!$B$82,0)</f>
        <v>6978774.5895433677</v>
      </c>
      <c r="J7" s="77">
        <f>IF(AND(J1&lt;Assumptions!$B$77+Assumptions!$B$82,J1&gt;=Assumptions!$B$77),Assumptions!$B$78/Assumptions!$B$82,0)</f>
        <v>6978774.5895433677</v>
      </c>
      <c r="K7" s="77">
        <f>IF(AND(K1&lt;Assumptions!$B$77+Assumptions!$B$82,K1&gt;=Assumptions!$B$77),Assumptions!$B$78/Assumptions!$B$82,0)</f>
        <v>6978774.5895433677</v>
      </c>
      <c r="L7" s="77">
        <f>IF(AND(L1&lt;Assumptions!$B$77+Assumptions!$B$82,L1&gt;=Assumptions!$B$77),Assumptions!$B$78/Assumptions!$B$82,0)</f>
        <v>6978774.5895433677</v>
      </c>
      <c r="M7" s="77">
        <f>IF(AND(M1&lt;Assumptions!$B$77+Assumptions!$B$82,M1&gt;=Assumptions!$B$77),Assumptions!$B$78/Assumptions!$B$82,0)</f>
        <v>6978774.5895433677</v>
      </c>
      <c r="N7" s="77">
        <f>IF(AND(N1&lt;Assumptions!$B$77+Assumptions!$B$82,N1&gt;=Assumptions!$B$77),Assumptions!$B$78/Assumptions!$B$82,0)</f>
        <v>6978774.5895433677</v>
      </c>
      <c r="O7" s="77">
        <f>IF(AND(O1&lt;Assumptions!$B$77+Assumptions!$B$82,O1&gt;=Assumptions!$B$77),Assumptions!$B$78/Assumptions!$B$82,0)</f>
        <v>6978774.5895433677</v>
      </c>
      <c r="P7" s="77">
        <f>IF(AND(P1&lt;Assumptions!$B$77+Assumptions!$B$82,P1&gt;=Assumptions!$B$77),Assumptions!$B$78/Assumptions!$B$82,0)</f>
        <v>6978774.5895433677</v>
      </c>
      <c r="Q7" s="77">
        <f>IF(AND(Q1&lt;Assumptions!$B$77+Assumptions!$B$82,Q1&gt;=Assumptions!$B$77),Assumptions!$B$78/Assumptions!$B$82,0)</f>
        <v>6978774.5895433677</v>
      </c>
      <c r="R7" s="77">
        <f>IF(AND(R1&lt;Assumptions!$B$77+Assumptions!$B$82,R1&gt;=Assumptions!$B$77),Assumptions!$B$78/Assumptions!$B$82,0)</f>
        <v>6978774.5895433677</v>
      </c>
      <c r="S7" s="77">
        <f>IF(AND(S1&lt;Assumptions!$B$77+Assumptions!$B$82,S1&gt;=Assumptions!$B$77),Assumptions!$B$78/Assumptions!$B$82,0)</f>
        <v>6978774.5895433677</v>
      </c>
      <c r="T7" s="77">
        <f>IF(AND(T1&lt;Assumptions!$B$77+Assumptions!$B$82,T1&gt;=Assumptions!$B$77),Assumptions!$B$78/Assumptions!$B$82,0)</f>
        <v>6978774.5895433677</v>
      </c>
      <c r="U7" s="77">
        <f>IF(AND(U1&lt;Assumptions!$B$77+Assumptions!$B$82,U1&gt;=Assumptions!$B$77),Assumptions!$B$78/Assumptions!$B$82,0)</f>
        <v>6978774.5895433677</v>
      </c>
      <c r="V7" s="77">
        <f>IF(AND(V1&lt;Assumptions!$B$77+Assumptions!$B$82,V1&gt;=Assumptions!$B$77),Assumptions!$B$78/Assumptions!$B$82,0)</f>
        <v>6978774.5895433677</v>
      </c>
      <c r="W7" s="77">
        <f>IF(AND(W1&lt;Assumptions!$B$77+Assumptions!$B$82,W1&gt;=Assumptions!$B$77),Assumptions!$B$78/Assumptions!$B$82,0)</f>
        <v>6978774.5895433677</v>
      </c>
      <c r="X7" s="77">
        <f>IF(AND(X1&lt;Assumptions!$B$77+Assumptions!$B$82,X1&gt;=Assumptions!$B$77),Assumptions!$B$78/Assumptions!$B$82,0)</f>
        <v>6978774.5895433677</v>
      </c>
      <c r="Y7" s="77">
        <f>IF(AND(Y1&lt;Assumptions!$B$77+Assumptions!$B$82,Y1&gt;=Assumptions!$B$77),Assumptions!$B$78/Assumptions!$B$82,0)</f>
        <v>6978774.5895433677</v>
      </c>
      <c r="Z7" s="77">
        <f>IF(AND(Z1&lt;Assumptions!$B$77+Assumptions!$B$82,Z1&gt;=Assumptions!$B$77),Assumptions!$B$78/Assumptions!$B$82,0)</f>
        <v>6978774.5895433677</v>
      </c>
      <c r="AA7" s="77">
        <f>IF(AND(AA1&lt;Assumptions!$B$77+Assumptions!$B$82,AA1&gt;=Assumptions!$B$77),Assumptions!$B$78/Assumptions!$B$82,0)</f>
        <v>6978774.5895433677</v>
      </c>
      <c r="AB7" s="77">
        <f>IF(AND(AB1&lt;Assumptions!$B$77+Assumptions!$B$82,AB1&gt;=Assumptions!$B$77),Assumptions!$B$78/Assumptions!$B$82,0)</f>
        <v>6978774.5895433677</v>
      </c>
      <c r="AC7" s="77">
        <f>IF(AND(AC1&lt;Assumptions!$B$77+Assumptions!$B$82,AC1&gt;=Assumptions!$B$77),Assumptions!$B$78/Assumptions!$B$82,0)</f>
        <v>6978774.5895433677</v>
      </c>
      <c r="AD7" s="77">
        <f>IF(AND(AD1&lt;Assumptions!$B$77+Assumptions!$B$82,AD1&gt;=Assumptions!$B$77),Assumptions!$B$78/Assumptions!$B$82,0)</f>
        <v>6978774.5895433677</v>
      </c>
      <c r="AE7" s="77">
        <f>IF(AND(AE1&lt;Assumptions!$B$77+Assumptions!$B$82,AE1&gt;=Assumptions!$B$77),Assumptions!$B$78/Assumptions!$B$82,0)</f>
        <v>6978774.5895433677</v>
      </c>
      <c r="AF7" s="77">
        <f>IF(AND(AF1&lt;Assumptions!$B$77+Assumptions!$B$82,AF1&gt;=Assumptions!$B$77),Assumptions!$B$78/Assumptions!$B$82,0)</f>
        <v>6978774.5895433677</v>
      </c>
      <c r="AG7" s="77">
        <f>IF(AND(AG1&lt;Assumptions!$B$77+Assumptions!$B$82,AG1&gt;=Assumptions!$B$77),Assumptions!$B$78/Assumptions!$B$82,0)</f>
        <v>6978774.5895433677</v>
      </c>
      <c r="AH7" s="77">
        <f>IF(AND(AH1&lt;Assumptions!$B$77+Assumptions!$B$82,AH1&gt;=Assumptions!$B$77),Assumptions!$B$78/Assumptions!$B$82,0)</f>
        <v>6978774.5895433677</v>
      </c>
      <c r="AI7" s="77">
        <f>IF(AND(AI1&lt;Assumptions!$B$77+Assumptions!$B$82,AI1&gt;=Assumptions!$B$77),Assumptions!$B$78/Assumptions!$B$82,0)</f>
        <v>6978774.5895433677</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533808470.49298817</v>
      </c>
      <c r="G8" s="6">
        <f>Investment!G30</f>
        <v>554307438.48736203</v>
      </c>
      <c r="H8" s="6">
        <f>Investment!H30</f>
        <v>558050133.84368062</v>
      </c>
      <c r="I8" s="6">
        <f>Investment!I30</f>
        <v>562168890.48360729</v>
      </c>
      <c r="J8" s="6">
        <f>Investment!J30</f>
        <v>566661263.81642377</v>
      </c>
      <c r="K8" s="6">
        <f>Investment!K30</f>
        <v>571525015.59033859</v>
      </c>
      <c r="L8" s="6">
        <f>Investment!L30</f>
        <v>576758106.61169982</v>
      </c>
      <c r="M8" s="6">
        <f>Investment!M30</f>
        <v>589388887.42688727</v>
      </c>
      <c r="N8" s="6">
        <f>Investment!N30</f>
        <v>602284221.72550893</v>
      </c>
      <c r="O8" s="6">
        <f>Investment!O30</f>
        <v>615449026.85452676</v>
      </c>
      <c r="P8" s="6">
        <f>Investment!P30</f>
        <v>947433671.09180248</v>
      </c>
      <c r="Q8" s="6">
        <f>Investment!Q30</f>
        <v>965091506.10882592</v>
      </c>
      <c r="R8" s="6">
        <f>Investment!R30</f>
        <v>987228901.1848278</v>
      </c>
      <c r="S8" s="6">
        <f>Investment!S30</f>
        <v>1009734935.5899403</v>
      </c>
      <c r="T8" s="6">
        <f>Investment!T30</f>
        <v>1032612518.0775996</v>
      </c>
      <c r="U8" s="6">
        <f>Investment!U30</f>
        <v>1055864409.1585183</v>
      </c>
      <c r="V8" s="6">
        <f>Investment!V30</f>
        <v>1079493210.0329401</v>
      </c>
      <c r="W8" s="6">
        <f>Investment!W30</f>
        <v>1118293849.9700656</v>
      </c>
      <c r="X8" s="6">
        <f>Investment!X30</f>
        <v>1158313922.0073733</v>
      </c>
      <c r="Y8" s="6">
        <f>Investment!Y30</f>
        <v>1199588922.8348374</v>
      </c>
      <c r="Z8" s="6">
        <f>Investment!Z30</f>
        <v>1580706465.6691179</v>
      </c>
      <c r="AA8" s="6">
        <f>Investment!AA30</f>
        <v>1640106834.4440041</v>
      </c>
      <c r="AB8" s="6">
        <f>Investment!AB30</f>
        <v>1701406571.3384948</v>
      </c>
      <c r="AC8" s="6">
        <f>Investment!AC30</f>
        <v>1764661311.3717775</v>
      </c>
      <c r="AD8" s="6">
        <f>Investment!AD30</f>
        <v>1829928224.6154468</v>
      </c>
      <c r="AE8" s="6">
        <f>Investment!AE30</f>
        <v>1897266056.5496764</v>
      </c>
      <c r="AF8" s="6">
        <f>Investment!AF30</f>
        <v>1966735169.4330993</v>
      </c>
      <c r="AG8" s="6">
        <f>Investment!AG30</f>
        <v>2038397584.7106097</v>
      </c>
      <c r="AH8" s="6">
        <f>Investment!AH30</f>
        <v>2112317026.4838688</v>
      </c>
      <c r="AI8" s="6">
        <f>Investment!AI30</f>
        <v>2188558966.0698056</v>
      </c>
      <c r="AJ8" s="6">
        <f>Investment!AJ30</f>
        <v>1131607220.1191859</v>
      </c>
      <c r="AK8" s="6">
        <f>Investment!AK30</f>
        <v>1161743475.7675133</v>
      </c>
      <c r="AL8" s="6">
        <f>Investment!AL30</f>
        <v>1192682301.3255706</v>
      </c>
      <c r="AM8" s="6">
        <f>Investment!AM30</f>
        <v>1224445070.3331742</v>
      </c>
      <c r="AN8" s="6">
        <f>Investment!AN30</f>
        <v>1257053725.5368834</v>
      </c>
      <c r="AO8" s="6">
        <f>Investment!AO30</f>
        <v>1290530794.0487576</v>
      </c>
      <c r="AP8" s="6">
        <f>Investment!AP30</f>
        <v>1324899402.908814</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-275848010.31470692</v>
      </c>
      <c r="G10" s="1">
        <f ca="1">G5-G7-G8</f>
        <v>-266758782.27110922</v>
      </c>
      <c r="H10" s="1">
        <f t="shared" ca="1" si="3"/>
        <v>-241178901.10471892</v>
      </c>
      <c r="I10" s="1">
        <f t="shared" ca="1" si="3"/>
        <v>-220298209.67267233</v>
      </c>
      <c r="J10" s="1">
        <f t="shared" ca="1" si="3"/>
        <v>-201841652.8029108</v>
      </c>
      <c r="K10" s="1">
        <f t="shared" ca="1" si="3"/>
        <v>-180608172.03195167</v>
      </c>
      <c r="L10" s="1">
        <f t="shared" ca="1" si="3"/>
        <v>-168345299.72559297</v>
      </c>
      <c r="M10" s="1">
        <f t="shared" ca="1" si="3"/>
        <v>-160807030.24203408</v>
      </c>
      <c r="N10" s="1">
        <f t="shared" ca="1" si="3"/>
        <v>-156591622.26437962</v>
      </c>
      <c r="O10" s="1">
        <f t="shared" ca="1" si="3"/>
        <v>-151669547.37275171</v>
      </c>
      <c r="P10" s="1">
        <f t="shared" ca="1" si="3"/>
        <v>-432861020.48685133</v>
      </c>
      <c r="Q10" s="1">
        <f t="shared" ca="1" si="3"/>
        <v>-397389408.01290882</v>
      </c>
      <c r="R10" s="1">
        <f t="shared" ca="1" si="3"/>
        <v>-382738952.93287563</v>
      </c>
      <c r="S10" s="1">
        <f t="shared" ca="1" si="3"/>
        <v>-364638101.56660771</v>
      </c>
      <c r="T10" s="1">
        <f t="shared" ca="1" si="3"/>
        <v>-342769757.18643606</v>
      </c>
      <c r="U10" s="1">
        <f t="shared" ca="1" si="3"/>
        <v>-323121591.13053918</v>
      </c>
      <c r="V10" s="1">
        <f t="shared" ca="1" si="3"/>
        <v>-306562357.15449917</v>
      </c>
      <c r="W10" s="1">
        <f t="shared" ca="1" si="3"/>
        <v>-308310960.11194921</v>
      </c>
      <c r="X10" s="1">
        <f t="shared" ca="1" si="3"/>
        <v>-316238439.33607841</v>
      </c>
      <c r="Y10" s="1">
        <f t="shared" ca="1" si="3"/>
        <v>-316424288.94716573</v>
      </c>
      <c r="Z10" s="1">
        <f t="shared" ca="1" si="3"/>
        <v>-622791521.83620632</v>
      </c>
      <c r="AA10" s="1">
        <f t="shared" ca="1" si="3"/>
        <v>-606959150.87633634</v>
      </c>
      <c r="AB10" s="1">
        <f t="shared" ca="1" si="3"/>
        <v>-593764914.02484798</v>
      </c>
      <c r="AC10" s="1">
        <f t="shared" ca="1" si="3"/>
        <v>-584610235.59500074</v>
      </c>
      <c r="AD10" s="1">
        <f t="shared" ca="1" si="3"/>
        <v>-581008559.6730473</v>
      </c>
      <c r="AE10" s="1">
        <f t="shared" ca="1" si="3"/>
        <v>-573928253.7784636</v>
      </c>
      <c r="AF10" s="1">
        <f t="shared" ca="1" si="3"/>
        <v>-574184962.16266918</v>
      </c>
      <c r="AG10" s="1">
        <f t="shared" ca="1" si="3"/>
        <v>-642287827.37982583</v>
      </c>
      <c r="AH10" s="1">
        <f t="shared" ca="1" si="3"/>
        <v>-655479701.81512904</v>
      </c>
      <c r="AI10" s="1">
        <f t="shared" ca="1" si="3"/>
        <v>-667494705.33986831</v>
      </c>
      <c r="AJ10" s="1">
        <f t="shared" ca="1" si="3"/>
        <v>439297073.64397907</v>
      </c>
      <c r="AK10" s="1">
        <f t="shared" ca="1" si="3"/>
        <v>452819090.78705883</v>
      </c>
      <c r="AL10" s="1">
        <f t="shared" ca="1" si="3"/>
        <v>466335922.02275491</v>
      </c>
      <c r="AM10" s="1">
        <f t="shared" ca="1" si="3"/>
        <v>479825579.87394381</v>
      </c>
      <c r="AN10" s="1">
        <f t="shared" ca="1" si="3"/>
        <v>493264453.02064347</v>
      </c>
      <c r="AO10" s="1">
        <f t="shared" ca="1" si="3"/>
        <v>506627216.20669937</v>
      </c>
      <c r="AP10" s="1">
        <f t="shared" ca="1" si="3"/>
        <v>519886735.65994549</v>
      </c>
    </row>
    <row r="11" spans="1:42" x14ac:dyDescent="0.35">
      <c r="A11" t="s">
        <v>424</v>
      </c>
      <c r="C11" s="157"/>
      <c r="D11" s="157"/>
      <c r="E11" s="157"/>
      <c r="F11" s="1">
        <f t="shared" ref="F11:AF11" ca="1" si="4">F10</f>
        <v>-275848010.31470692</v>
      </c>
      <c r="G11" s="1">
        <f ca="1">G10</f>
        <v>-266758782.27110922</v>
      </c>
      <c r="H11" s="1">
        <f t="shared" ca="1" si="4"/>
        <v>-241178901.10471892</v>
      </c>
      <c r="I11" s="1">
        <f t="shared" ca="1" si="4"/>
        <v>-220298209.67267233</v>
      </c>
      <c r="J11" s="1">
        <f t="shared" ca="1" si="4"/>
        <v>-201841652.8029108</v>
      </c>
      <c r="K11" s="1">
        <f t="shared" ca="1" si="4"/>
        <v>-180608172.03195167</v>
      </c>
      <c r="L11" s="1">
        <f t="shared" ca="1" si="4"/>
        <v>-168345299.72559297</v>
      </c>
      <c r="M11" s="1">
        <f t="shared" ca="1" si="4"/>
        <v>-160807030.24203408</v>
      </c>
      <c r="N11" s="1">
        <f t="shared" ca="1" si="4"/>
        <v>-156591622.26437962</v>
      </c>
      <c r="O11" s="1">
        <f t="shared" ca="1" si="4"/>
        <v>-151669547.37275171</v>
      </c>
      <c r="P11" s="1">
        <f t="shared" ca="1" si="4"/>
        <v>-432861020.48685133</v>
      </c>
      <c r="Q11" s="1">
        <f t="shared" ca="1" si="4"/>
        <v>-397389408.01290882</v>
      </c>
      <c r="R11" s="1">
        <f t="shared" ca="1" si="4"/>
        <v>-382738952.93287563</v>
      </c>
      <c r="S11" s="1">
        <f t="shared" ca="1" si="4"/>
        <v>-364638101.56660771</v>
      </c>
      <c r="T11" s="1">
        <f t="shared" ca="1" si="4"/>
        <v>-342769757.18643606</v>
      </c>
      <c r="U11" s="1">
        <f t="shared" ca="1" si="4"/>
        <v>-323121591.13053918</v>
      </c>
      <c r="V11" s="1">
        <f t="shared" ca="1" si="4"/>
        <v>-306562357.15449917</v>
      </c>
      <c r="W11" s="1">
        <f t="shared" ca="1" si="4"/>
        <v>-308310960.11194921</v>
      </c>
      <c r="X11" s="1">
        <f t="shared" ca="1" si="4"/>
        <v>-316238439.33607841</v>
      </c>
      <c r="Y11" s="1">
        <f t="shared" ca="1" si="4"/>
        <v>-316424288.94716573</v>
      </c>
      <c r="Z11" s="1">
        <f t="shared" ca="1" si="4"/>
        <v>-622791521.83620632</v>
      </c>
      <c r="AA11" s="1">
        <f t="shared" ca="1" si="4"/>
        <v>-606959150.87633634</v>
      </c>
      <c r="AB11" s="1">
        <f t="shared" ca="1" si="4"/>
        <v>-593764914.02484798</v>
      </c>
      <c r="AC11" s="1">
        <f t="shared" ca="1" si="4"/>
        <v>-584610235.59500074</v>
      </c>
      <c r="AD11" s="1">
        <f t="shared" ca="1" si="4"/>
        <v>-581008559.6730473</v>
      </c>
      <c r="AE11" s="1">
        <f t="shared" ca="1" si="4"/>
        <v>-573928253.7784636</v>
      </c>
      <c r="AF11" s="1">
        <f t="shared" ca="1" si="4"/>
        <v>-574184962.16266918</v>
      </c>
      <c r="AG11" s="1">
        <f t="shared" ref="AG11:AP11" ca="1" si="5">AG10</f>
        <v>-642287827.37982583</v>
      </c>
      <c r="AH11" s="1">
        <f t="shared" ca="1" si="5"/>
        <v>-655479701.81512904</v>
      </c>
      <c r="AI11" s="1">
        <f t="shared" ca="1" si="5"/>
        <v>-667494705.33986831</v>
      </c>
      <c r="AJ11" s="1">
        <f t="shared" ca="1" si="5"/>
        <v>439297073.64397907</v>
      </c>
      <c r="AK11" s="1">
        <f t="shared" ca="1" si="5"/>
        <v>452819090.78705883</v>
      </c>
      <c r="AL11" s="1">
        <f t="shared" ca="1" si="5"/>
        <v>466335922.02275491</v>
      </c>
      <c r="AM11" s="1">
        <f t="shared" ca="1" si="5"/>
        <v>479825579.87394381</v>
      </c>
      <c r="AN11" s="1">
        <f t="shared" ca="1" si="5"/>
        <v>493264453.02064347</v>
      </c>
      <c r="AO11" s="1">
        <f t="shared" ca="1" si="5"/>
        <v>506627216.20669937</v>
      </c>
      <c r="AP11" s="1">
        <f t="shared" ca="1" si="5"/>
        <v>519886735.65994549</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5F6A3D01-20F4-4512-86F6-8F53D243A9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C17065-23EC-4737-A5CF-1C980E56A671}">
  <ds:schemaRefs>
    <ds:schemaRef ds:uri="http://schemas.microsoft.com/sharepoint/v3/contenttype/forms"/>
  </ds:schemaRefs>
</ds:datastoreItem>
</file>

<file path=customXml/itemProps3.xml><?xml version="1.0" encoding="utf-8"?>
<ds:datastoreItem xmlns:ds="http://schemas.openxmlformats.org/officeDocument/2006/customXml" ds:itemID="{564080DB-1EBE-43BB-B7E2-B276928B3C8F}">
  <ds:schemaRefs>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http://schemas.microsoft.com/sharepoint/v3"/>
    <ds:schemaRef ds:uri="08a23fc5-e034-477c-ac83-93bc1440f322"/>
    <ds:schemaRef ds:uri="65b6d800-2dda-48d6-88d8-9e2b35e6f7ea"/>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2023-06-07T23:28:04Z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