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A52CA1A1-C535-47C2-BB44-90952E716CAF}" xr6:coauthVersionLast="47" xr6:coauthVersionMax="47" xr10:uidLastSave="{00000000-0000-0000-0000-000000000000}"/>
  <workbookProtection workbookAlgorithmName="SHA-512" workbookHashValue="XVkID2CKJE0PXrls5qCIRxOxLjxf95rcm5rS5ANVtwzaxFPkuGac9+fhh9g+G0LYGfiSPdBC9Mq4pTMZhyj1lw==" workbookSaltValue="40duevovT/n8xynY8FR/Kg=="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8" l="1"/>
  <c r="E14" i="8"/>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5" i="2" l="1"/>
  <c r="B157" i="2"/>
  <c r="B144" i="2"/>
  <c r="B156"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55" i="2" l="1"/>
  <c r="B143"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s="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05" i="2" s="1" a="1"/>
  <c r="D105" i="2" s="1"/>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E109" i="2" l="1"/>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B36" i="2"/>
  <c r="B37" i="2" s="1"/>
  <c r="C36" i="2"/>
  <c r="G1" i="4"/>
  <c r="G13" i="2"/>
  <c r="B92" i="2"/>
  <c r="B169" i="2"/>
  <c r="B260" i="2"/>
  <c r="B264" i="2"/>
  <c r="T12" i="7"/>
  <c r="B171" i="2" l="1"/>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8" i="2"/>
  <c r="O1" i="4"/>
  <c r="O13" i="2"/>
  <c r="H21" i="9"/>
  <c r="H20" i="8"/>
  <c r="H18" i="8"/>
  <c r="J235" i="2"/>
  <c r="I15" i="8"/>
  <c r="I19" i="9"/>
  <c r="K234" i="2"/>
  <c r="J232" i="2"/>
  <c r="I14" i="8"/>
  <c r="H17" i="8"/>
  <c r="AB12" i="7"/>
  <c r="M233" i="2"/>
  <c r="L17" i="9"/>
  <c r="J3" i="8"/>
  <c r="N105" i="2" l="1" a="1"/>
  <c r="N105" i="2" s="1"/>
  <c r="O110" i="2"/>
  <c r="O109" i="2"/>
  <c r="AH22" i="2"/>
  <c r="AG12" i="21"/>
  <c r="N6" i="6"/>
  <c r="O26" i="2"/>
  <c r="O9" i="9" s="1"/>
  <c r="O11" i="9" s="1"/>
  <c r="O80" i="2"/>
  <c r="O4" i="3" s="1"/>
  <c r="N29" i="2"/>
  <c r="N10" i="8" s="1"/>
  <c r="O106" i="2"/>
  <c r="O108" i="2"/>
  <c r="O107" i="2"/>
  <c r="K18" i="9"/>
  <c r="L234" i="2"/>
  <c r="L18" i="9" s="1"/>
  <c r="P1" i="4"/>
  <c r="P13" i="2"/>
  <c r="I21" i="9"/>
  <c r="J15" i="8"/>
  <c r="J19" i="9"/>
  <c r="K235" i="2"/>
  <c r="L235" i="2" s="1"/>
  <c r="I20" i="8"/>
  <c r="I18" i="8"/>
  <c r="I17" i="8"/>
  <c r="K232" i="2"/>
  <c r="L232" i="2" s="1"/>
  <c r="J14" i="8"/>
  <c r="AC12" i="7"/>
  <c r="K3" i="8"/>
  <c r="N233" i="2"/>
  <c r="M17" i="9"/>
  <c r="O105" i="2" l="1" a="1"/>
  <c r="O105" i="2" s="1"/>
  <c r="P109" i="2"/>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5" i="2" s="1" a="1"/>
  <c r="AJ105" i="2" s="1"/>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K109" i="2" l="1"/>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5" i="2" s="1" a="1"/>
  <c r="AM105" i="2" s="1"/>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E67" i="31" l="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<sst xmlns="http://schemas.openxmlformats.org/spreadsheetml/2006/main" count="2807" uniqueCount="587">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</sst>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10" fillId="0" borderId="0" xfId="0" applyNumberFormat="1" applyFont="1" applyAlignment="1">
      <alignment horizontal="center"/>
    </xf>
    <xf numFmtId="9" fontId="20" fillId="0" borderId="0" xfId="3" applyFont="1" applyFill="1" applyAlignment="1">
      <alignment horizontal="left" vertical="center"/>
    </xf>
    <xf numFmtId="0" fontId="20" fillId="0" borderId="0" xfId="0" applyFont="1" applyAlignment="1">
      <alignment horizontal="left" vertic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8.5000000000000006E-2</c:v>
                </c:pt>
                <c:pt idx="1">
                  <c:v>5.5E-2</c:v>
                </c:pt>
                <c:pt idx="2">
                  <c:v>0.04</c:v>
                </c:pt>
                <c:pt idx="3">
                  <c:v>0.03</c:v>
                </c:pt>
                <c:pt idx="4">
                  <c:v>-1.4999999999999999E-2</c:v>
                </c:pt>
                <c:pt idx="5">
                  <c:v>0.03</c:v>
                </c:pt>
                <c:pt idx="6">
                  <c:v>0.02</c:v>
                </c:pt>
                <c:pt idx="7">
                  <c:v>0.02</c:v>
                </c:pt>
                <c:pt idx="8">
                  <c:v>0.02</c:v>
                </c:pt>
                <c:pt idx="9">
                  <c:v>0.1</c:v>
                </c:pt>
                <c:pt idx="10">
                  <c:v>8.5000000000000006E-2</c:v>
                </c:pt>
                <c:pt idx="11">
                  <c:v>7.0000000000000007E-2</c:v>
                </c:pt>
                <c:pt idx="12">
                  <c:v>6.5000000000000002E-2</c:v>
                </c:pt>
                <c:pt idx="13">
                  <c:v>0.05</c:v>
                </c:pt>
                <c:pt idx="14">
                  <c:v>0.05</c:v>
                </c:pt>
                <c:pt idx="15">
                  <c:v>0.04</c:v>
                </c:pt>
                <c:pt idx="16">
                  <c:v>0.04</c:v>
                </c:pt>
                <c:pt idx="17">
                  <c:v>3.5000000000000003E-2</c:v>
                </c:pt>
                <c:pt idx="18">
                  <c:v>3.5000000000000003E-2</c:v>
                </c:pt>
                <c:pt idx="19">
                  <c:v>0.09</c:v>
                </c:pt>
                <c:pt idx="20">
                  <c:v>7.4999999999999997E-2</c:v>
                </c:pt>
                <c:pt idx="21">
                  <c:v>7.0000000000000007E-2</c:v>
                </c:pt>
                <c:pt idx="22">
                  <c:v>0.06</c:v>
                </c:pt>
                <c:pt idx="23">
                  <c:v>0.05</c:v>
                </c:pt>
                <c:pt idx="24">
                  <c:v>0.05</c:v>
                </c:pt>
                <c:pt idx="25">
                  <c:v>4.4999999999999998E-2</c:v>
                </c:pt>
                <c:pt idx="26">
                  <c:v>3.5000000000000003E-2</c:v>
                </c:pt>
                <c:pt idx="27">
                  <c:v>0.03</c:v>
                </c:pt>
                <c:pt idx="28">
                  <c:v>0.03</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137</v>
      </c>
      <c r="E4" s="291" t="str">
        <f>Assumptions!B6</f>
        <v>Method 3: Revised NZ$185bn</v>
      </c>
      <c r="F4" s="100" t="str">
        <f>Assumptions!B3</f>
        <v>1 CSE - Base case</v>
      </c>
      <c r="G4" s="100" t="str">
        <f>IF(Assumptions!B7=Assumptions!B325, "Mid-point estimate", IF(Assumptions!B7=Assumptions!B326, "High estimate", ""))</f>
        <v>Mid-point estimate</v>
      </c>
      <c r="H4" s="298">
        <v>0.17</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cVAn4KeZCNLBvW+aarFTLZvNVauHq+LJW74FD/mah8fAXi9AEo7y4G1RLfh8l0KlBDMJgxMDYhzh0A5mPpifPA==" saltValue="ZnZ8qZXr+qau1I2bRrICx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4025319986.482338</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2012659993.241169</v>
      </c>
      <c r="G5" s="6">
        <f>F10</f>
        <v>2072765022.6569982</v>
      </c>
      <c r="H5" s="6">
        <f t="shared" ref="H5" si="1">G10</f>
        <v>2136995950.2222764</v>
      </c>
      <c r="I5" s="6">
        <f t="shared" ref="I5" si="2">H10</f>
        <v>2205419144.639771</v>
      </c>
      <c r="J5" s="6">
        <f t="shared" ref="J5" si="3">I10</f>
        <v>2278104209.885973</v>
      </c>
      <c r="K5" s="6">
        <f t="shared" ref="K5" si="4">J10</f>
        <v>2355124032.0294442</v>
      </c>
      <c r="L5" s="6">
        <f t="shared" ref="L5" si="5">K10</f>
        <v>2436554828.2263703</v>
      </c>
      <c r="M5" s="6">
        <f t="shared" ref="M5" si="6">L10</f>
        <v>2522476197.9133763</v>
      </c>
      <c r="N5" s="6">
        <f t="shared" ref="N5" si="7">M10</f>
        <v>2613025824.6865025</v>
      </c>
      <c r="O5" s="6">
        <f t="shared" ref="O5" si="8">N10</f>
        <v>2708345356.7432108</v>
      </c>
      <c r="P5" s="6">
        <f t="shared" ref="P5" si="9">O10</f>
        <v>2808580515.909308</v>
      </c>
      <c r="Q5" s="6">
        <f t="shared" ref="Q5" si="10">P10</f>
        <v>2916968929.0256128</v>
      </c>
      <c r="R5" s="6">
        <f t="shared" ref="R5" si="11">Q10</f>
        <v>3033760797.7567234</v>
      </c>
      <c r="S5" s="6">
        <f t="shared" ref="S5" si="12">R10</f>
        <v>3159247244.4002819</v>
      </c>
      <c r="T5" s="6">
        <f t="shared" ref="T5" si="13">S10</f>
        <v>3293728000.2742472</v>
      </c>
      <c r="U5" s="6">
        <f t="shared" ref="U5" si="14">T10</f>
        <v>3437511640.2225809</v>
      </c>
      <c r="V5" s="6">
        <f t="shared" ref="V5" si="15">U10</f>
        <v>3590915823.030746</v>
      </c>
      <c r="W5" s="6">
        <f t="shared" ref="W5" si="16">V10</f>
        <v>3754267537.8845553</v>
      </c>
      <c r="X5" s="6">
        <f t="shared" ref="X5" si="17">W10</f>
        <v>3928011789.99892</v>
      </c>
      <c r="Y5" s="6">
        <f t="shared" ref="Y5" si="18">X10</f>
        <v>4112610940.1151867</v>
      </c>
      <c r="Z5" s="6">
        <f t="shared" ref="Z5" si="19">Y10</f>
        <v>4308545334.1787453</v>
      </c>
      <c r="AA5" s="6">
        <f t="shared" ref="AA5" si="20">Z10</f>
        <v>4519887671.7378206</v>
      </c>
      <c r="AB5" s="6">
        <f t="shared" ref="AB5" si="21">AA10</f>
        <v>4747361417.8124266</v>
      </c>
      <c r="AC5" s="6">
        <f t="shared" ref="AC5" si="22">AB10</f>
        <v>4991718876.5047016</v>
      </c>
      <c r="AD5" s="6">
        <f t="shared" ref="AD5" si="23">AC10</f>
        <v>5253742250.2687712</v>
      </c>
      <c r="AE5" s="6">
        <f t="shared" ref="AE5" si="24">AD10</f>
        <v>5534244736.2140322</v>
      </c>
      <c r="AF5" s="6">
        <f t="shared" ref="AF5" si="25">AE10</f>
        <v>5834071660.6943846</v>
      </c>
      <c r="AG5" s="6">
        <f t="shared" ref="AG5:AP5" si="26">AF10</f>
        <v>6154101653.4772816</v>
      </c>
      <c r="AH5" s="6">
        <f t="shared" si="26"/>
        <v>6495247862.8291922</v>
      </c>
      <c r="AI5" s="6">
        <f t="shared" si="26"/>
        <v>6858459212.8981485</v>
      </c>
      <c r="AJ5" s="6">
        <f t="shared" si="26"/>
        <v>7244721704.8195505</v>
      </c>
      <c r="AK5" s="6">
        <f t="shared" si="26"/>
        <v>7642572071.4985943</v>
      </c>
      <c r="AL5" s="6">
        <f t="shared" si="26"/>
        <v>8052357949.17801</v>
      </c>
      <c r="AM5" s="6">
        <f t="shared" si="26"/>
        <v>8474437403.187808</v>
      </c>
      <c r="AN5" s="6">
        <f t="shared" si="26"/>
        <v>8909179240.8178997</v>
      </c>
      <c r="AO5" s="6">
        <f t="shared" si="26"/>
        <v>9356963333.5768948</v>
      </c>
      <c r="AP5" s="6">
        <f t="shared" si="26"/>
        <v>9818180949.1186581</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57846517.617961004</v>
      </c>
      <c r="G6" s="6">
        <f>Assumptions!G277*Assumptions!G26</f>
        <v>59581913.146499835</v>
      </c>
      <c r="H6" s="6">
        <f>Assumptions!H277*Assumptions!H26</f>
        <v>61369370.540894829</v>
      </c>
      <c r="I6" s="6">
        <f>Assumptions!I277*Assumptions!I26</f>
        <v>63210451.657121673</v>
      </c>
      <c r="J6" s="6">
        <f>Assumptions!J277*Assumptions!J26</f>
        <v>65106765.20683533</v>
      </c>
      <c r="K6" s="6">
        <f>Assumptions!K277*Assumptions!K26</f>
        <v>67059968.163040385</v>
      </c>
      <c r="L6" s="6">
        <f>Assumptions!L277*Assumptions!L26</f>
        <v>69071767.207931608</v>
      </c>
      <c r="M6" s="6">
        <f>Assumptions!M277*Assumptions!M26</f>
        <v>71143920.224169552</v>
      </c>
      <c r="N6" s="6">
        <f>Assumptions!N277*Assumptions!N26</f>
        <v>73278237.830894634</v>
      </c>
      <c r="O6" s="6">
        <f>Assumptions!O277*Assumptions!O26</f>
        <v>75476584.965821475</v>
      </c>
      <c r="P6" s="6">
        <f>Assumptions!P277*Assumptions!P26</f>
        <v>77740882.514796138</v>
      </c>
      <c r="Q6" s="6">
        <f>Assumptions!Q277*Assumptions!Q26</f>
        <v>80073108.990240023</v>
      </c>
      <c r="R6" s="6">
        <f>Assumptions!R277*Assumptions!R26</f>
        <v>82475302.259947225</v>
      </c>
      <c r="S6" s="6">
        <f>Assumptions!S277*Assumptions!S26</f>
        <v>84949561.327745646</v>
      </c>
      <c r="T6" s="6">
        <f>Assumptions!T277*Assumptions!T26</f>
        <v>87498048.167578012</v>
      </c>
      <c r="U6" s="6">
        <f>Assumptions!U277*Assumptions!U26</f>
        <v>90122989.612605348</v>
      </c>
      <c r="V6" s="6">
        <f>Assumptions!V277*Assumptions!V26</f>
        <v>92826679.300983518</v>
      </c>
      <c r="W6" s="6">
        <f>Assumptions!W277*Assumptions!W26</f>
        <v>95611479.680013031</v>
      </c>
      <c r="X6" s="6">
        <f>Assumptions!X277*Assumptions!X26</f>
        <v>98479824.070413411</v>
      </c>
      <c r="Y6" s="6">
        <f>Assumptions!Y277*Assumptions!Y26</f>
        <v>101434218.79252581</v>
      </c>
      <c r="Z6" s="6">
        <f>Assumptions!Z277*Assumptions!Z26</f>
        <v>104477245.35630158</v>
      </c>
      <c r="AA6" s="6">
        <f>Assumptions!AA277*Assumptions!AA26</f>
        <v>107611562.71699063</v>
      </c>
      <c r="AB6" s="6">
        <f>Assumptions!AB277*Assumptions!AB26</f>
        <v>110839909.59850037</v>
      </c>
      <c r="AC6" s="6">
        <f>Assumptions!AC277*Assumptions!AC26</f>
        <v>114165106.88645537</v>
      </c>
      <c r="AD6" s="6">
        <f>Assumptions!AD277*Assumptions!AD26</f>
        <v>117590060.09304903</v>
      </c>
      <c r="AE6" s="6">
        <f>Assumptions!AE277*Assumptions!AE26</f>
        <v>121117761.89584053</v>
      </c>
      <c r="AF6" s="6">
        <f>Assumptions!AF277*Assumptions!AF26</f>
        <v>124751294.75271574</v>
      </c>
      <c r="AG6" s="6">
        <f>Assumptions!AG277*Assumptions!AG26</f>
        <v>128493833.59529722</v>
      </c>
      <c r="AH6" s="6">
        <f>Assumptions!AH277*Assumptions!AH26</f>
        <v>132348648.60315613</v>
      </c>
      <c r="AI6" s="6">
        <f>Assumptions!AI277*Assumptions!AI26</f>
        <v>136319108.06125084</v>
      </c>
      <c r="AJ6" s="6">
        <f>Assumptions!AJ277*Assumptions!AJ26</f>
        <v>140408681.30308837</v>
      </c>
      <c r="AK6" s="6">
        <f>Assumptions!AK277*Assumptions!AK26</f>
        <v>144620941.742181</v>
      </c>
      <c r="AL6" s="6">
        <f>Assumptions!AL277*Assumptions!AL26</f>
        <v>148959569.99444646</v>
      </c>
      <c r="AM6" s="6">
        <f>Assumptions!AM277*Assumptions!AM26</f>
        <v>153428357.09427983</v>
      </c>
      <c r="AN6" s="6">
        <f>Assumptions!AN277*Assumptions!AN26</f>
        <v>158031207.80710822</v>
      </c>
      <c r="AO6" s="6">
        <f>Assumptions!AO277*Assumptions!AO26</f>
        <v>162772144.04132149</v>
      </c>
      <c r="AP6" s="6">
        <f>Assumptions!AP277*Assumptions!AP26</f>
        <v>167655308.36256114</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2258511.7978682793</v>
      </c>
      <c r="G7" s="6">
        <f>Assumptions!G291*Assumptions!G26</f>
        <v>4649014.4187783124</v>
      </c>
      <c r="H7" s="6">
        <f>Assumptions!H291*Assumptions!H26</f>
        <v>7053823.876599649</v>
      </c>
      <c r="I7" s="6">
        <f>Assumptions!I291*Assumptions!I26</f>
        <v>9474613.5890803356</v>
      </c>
      <c r="J7" s="6">
        <f>Assumptions!J291*Assumptions!J26</f>
        <v>11913056.936635938</v>
      </c>
      <c r="K7" s="6">
        <f>Assumptions!K291*Assumptions!K26</f>
        <v>14370828.033885948</v>
      </c>
      <c r="L7" s="6">
        <f>Assumptions!L291*Assumptions!L26</f>
        <v>16849602.47907446</v>
      </c>
      <c r="M7" s="6">
        <f>Assumptions!M291*Assumptions!M26</f>
        <v>19405706.548956424</v>
      </c>
      <c r="N7" s="6">
        <f>Assumptions!N291*Assumptions!N26</f>
        <v>22041294.225813862</v>
      </c>
      <c r="O7" s="6">
        <f>Assumptions!O291*Assumptions!O26</f>
        <v>24758574.200276028</v>
      </c>
      <c r="P7" s="6">
        <f>Assumptions!P291*Assumptions!P26</f>
        <v>30647530.601508576</v>
      </c>
      <c r="Q7" s="6">
        <f>Assumptions!Q291*Assumptions!Q26</f>
        <v>36718759.74087052</v>
      </c>
      <c r="R7" s="6">
        <f>Assumptions!R291*Assumptions!R26</f>
        <v>43011144.383611426</v>
      </c>
      <c r="S7" s="6">
        <f>Assumptions!S291*Assumptions!S26</f>
        <v>49531194.54621961</v>
      </c>
      <c r="T7" s="6">
        <f>Assumptions!T291*Assumptions!T26</f>
        <v>56285591.780755654</v>
      </c>
      <c r="U7" s="6">
        <f>Assumptions!U291*Assumptions!U26</f>
        <v>63281193.195559621</v>
      </c>
      <c r="V7" s="6">
        <f>Assumptions!V291*Assumptions!V26</f>
        <v>70525035.552825898</v>
      </c>
      <c r="W7" s="6">
        <f>Assumptions!W291*Assumptions!W26</f>
        <v>78132772.434351474</v>
      </c>
      <c r="X7" s="6">
        <f>Assumptions!X291*Assumptions!X26</f>
        <v>86119326.045853093</v>
      </c>
      <c r="Y7" s="6">
        <f>Assumptions!Y291*Assumptions!Y26</f>
        <v>94500175.271032959</v>
      </c>
      <c r="Z7" s="6">
        <f>Assumptions!Z291*Assumptions!Z26</f>
        <v>106865092.20277417</v>
      </c>
      <c r="AA7" s="6">
        <f>Assumptions!AA291*Assumptions!AA26</f>
        <v>119862183.35761593</v>
      </c>
      <c r="AB7" s="6">
        <f>Assumptions!AB291*Assumptions!AB26</f>
        <v>133517549.09377524</v>
      </c>
      <c r="AC7" s="6">
        <f>Assumptions!AC291*Assumptions!AC26</f>
        <v>147858266.8776142</v>
      </c>
      <c r="AD7" s="6">
        <f>Assumptions!AD291*Assumptions!AD26</f>
        <v>162912425.85221207</v>
      </c>
      <c r="AE7" s="6">
        <f>Assumptions!AE291*Assumptions!AE26</f>
        <v>178709162.58451131</v>
      </c>
      <c r="AF7" s="6">
        <f>Assumptions!AF291*Assumptions!AF26</f>
        <v>195278698.03018057</v>
      </c>
      <c r="AG7" s="6">
        <f>Assumptions!AG291*Assumptions!AG26</f>
        <v>212652375.756614</v>
      </c>
      <c r="AH7" s="6">
        <f>Assumptions!AH291*Assumptions!AH26</f>
        <v>230862701.46579984</v>
      </c>
      <c r="AI7" s="6">
        <f>Assumptions!AI291*Assumptions!AI26</f>
        <v>249943383.86015126</v>
      </c>
      <c r="AJ7" s="6">
        <f>Assumptions!AJ291*Assumptions!AJ26</f>
        <v>257441685.37595582</v>
      </c>
      <c r="AK7" s="6">
        <f>Assumptions!AK291*Assumptions!AK26</f>
        <v>265164935.93723449</v>
      </c>
      <c r="AL7" s="6">
        <f>Assumptions!AL291*Assumptions!AL26</f>
        <v>273119884.01535153</v>
      </c>
      <c r="AM7" s="6">
        <f>Assumptions!AM291*Assumptions!AM26</f>
        <v>281313480.53581208</v>
      </c>
      <c r="AN7" s="6">
        <f>Assumptions!AN291*Assumptions!AN26</f>
        <v>289752884.95188642</v>
      </c>
      <c r="AO7" s="6">
        <f>Assumptions!AO291*Assumptions!AO26</f>
        <v>298445471.50044304</v>
      </c>
      <c r="AP7" s="6">
        <f>Assumptions!AP291*Assumptions!AP26</f>
        <v>307398835.64545631</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60105029.415829286</v>
      </c>
      <c r="G8" s="6">
        <f>SUM($C$6:G7)</f>
        <v>124335956.98110743</v>
      </c>
      <c r="H8" s="6">
        <f>SUM($C$6:H7)</f>
        <v>192759151.39860189</v>
      </c>
      <c r="I8" s="6">
        <f>SUM($C$6:I7)</f>
        <v>265444216.64480388</v>
      </c>
      <c r="J8" s="6">
        <f>SUM($C$6:J7)</f>
        <v>342464038.78827512</v>
      </c>
      <c r="K8" s="6">
        <f>SUM($C$6:K7)</f>
        <v>423894834.98520148</v>
      </c>
      <c r="L8" s="6">
        <f>SUM($C$6:L7)</f>
        <v>509816204.67220753</v>
      </c>
      <c r="M8" s="6">
        <f>SUM($C$6:M7)</f>
        <v>600365831.4453336</v>
      </c>
      <c r="N8" s="6">
        <f>SUM($C$6:N7)</f>
        <v>695685363.50204206</v>
      </c>
      <c r="O8" s="6">
        <f>SUM($C$6:O7)</f>
        <v>795920522.66813958</v>
      </c>
      <c r="P8" s="6">
        <f>SUM($C$6:P7)</f>
        <v>904308935.78444433</v>
      </c>
      <c r="Q8" s="6">
        <f>SUM($C$6:Q7)</f>
        <v>1021100804.5155548</v>
      </c>
      <c r="R8" s="6">
        <f>SUM($C$6:R7)</f>
        <v>1146587251.1591134</v>
      </c>
      <c r="S8" s="6">
        <f>SUM($C$6:S7)</f>
        <v>1281068007.0330789</v>
      </c>
      <c r="T8" s="6">
        <f>SUM($C$6:T7)</f>
        <v>1424851646.9814126</v>
      </c>
      <c r="U8" s="6">
        <f>SUM($C$6:U7)</f>
        <v>1578255829.7895775</v>
      </c>
      <c r="V8" s="6">
        <f>SUM($C$6:V7)</f>
        <v>1741607544.6433868</v>
      </c>
      <c r="W8" s="6">
        <f>SUM($C$6:W7)</f>
        <v>1915351796.7577515</v>
      </c>
      <c r="X8" s="6">
        <f>SUM($C$6:X7)</f>
        <v>2099950946.8740177</v>
      </c>
      <c r="Y8" s="6">
        <f>SUM($C$6:Y7)</f>
        <v>2295885340.9375763</v>
      </c>
      <c r="Z8" s="6">
        <f>SUM($C$6:Z7)</f>
        <v>2507227678.4966521</v>
      </c>
      <c r="AA8" s="6">
        <f>SUM($C$6:AA7)</f>
        <v>2734701424.5712585</v>
      </c>
      <c r="AB8" s="6">
        <f>SUM($C$6:AB7)</f>
        <v>2979058883.2635341</v>
      </c>
      <c r="AC8" s="6">
        <f>SUM($C$6:AC7)</f>
        <v>3241082257.0276031</v>
      </c>
      <c r="AD8" s="6">
        <f>SUM($C$6:AD7)</f>
        <v>3521584742.9728642</v>
      </c>
      <c r="AE8" s="6">
        <f>SUM($C$6:AE7)</f>
        <v>3821411667.4532161</v>
      </c>
      <c r="AF8" s="6">
        <f>SUM($C$6:AF7)</f>
        <v>4141441660.2361121</v>
      </c>
      <c r="AG8" s="6">
        <f>SUM($C$6:AG7)</f>
        <v>4482587869.5880232</v>
      </c>
      <c r="AH8" s="6">
        <f>SUM($C$6:AH7)</f>
        <v>4845799219.6569796</v>
      </c>
      <c r="AI8" s="6">
        <f>SUM($C$6:AI7)</f>
        <v>5232061711.5783825</v>
      </c>
      <c r="AJ8" s="6">
        <f>SUM($C$6:AJ7)</f>
        <v>5629912078.2574263</v>
      </c>
      <c r="AK8" s="6">
        <f>SUM($C$6:AK7)</f>
        <v>6039697955.936842</v>
      </c>
      <c r="AL8" s="6">
        <f>SUM($C$6:AL7)</f>
        <v>6461777409.94664</v>
      </c>
      <c r="AM8" s="6">
        <f>SUM($C$6:AM7)</f>
        <v>6896519247.5767307</v>
      </c>
      <c r="AN8" s="6">
        <f>SUM($C$6:AN7)</f>
        <v>7344303340.3357258</v>
      </c>
      <c r="AO8" s="6">
        <f>SUM($C$6:AO7)</f>
        <v>7805520955.87749</v>
      </c>
      <c r="AP8" s="6">
        <f>SUM($C$6:AP7)</f>
        <v>8280575099.8855076</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2072765022.6569982</v>
      </c>
      <c r="G10" s="6">
        <f>G5+G6+G7</f>
        <v>2136995950.2222764</v>
      </c>
      <c r="H10" s="6">
        <f t="shared" ref="H10" si="27">H5+H6+H7</f>
        <v>2205419144.639771</v>
      </c>
      <c r="I10" s="6">
        <f t="shared" ref="I10:AF10" si="28">I5+I6+I7</f>
        <v>2278104209.885973</v>
      </c>
      <c r="J10" s="6">
        <f t="shared" si="28"/>
        <v>2355124032.0294442</v>
      </c>
      <c r="K10" s="6">
        <f t="shared" si="28"/>
        <v>2436554828.2263703</v>
      </c>
      <c r="L10" s="6">
        <f t="shared" si="28"/>
        <v>2522476197.9133763</v>
      </c>
      <c r="M10" s="6">
        <f t="shared" si="28"/>
        <v>2613025824.6865025</v>
      </c>
      <c r="N10" s="6">
        <f t="shared" si="28"/>
        <v>2708345356.7432108</v>
      </c>
      <c r="O10" s="6">
        <f t="shared" si="28"/>
        <v>2808580515.909308</v>
      </c>
      <c r="P10" s="6">
        <f t="shared" si="28"/>
        <v>2916968929.0256128</v>
      </c>
      <c r="Q10" s="6">
        <f t="shared" si="28"/>
        <v>3033760797.7567234</v>
      </c>
      <c r="R10" s="6">
        <f t="shared" si="28"/>
        <v>3159247244.4002819</v>
      </c>
      <c r="S10" s="6">
        <f t="shared" si="28"/>
        <v>3293728000.2742472</v>
      </c>
      <c r="T10" s="6">
        <f t="shared" si="28"/>
        <v>3437511640.2225809</v>
      </c>
      <c r="U10" s="6">
        <f t="shared" si="28"/>
        <v>3590915823.030746</v>
      </c>
      <c r="V10" s="6">
        <f t="shared" si="28"/>
        <v>3754267537.8845553</v>
      </c>
      <c r="W10" s="6">
        <f t="shared" si="28"/>
        <v>3928011789.99892</v>
      </c>
      <c r="X10" s="6">
        <f t="shared" si="28"/>
        <v>4112610940.1151867</v>
      </c>
      <c r="Y10" s="6">
        <f t="shared" si="28"/>
        <v>4308545334.1787453</v>
      </c>
      <c r="Z10" s="6">
        <f t="shared" si="28"/>
        <v>4519887671.7378206</v>
      </c>
      <c r="AA10" s="6">
        <f t="shared" si="28"/>
        <v>4747361417.8124266</v>
      </c>
      <c r="AB10" s="6">
        <f t="shared" si="28"/>
        <v>4991718876.5047016</v>
      </c>
      <c r="AC10" s="6">
        <f t="shared" si="28"/>
        <v>5253742250.2687712</v>
      </c>
      <c r="AD10" s="6">
        <f t="shared" si="28"/>
        <v>5534244736.2140322</v>
      </c>
      <c r="AE10" s="6">
        <f t="shared" si="28"/>
        <v>5834071660.6943846</v>
      </c>
      <c r="AF10" s="6">
        <f t="shared" si="28"/>
        <v>6154101653.4772816</v>
      </c>
      <c r="AG10" s="6">
        <f t="shared" ref="AG10:AP10" si="29">AG5+AG6+AG7</f>
        <v>6495247862.8291922</v>
      </c>
      <c r="AH10" s="6">
        <f t="shared" si="29"/>
        <v>6858459212.8981485</v>
      </c>
      <c r="AI10" s="6">
        <f t="shared" si="29"/>
        <v>7244721704.8195505</v>
      </c>
      <c r="AJ10" s="6">
        <f t="shared" si="29"/>
        <v>7642572071.4985943</v>
      </c>
      <c r="AK10" s="6">
        <f t="shared" si="29"/>
        <v>8052357949.17801</v>
      </c>
      <c r="AL10" s="6">
        <f t="shared" si="29"/>
        <v>8474437403.187808</v>
      </c>
      <c r="AM10" s="6">
        <f t="shared" si="29"/>
        <v>8909179240.8178997</v>
      </c>
      <c r="AN10" s="6">
        <f t="shared" si="29"/>
        <v>9356963333.5768948</v>
      </c>
      <c r="AO10" s="6">
        <f t="shared" si="29"/>
        <v>9818180949.1186581</v>
      </c>
      <c r="AP10" s="6">
        <f t="shared" si="29"/>
        <v>10293235093.126675</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154118742.48188019</v>
      </c>
      <c r="G16" s="6">
        <f>Investment!G30</f>
        <v>160817834.55953109</v>
      </c>
      <c r="H16" s="6">
        <f>Investment!H30</f>
        <v>162502195.90535283</v>
      </c>
      <c r="I16" s="6">
        <f>Investment!I30</f>
        <v>164295100.54262707</v>
      </c>
      <c r="J16" s="6">
        <f>Investment!J30</f>
        <v>166197426.87577754</v>
      </c>
      <c r="K16" s="6">
        <f>Investment!K30</f>
        <v>168210115.23378298</v>
      </c>
      <c r="L16" s="6">
        <f>Investment!L30</f>
        <v>170334167.8633239</v>
      </c>
      <c r="M16" s="6">
        <f>Investment!M30</f>
        <v>174901658.88452503</v>
      </c>
      <c r="N16" s="6">
        <f>Investment!N30</f>
        <v>179588325.22747859</v>
      </c>
      <c r="O16" s="6">
        <f>Investment!O30</f>
        <v>184397163.16642952</v>
      </c>
      <c r="P16" s="6">
        <f>Investment!P30</f>
        <v>321022932.71792251</v>
      </c>
      <c r="Q16" s="6">
        <f>Investment!Q30</f>
        <v>329347276.18263453</v>
      </c>
      <c r="R16" s="6">
        <f>Investment!R30</f>
        <v>339324612.8343997</v>
      </c>
      <c r="S16" s="6">
        <f>Investment!S30</f>
        <v>349564663.69375759</v>
      </c>
      <c r="T16" s="6">
        <f>Investment!T30</f>
        <v>360073809.59862256</v>
      </c>
      <c r="U16" s="6">
        <f>Investment!U30</f>
        <v>370858570.74843568</v>
      </c>
      <c r="V16" s="6">
        <f>Investment!V30</f>
        <v>381925609.18351543</v>
      </c>
      <c r="W16" s="6">
        <f>Investment!W30</f>
        <v>397905289.96032691</v>
      </c>
      <c r="X16" s="6">
        <f>Investment!X30</f>
        <v>414470869.107364</v>
      </c>
      <c r="Y16" s="6">
        <f>Investment!Y30</f>
        <v>431642367.10427463</v>
      </c>
      <c r="Z16" s="6">
        <f>Investment!Z30</f>
        <v>601807192.14082694</v>
      </c>
      <c r="AA16" s="6">
        <f>Investment!AA30</f>
        <v>627984731.91102552</v>
      </c>
      <c r="AB16" s="6">
        <f>Investment!AB30</f>
        <v>655139374.06756139</v>
      </c>
      <c r="AC16" s="6">
        <f>Investment!AC30</f>
        <v>683304845.69712973</v>
      </c>
      <c r="AD16" s="6">
        <f>Investment!AD30</f>
        <v>712515983.70195794</v>
      </c>
      <c r="AE16" s="6">
        <f>Investment!AE30</f>
        <v>742808770.15355873</v>
      </c>
      <c r="AF16" s="6">
        <f>Investment!AF30</f>
        <v>774220368.74643922</v>
      </c>
      <c r="AG16" s="6">
        <f>Investment!AG30</f>
        <v>806789162.38538098</v>
      </c>
      <c r="AH16" s="6">
        <f>Investment!AH30</f>
        <v>840554791.9409101</v>
      </c>
      <c r="AI16" s="6">
        <f>Investment!AI30</f>
        <v>875558196.20862532</v>
      </c>
      <c r="AJ16" s="6">
        <f>Investment!AJ30</f>
        <v>379606130.05406129</v>
      </c>
      <c r="AK16" s="6">
        <f>Investment!AK30</f>
        <v>390402698.77796125</v>
      </c>
      <c r="AL16" s="6">
        <f>Investment!AL30</f>
        <v>401506338.13898003</v>
      </c>
      <c r="AM16" s="6">
        <f>Investment!AM30</f>
        <v>412925781.68743265</v>
      </c>
      <c r="AN16" s="6">
        <f>Investment!AN30</f>
        <v>424670011.3689279</v>
      </c>
      <c r="AO16" s="6">
        <f>Investment!AO30</f>
        <v>436748264.58910388</v>
      </c>
      <c r="AP16" s="6">
        <f>Investment!AP30</f>
        <v>449170041.47929472</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2166778735.7230492</v>
      </c>
      <c r="G17" s="6">
        <f>G16+F18</f>
        <v>2267491540.8667512</v>
      </c>
      <c r="H17" s="6">
        <f t="shared" ref="H17:AF17" si="30">H16+G18</f>
        <v>2365762809.2068262</v>
      </c>
      <c r="I17" s="6">
        <f t="shared" si="30"/>
        <v>2461634715.3319583</v>
      </c>
      <c r="J17" s="6">
        <f t="shared" si="30"/>
        <v>2555147076.961534</v>
      </c>
      <c r="K17" s="6">
        <f t="shared" si="30"/>
        <v>2646337370.0518456</v>
      </c>
      <c r="L17" s="6">
        <f t="shared" si="30"/>
        <v>2735240741.7182431</v>
      </c>
      <c r="M17" s="6">
        <f t="shared" si="30"/>
        <v>2824221030.9157619</v>
      </c>
      <c r="N17" s="6">
        <f t="shared" si="30"/>
        <v>2913259729.3701143</v>
      </c>
      <c r="O17" s="6">
        <f t="shared" si="30"/>
        <v>3002337360.4798355</v>
      </c>
      <c r="P17" s="6">
        <f t="shared" si="30"/>
        <v>3223125134.031661</v>
      </c>
      <c r="Q17" s="6">
        <f t="shared" si="30"/>
        <v>3444083997.0979905</v>
      </c>
      <c r="R17" s="6">
        <f t="shared" si="30"/>
        <v>3666616741.2012796</v>
      </c>
      <c r="S17" s="6">
        <f t="shared" si="30"/>
        <v>3890694958.2514787</v>
      </c>
      <c r="T17" s="6">
        <f t="shared" si="30"/>
        <v>4116288011.9761362</v>
      </c>
      <c r="U17" s="6">
        <f t="shared" si="30"/>
        <v>4343362942.7762384</v>
      </c>
      <c r="V17" s="6">
        <f t="shared" si="30"/>
        <v>4571884369.1515884</v>
      </c>
      <c r="W17" s="6">
        <f t="shared" si="30"/>
        <v>4806437944.2581062</v>
      </c>
      <c r="X17" s="6">
        <f t="shared" si="30"/>
        <v>5047164561.2511053</v>
      </c>
      <c r="Y17" s="6">
        <f t="shared" si="30"/>
        <v>5294207778.2391138</v>
      </c>
      <c r="Z17" s="6">
        <f t="shared" si="30"/>
        <v>5700080576.3163815</v>
      </c>
      <c r="AA17" s="6">
        <f t="shared" si="30"/>
        <v>6116722970.6683311</v>
      </c>
      <c r="AB17" s="6">
        <f t="shared" si="30"/>
        <v>6544388598.6612864</v>
      </c>
      <c r="AC17" s="6">
        <f t="shared" si="30"/>
        <v>6983335985.6661415</v>
      </c>
      <c r="AD17" s="6">
        <f t="shared" si="30"/>
        <v>7433828595.6040297</v>
      </c>
      <c r="AE17" s="6">
        <f t="shared" si="30"/>
        <v>7896134879.8123274</v>
      </c>
      <c r="AF17" s="6">
        <f t="shared" si="30"/>
        <v>8370528324.078414</v>
      </c>
      <c r="AG17" s="6">
        <f t="shared" ref="AG17:AP17" si="31">AG16+AF18</f>
        <v>8857287493.6808987</v>
      </c>
      <c r="AH17" s="6">
        <f t="shared" si="31"/>
        <v>9356696076.2698975</v>
      </c>
      <c r="AI17" s="6">
        <f t="shared" si="31"/>
        <v>9869042922.4095669</v>
      </c>
      <c r="AJ17" s="6">
        <f t="shared" si="31"/>
        <v>9862386560.5422268</v>
      </c>
      <c r="AK17" s="6">
        <f t="shared" si="31"/>
        <v>9854938892.6411438</v>
      </c>
      <c r="AL17" s="6">
        <f t="shared" si="31"/>
        <v>9846659353.100708</v>
      </c>
      <c r="AM17" s="6">
        <f t="shared" si="31"/>
        <v>9837505680.7783432</v>
      </c>
      <c r="AN17" s="6">
        <f t="shared" si="31"/>
        <v>9827433854.5171776</v>
      </c>
      <c r="AO17" s="6">
        <f t="shared" si="31"/>
        <v>9816398026.3472862</v>
      </c>
      <c r="AP17" s="6">
        <f t="shared" si="31"/>
        <v>9804350452.2848167</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2106673706.30722</v>
      </c>
      <c r="G18" s="6">
        <f t="shared" ref="G18:AF18" si="32">G17-G6-G7</f>
        <v>2203260613.3014731</v>
      </c>
      <c r="H18" s="6">
        <f t="shared" si="32"/>
        <v>2297339614.7893314</v>
      </c>
      <c r="I18" s="6">
        <f t="shared" si="32"/>
        <v>2388949650.0857563</v>
      </c>
      <c r="J18" s="6">
        <f t="shared" si="32"/>
        <v>2478127254.8180628</v>
      </c>
      <c r="K18" s="6">
        <f t="shared" si="32"/>
        <v>2564906573.8549194</v>
      </c>
      <c r="L18" s="6">
        <f t="shared" si="32"/>
        <v>2649319372.0312371</v>
      </c>
      <c r="M18" s="6">
        <f t="shared" si="32"/>
        <v>2733671404.1426358</v>
      </c>
      <c r="N18" s="6">
        <f t="shared" si="32"/>
        <v>2817940197.313406</v>
      </c>
      <c r="O18" s="6">
        <f t="shared" si="32"/>
        <v>2902102201.3137383</v>
      </c>
      <c r="P18" s="6">
        <f t="shared" si="32"/>
        <v>3114736720.9153562</v>
      </c>
      <c r="Q18" s="6">
        <f t="shared" si="32"/>
        <v>3327292128.3668799</v>
      </c>
      <c r="R18" s="6">
        <f t="shared" si="32"/>
        <v>3541130294.5577211</v>
      </c>
      <c r="S18" s="6">
        <f t="shared" si="32"/>
        <v>3756214202.3775134</v>
      </c>
      <c r="T18" s="6">
        <f t="shared" si="32"/>
        <v>3972504372.0278025</v>
      </c>
      <c r="U18" s="6">
        <f t="shared" si="32"/>
        <v>4189958759.9680734</v>
      </c>
      <c r="V18" s="6">
        <f t="shared" si="32"/>
        <v>4408532654.2977791</v>
      </c>
      <c r="W18" s="6">
        <f t="shared" si="32"/>
        <v>4632693692.1437416</v>
      </c>
      <c r="X18" s="6">
        <f t="shared" si="32"/>
        <v>4862565411.1348391</v>
      </c>
      <c r="Y18" s="6">
        <f t="shared" si="32"/>
        <v>5098273384.1755543</v>
      </c>
      <c r="Z18" s="6">
        <f t="shared" si="32"/>
        <v>5488738238.7573061</v>
      </c>
      <c r="AA18" s="6">
        <f t="shared" si="32"/>
        <v>5889249224.5937252</v>
      </c>
      <c r="AB18" s="6">
        <f t="shared" si="32"/>
        <v>6300031139.9690113</v>
      </c>
      <c r="AC18" s="6">
        <f t="shared" si="32"/>
        <v>6721312611.902072</v>
      </c>
      <c r="AD18" s="6">
        <f t="shared" si="32"/>
        <v>7153326109.6587687</v>
      </c>
      <c r="AE18" s="6">
        <f t="shared" si="32"/>
        <v>7596307955.331975</v>
      </c>
      <c r="AF18" s="6">
        <f t="shared" si="32"/>
        <v>8050498331.295517</v>
      </c>
      <c r="AG18" s="6">
        <f t="shared" ref="AG18:AP18" si="33">AG17-AG6-AG7</f>
        <v>8516141284.3289881</v>
      </c>
      <c r="AH18" s="6">
        <f t="shared" si="33"/>
        <v>8993484726.2009411</v>
      </c>
      <c r="AI18" s="6">
        <f t="shared" si="33"/>
        <v>9482780430.4881649</v>
      </c>
      <c r="AJ18" s="6">
        <f t="shared" si="33"/>
        <v>9464536193.8631821</v>
      </c>
      <c r="AK18" s="6">
        <f t="shared" si="33"/>
        <v>9445153014.9617271</v>
      </c>
      <c r="AL18" s="6">
        <f t="shared" si="33"/>
        <v>9424579899.09091</v>
      </c>
      <c r="AM18" s="6">
        <f t="shared" si="33"/>
        <v>9402763843.1482506</v>
      </c>
      <c r="AN18" s="6">
        <f t="shared" si="33"/>
        <v>9379649761.7581825</v>
      </c>
      <c r="AO18" s="6">
        <f t="shared" si="33"/>
        <v>9355180410.8055229</v>
      </c>
      <c r="AP18" s="6">
        <f t="shared" si="33"/>
        <v>9329296308.2768002</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473485725.05129093</v>
      </c>
      <c r="G20" s="6">
        <f ca="1">'Balance Sheet'!F9</f>
        <v>542082694.13790762</v>
      </c>
      <c r="H20" s="6">
        <f ca="1">'Balance Sheet'!G9</f>
        <v>602028673.20894337</v>
      </c>
      <c r="I20" s="6">
        <f ca="1">'Balance Sheet'!H9</f>
        <v>654539995.22467351</v>
      </c>
      <c r="J20" s="6">
        <f ca="1">'Balance Sheet'!I9</f>
        <v>701253660.65402925</v>
      </c>
      <c r="K20" s="6">
        <f ca="1">'Balance Sheet'!J9</f>
        <v>742267741.78067482</v>
      </c>
      <c r="L20" s="6">
        <f ca="1">'Balance Sheet'!K9</f>
        <v>776398903.56524849</v>
      </c>
      <c r="M20" s="6">
        <f ca="1">'Balance Sheet'!L9</f>
        <v>810229953.60172689</v>
      </c>
      <c r="N20" s="6">
        <f ca="1">'Balance Sheet'!M9</f>
        <v>843582908.81899071</v>
      </c>
      <c r="O20" s="6">
        <f ca="1">'Balance Sheet'!N9</f>
        <v>876267409.71068406</v>
      </c>
      <c r="P20" s="6">
        <f ca="1">'Balance Sheet'!O9</f>
        <v>1022519627.2008361</v>
      </c>
      <c r="Q20" s="6">
        <f ca="1">'Balance Sheet'!P9</f>
        <v>1154663340.6814661</v>
      </c>
      <c r="R20" s="6">
        <f ca="1">'Balance Sheet'!Q9</f>
        <v>1276800103.8015099</v>
      </c>
      <c r="S20" s="6">
        <f ca="1">'Balance Sheet'!R9</f>
        <v>1388332114.9606512</v>
      </c>
      <c r="T20" s="6">
        <f ca="1">'Balance Sheet'!S9</f>
        <v>1493267716.9147973</v>
      </c>
      <c r="U20" s="6">
        <f ca="1">'Balance Sheet'!T9</f>
        <v>1589989961.737524</v>
      </c>
      <c r="V20" s="6">
        <f ca="1">'Balance Sheet'!U9</f>
        <v>1681615812.3516746</v>
      </c>
      <c r="W20" s="6">
        <f ca="1">'Balance Sheet'!V9</f>
        <v>1773607192.6872211</v>
      </c>
      <c r="X20" s="6">
        <f ca="1">'Balance Sheet'!W9</f>
        <v>1868144786.9941058</v>
      </c>
      <c r="Y20" s="6">
        <f ca="1">'Balance Sheet'!X9</f>
        <v>1965024182.7309177</v>
      </c>
      <c r="Z20" s="6">
        <f ca="1">'Balance Sheet'!Y9</f>
        <v>2192070533.1896796</v>
      </c>
      <c r="AA20" s="6">
        <f ca="1">'Balance Sheet'!Z9</f>
        <v>2408667325.4461451</v>
      </c>
      <c r="AB20" s="6">
        <f ca="1">'Balance Sheet'!AA9</f>
        <v>2614360005.2370362</v>
      </c>
      <c r="AC20" s="6">
        <f ca="1">'Balance Sheet'!AB9</f>
        <v>2812996128.343945</v>
      </c>
      <c r="AD20" s="6">
        <f ca="1">'Balance Sheet'!AC9</f>
        <v>3009965268.5253453</v>
      </c>
      <c r="AE20" s="6">
        <f ca="1">'Balance Sheet'!AD9</f>
        <v>3203577147.8333626</v>
      </c>
      <c r="AF20" s="6">
        <f ca="1">'Balance Sheet'!AE9</f>
        <v>3396525920.4871755</v>
      </c>
      <c r="AG20" s="6">
        <f ca="1">'Balance Sheet'!AF9</f>
        <v>3597122611.9104357</v>
      </c>
      <c r="AH20" s="6">
        <f ca="1">'Balance Sheet'!AG9</f>
        <v>3810292569.6093969</v>
      </c>
      <c r="AI20" s="6">
        <f ca="1">'Balance Sheet'!AH9</f>
        <v>4036504650.8956199</v>
      </c>
      <c r="AJ20" s="6">
        <f ca="1">'Balance Sheet'!AI9</f>
        <v>3748799712.8045816</v>
      </c>
      <c r="AK20" s="6">
        <f ca="1">'Balance Sheet'!AJ9</f>
        <v>3453621826.5710187</v>
      </c>
      <c r="AL20" s="6">
        <f ca="1">'Balance Sheet'!AK9</f>
        <v>3150975808.3750935</v>
      </c>
      <c r="AM20" s="6">
        <f ca="1">'Balance Sheet'!AL9</f>
        <v>2840878089.5683627</v>
      </c>
      <c r="AN20" s="6">
        <f ca="1">'Balance Sheet'!AM9</f>
        <v>2523357576.6167431</v>
      </c>
      <c r="AO20" s="6">
        <f ca="1">'Balance Sheet'!AN9</f>
        <v>2198456559.3586869</v>
      </c>
      <c r="AP20" s="6">
        <f ca="1">'Balance Sheet'!AO9</f>
        <v>1866231670.0233676</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1633187981.255929</v>
      </c>
      <c r="G21" s="6">
        <f t="shared" ref="G21:AF21" ca="1" si="34">G18-G20</f>
        <v>1661177919.1635656</v>
      </c>
      <c r="H21" s="6">
        <f t="shared" ca="1" si="34"/>
        <v>1695310941.5803881</v>
      </c>
      <c r="I21" s="6">
        <f t="shared" ca="1" si="34"/>
        <v>1734409654.8610828</v>
      </c>
      <c r="J21" s="6">
        <f ca="1">J18-J20</f>
        <v>1776873594.1640334</v>
      </c>
      <c r="K21" s="6">
        <f t="shared" ca="1" si="34"/>
        <v>1822638832.0742445</v>
      </c>
      <c r="L21" s="6">
        <f t="shared" ca="1" si="34"/>
        <v>1872920468.4659886</v>
      </c>
      <c r="M21" s="6">
        <f t="shared" ca="1" si="34"/>
        <v>1923441450.5409088</v>
      </c>
      <c r="N21" s="6">
        <f t="shared" ca="1" si="34"/>
        <v>1974357288.4944153</v>
      </c>
      <c r="O21" s="6">
        <f t="shared" ca="1" si="34"/>
        <v>2025834791.6030543</v>
      </c>
      <c r="P21" s="6">
        <f t="shared" ca="1" si="34"/>
        <v>2092217093.71452</v>
      </c>
      <c r="Q21" s="6">
        <f t="shared" ca="1" si="34"/>
        <v>2172628787.6854138</v>
      </c>
      <c r="R21" s="6">
        <f t="shared" ca="1" si="34"/>
        <v>2264330190.7562113</v>
      </c>
      <c r="S21" s="6">
        <f t="shared" ca="1" si="34"/>
        <v>2367882087.4168625</v>
      </c>
      <c r="T21" s="6">
        <f t="shared" ca="1" si="34"/>
        <v>2479236655.1130052</v>
      </c>
      <c r="U21" s="6">
        <f t="shared" ca="1" si="34"/>
        <v>2599968798.2305493</v>
      </c>
      <c r="V21" s="6">
        <f t="shared" ca="1" si="34"/>
        <v>2726916841.9461045</v>
      </c>
      <c r="W21" s="6">
        <f t="shared" ca="1" si="34"/>
        <v>2859086499.4565206</v>
      </c>
      <c r="X21" s="6">
        <f t="shared" ca="1" si="34"/>
        <v>2994420624.1407332</v>
      </c>
      <c r="Y21" s="6">
        <f t="shared" ca="1" si="34"/>
        <v>3133249201.4446363</v>
      </c>
      <c r="Z21" s="6">
        <f t="shared" ca="1" si="34"/>
        <v>3296667705.5676265</v>
      </c>
      <c r="AA21" s="6">
        <f t="shared" ca="1" si="34"/>
        <v>3480581899.1475801</v>
      </c>
      <c r="AB21" s="6">
        <f t="shared" ca="1" si="34"/>
        <v>3685671134.7319751</v>
      </c>
      <c r="AC21" s="6">
        <f t="shared" ca="1" si="34"/>
        <v>3908316483.5581269</v>
      </c>
      <c r="AD21" s="6">
        <f t="shared" ca="1" si="34"/>
        <v>4143360841.1334233</v>
      </c>
      <c r="AE21" s="6">
        <f t="shared" ca="1" si="34"/>
        <v>4392730807.4986124</v>
      </c>
      <c r="AF21" s="6">
        <f t="shared" ca="1" si="34"/>
        <v>4653972410.808342</v>
      </c>
      <c r="AG21" s="6">
        <f t="shared" ref="AG21:AP21" ca="1" si="35">AG18-AG20</f>
        <v>4919018672.4185524</v>
      </c>
      <c r="AH21" s="6">
        <f t="shared" ca="1" si="35"/>
        <v>5183192156.5915442</v>
      </c>
      <c r="AI21" s="6">
        <f t="shared" ca="1" si="35"/>
        <v>5446275779.5925446</v>
      </c>
      <c r="AJ21" s="6">
        <f t="shared" ca="1" si="35"/>
        <v>5715736481.0586004</v>
      </c>
      <c r="AK21" s="6">
        <f t="shared" ca="1" si="35"/>
        <v>5991531188.3907089</v>
      </c>
      <c r="AL21" s="6">
        <f t="shared" ca="1" si="35"/>
        <v>6273604090.7158165</v>
      </c>
      <c r="AM21" s="6">
        <f t="shared" ca="1" si="35"/>
        <v>6561885753.5798874</v>
      </c>
      <c r="AN21" s="6">
        <f t="shared" ca="1" si="35"/>
        <v>6856292185.1414394</v>
      </c>
      <c r="AO21" s="6">
        <f t="shared" ca="1" si="35"/>
        <v>7156723851.4468365</v>
      </c>
      <c r="AP21" s="6">
        <f t="shared" ca="1" si="35"/>
        <v>7463064638.2534323</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335331769.43883318</v>
      </c>
      <c r="G3" s="306">
        <f t="shared" ca="1" si="1"/>
        <v>473485725.05129093</v>
      </c>
      <c r="H3" s="306">
        <f t="shared" ca="1" si="1"/>
        <v>542082694.13790762</v>
      </c>
      <c r="I3" s="306">
        <f t="shared" ca="1" si="1"/>
        <v>602028673.20894337</v>
      </c>
      <c r="J3" s="306">
        <f t="shared" ca="1" si="1"/>
        <v>654539995.22467351</v>
      </c>
      <c r="K3" s="306">
        <f t="shared" ca="1" si="1"/>
        <v>701253660.65402925</v>
      </c>
      <c r="L3" s="306">
        <f t="shared" ca="1" si="1"/>
        <v>742267741.78067482</v>
      </c>
      <c r="M3" s="306">
        <f t="shared" ca="1" si="1"/>
        <v>776398903.56524849</v>
      </c>
      <c r="N3" s="306">
        <f t="shared" ca="1" si="1"/>
        <v>810229953.60172689</v>
      </c>
      <c r="O3" s="306">
        <f t="shared" ca="1" si="1"/>
        <v>843582908.81899071</v>
      </c>
      <c r="P3" s="306">
        <f t="shared" ca="1" si="1"/>
        <v>876267409.71068406</v>
      </c>
      <c r="Q3" s="306">
        <f t="shared" ca="1" si="1"/>
        <v>1022519627.2008361</v>
      </c>
      <c r="R3" s="306">
        <f t="shared" ca="1" si="1"/>
        <v>1154663340.6814661</v>
      </c>
      <c r="S3" s="306">
        <f t="shared" ca="1" si="1"/>
        <v>1276800103.8015099</v>
      </c>
      <c r="T3" s="306">
        <f t="shared" ca="1" si="1"/>
        <v>1388332114.9606512</v>
      </c>
      <c r="U3" s="306">
        <f t="shared" ca="1" si="1"/>
        <v>1493267716.9147973</v>
      </c>
      <c r="V3" s="306">
        <f t="shared" ca="1" si="1"/>
        <v>1589989961.737524</v>
      </c>
      <c r="W3" s="306">
        <f t="shared" ca="1" si="1"/>
        <v>1681615812.3516746</v>
      </c>
      <c r="X3" s="306">
        <f t="shared" ca="1" si="1"/>
        <v>1773607192.6872211</v>
      </c>
      <c r="Y3" s="306">
        <f t="shared" ca="1" si="1"/>
        <v>1868144786.9941058</v>
      </c>
      <c r="Z3" s="306">
        <f t="shared" ca="1" si="1"/>
        <v>1965024182.7309177</v>
      </c>
      <c r="AA3" s="306">
        <f t="shared" ca="1" si="1"/>
        <v>2192070533.1896796</v>
      </c>
      <c r="AB3" s="306">
        <f t="shared" ca="1" si="1"/>
        <v>2408667325.4461451</v>
      </c>
      <c r="AC3" s="306">
        <f t="shared" ca="1" si="1"/>
        <v>2614360005.2370362</v>
      </c>
      <c r="AD3" s="306">
        <f t="shared" ca="1" si="1"/>
        <v>2812996128.343945</v>
      </c>
      <c r="AE3" s="306">
        <f t="shared" ca="1" si="1"/>
        <v>3009965268.5253453</v>
      </c>
      <c r="AF3" s="306">
        <f t="shared" ca="1" si="1"/>
        <v>3203577147.8333626</v>
      </c>
      <c r="AG3" s="306">
        <f t="shared" ca="1" si="1"/>
        <v>3396525920.4871755</v>
      </c>
      <c r="AH3" s="306">
        <f t="shared" ca="1" si="1"/>
        <v>3597122611.9104357</v>
      </c>
      <c r="AI3" s="306">
        <f t="shared" ca="1" si="1"/>
        <v>3810292569.6093969</v>
      </c>
      <c r="AJ3" s="306">
        <f t="shared" ca="1" si="1"/>
        <v>4036504650.8956199</v>
      </c>
      <c r="AK3" s="306">
        <f t="shared" ca="1" si="1"/>
        <v>3748799712.8045816</v>
      </c>
      <c r="AL3" s="306">
        <f t="shared" ca="1" si="1"/>
        <v>3453621826.5710187</v>
      </c>
      <c r="AM3" s="306">
        <f t="shared" ca="1" si="1"/>
        <v>3150975808.3750935</v>
      </c>
      <c r="AN3" s="306">
        <f t="shared" ca="1" si="1"/>
        <v>2840878089.5683627</v>
      </c>
      <c r="AO3" s="306">
        <f t="shared" ca="1" si="1"/>
        <v>2523357576.6167431</v>
      </c>
      <c r="AP3" s="306">
        <f t="shared" ca="1" si="1"/>
        <v>2198456559.3586869</v>
      </c>
    </row>
    <row r="4" spans="1:42" x14ac:dyDescent="0.35">
      <c r="A4" s="303" t="s">
        <v>436</v>
      </c>
      <c r="C4" s="305"/>
      <c r="D4" s="305"/>
      <c r="E4" s="305"/>
      <c r="F4" s="306">
        <f>+Assumptions!F80</f>
        <v>65444395.959891394</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-2181479.8653297131</v>
      </c>
      <c r="G6" s="306">
        <f>-'Cash Flow'!G7</f>
        <v>-2181479.8653297131</v>
      </c>
      <c r="H6" s="306">
        <f>-'Cash Flow'!H7</f>
        <v>-2181479.8653297131</v>
      </c>
      <c r="I6" s="306">
        <f>-'Cash Flow'!I7</f>
        <v>-2181479.8653297131</v>
      </c>
      <c r="J6" s="306">
        <f>-'Cash Flow'!J7</f>
        <v>-2181479.8653297131</v>
      </c>
      <c r="K6" s="306">
        <f>-'Cash Flow'!K7</f>
        <v>-2181479.8653297131</v>
      </c>
      <c r="L6" s="306">
        <f>-'Cash Flow'!L7</f>
        <v>-2181479.8653297131</v>
      </c>
      <c r="M6" s="306">
        <f>-'Cash Flow'!M7</f>
        <v>-2181479.8653297131</v>
      </c>
      <c r="N6" s="306">
        <f>-'Cash Flow'!N7</f>
        <v>-2181479.8653297131</v>
      </c>
      <c r="O6" s="306">
        <f>-'Cash Flow'!O7</f>
        <v>-2181479.8653297131</v>
      </c>
      <c r="P6" s="306">
        <f>-'Cash Flow'!P7</f>
        <v>-2181479.8653297131</v>
      </c>
      <c r="Q6" s="306">
        <f>-'Cash Flow'!Q7</f>
        <v>-2181479.8653297131</v>
      </c>
      <c r="R6" s="306">
        <f>-'Cash Flow'!R7</f>
        <v>-2181479.8653297131</v>
      </c>
      <c r="S6" s="306">
        <f>-'Cash Flow'!S7</f>
        <v>-2181479.8653297131</v>
      </c>
      <c r="T6" s="306">
        <f>-'Cash Flow'!T7</f>
        <v>-2181479.8653297131</v>
      </c>
      <c r="U6" s="306">
        <f>-'Cash Flow'!U7</f>
        <v>-2181479.8653297131</v>
      </c>
      <c r="V6" s="306">
        <f>-'Cash Flow'!V7</f>
        <v>-2181479.8653297131</v>
      </c>
      <c r="W6" s="306">
        <f>-'Cash Flow'!W7</f>
        <v>-2181479.8653297131</v>
      </c>
      <c r="X6" s="306">
        <f>-'Cash Flow'!X7</f>
        <v>-2181479.8653297131</v>
      </c>
      <c r="Y6" s="306">
        <f>-'Cash Flow'!Y7</f>
        <v>-2181479.8653297131</v>
      </c>
      <c r="Z6" s="306">
        <f>-'Cash Flow'!Z7</f>
        <v>-2181479.8653297131</v>
      </c>
      <c r="AA6" s="306">
        <f>-'Cash Flow'!AA7</f>
        <v>-2181479.8653297131</v>
      </c>
      <c r="AB6" s="306">
        <f>-'Cash Flow'!AB7</f>
        <v>-2181479.8653297131</v>
      </c>
      <c r="AC6" s="306">
        <f>-'Cash Flow'!AC7</f>
        <v>-2181479.8653297131</v>
      </c>
      <c r="AD6" s="306">
        <f>-'Cash Flow'!AD7</f>
        <v>-2181479.8653297131</v>
      </c>
      <c r="AE6" s="306">
        <f>-'Cash Flow'!AE7</f>
        <v>-2181479.8653297131</v>
      </c>
      <c r="AF6" s="306">
        <f>-'Cash Flow'!AF7</f>
        <v>-2181479.8653297131</v>
      </c>
      <c r="AG6" s="306">
        <f>-'Cash Flow'!AG7</f>
        <v>-2181479.8653297131</v>
      </c>
      <c r="AH6" s="306">
        <f>-'Cash Flow'!AH7</f>
        <v>-2181479.8653297131</v>
      </c>
      <c r="AI6" s="306">
        <f>-'Cash Flow'!AI7</f>
        <v>-2181479.8653297131</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74891039.517896116</v>
      </c>
      <c r="G7" s="306">
        <f ca="1">-'Cash Flow'!G11</f>
        <v>70778448.951946437</v>
      </c>
      <c r="H7" s="306">
        <f ca="1">-'Cash Flow'!H11</f>
        <v>62127458.936365485</v>
      </c>
      <c r="I7" s="306">
        <f ca="1">-'Cash Flow'!I11</f>
        <v>54692801.881059885</v>
      </c>
      <c r="J7" s="306">
        <f ca="1">-'Cash Flow'!J11</f>
        <v>48895145.294685483</v>
      </c>
      <c r="K7" s="306">
        <f ca="1">-'Cash Flow'!K11</f>
        <v>43195560.991975352</v>
      </c>
      <c r="L7" s="306">
        <f ca="1">-'Cash Flow'!L11</f>
        <v>36312641.649903476</v>
      </c>
      <c r="M7" s="306">
        <f ca="1">-'Cash Flow'!M11</f>
        <v>36012529.901808143</v>
      </c>
      <c r="N7" s="306">
        <f ca="1">-'Cash Flow'!N11</f>
        <v>35534435.08259356</v>
      </c>
      <c r="O7" s="306">
        <f ca="1">-'Cash Flow'!O11</f>
        <v>34865980.757023036</v>
      </c>
      <c r="P7" s="306">
        <f ca="1">-'Cash Flow'!P11</f>
        <v>148433697.35548174</v>
      </c>
      <c r="Q7" s="306">
        <f ca="1">-'Cash Flow'!Q11</f>
        <v>134325193.34595987</v>
      </c>
      <c r="R7" s="306">
        <f ca="1">-'Cash Flow'!R11</f>
        <v>124318242.98537356</v>
      </c>
      <c r="S7" s="306">
        <f ca="1">-'Cash Flow'!S11</f>
        <v>113713491.02447096</v>
      </c>
      <c r="T7" s="306">
        <f ca="1">-'Cash Flow'!T11</f>
        <v>107117081.81947598</v>
      </c>
      <c r="U7" s="306">
        <f ca="1">-'Cash Flow'!U11</f>
        <v>98903724.68805635</v>
      </c>
      <c r="V7" s="306">
        <f ca="1">-'Cash Flow'!V11</f>
        <v>93807330.479480147</v>
      </c>
      <c r="W7" s="306">
        <f ca="1">-'Cash Flow'!W11</f>
        <v>94172860.200876355</v>
      </c>
      <c r="X7" s="306">
        <f ca="1">-'Cash Flow'!X11</f>
        <v>96719074.172214389</v>
      </c>
      <c r="Y7" s="306">
        <f ca="1">-'Cash Flow'!Y11</f>
        <v>99060875.602141619</v>
      </c>
      <c r="Z7" s="306">
        <f ca="1">-'Cash Flow'!Z11</f>
        <v>229227830.32409179</v>
      </c>
      <c r="AA7" s="306">
        <f ca="1">-'Cash Flow'!AA11</f>
        <v>218778272.1217953</v>
      </c>
      <c r="AB7" s="306">
        <f ca="1">-'Cash Flow'!AB11</f>
        <v>207874159.65622103</v>
      </c>
      <c r="AC7" s="306">
        <f ca="1">-'Cash Flow'!AC11</f>
        <v>200817602.97223842</v>
      </c>
      <c r="AD7" s="306">
        <f ca="1">-'Cash Flow'!AD11</f>
        <v>199150620.04672992</v>
      </c>
      <c r="AE7" s="306">
        <f ca="1">-'Cash Flow'!AE11</f>
        <v>195793359.17334712</v>
      </c>
      <c r="AF7" s="306">
        <f ca="1">-'Cash Flow'!AF11</f>
        <v>195130252.51914275</v>
      </c>
      <c r="AG7" s="306">
        <f ca="1">-'Cash Flow'!AG11</f>
        <v>202778171.28858995</v>
      </c>
      <c r="AH7" s="306">
        <f ca="1">-'Cash Flow'!AH11</f>
        <v>215351437.56429124</v>
      </c>
      <c r="AI7" s="306">
        <f ca="1">-'Cash Flow'!AI11</f>
        <v>228393561.1515528</v>
      </c>
      <c r="AJ7" s="306">
        <f ca="1">-'Cash Flow'!AJ11</f>
        <v>-287704938.09103811</v>
      </c>
      <c r="AK7" s="306">
        <f ca="1">-'Cash Flow'!AK11</f>
        <v>-295177886.23356307</v>
      </c>
      <c r="AL7" s="306">
        <f ca="1">-'Cash Flow'!AL11</f>
        <v>-302646018.19592535</v>
      </c>
      <c r="AM7" s="306">
        <f ca="1">-'Cash Flow'!AM11</f>
        <v>-310097718.80673063</v>
      </c>
      <c r="AN7" s="306">
        <f ca="1">-'Cash Flow'!AN11</f>
        <v>-317520512.95161945</v>
      </c>
      <c r="AO7" s="306">
        <f ca="1">-'Cash Flow'!AO11</f>
        <v>-324901017.2580561</v>
      </c>
      <c r="AP7" s="306">
        <f ca="1">-'Cash Flow'!AP11</f>
        <v>-332224889.33531922</v>
      </c>
    </row>
    <row r="8" spans="1:42" x14ac:dyDescent="0.35">
      <c r="A8" s="303" t="s">
        <v>375</v>
      </c>
      <c r="C8" s="305"/>
      <c r="D8" s="305"/>
      <c r="E8" s="306">
        <f>Assumptions!E39</f>
        <v>335331769.43883318</v>
      </c>
      <c r="F8" s="306">
        <f ca="1">F3+F4+F6+F7</f>
        <v>473485725.05129093</v>
      </c>
      <c r="G8" s="306">
        <f t="shared" ref="G8:AP8" ca="1" si="2">G3+G4+G6+G7</f>
        <v>542082694.13790762</v>
      </c>
      <c r="H8" s="306">
        <f t="shared" ca="1" si="2"/>
        <v>602028673.20894337</v>
      </c>
      <c r="I8" s="306">
        <f t="shared" ca="1" si="2"/>
        <v>654539995.22467351</v>
      </c>
      <c r="J8" s="306">
        <f t="shared" ca="1" si="2"/>
        <v>701253660.65402925</v>
      </c>
      <c r="K8" s="306">
        <f t="shared" ca="1" si="2"/>
        <v>742267741.78067482</v>
      </c>
      <c r="L8" s="306">
        <f t="shared" ca="1" si="2"/>
        <v>776398903.56524849</v>
      </c>
      <c r="M8" s="306">
        <f t="shared" ca="1" si="2"/>
        <v>810229953.60172689</v>
      </c>
      <c r="N8" s="306">
        <f t="shared" ca="1" si="2"/>
        <v>843582908.81899071</v>
      </c>
      <c r="O8" s="306">
        <f t="shared" ca="1" si="2"/>
        <v>876267409.71068406</v>
      </c>
      <c r="P8" s="306">
        <f t="shared" ca="1" si="2"/>
        <v>1022519627.2008361</v>
      </c>
      <c r="Q8" s="306">
        <f t="shared" ca="1" si="2"/>
        <v>1154663340.6814661</v>
      </c>
      <c r="R8" s="306">
        <f t="shared" ca="1" si="2"/>
        <v>1276800103.8015099</v>
      </c>
      <c r="S8" s="306">
        <f t="shared" ca="1" si="2"/>
        <v>1388332114.9606512</v>
      </c>
      <c r="T8" s="306">
        <f t="shared" ca="1" si="2"/>
        <v>1493267716.9147973</v>
      </c>
      <c r="U8" s="306">
        <f t="shared" ca="1" si="2"/>
        <v>1589989961.737524</v>
      </c>
      <c r="V8" s="306">
        <f t="shared" ca="1" si="2"/>
        <v>1681615812.3516746</v>
      </c>
      <c r="W8" s="306">
        <f t="shared" ca="1" si="2"/>
        <v>1773607192.6872211</v>
      </c>
      <c r="X8" s="306">
        <f t="shared" ca="1" si="2"/>
        <v>1868144786.9941058</v>
      </c>
      <c r="Y8" s="306">
        <f t="shared" ca="1" si="2"/>
        <v>1965024182.7309177</v>
      </c>
      <c r="Z8" s="306">
        <f t="shared" ca="1" si="2"/>
        <v>2192070533.1896796</v>
      </c>
      <c r="AA8" s="306">
        <f t="shared" ca="1" si="2"/>
        <v>2408667325.4461451</v>
      </c>
      <c r="AB8" s="306">
        <f t="shared" ca="1" si="2"/>
        <v>2614360005.2370362</v>
      </c>
      <c r="AC8" s="306">
        <f t="shared" ca="1" si="2"/>
        <v>2812996128.343945</v>
      </c>
      <c r="AD8" s="306">
        <f t="shared" ca="1" si="2"/>
        <v>3009965268.5253453</v>
      </c>
      <c r="AE8" s="306">
        <f t="shared" ca="1" si="2"/>
        <v>3203577147.8333626</v>
      </c>
      <c r="AF8" s="306">
        <f t="shared" ca="1" si="2"/>
        <v>3396525920.4871755</v>
      </c>
      <c r="AG8" s="306">
        <f t="shared" ca="1" si="2"/>
        <v>3597122611.9104357</v>
      </c>
      <c r="AH8" s="306">
        <f t="shared" ca="1" si="2"/>
        <v>3810292569.6093969</v>
      </c>
      <c r="AI8" s="306">
        <f t="shared" ca="1" si="2"/>
        <v>4036504650.8956199</v>
      </c>
      <c r="AJ8" s="306">
        <f t="shared" ca="1" si="2"/>
        <v>3748799712.8045816</v>
      </c>
      <c r="AK8" s="306">
        <f t="shared" ca="1" si="2"/>
        <v>3453621826.5710187</v>
      </c>
      <c r="AL8" s="306">
        <f t="shared" ca="1" si="2"/>
        <v>3150975808.3750935</v>
      </c>
      <c r="AM8" s="306">
        <f t="shared" ca="1" si="2"/>
        <v>2840878089.5683627</v>
      </c>
      <c r="AN8" s="306">
        <f t="shared" ca="1" si="2"/>
        <v>2523357576.6167431</v>
      </c>
      <c r="AO8" s="306">
        <f t="shared" ca="1" si="2"/>
        <v>2198456559.3586869</v>
      </c>
      <c r="AP8" s="306">
        <f t="shared" ca="1" si="2"/>
        <v>1866231670.0233676</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22131896.782962989</v>
      </c>
      <c r="F10" s="314">
        <f ca="1">E10+(F7*Assumptions!F105)</f>
        <v>26999814.351626236</v>
      </c>
      <c r="G10" s="314">
        <f ca="1">F10+(G7*Assumptions!G105)</f>
        <v>31458856.635598861</v>
      </c>
      <c r="H10" s="314">
        <f ca="1">G10+(H7*Assumptions!H105)</f>
        <v>35186504.171780787</v>
      </c>
      <c r="I10" s="314">
        <f ca="1">H10+(I7*Assumptions!I105)</f>
        <v>37538294.65266636</v>
      </c>
      <c r="J10" s="314">
        <f ca="1">I10+(J7*Assumptions!J105)</f>
        <v>39640785.900337838</v>
      </c>
      <c r="K10" s="314">
        <f ca="1">J10+(K7*Assumptions!K105)</f>
        <v>41498195.022992775</v>
      </c>
      <c r="L10" s="314">
        <f ca="1">K10+(L7*Assumptions!L105)</f>
        <v>43059638.613938622</v>
      </c>
      <c r="M10" s="314">
        <f ca="1">L10+(M7*Assumptions!M105)</f>
        <v>44608177.39971637</v>
      </c>
      <c r="N10" s="314">
        <f ca="1">M10+(N7*Assumptions!N105)</f>
        <v>46136158.108267896</v>
      </c>
      <c r="O10" s="314">
        <f ca="1">N10+(O7*Assumptions!O105)</f>
        <v>47635395.280819885</v>
      </c>
      <c r="P10" s="314">
        <f ca="1">O10+(P7*Assumptions!P105)</f>
        <v>54018044.267105602</v>
      </c>
      <c r="Q10" s="314">
        <f ca="1">P10+(Q7*Assumptions!Q105)</f>
        <v>59794027.580981873</v>
      </c>
      <c r="R10" s="314">
        <f ca="1">Q10+(R7*Assumptions!R105)</f>
        <v>65139712.029352933</v>
      </c>
      <c r="S10" s="314">
        <f ca="1">R10+(S7*Assumptions!S105)</f>
        <v>70029392.143405184</v>
      </c>
      <c r="T10" s="314">
        <f ca="1">S10+(T7*Assumptions!T105)</f>
        <v>74635426.661642656</v>
      </c>
      <c r="U10" s="314">
        <f ca="1">T10+(U7*Assumptions!U105)</f>
        <v>78888286.823229074</v>
      </c>
      <c r="V10" s="314">
        <f ca="1">U10+(V7*Assumptions!V105)</f>
        <v>82922002.033846721</v>
      </c>
      <c r="W10" s="314">
        <f ca="1">V10+(W7*Assumptions!W105)</f>
        <v>86971435.022484407</v>
      </c>
      <c r="X10" s="314">
        <f ca="1">W10+(X7*Assumptions!X105)</f>
        <v>91130355.211889625</v>
      </c>
      <c r="Y10" s="314">
        <f ca="1">X10+(Y7*Assumptions!Y105)</f>
        <v>95389972.862781718</v>
      </c>
      <c r="Z10" s="314">
        <f ca="1">Y10+(Z7*Assumptions!Z105)</f>
        <v>105246769.56671767</v>
      </c>
      <c r="AA10" s="314">
        <f ca="1">Z10+(AA7*Assumptions!AA105)</f>
        <v>114654235.26795487</v>
      </c>
      <c r="AB10" s="314">
        <f ca="1">AA10+(AB7*Assumptions!AB105)</f>
        <v>123592824.13317238</v>
      </c>
      <c r="AC10" s="314">
        <f ca="1">AB10+(AC7*Assumptions!AC105)</f>
        <v>132227981.06097862</v>
      </c>
      <c r="AD10" s="314">
        <f ca="1">AC10+(AD7*Assumptions!AD105)</f>
        <v>140791457.72298801</v>
      </c>
      <c r="AE10" s="314">
        <f ca="1">AD10+(AE7*Assumptions!AE105)</f>
        <v>149210572.16744193</v>
      </c>
      <c r="AF10" s="314">
        <f ca="1">AE10+(AF7*Assumptions!AF105)</f>
        <v>157601173.02576506</v>
      </c>
      <c r="AG10" s="314">
        <f ca="1">AF10+(AG7*Assumptions!AG105)</f>
        <v>166320634.39117444</v>
      </c>
      <c r="AH10" s="314">
        <f ca="1">AG10+(AH7*Assumptions!AH105)</f>
        <v>175580746.20643896</v>
      </c>
      <c r="AI10" s="314">
        <f ca="1">AH10+(AI7*Assumptions!AI105)</f>
        <v>185401669.33595574</v>
      </c>
      <c r="AJ10" s="314">
        <f ca="1">AI10+(AJ7*Assumptions!AJ105)</f>
        <v>173030356.99804109</v>
      </c>
      <c r="AK10" s="314">
        <f ca="1">AJ10+(AK7*Assumptions!AK105)</f>
        <v>160337707.88999787</v>
      </c>
      <c r="AL10" s="314">
        <f ca="1">AK10+(AL7*Assumptions!AL105)</f>
        <v>147323929.10757309</v>
      </c>
      <c r="AM10" s="314">
        <f ca="1">AL10+(AM7*Assumptions!AM105)</f>
        <v>133989727.19888368</v>
      </c>
      <c r="AN10" s="314">
        <f ca="1">AM10+(AN7*Assumptions!AN105)</f>
        <v>120336345.14196405</v>
      </c>
      <c r="AO10" s="314">
        <f ca="1">AN10+(AO7*Assumptions!AO105)</f>
        <v>106365601.39986764</v>
      </c>
      <c r="AP10" s="314">
        <f ca="1">AO10+(AP7*Assumptions!AP105)</f>
        <v>92079931.15844892</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PtcgiFj2nxRfcploZnVf0Cf1BSYwosGHy9Kh8LZD6DFdaHU4wnvi0cldMq5ppxrO0PbINn86YR8vw7yo+T2jAA==" saltValue="XPvoFDYPD3KNB6pAd4LZ9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78918636.197562531</v>
      </c>
      <c r="F4" s="77">
        <f>'Profit and Loss'!F4</f>
        <v>93056587.824791148</v>
      </c>
      <c r="G4" s="77">
        <f>'Profit and Loss'!G4</f>
        <v>97122916.65521498</v>
      </c>
      <c r="H4" s="77">
        <f>'Profit and Loss'!H4</f>
        <v>97561853.723832384</v>
      </c>
      <c r="I4" s="77">
        <f>'Profit and Loss'!I4</f>
        <v>97871606.172372907</v>
      </c>
      <c r="J4" s="77">
        <f>'Profit and Loss'!J4</f>
        <v>98061994.153315812</v>
      </c>
      <c r="K4" s="77">
        <f>'Profit and Loss'!K4</f>
        <v>87198602.831048042</v>
      </c>
      <c r="L4" s="77">
        <f>'Profit and Loss'!L4</f>
        <v>86974714.690019473</v>
      </c>
      <c r="M4" s="77">
        <f>'Profit and Loss'!M4</f>
        <v>88631959.45415926</v>
      </c>
      <c r="N4" s="77">
        <f>'Profit and Loss'!N4</f>
        <v>90257421.409897506</v>
      </c>
      <c r="O4" s="77">
        <f>'Profit and Loss'!O4</f>
        <v>91851337.156876057</v>
      </c>
      <c r="P4" s="77">
        <f>'Profit and Loss'!P4</f>
        <v>94772714.277609408</v>
      </c>
      <c r="Q4" s="77">
        <f>'Profit and Loss'!Q4</f>
        <v>97619935.133145005</v>
      </c>
      <c r="R4" s="77">
        <f>'Profit and Loss'!R4</f>
        <v>100953732.53882611</v>
      </c>
      <c r="S4" s="77">
        <f>'Profit and Loss'!S4</f>
        <v>104264110.13608311</v>
      </c>
      <c r="T4" s="77">
        <f>'Profit and Loss'!T4</f>
        <v>107550892.48188213</v>
      </c>
      <c r="U4" s="77">
        <f>'Profit and Loss'!U4</f>
        <v>110813878.93387657</v>
      </c>
      <c r="V4" s="77">
        <f>'Profit and Loss'!V4</f>
        <v>114052843.02795669</v>
      </c>
      <c r="W4" s="77">
        <f>'Profit and Loss'!W4</f>
        <v>119009514.45010805</v>
      </c>
      <c r="X4" s="77">
        <f>'Profit and Loss'!X4</f>
        <v>124110078.40237242</v>
      </c>
      <c r="Y4" s="77">
        <f>'Profit and Loss'!Y4</f>
        <v>129358238.75646621</v>
      </c>
      <c r="Z4" s="77">
        <f>'Profit and Loss'!Z4</f>
        <v>136032401.22376639</v>
      </c>
      <c r="AA4" s="77">
        <f>'Profit and Loss'!AA4</f>
        <v>142903787.89268082</v>
      </c>
      <c r="AB4" s="77">
        <f>'Profit and Loss'!AB4</f>
        <v>149977411.25829715</v>
      </c>
      <c r="AC4" s="77">
        <f>'Profit and Loss'!AC4</f>
        <v>157258404.27381983</v>
      </c>
      <c r="AD4" s="77">
        <f>'Profit and Loss'!AD4</f>
        <v>164752023.20230436</v>
      </c>
      <c r="AE4" s="77">
        <f>'Profit and Loss'!AE4</f>
        <v>172463650.53638276</v>
      </c>
      <c r="AF4" s="77">
        <f>'Profit and Loss'!AF4</f>
        <v>180398797.98763046</v>
      </c>
      <c r="AG4" s="77">
        <f>'Profit and Loss'!AG4</f>
        <v>188563109.54726848</v>
      </c>
      <c r="AH4" s="77">
        <f>'Profit and Loss'!AH4</f>
        <v>196962364.61993426</v>
      </c>
      <c r="AI4" s="77">
        <f>'Profit and Loss'!AI4</f>
        <v>205602481.23229897</v>
      </c>
      <c r="AJ4" s="77">
        <f>'Profit and Loss'!AJ4</f>
        <v>210538834.70634049</v>
      </c>
      <c r="AK4" s="77">
        <f>'Profit and Loss'!AK4</f>
        <v>215598541.54699123</v>
      </c>
      <c r="AL4" s="77">
        <f>'Profit and Loss'!AL4</f>
        <v>220784782.60630977</v>
      </c>
      <c r="AM4" s="77">
        <f>'Profit and Loss'!AM4</f>
        <v>226100822.63706481</v>
      </c>
      <c r="AN4" s="77">
        <f>'Profit and Loss'!AN4</f>
        <v>231550012.53906652</v>
      </c>
      <c r="AO4" s="77">
        <f>'Profit and Loss'!AO4</f>
        <v>237135791.66617393</v>
      </c>
      <c r="AP4" s="77">
        <f>'Profit and Loss'!AP4</f>
        <v>242861690.19562069</v>
      </c>
    </row>
    <row r="5" spans="1:45" x14ac:dyDescent="0.35">
      <c r="A5" t="s">
        <v>455</v>
      </c>
      <c r="B5" t="s">
        <v>454</v>
      </c>
      <c r="C5" s="162"/>
      <c r="D5" s="162"/>
      <c r="E5" s="77"/>
      <c r="F5" s="77">
        <f>'Cash Flow'!F8</f>
        <v>154118742.48188019</v>
      </c>
      <c r="G5" s="77">
        <f>'Cash Flow'!G8</f>
        <v>160817834.55953109</v>
      </c>
      <c r="H5" s="77">
        <f>'Cash Flow'!H8</f>
        <v>162502195.90535283</v>
      </c>
      <c r="I5" s="77">
        <f>'Cash Flow'!I8</f>
        <v>164295100.54262707</v>
      </c>
      <c r="J5" s="77">
        <f>'Cash Flow'!J8</f>
        <v>166197426.87577754</v>
      </c>
      <c r="K5" s="77">
        <f>'Cash Flow'!K8</f>
        <v>168210115.23378298</v>
      </c>
      <c r="L5" s="77">
        <f>'Cash Flow'!L8</f>
        <v>170334167.8633239</v>
      </c>
      <c r="M5" s="77">
        <f>'Cash Flow'!M8</f>
        <v>174901658.88452503</v>
      </c>
      <c r="N5" s="77">
        <f>'Cash Flow'!N8</f>
        <v>179588325.22747859</v>
      </c>
      <c r="O5" s="77">
        <f>'Cash Flow'!O8</f>
        <v>184397163.16642952</v>
      </c>
      <c r="P5" s="77">
        <f>'Cash Flow'!P8</f>
        <v>321022932.71792251</v>
      </c>
      <c r="Q5" s="77">
        <f>'Cash Flow'!Q8</f>
        <v>329347276.18263453</v>
      </c>
      <c r="R5" s="77">
        <f>'Cash Flow'!R8</f>
        <v>339324612.8343997</v>
      </c>
      <c r="S5" s="77">
        <f>'Cash Flow'!S8</f>
        <v>349564663.69375759</v>
      </c>
      <c r="T5" s="77">
        <f>'Cash Flow'!T8</f>
        <v>360073809.59862256</v>
      </c>
      <c r="U5" s="77">
        <f>'Cash Flow'!U8</f>
        <v>370858570.74843568</v>
      </c>
      <c r="V5" s="77">
        <f>'Cash Flow'!V8</f>
        <v>381925609.18351543</v>
      </c>
      <c r="W5" s="77">
        <f>'Cash Flow'!W8</f>
        <v>397905289.96032691</v>
      </c>
      <c r="X5" s="77">
        <f>'Cash Flow'!X8</f>
        <v>414470869.107364</v>
      </c>
      <c r="Y5" s="77">
        <f>'Cash Flow'!Y8</f>
        <v>431642367.10427463</v>
      </c>
      <c r="Z5" s="77">
        <f>'Cash Flow'!Z8</f>
        <v>601807192.14082694</v>
      </c>
      <c r="AA5" s="77">
        <f>'Cash Flow'!AA8</f>
        <v>627984731.91102552</v>
      </c>
      <c r="AB5" s="77">
        <f>'Cash Flow'!AB8</f>
        <v>655139374.06756139</v>
      </c>
      <c r="AC5" s="77">
        <f>'Cash Flow'!AC8</f>
        <v>683304845.69712973</v>
      </c>
      <c r="AD5" s="77">
        <f>'Cash Flow'!AD8</f>
        <v>712515983.70195794</v>
      </c>
      <c r="AE5" s="77">
        <f>'Cash Flow'!AE8</f>
        <v>742808770.15355873</v>
      </c>
      <c r="AF5" s="77">
        <f>'Cash Flow'!AF8</f>
        <v>774220368.74643922</v>
      </c>
      <c r="AG5" s="77">
        <f>'Cash Flow'!AG8</f>
        <v>806789162.38538098</v>
      </c>
      <c r="AH5" s="77">
        <f>'Cash Flow'!AH8</f>
        <v>840554791.9409101</v>
      </c>
      <c r="AI5" s="77">
        <f>'Cash Flow'!AI8</f>
        <v>875558196.20862532</v>
      </c>
      <c r="AJ5" s="77">
        <f>'Cash Flow'!AJ8</f>
        <v>379606130.05406129</v>
      </c>
      <c r="AK5" s="77">
        <f>'Cash Flow'!AK8</f>
        <v>390402698.77796125</v>
      </c>
      <c r="AL5" s="77">
        <f>'Cash Flow'!AL8</f>
        <v>401506338.13898003</v>
      </c>
      <c r="AM5" s="77">
        <f>'Cash Flow'!AM8</f>
        <v>412925781.68743265</v>
      </c>
      <c r="AN5" s="77">
        <f>'Cash Flow'!AN8</f>
        <v>424670011.3689279</v>
      </c>
      <c r="AO5" s="77">
        <f>'Cash Flow'!AO8</f>
        <v>436748264.58910388</v>
      </c>
      <c r="AP5" s="77">
        <f>'Cash Flow'!AP8</f>
        <v>449170041.47929472</v>
      </c>
    </row>
    <row r="6" spans="1:45" x14ac:dyDescent="0.35">
      <c r="A6" t="s">
        <v>421</v>
      </c>
      <c r="B6" t="s">
        <v>454</v>
      </c>
      <c r="C6" s="162"/>
      <c r="D6" s="162"/>
      <c r="E6" s="77"/>
      <c r="F6" s="77">
        <f>'Cash Flow'!F7</f>
        <v>2181479.8653297131</v>
      </c>
      <c r="G6" s="77">
        <f>'Cash Flow'!G7</f>
        <v>2181479.8653297131</v>
      </c>
      <c r="H6" s="77">
        <f>'Cash Flow'!H7</f>
        <v>2181479.8653297131</v>
      </c>
      <c r="I6" s="77">
        <f>'Cash Flow'!I7</f>
        <v>2181479.8653297131</v>
      </c>
      <c r="J6" s="77">
        <f>'Cash Flow'!J7</f>
        <v>2181479.8653297131</v>
      </c>
      <c r="K6" s="77">
        <f>'Cash Flow'!K7</f>
        <v>2181479.8653297131</v>
      </c>
      <c r="L6" s="77">
        <f>'Cash Flow'!L7</f>
        <v>2181479.8653297131</v>
      </c>
      <c r="M6" s="77">
        <f>'Cash Flow'!M7</f>
        <v>2181479.8653297131</v>
      </c>
      <c r="N6" s="77">
        <f>'Cash Flow'!N7</f>
        <v>2181479.8653297131</v>
      </c>
      <c r="O6" s="77">
        <f>'Cash Flow'!O7</f>
        <v>2181479.8653297131</v>
      </c>
      <c r="P6" s="77">
        <f>'Cash Flow'!P7</f>
        <v>2181479.8653297131</v>
      </c>
      <c r="Q6" s="77">
        <f>'Cash Flow'!Q7</f>
        <v>2181479.8653297131</v>
      </c>
      <c r="R6" s="77">
        <f>'Cash Flow'!R7</f>
        <v>2181479.8653297131</v>
      </c>
      <c r="S6" s="77">
        <f>'Cash Flow'!S7</f>
        <v>2181479.8653297131</v>
      </c>
      <c r="T6" s="77">
        <f>'Cash Flow'!T7</f>
        <v>2181479.8653297131</v>
      </c>
      <c r="U6" s="77">
        <f>'Cash Flow'!U7</f>
        <v>2181479.8653297131</v>
      </c>
      <c r="V6" s="77">
        <f>'Cash Flow'!V7</f>
        <v>2181479.8653297131</v>
      </c>
      <c r="W6" s="77">
        <f>'Cash Flow'!W7</f>
        <v>2181479.8653297131</v>
      </c>
      <c r="X6" s="77">
        <f>'Cash Flow'!X7</f>
        <v>2181479.8653297131</v>
      </c>
      <c r="Y6" s="77">
        <f>'Cash Flow'!Y7</f>
        <v>2181479.8653297131</v>
      </c>
      <c r="Z6" s="77">
        <f>'Cash Flow'!Z7</f>
        <v>2181479.8653297131</v>
      </c>
      <c r="AA6" s="77">
        <f>'Cash Flow'!AA7</f>
        <v>2181479.8653297131</v>
      </c>
      <c r="AB6" s="77">
        <f>'Cash Flow'!AB7</f>
        <v>2181479.8653297131</v>
      </c>
      <c r="AC6" s="77">
        <f>'Cash Flow'!AC7</f>
        <v>2181479.8653297131</v>
      </c>
      <c r="AD6" s="77">
        <f>'Cash Flow'!AD7</f>
        <v>2181479.8653297131</v>
      </c>
      <c r="AE6" s="77">
        <f>'Cash Flow'!AE7</f>
        <v>2181479.8653297131</v>
      </c>
      <c r="AF6" s="77">
        <f>'Cash Flow'!AF7</f>
        <v>2181479.8653297131</v>
      </c>
      <c r="AG6" s="77">
        <f>'Cash Flow'!AG7</f>
        <v>2181479.8653297131</v>
      </c>
      <c r="AH6" s="77">
        <f>'Cash Flow'!AH7</f>
        <v>2181479.8653297131</v>
      </c>
      <c r="AI6" s="77">
        <f>'Cash Flow'!AI7</f>
        <v>2181479.8653297131</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22131896.782962989</v>
      </c>
      <c r="F7" s="77">
        <f ca="1">'Debt worksheet'!F10</f>
        <v>26999814.351626236</v>
      </c>
      <c r="G7" s="77">
        <f ca="1">'Debt worksheet'!G10</f>
        <v>31458856.635598861</v>
      </c>
      <c r="H7" s="77">
        <f ca="1">'Debt worksheet'!H10</f>
        <v>35186504.171780787</v>
      </c>
      <c r="I7" s="77">
        <f ca="1">'Debt worksheet'!I10</f>
        <v>37538294.65266636</v>
      </c>
      <c r="J7" s="77">
        <f ca="1">'Debt worksheet'!J10</f>
        <v>39640785.900337838</v>
      </c>
      <c r="K7" s="77">
        <f ca="1">'Debt worksheet'!K10</f>
        <v>41498195.022992775</v>
      </c>
      <c r="L7" s="77">
        <f ca="1">'Debt worksheet'!L10</f>
        <v>43059638.613938622</v>
      </c>
      <c r="M7" s="77">
        <f ca="1">'Debt worksheet'!M10</f>
        <v>44608177.39971637</v>
      </c>
      <c r="N7" s="77">
        <f ca="1">'Debt worksheet'!N10</f>
        <v>46136158.108267896</v>
      </c>
      <c r="O7" s="77">
        <f ca="1">'Debt worksheet'!O10</f>
        <v>47635395.280819885</v>
      </c>
      <c r="P7" s="77">
        <f ca="1">'Debt worksheet'!P10</f>
        <v>54018044.267105602</v>
      </c>
      <c r="Q7" s="77">
        <f ca="1">'Debt worksheet'!Q10</f>
        <v>59794027.580981873</v>
      </c>
      <c r="R7" s="77">
        <f ca="1">'Debt worksheet'!R10</f>
        <v>65139712.029352933</v>
      </c>
      <c r="S7" s="77">
        <f ca="1">'Debt worksheet'!S10</f>
        <v>70029392.143405184</v>
      </c>
      <c r="T7" s="77">
        <f ca="1">'Debt worksheet'!T10</f>
        <v>74635426.661642656</v>
      </c>
      <c r="U7" s="77">
        <f ca="1">'Debt worksheet'!U10</f>
        <v>78888286.823229074</v>
      </c>
      <c r="V7" s="77">
        <f ca="1">'Debt worksheet'!V10</f>
        <v>82922002.033846721</v>
      </c>
      <c r="W7" s="77">
        <f ca="1">'Debt worksheet'!W10</f>
        <v>86971435.022484407</v>
      </c>
      <c r="X7" s="77">
        <f ca="1">'Debt worksheet'!X10</f>
        <v>91130355.211889625</v>
      </c>
      <c r="Y7" s="77">
        <f ca="1">'Debt worksheet'!Y10</f>
        <v>95389972.862781718</v>
      </c>
      <c r="Z7" s="77">
        <f ca="1">'Debt worksheet'!Z10</f>
        <v>105246769.56671767</v>
      </c>
      <c r="AA7" s="77">
        <f ca="1">'Debt worksheet'!AA10</f>
        <v>114654235.26795487</v>
      </c>
      <c r="AB7" s="77">
        <f ca="1">'Debt worksheet'!AB10</f>
        <v>123592824.13317238</v>
      </c>
      <c r="AC7" s="77">
        <f ca="1">'Debt worksheet'!AC10</f>
        <v>132227981.06097862</v>
      </c>
      <c r="AD7" s="77">
        <f ca="1">'Debt worksheet'!AD10</f>
        <v>140791457.72298801</v>
      </c>
      <c r="AE7" s="77">
        <f ca="1">'Debt worksheet'!AE10</f>
        <v>149210572.16744193</v>
      </c>
      <c r="AF7" s="77">
        <f ca="1">'Debt worksheet'!AF10</f>
        <v>157601173.02576506</v>
      </c>
      <c r="AG7" s="77">
        <f ca="1">'Debt worksheet'!AG10</f>
        <v>166320634.39117444</v>
      </c>
      <c r="AH7" s="77">
        <f ca="1">'Debt worksheet'!AH10</f>
        <v>175580746.20643896</v>
      </c>
      <c r="AI7" s="77">
        <f ca="1">'Debt worksheet'!AI10</f>
        <v>185401669.33595574</v>
      </c>
      <c r="AJ7" s="77">
        <f ca="1">'Debt worksheet'!AJ10</f>
        <v>173030356.99804109</v>
      </c>
      <c r="AK7" s="77">
        <f ca="1">'Debt worksheet'!AK10</f>
        <v>160337707.88999787</v>
      </c>
      <c r="AL7" s="77">
        <f ca="1">'Debt worksheet'!AL10</f>
        <v>147323929.10757309</v>
      </c>
      <c r="AM7" s="77">
        <f ca="1">'Debt worksheet'!AM10</f>
        <v>133989727.19888368</v>
      </c>
      <c r="AN7" s="77">
        <f ca="1">'Debt worksheet'!AN10</f>
        <v>120336345.14196405</v>
      </c>
      <c r="AO7" s="77">
        <f ca="1">'Debt worksheet'!AO10</f>
        <v>106365601.39986764</v>
      </c>
      <c r="AP7" s="77">
        <f ca="1">'Debt worksheet'!AP10</f>
        <v>92079931.15844892</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78918636.197562531</v>
      </c>
      <c r="F9" s="77">
        <f t="shared" ref="F9:AP9" si="1">SUM(F4:F6)</f>
        <v>249356810.17200103</v>
      </c>
      <c r="G9" s="77">
        <f t="shared" si="1"/>
        <v>260122231.08007577</v>
      </c>
      <c r="H9" s="77">
        <f t="shared" si="1"/>
        <v>262245529.49451491</v>
      </c>
      <c r="I9" s="77">
        <f t="shared" si="1"/>
        <v>264348186.58032969</v>
      </c>
      <c r="J9" s="77">
        <f t="shared" si="1"/>
        <v>266440900.89442307</v>
      </c>
      <c r="K9" s="77">
        <f t="shared" si="1"/>
        <v>257590197.93016073</v>
      </c>
      <c r="L9" s="77">
        <f t="shared" si="1"/>
        <v>259490362.41867307</v>
      </c>
      <c r="M9" s="77">
        <f t="shared" si="1"/>
        <v>265715098.204014</v>
      </c>
      <c r="N9" s="77">
        <f t="shared" si="1"/>
        <v>272027226.50270581</v>
      </c>
      <c r="O9" s="77">
        <f t="shared" si="1"/>
        <v>278429980.18863535</v>
      </c>
      <c r="P9" s="77">
        <f t="shared" si="1"/>
        <v>417977126.86086166</v>
      </c>
      <c r="Q9" s="77">
        <f t="shared" si="1"/>
        <v>429148691.18110931</v>
      </c>
      <c r="R9" s="77">
        <f t="shared" si="1"/>
        <v>442459825.23855555</v>
      </c>
      <c r="S9" s="77">
        <f t="shared" si="1"/>
        <v>456010253.69517046</v>
      </c>
      <c r="T9" s="77">
        <f t="shared" si="1"/>
        <v>469806181.9458344</v>
      </c>
      <c r="U9" s="77">
        <f t="shared" si="1"/>
        <v>483853929.54764199</v>
      </c>
      <c r="V9" s="77">
        <f t="shared" si="1"/>
        <v>498159932.0768019</v>
      </c>
      <c r="W9" s="77">
        <f t="shared" si="1"/>
        <v>519096284.2757647</v>
      </c>
      <c r="X9" s="77">
        <f t="shared" si="1"/>
        <v>540762427.37506616</v>
      </c>
      <c r="Y9" s="77">
        <f t="shared" si="1"/>
        <v>563182085.72607064</v>
      </c>
      <c r="Z9" s="77">
        <f t="shared" si="1"/>
        <v>740021073.22992301</v>
      </c>
      <c r="AA9" s="77">
        <f t="shared" si="1"/>
        <v>773069999.66903615</v>
      </c>
      <c r="AB9" s="77">
        <f t="shared" si="1"/>
        <v>807298265.19118834</v>
      </c>
      <c r="AC9" s="77">
        <f t="shared" si="1"/>
        <v>842744729.83627927</v>
      </c>
      <c r="AD9" s="77">
        <f t="shared" si="1"/>
        <v>879449486.76959205</v>
      </c>
      <c r="AE9" s="77">
        <f t="shared" si="1"/>
        <v>917453900.55527127</v>
      </c>
      <c r="AF9" s="77">
        <f t="shared" si="1"/>
        <v>956800646.59939945</v>
      </c>
      <c r="AG9" s="77">
        <f t="shared" si="1"/>
        <v>997533751.79797924</v>
      </c>
      <c r="AH9" s="77">
        <f t="shared" si="1"/>
        <v>1039698636.4261742</v>
      </c>
      <c r="AI9" s="77">
        <f t="shared" si="1"/>
        <v>1083342157.3062539</v>
      </c>
      <c r="AJ9" s="77">
        <f t="shared" si="1"/>
        <v>590144964.76040173</v>
      </c>
      <c r="AK9" s="77">
        <f t="shared" si="1"/>
        <v>606001240.32495248</v>
      </c>
      <c r="AL9" s="77">
        <f t="shared" si="1"/>
        <v>622291120.7452898</v>
      </c>
      <c r="AM9" s="77">
        <f t="shared" si="1"/>
        <v>639026604.32449746</v>
      </c>
      <c r="AN9" s="77">
        <f t="shared" si="1"/>
        <v>656220023.90799439</v>
      </c>
      <c r="AO9" s="77">
        <f t="shared" si="1"/>
        <v>673884056.25527787</v>
      </c>
      <c r="AP9" s="77">
        <f t="shared" si="1"/>
        <v>692031731.67491543</v>
      </c>
    </row>
    <row r="10" spans="1:45" x14ac:dyDescent="0.35">
      <c r="A10" t="s">
        <v>457</v>
      </c>
      <c r="B10" t="s">
        <v>454</v>
      </c>
      <c r="C10" s="162"/>
      <c r="D10" s="162"/>
      <c r="E10" s="77">
        <f t="shared" ref="E10:AP10" si="2">SUM(E4:E7)</f>
        <v>101050532.98052552</v>
      </c>
      <c r="F10" s="77">
        <f t="shared" ca="1" si="2"/>
        <v>276356624.52362728</v>
      </c>
      <c r="G10" s="77">
        <f t="shared" ca="1" si="2"/>
        <v>291581087.71567464</v>
      </c>
      <c r="H10" s="77">
        <f t="shared" ca="1" si="2"/>
        <v>297432033.66629571</v>
      </c>
      <c r="I10" s="77">
        <f t="shared" ca="1" si="2"/>
        <v>301886481.23299605</v>
      </c>
      <c r="J10" s="77">
        <f t="shared" ca="1" si="2"/>
        <v>306081686.79476088</v>
      </c>
      <c r="K10" s="77">
        <f t="shared" ca="1" si="2"/>
        <v>299088392.95315349</v>
      </c>
      <c r="L10" s="77">
        <f t="shared" ca="1" si="2"/>
        <v>302550001.03261167</v>
      </c>
      <c r="M10" s="77">
        <f t="shared" ca="1" si="2"/>
        <v>310323275.60373038</v>
      </c>
      <c r="N10" s="77">
        <f t="shared" ca="1" si="2"/>
        <v>318163384.61097372</v>
      </c>
      <c r="O10" s="77">
        <f t="shared" ca="1" si="2"/>
        <v>326065375.46945524</v>
      </c>
      <c r="P10" s="77">
        <f t="shared" ca="1" si="2"/>
        <v>471995171.12796724</v>
      </c>
      <c r="Q10" s="77">
        <f t="shared" ca="1" si="2"/>
        <v>488942718.76209116</v>
      </c>
      <c r="R10" s="77">
        <f t="shared" ca="1" si="2"/>
        <v>507599537.26790845</v>
      </c>
      <c r="S10" s="77">
        <f t="shared" ca="1" si="2"/>
        <v>526039645.83857566</v>
      </c>
      <c r="T10" s="77">
        <f t="shared" ca="1" si="2"/>
        <v>544441608.60747707</v>
      </c>
      <c r="U10" s="77">
        <f t="shared" ca="1" si="2"/>
        <v>562742216.37087107</v>
      </c>
      <c r="V10" s="77">
        <f t="shared" ca="1" si="2"/>
        <v>581081934.11064863</v>
      </c>
      <c r="W10" s="77">
        <f t="shared" ca="1" si="2"/>
        <v>606067719.29824913</v>
      </c>
      <c r="X10" s="77">
        <f t="shared" ca="1" si="2"/>
        <v>631892782.58695579</v>
      </c>
      <c r="Y10" s="77">
        <f t="shared" ca="1" si="2"/>
        <v>658572058.58885241</v>
      </c>
      <c r="Z10" s="77">
        <f t="shared" ca="1" si="2"/>
        <v>845267842.79664063</v>
      </c>
      <c r="AA10" s="77">
        <f t="shared" ca="1" si="2"/>
        <v>887724234.93699098</v>
      </c>
      <c r="AB10" s="77">
        <f t="shared" ca="1" si="2"/>
        <v>930891089.32436073</v>
      </c>
      <c r="AC10" s="77">
        <f t="shared" ca="1" si="2"/>
        <v>974972710.89725792</v>
      </c>
      <c r="AD10" s="77">
        <f t="shared" ca="1" si="2"/>
        <v>1020240944.4925801</v>
      </c>
      <c r="AE10" s="77">
        <f t="shared" ca="1" si="2"/>
        <v>1066664472.7227132</v>
      </c>
      <c r="AF10" s="77">
        <f t="shared" ca="1" si="2"/>
        <v>1114401819.6251645</v>
      </c>
      <c r="AG10" s="77">
        <f t="shared" ca="1" si="2"/>
        <v>1163854386.1891537</v>
      </c>
      <c r="AH10" s="77">
        <f t="shared" ca="1" si="2"/>
        <v>1215279382.6326132</v>
      </c>
      <c r="AI10" s="77">
        <f t="shared" ca="1" si="2"/>
        <v>1268743826.6422095</v>
      </c>
      <c r="AJ10" s="77">
        <f t="shared" ca="1" si="2"/>
        <v>763175321.75844288</v>
      </c>
      <c r="AK10" s="77">
        <f t="shared" ca="1" si="2"/>
        <v>766338948.21495032</v>
      </c>
      <c r="AL10" s="77">
        <f t="shared" ca="1" si="2"/>
        <v>769615049.85286283</v>
      </c>
      <c r="AM10" s="77">
        <f t="shared" ca="1" si="2"/>
        <v>773016331.52338111</v>
      </c>
      <c r="AN10" s="77">
        <f t="shared" ca="1" si="2"/>
        <v>776556369.04995847</v>
      </c>
      <c r="AO10" s="77">
        <f t="shared" ca="1" si="2"/>
        <v>780249657.65514553</v>
      </c>
      <c r="AP10" s="77">
        <f t="shared" ca="1" si="2"/>
        <v>784111662.83336437</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71663430.4943178</v>
      </c>
      <c r="F14" s="77">
        <f t="shared" ref="F14:AP14" si="3">F9/F$12</f>
        <v>220910007.58524185</v>
      </c>
      <c r="G14" s="77">
        <f t="shared" si="3"/>
        <v>225928727.06381086</v>
      </c>
      <c r="H14" s="77">
        <f t="shared" si="3"/>
        <v>223306778.76146096</v>
      </c>
      <c r="I14" s="77">
        <f t="shared" si="3"/>
        <v>220683557.87990117</v>
      </c>
      <c r="J14" s="77">
        <f t="shared" si="3"/>
        <v>218069216.51751906</v>
      </c>
      <c r="K14" s="77">
        <f t="shared" si="3"/>
        <v>206691506.58152342</v>
      </c>
      <c r="L14" s="77">
        <f t="shared" si="3"/>
        <v>204133536.19193354</v>
      </c>
      <c r="M14" s="77">
        <f t="shared" si="3"/>
        <v>204931720.74131957</v>
      </c>
      <c r="N14" s="77">
        <f t="shared" si="3"/>
        <v>205686200.7631405</v>
      </c>
      <c r="O14" s="77">
        <f t="shared" si="3"/>
        <v>206399484.12889817</v>
      </c>
      <c r="P14" s="77">
        <f t="shared" si="3"/>
        <v>303770052.03624994</v>
      </c>
      <c r="Q14" s="77">
        <f t="shared" si="3"/>
        <v>305773651.69040167</v>
      </c>
      <c r="R14" s="77">
        <f t="shared" si="3"/>
        <v>309076466.94471526</v>
      </c>
      <c r="S14" s="77">
        <f t="shared" si="3"/>
        <v>312296079.43185467</v>
      </c>
      <c r="T14" s="77">
        <f t="shared" si="3"/>
        <v>315435435.26005667</v>
      </c>
      <c r="U14" s="77">
        <f t="shared" si="3"/>
        <v>318497371.75806689</v>
      </c>
      <c r="V14" s="77">
        <f t="shared" si="3"/>
        <v>321484620.95634407</v>
      </c>
      <c r="W14" s="77">
        <f t="shared" si="3"/>
        <v>328427229.74315131</v>
      </c>
      <c r="X14" s="77">
        <f t="shared" si="3"/>
        <v>335426657.09503466</v>
      </c>
      <c r="Y14" s="77">
        <f t="shared" si="3"/>
        <v>342483556.88968176</v>
      </c>
      <c r="Z14" s="77">
        <f t="shared" si="3"/>
        <v>441199293.90425217</v>
      </c>
      <c r="AA14" s="77">
        <f t="shared" si="3"/>
        <v>451865693.26642513</v>
      </c>
      <c r="AB14" s="77">
        <f t="shared" si="3"/>
        <v>462619992.59581971</v>
      </c>
      <c r="AC14" s="77">
        <f t="shared" si="3"/>
        <v>473463224.63472188</v>
      </c>
      <c r="AD14" s="77">
        <f t="shared" si="3"/>
        <v>484396430.70334357</v>
      </c>
      <c r="AE14" s="77">
        <f t="shared" si="3"/>
        <v>495420660.76734734</v>
      </c>
      <c r="AF14" s="77">
        <f t="shared" si="3"/>
        <v>506536973.50598615</v>
      </c>
      <c r="AG14" s="77">
        <f t="shared" si="3"/>
        <v>517746436.38086355</v>
      </c>
      <c r="AH14" s="77">
        <f t="shared" si="3"/>
        <v>529050125.70531398</v>
      </c>
      <c r="AI14" s="77">
        <f t="shared" si="3"/>
        <v>540449126.71440744</v>
      </c>
      <c r="AJ14" s="77">
        <f t="shared" si="3"/>
        <v>288634147.51290876</v>
      </c>
      <c r="AK14" s="77">
        <f t="shared" si="3"/>
        <v>290577742.42189032</v>
      </c>
      <c r="AL14" s="77">
        <f t="shared" si="3"/>
        <v>292537984.36606073</v>
      </c>
      <c r="AM14" s="77">
        <f t="shared" si="3"/>
        <v>294515006.25542873</v>
      </c>
      <c r="AN14" s="77">
        <f t="shared" si="3"/>
        <v>296508942.06279314</v>
      </c>
      <c r="AO14" s="77">
        <f t="shared" si="3"/>
        <v>298519926.832111</v>
      </c>
      <c r="AP14" s="77">
        <f t="shared" si="3"/>
        <v>300548096.68692875</v>
      </c>
    </row>
    <row r="15" spans="1:45" x14ac:dyDescent="0.35">
      <c r="A15" t="s">
        <v>457</v>
      </c>
      <c r="B15" t="s">
        <v>458</v>
      </c>
      <c r="C15" s="162"/>
      <c r="D15" s="162"/>
      <c r="E15" s="77">
        <f>E10/E$12</f>
        <v>91760681.577608451</v>
      </c>
      <c r="F15" s="77">
        <f t="shared" ref="F15:AP15" ca="1" si="4">F10/F$12</f>
        <v>244829663.87657663</v>
      </c>
      <c r="G15" s="77">
        <f t="shared" ca="1" si="4"/>
        <v>253252264.17577657</v>
      </c>
      <c r="H15" s="77">
        <f t="shared" ca="1" si="4"/>
        <v>253268719.07602948</v>
      </c>
      <c r="I15" s="77">
        <f t="shared" ca="1" si="4"/>
        <v>252021334.49891016</v>
      </c>
      <c r="J15" s="77">
        <f t="shared" ca="1" si="4"/>
        <v>250513316.10735917</v>
      </c>
      <c r="K15" s="77">
        <f t="shared" ca="1" si="4"/>
        <v>239989840.59670898</v>
      </c>
      <c r="L15" s="77">
        <f t="shared" ca="1" si="4"/>
        <v>238007304.04782015</v>
      </c>
      <c r="M15" s="77">
        <f t="shared" ca="1" si="4"/>
        <v>239335601.4972375</v>
      </c>
      <c r="N15" s="77">
        <f t="shared" ca="1" si="4"/>
        <v>240570837.86766502</v>
      </c>
      <c r="O15" s="77">
        <f t="shared" ca="1" si="4"/>
        <v>241711489.70235071</v>
      </c>
      <c r="P15" s="77">
        <f t="shared" ca="1" si="4"/>
        <v>343028334.5196774</v>
      </c>
      <c r="Q15" s="77">
        <f t="shared" ca="1" si="4"/>
        <v>348377622.15199965</v>
      </c>
      <c r="R15" s="77">
        <f t="shared" ca="1" si="4"/>
        <v>354579246.86597395</v>
      </c>
      <c r="S15" s="77">
        <f t="shared" ca="1" si="4"/>
        <v>360255318.14230871</v>
      </c>
      <c r="T15" s="77">
        <f t="shared" ca="1" si="4"/>
        <v>365546862.48165423</v>
      </c>
      <c r="U15" s="77">
        <f t="shared" ca="1" si="4"/>
        <v>370425671.77039742</v>
      </c>
      <c r="V15" s="77">
        <f t="shared" ca="1" si="4"/>
        <v>374997853.70803493</v>
      </c>
      <c r="W15" s="77">
        <f t="shared" ca="1" si="4"/>
        <v>383453220.75187677</v>
      </c>
      <c r="X15" s="77">
        <f t="shared" ca="1" si="4"/>
        <v>391953421.64298266</v>
      </c>
      <c r="Y15" s="77">
        <f t="shared" ca="1" si="4"/>
        <v>400492321.77348888</v>
      </c>
      <c r="Z15" s="77">
        <f t="shared" ca="1" si="4"/>
        <v>503947237.30519927</v>
      </c>
      <c r="AA15" s="77">
        <f t="shared" ca="1" si="4"/>
        <v>518882024.9407447</v>
      </c>
      <c r="AB15" s="77">
        <f t="shared" ca="1" si="4"/>
        <v>533444511.67470545</v>
      </c>
      <c r="AC15" s="77">
        <f t="shared" ca="1" si="4"/>
        <v>547750353.44563973</v>
      </c>
      <c r="AD15" s="77">
        <f t="shared" ca="1" si="4"/>
        <v>561943669.76655042</v>
      </c>
      <c r="AE15" s="77">
        <f t="shared" ca="1" si="4"/>
        <v>575993646.73637342</v>
      </c>
      <c r="AF15" s="77">
        <f t="shared" ca="1" si="4"/>
        <v>589972139.95282543</v>
      </c>
      <c r="AG15" s="77">
        <f t="shared" ca="1" si="4"/>
        <v>604071250.55123603</v>
      </c>
      <c r="AH15" s="77">
        <f t="shared" ca="1" si="4"/>
        <v>618394299.67792773</v>
      </c>
      <c r="AI15" s="77">
        <f t="shared" ca="1" si="4"/>
        <v>632940838.22793305</v>
      </c>
      <c r="AJ15" s="77">
        <f t="shared" ca="1" si="4"/>
        <v>373261607.82896936</v>
      </c>
      <c r="AK15" s="77">
        <f t="shared" ca="1" si="4"/>
        <v>367459712.43038911</v>
      </c>
      <c r="AL15" s="77">
        <f t="shared" ca="1" si="4"/>
        <v>361794709.76879746</v>
      </c>
      <c r="AM15" s="77">
        <f t="shared" ca="1" si="4"/>
        <v>356268280.8093996</v>
      </c>
      <c r="AN15" s="77">
        <f t="shared" ca="1" si="4"/>
        <v>350882172.2139498</v>
      </c>
      <c r="AO15" s="77">
        <f t="shared" ca="1" si="4"/>
        <v>345638197.77590925</v>
      </c>
      <c r="AP15" s="77">
        <f t="shared" ca="1" si="4"/>
        <v>340538239.89286983</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180742.1058646311</v>
      </c>
      <c r="F17" s="38">
        <f>Assumptions!F302</f>
        <v>182571.50257676528</v>
      </c>
      <c r="G17" s="38">
        <f>Assumptions!G302</f>
        <v>184419.41568448069</v>
      </c>
      <c r="H17" s="38">
        <f>Assumptions!H302</f>
        <v>186286.03260306179</v>
      </c>
      <c r="I17" s="38">
        <f>Assumptions!I302</f>
        <v>188171.54264473298</v>
      </c>
      <c r="J17" s="38">
        <f>Assumptions!J302</f>
        <v>190076.1370378586</v>
      </c>
      <c r="K17" s="38">
        <f>Assumptions!K302</f>
        <v>192000.00894633718</v>
      </c>
      <c r="L17" s="38">
        <f>Assumptions!L302</f>
        <v>193943.35348919226</v>
      </c>
      <c r="M17" s="38">
        <f>Assumptions!M302</f>
        <v>195906.36776036123</v>
      </c>
      <c r="N17" s="38">
        <f>Assumptions!N302</f>
        <v>197889.25084868478</v>
      </c>
      <c r="O17" s="38">
        <f>Assumptions!O302</f>
        <v>199892.20385809816</v>
      </c>
      <c r="P17" s="38">
        <f>Assumptions!P302</f>
        <v>201915.42992802759</v>
      </c>
      <c r="Q17" s="38">
        <f>Assumptions!Q302</f>
        <v>203959.13425399215</v>
      </c>
      <c r="R17" s="38">
        <f>Assumptions!R302</f>
        <v>206023.52410841512</v>
      </c>
      <c r="S17" s="38">
        <f>Assumptions!S302</f>
        <v>208108.80886164535</v>
      </c>
      <c r="T17" s="38">
        <f>Assumptions!T302</f>
        <v>210215.20000319148</v>
      </c>
      <c r="U17" s="38">
        <f>Assumptions!U302</f>
        <v>212342.91116317155</v>
      </c>
      <c r="V17" s="38">
        <f>Assumptions!V302</f>
        <v>214492.15813397893</v>
      </c>
      <c r="W17" s="38">
        <f>Assumptions!W302</f>
        <v>216663.15889216834</v>
      </c>
      <c r="X17" s="38">
        <f>Assumptions!X302</f>
        <v>218856.13362056288</v>
      </c>
      <c r="Y17" s="38">
        <f>Assumptions!Y302</f>
        <v>221071.30473058479</v>
      </c>
      <c r="Z17" s="38">
        <f>Assumptions!Z302</f>
        <v>223308.8968848128</v>
      </c>
      <c r="AA17" s="38">
        <f>Assumptions!AA302</f>
        <v>225569.13701976702</v>
      </c>
      <c r="AB17" s="38">
        <f>Assumptions!AB302</f>
        <v>227852.25436892518</v>
      </c>
      <c r="AC17" s="38">
        <f>Assumptions!AC302</f>
        <v>230158.480485971</v>
      </c>
      <c r="AD17" s="38">
        <f>Assumptions!AD302</f>
        <v>232488.0492682789</v>
      </c>
      <c r="AE17" s="38">
        <f>Assumptions!AE302</f>
        <v>234841.19698063555</v>
      </c>
      <c r="AF17" s="38">
        <f>Assumptions!AF302</f>
        <v>237218.1622792019</v>
      </c>
      <c r="AG17" s="38">
        <f>Assumptions!AG302</f>
        <v>239619.18623571764</v>
      </c>
      <c r="AH17" s="38">
        <f>Assumptions!AH302</f>
        <v>242044.51236195079</v>
      </c>
      <c r="AI17" s="38">
        <f>Assumptions!AI302</f>
        <v>244494.38663439464</v>
      </c>
      <c r="AJ17" s="38">
        <f>Assumptions!AJ302</f>
        <v>246969.05751921446</v>
      </c>
      <c r="AK17" s="38">
        <f>Assumptions!AK302</f>
        <v>249468.77599744729</v>
      </c>
      <c r="AL17" s="38">
        <f>Assumptions!AL302</f>
        <v>251993.79559045611</v>
      </c>
      <c r="AM17" s="38">
        <f>Assumptions!AM302</f>
        <v>254544.3723856422</v>
      </c>
      <c r="AN17" s="38">
        <f>Assumptions!AN302</f>
        <v>257120.7650624174</v>
      </c>
      <c r="AO17" s="38">
        <f>Assumptions!AO302</f>
        <v>259723.23491843921</v>
      </c>
      <c r="AP17" s="38">
        <f>Assumptions!AP302</f>
        <v>262352.04589611205</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212079.92805549892</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9347727271.9969044</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10807776359.46483</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311590909.06656349</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360259211.98216099</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1469.2145170146591</v>
      </c>
    </row>
    <row r="30" spans="1:42" x14ac:dyDescent="0.35">
      <c r="A30" t="s">
        <v>466</v>
      </c>
      <c r="B30" s="296">
        <f ca="1">B27/$B$21</f>
        <v>1698.6954648904125</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28"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81533000</v>
      </c>
      <c r="C7"/>
    </row>
    <row r="8" spans="1:3" ht="15.5" x14ac:dyDescent="0.35">
      <c r="A8" s="17" t="s">
        <v>360</v>
      </c>
      <c r="B8" s="207">
        <v>0.7</v>
      </c>
      <c r="C8"/>
    </row>
    <row r="9" spans="1:3" ht="15.5" x14ac:dyDescent="0.35">
      <c r="A9" s="17"/>
      <c r="B9" s="208"/>
      <c r="C9"/>
    </row>
    <row r="10" spans="1:3" ht="15.5" x14ac:dyDescent="0.35">
      <c r="A10" s="17" t="s">
        <v>577</v>
      </c>
      <c r="B10" s="209">
        <f>Assumptions!C302</f>
        <v>177138.12133681204</v>
      </c>
      <c r="C10"/>
    </row>
    <row r="11" spans="1:3" ht="15.5" x14ac:dyDescent="0.35">
      <c r="A11" s="17" t="s">
        <v>362</v>
      </c>
      <c r="B11" s="210">
        <v>2.7</v>
      </c>
      <c r="C11"/>
    </row>
    <row r="12" spans="1:3" ht="15.5" x14ac:dyDescent="0.35">
      <c r="A12" s="17" t="s">
        <v>578</v>
      </c>
      <c r="B12" s="209">
        <f>B10/B11</f>
        <v>65606.711606226672</v>
      </c>
      <c r="C12"/>
    </row>
    <row r="13" spans="1:3" ht="15.5" x14ac:dyDescent="0.35">
      <c r="A13" s="17"/>
      <c r="B13" s="270"/>
      <c r="C13"/>
    </row>
    <row r="14" spans="1:3" ht="15.5" x14ac:dyDescent="0.35">
      <c r="A14" s="16" t="s">
        <v>558</v>
      </c>
      <c r="B14" s="211">
        <f>(B7*B8)/B12</f>
        <v>869.927765051758</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93199470.306763038</v>
      </c>
      <c r="C18"/>
    </row>
    <row r="19" spans="1:3" ht="15.5" x14ac:dyDescent="0.35">
      <c r="A19" s="17" t="s">
        <v>360</v>
      </c>
      <c r="B19" s="212">
        <f>B8</f>
        <v>0.7</v>
      </c>
      <c r="C19"/>
    </row>
    <row r="20" spans="1:3" ht="15.5" x14ac:dyDescent="0.35">
      <c r="A20" s="17"/>
      <c r="B20" s="271"/>
      <c r="C20"/>
    </row>
    <row r="21" spans="1:3" ht="15.5" x14ac:dyDescent="0.35">
      <c r="A21" s="17" t="s">
        <v>575</v>
      </c>
      <c r="B21" s="213">
        <f>Assumptions!E302</f>
        <v>180742.1058646311</v>
      </c>
      <c r="C21"/>
    </row>
    <row r="22" spans="1:3" ht="15.5" x14ac:dyDescent="0.35">
      <c r="A22" s="17" t="s">
        <v>362</v>
      </c>
      <c r="B22" s="272">
        <f>B11</f>
        <v>2.7</v>
      </c>
      <c r="C22"/>
    </row>
    <row r="23" spans="1:3" ht="15.5" x14ac:dyDescent="0.35">
      <c r="A23" s="17" t="s">
        <v>576</v>
      </c>
      <c r="B23" s="209">
        <f>B21/B22</f>
        <v>66941.520690604113</v>
      </c>
      <c r="C23"/>
    </row>
    <row r="24" spans="1:3" ht="15.5" x14ac:dyDescent="0.35">
      <c r="A24" s="17"/>
      <c r="B24" s="273"/>
      <c r="C24"/>
    </row>
    <row r="25" spans="1:3" ht="15.5" x14ac:dyDescent="0.35">
      <c r="A25" s="17" t="s">
        <v>370</v>
      </c>
      <c r="B25" s="214">
        <f>(B18*B19)/B23</f>
        <v>974.57644436050487</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884.9809708696605</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291199394.71243215</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199892.20385809816</v>
      </c>
      <c r="C36"/>
    </row>
    <row r="37" spans="1:3" ht="15.5" x14ac:dyDescent="0.35">
      <c r="A37" s="17" t="str">
        <f>A11</f>
        <v>Assumed average occupancy rate per household</v>
      </c>
      <c r="B37" s="210">
        <f>B11</f>
        <v>2.7</v>
      </c>
      <c r="C37"/>
    </row>
    <row r="38" spans="1:3" ht="15.5" x14ac:dyDescent="0.35">
      <c r="A38" s="17" t="s">
        <v>372</v>
      </c>
      <c r="B38" s="209">
        <f>B36/B37</f>
        <v>74034.149577073389</v>
      </c>
      <c r="C38"/>
    </row>
    <row r="39" spans="1:3" ht="15.5" x14ac:dyDescent="0.35">
      <c r="A39" s="17"/>
      <c r="B39" s="270"/>
      <c r="C39"/>
    </row>
    <row r="40" spans="1:3" ht="15.5" x14ac:dyDescent="0.35">
      <c r="A40" s="17" t="s">
        <v>374</v>
      </c>
      <c r="B40" s="214">
        <f>(B33*B34)/B38</f>
        <v>2753.3182654647085</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2041.0283017998938</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1040350265.490657</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244494.38663439464</v>
      </c>
      <c r="C51"/>
    </row>
    <row r="52" spans="1:3" ht="15.5" x14ac:dyDescent="0.35">
      <c r="A52" s="17" t="str">
        <f>A37</f>
        <v>Assumed average occupancy rate per household</v>
      </c>
      <c r="B52" s="275">
        <v>2.7</v>
      </c>
      <c r="C52"/>
    </row>
    <row r="53" spans="1:3" ht="15.5" x14ac:dyDescent="0.35">
      <c r="A53" s="17" t="s">
        <v>380</v>
      </c>
      <c r="B53" s="209">
        <f>B51/B52</f>
        <v>90553.476531257271</v>
      </c>
      <c r="C53"/>
    </row>
    <row r="54" spans="1:3" ht="15.5" x14ac:dyDescent="0.35">
      <c r="A54" s="17"/>
      <c r="B54" s="270"/>
      <c r="C54"/>
    </row>
    <row r="55" spans="1:3" ht="15.5" x14ac:dyDescent="0.35">
      <c r="A55" s="17" t="s">
        <v>381</v>
      </c>
      <c r="B55" s="214">
        <f>(B48*B49)/B53</f>
        <v>8042.1560136576754</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4012.0068855158729</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1469.2145170146591</v>
      </c>
      <c r="C64" s="287">
        <f ca="1">NPC!B30</f>
        <v>1698.6954648904125</v>
      </c>
    </row>
    <row r="66" spans="1:5" ht="15.5" x14ac:dyDescent="0.35">
      <c r="B66" s="111">
        <v>2022</v>
      </c>
      <c r="C66" s="111">
        <v>2024</v>
      </c>
      <c r="D66" s="111">
        <v>2034</v>
      </c>
      <c r="E66" s="111">
        <v>2054</v>
      </c>
    </row>
    <row r="67" spans="1:5" ht="15.5" x14ac:dyDescent="0.35">
      <c r="A67" s="245" t="s">
        <v>373</v>
      </c>
      <c r="B67" s="276">
        <f>'Model outputs'!B14</f>
        <v>869.927765051758</v>
      </c>
      <c r="C67" s="276">
        <f>'Model outputs'!B25</f>
        <v>974.57644436050487</v>
      </c>
      <c r="D67" s="276">
        <f>'Model outputs'!B40</f>
        <v>2753.3182654647085</v>
      </c>
      <c r="E67" s="1">
        <f>'Model outputs'!B55</f>
        <v>8042.1560136576754</v>
      </c>
    </row>
    <row r="68" spans="1:5" ht="15.5" x14ac:dyDescent="0.35">
      <c r="A68" s="245" t="s">
        <v>561</v>
      </c>
      <c r="B68" s="267">
        <f>B14</f>
        <v>869.927765051758</v>
      </c>
      <c r="C68" s="267">
        <f>B29</f>
        <v>884.9809708696605</v>
      </c>
      <c r="D68" s="267">
        <f>B44</f>
        <v>2041.0283017998938</v>
      </c>
      <c r="E68" s="267">
        <f>B59</f>
        <v>4012.0068855158729</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76377283.789999992</v>
      </c>
      <c r="AM80" s="89">
        <f t="shared" ref="AM80" si="30">SUBTOTAL(9, AM12:AM79)</f>
        <v>76527000</v>
      </c>
      <c r="AN80" s="89"/>
      <c r="AO80" s="89">
        <f>SUBTOTAL(9, AO12:AO79)</f>
        <v>81533000</v>
      </c>
      <c r="AP80" s="89">
        <f t="shared" ref="AP80" si="31">SUBTOTAL(9, AP12:AP79)</f>
        <v>75755000</v>
      </c>
      <c r="AQ80" s="89">
        <f>SUBTOTAL(9, AQ12:AQ79)</f>
        <v>87182000</v>
      </c>
      <c r="AR80" s="89"/>
      <c r="AS80" s="89"/>
      <c r="AT80" s="89"/>
      <c r="AU80" s="89"/>
      <c r="AV80" s="79">
        <f>SUBTOTAL(9, AV12:AV79)</f>
        <v>88030203.240670174</v>
      </c>
      <c r="AW80" s="79">
        <f>SUBTOTAL(9, AW12:AW79)</f>
        <v>5169267.0660928627</v>
      </c>
      <c r="AX80" s="79">
        <f>SUBTOTAL(9, AX12:AX78)</f>
        <v>93199470.306763038</v>
      </c>
      <c r="AY80" s="79">
        <f t="shared" ref="AY80:BV80" si="32">SUBTOTAL(9, AY12:AY79)</f>
        <v>68040000</v>
      </c>
      <c r="AZ80" s="79">
        <f t="shared" si="32"/>
        <v>48278480.812090851</v>
      </c>
      <c r="BA80" s="79">
        <f>SUBTOTAL(9, BA12:BA79)</f>
        <v>67315000</v>
      </c>
      <c r="BB80" s="79">
        <f t="shared" ref="BB80:BC80" si="33">SUBTOTAL(9, BB12:BB79)</f>
        <v>59304000</v>
      </c>
      <c r="BC80" s="79">
        <f t="shared" si="33"/>
        <v>66920000</v>
      </c>
      <c r="BD80" s="79"/>
      <c r="BE80" s="79"/>
      <c r="BF80" s="79">
        <f t="shared" ref="BF80" si="34">SUBTOTAL(9, BF12:BF79)</f>
        <v>63163522.07454817</v>
      </c>
      <c r="BG80" s="79"/>
      <c r="BH80" s="79">
        <f>SUBTOTAL(9, BH12:BH78)</f>
        <v>71663430.4943178</v>
      </c>
      <c r="BI80" s="24"/>
      <c r="BJ80" s="79">
        <f t="shared" si="32"/>
        <v>4035000</v>
      </c>
      <c r="BK80" s="79">
        <f t="shared" si="32"/>
        <v>5245000</v>
      </c>
      <c r="BL80" s="79"/>
      <c r="BM80" s="79">
        <f>SUBTOTAL(9, BM12:BM79)</f>
        <v>2350236483.0822387</v>
      </c>
      <c r="BN80" s="79">
        <f t="shared" si="32"/>
        <v>5585493500.9075146</v>
      </c>
      <c r="BO80" s="79">
        <f t="shared" si="32"/>
        <v>5080611472.5916662</v>
      </c>
      <c r="BP80" s="79">
        <f t="shared" si="32"/>
        <v>2466593726.3522806</v>
      </c>
      <c r="BQ80" s="79">
        <f t="shared" si="32"/>
        <v>3319911825.3942366</v>
      </c>
      <c r="BR80" s="79">
        <f t="shared" si="32"/>
        <v>2893252775.8732586</v>
      </c>
      <c r="BS80" s="79">
        <f t="shared" si="32"/>
        <v>41577961.065158509</v>
      </c>
      <c r="BT80" s="79">
        <f t="shared" si="32"/>
        <v>174194</v>
      </c>
      <c r="BU80" s="79">
        <f t="shared" si="32"/>
        <v>173018</v>
      </c>
      <c r="BV80" s="81">
        <f t="shared" si="32"/>
        <v>173606</v>
      </c>
      <c r="BW80" s="82">
        <f>((BX80/BV80)^(1/BX1))-1</f>
        <v>1.0121585689083057E-2</v>
      </c>
      <c r="BX80" s="81">
        <f>SUBTOTAL(109, BX12:BX79)</f>
        <v>234841.19698063488</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AH/0jFvsIOVP3zqTBZJB8wClns4Hf32jGAuwwmEpbdyKNZ9S7Zb6CMXlVAi6CGuNTT92KRkZ/X1qnClQqyF8hg==" saltValue="Y+SEsLpTV7YFJIW7sWXYaw==" spinCount="100000" sheet="1" objects="1" scenarios="1"/>
  <autoFilter ref="A9:BY78" xr:uid="{EF67D162-69F8-4B24-B62E-28ABFE5E44B1}">
    <filterColumn colId="32">
      <filters>
        <filter val="F"/>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activeCell="C19" sqref="C19"/>
      <selection pane="topRight" activeCell="C19" sqref="C19"/>
      <selection pane="bottomLeft" activeCell="C19" sqref="C19"/>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300"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300" t="s">
        <v>227</v>
      </c>
      <c r="C7" s="112" t="s">
        <v>228</v>
      </c>
      <c r="E7" s="1"/>
    </row>
    <row r="8" spans="1:42" ht="21" x14ac:dyDescent="0.5">
      <c r="A8" s="19" t="s">
        <v>548</v>
      </c>
      <c r="B8" s="260">
        <v>0.01</v>
      </c>
      <c r="C8" s="112" t="s">
        <v>523</v>
      </c>
      <c r="E8" s="1"/>
    </row>
    <row r="9" spans="1:42" ht="21" x14ac:dyDescent="0.5">
      <c r="A9" s="19" t="s">
        <v>547</v>
      </c>
      <c r="B9" s="299"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1.0121585689083057E-2</v>
      </c>
      <c r="C28" s="234">
        <f t="shared" ref="C28:AP28" si="6">(1+$B$28)^C17</f>
        <v>1.0203456178750276</v>
      </c>
      <c r="D28" s="231">
        <f t="shared" si="6"/>
        <v>1.0306731334788302</v>
      </c>
      <c r="E28" s="231">
        <f t="shared" si="6"/>
        <v>1.0411051799167719</v>
      </c>
      <c r="F28" s="231">
        <f t="shared" si="6"/>
        <v>1.0516428152066477</v>
      </c>
      <c r="G28" s="231">
        <f t="shared" si="6"/>
        <v>1.0622871080750704</v>
      </c>
      <c r="H28" s="231">
        <f t="shared" si="6"/>
        <v>1.0730391380658606</v>
      </c>
      <c r="I28" s="231">
        <f t="shared" si="6"/>
        <v>1.0838999956495339</v>
      </c>
      <c r="J28" s="231">
        <f t="shared" si="6"/>
        <v>1.0948707823338975</v>
      </c>
      <c r="K28" s="231">
        <f t="shared" si="6"/>
        <v>1.1059526107757633</v>
      </c>
      <c r="L28" s="231">
        <f t="shared" si="6"/>
        <v>1.1171466048937955</v>
      </c>
      <c r="M28" s="231">
        <f t="shared" si="6"/>
        <v>1.1284538999824962</v>
      </c>
      <c r="N28" s="231">
        <f t="shared" si="6"/>
        <v>1.1398756428273491</v>
      </c>
      <c r="O28" s="231">
        <f t="shared" si="6"/>
        <v>1.1514129918211247</v>
      </c>
      <c r="P28" s="231">
        <f t="shared" si="6"/>
        <v>1.1630671170813658</v>
      </c>
      <c r="Q28" s="231">
        <f t="shared" si="6"/>
        <v>1.1748392005690595</v>
      </c>
      <c r="R28" s="231">
        <f t="shared" si="6"/>
        <v>1.1867304362085132</v>
      </c>
      <c r="S28" s="231">
        <f t="shared" si="6"/>
        <v>1.1987420300084406</v>
      </c>
      <c r="T28" s="231">
        <f t="shared" si="6"/>
        <v>1.2108752001842764</v>
      </c>
      <c r="U28" s="231">
        <f t="shared" si="6"/>
        <v>1.2231311772817273</v>
      </c>
      <c r="V28" s="231">
        <f t="shared" si="6"/>
        <v>1.2355112043015732</v>
      </c>
      <c r="W28" s="231">
        <f t="shared" si="6"/>
        <v>1.2480165368257339</v>
      </c>
      <c r="X28" s="231">
        <f t="shared" si="6"/>
        <v>1.2606484431446083</v>
      </c>
      <c r="Y28" s="231">
        <f t="shared" si="6"/>
        <v>1.2734082043857056</v>
      </c>
      <c r="Z28" s="231">
        <f t="shared" si="6"/>
        <v>1.2862971146435769</v>
      </c>
      <c r="AA28" s="231">
        <f t="shared" si="6"/>
        <v>1.299316481111062</v>
      </c>
      <c r="AB28" s="231">
        <f t="shared" si="6"/>
        <v>1.3124676242118658</v>
      </c>
      <c r="AC28" s="231">
        <f t="shared" si="6"/>
        <v>1.3257518777344734</v>
      </c>
      <c r="AD28" s="231">
        <f t="shared" si="6"/>
        <v>1.3391705889674257</v>
      </c>
      <c r="AE28" s="231">
        <f t="shared" si="6"/>
        <v>1.3527251188359593</v>
      </c>
      <c r="AF28" s="231">
        <f t="shared" si="6"/>
        <v>1.3664168420400327</v>
      </c>
      <c r="AG28" s="231">
        <f t="shared" si="6"/>
        <v>1.380247147193747</v>
      </c>
      <c r="AH28" s="231">
        <f t="shared" si="6"/>
        <v>1.3942174369661808</v>
      </c>
      <c r="AI28" s="231">
        <f t="shared" si="6"/>
        <v>1.4083291282236481</v>
      </c>
      <c r="AJ28" s="231">
        <f t="shared" si="6"/>
        <v>1.4225836521733952</v>
      </c>
      <c r="AK28" s="231">
        <f t="shared" si="6"/>
        <v>1.4369824545087571</v>
      </c>
      <c r="AL28" s="231">
        <f t="shared" si="6"/>
        <v>1.4515269955557764</v>
      </c>
      <c r="AM28" s="231">
        <f t="shared" si="6"/>
        <v>1.4662187504213116</v>
      </c>
      <c r="AN28" s="231">
        <f t="shared" si="6"/>
        <v>1.4810592091426413</v>
      </c>
      <c r="AO28" s="231">
        <f t="shared" si="6"/>
        <v>1.4960498768385839</v>
      </c>
      <c r="AP28" s="172">
        <f t="shared" si="6"/>
        <v>1.5111922738621479</v>
      </c>
    </row>
    <row r="29" spans="1:42" ht="15" customHeight="1" x14ac:dyDescent="0.35">
      <c r="A29" s="17" t="s">
        <v>244</v>
      </c>
      <c r="B29" s="171"/>
      <c r="C29" s="234"/>
      <c r="D29" s="231"/>
      <c r="E29" s="235">
        <v>1</v>
      </c>
      <c r="F29" s="235">
        <f t="shared" ref="F29:AP29" si="7">E29*(1+$B$28)</f>
        <v>1.0101215856890831</v>
      </c>
      <c r="G29" s="235">
        <f t="shared" si="7"/>
        <v>1.0203456178750276</v>
      </c>
      <c r="H29" s="235">
        <f t="shared" si="7"/>
        <v>1.0306731334788302</v>
      </c>
      <c r="I29" s="235">
        <f t="shared" si="7"/>
        <v>1.0411051799167719</v>
      </c>
      <c r="J29" s="235">
        <f t="shared" si="7"/>
        <v>1.0516428152066477</v>
      </c>
      <c r="K29" s="235">
        <f t="shared" si="7"/>
        <v>1.0622871080750704</v>
      </c>
      <c r="L29" s="235">
        <f t="shared" si="7"/>
        <v>1.0730391380658606</v>
      </c>
      <c r="M29" s="235">
        <f t="shared" si="7"/>
        <v>1.0838999956495341</v>
      </c>
      <c r="N29" s="235">
        <f t="shared" si="7"/>
        <v>1.0948707823338977</v>
      </c>
      <c r="O29" s="235">
        <f t="shared" si="7"/>
        <v>1.1059526107757636</v>
      </c>
      <c r="P29" s="235">
        <f t="shared" si="7"/>
        <v>1.1171466048937955</v>
      </c>
      <c r="Q29" s="235">
        <f t="shared" si="7"/>
        <v>1.1284538999824962</v>
      </c>
      <c r="R29" s="235">
        <f t="shared" si="7"/>
        <v>1.1398756428273491</v>
      </c>
      <c r="S29" s="235">
        <f t="shared" si="7"/>
        <v>1.1514129918211247</v>
      </c>
      <c r="T29" s="235">
        <f t="shared" si="7"/>
        <v>1.1630671170813656</v>
      </c>
      <c r="U29" s="235">
        <f t="shared" si="7"/>
        <v>1.1748392005690593</v>
      </c>
      <c r="V29" s="235">
        <f t="shared" si="7"/>
        <v>1.1867304362085129</v>
      </c>
      <c r="W29" s="235">
        <f t="shared" si="7"/>
        <v>1.1987420300084404</v>
      </c>
      <c r="X29" s="235">
        <f t="shared" si="7"/>
        <v>1.2108752001842762</v>
      </c>
      <c r="Y29" s="235">
        <f t="shared" si="7"/>
        <v>1.223131177281727</v>
      </c>
      <c r="Z29" s="235">
        <f t="shared" si="7"/>
        <v>1.235511204301573</v>
      </c>
      <c r="AA29" s="235">
        <f t="shared" si="7"/>
        <v>1.2480165368257337</v>
      </c>
      <c r="AB29" s="235">
        <f t="shared" si="7"/>
        <v>1.2606484431446081</v>
      </c>
      <c r="AC29" s="235">
        <f t="shared" si="7"/>
        <v>1.2734082043857053</v>
      </c>
      <c r="AD29" s="235">
        <f t="shared" si="7"/>
        <v>1.2862971146435767</v>
      </c>
      <c r="AE29" s="235">
        <f t="shared" si="7"/>
        <v>1.299316481111062</v>
      </c>
      <c r="AF29" s="235">
        <f t="shared" si="7"/>
        <v>1.3124676242118656</v>
      </c>
      <c r="AG29" s="235">
        <f t="shared" si="7"/>
        <v>1.3257518777344732</v>
      </c>
      <c r="AH29" s="235">
        <f t="shared" si="7"/>
        <v>1.3391705889674255</v>
      </c>
      <c r="AI29" s="235">
        <f t="shared" si="7"/>
        <v>1.352725118835959</v>
      </c>
      <c r="AJ29" s="235">
        <f t="shared" si="7"/>
        <v>1.3664168420400322</v>
      </c>
      <c r="AK29" s="235">
        <f t="shared" si="7"/>
        <v>1.3802471471937467</v>
      </c>
      <c r="AL29" s="235">
        <f t="shared" si="7"/>
        <v>1.3942174369661806</v>
      </c>
      <c r="AM29" s="235">
        <f t="shared" si="7"/>
        <v>1.4083291282236476</v>
      </c>
      <c r="AN29" s="235">
        <f t="shared" si="7"/>
        <v>1.422583652173395</v>
      </c>
      <c r="AO29" s="235">
        <f t="shared" si="7"/>
        <v>1.4369824545087568</v>
      </c>
      <c r="AP29" s="236">
        <f t="shared" si="7"/>
        <v>1.4515269955557761</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2893252775.8732586</v>
      </c>
      <c r="C35" s="196">
        <f>B35*(1+Inflation!Z19)*(1+Inflation!AD19)</f>
        <v>3400778278.2500372</v>
      </c>
      <c r="D35" s="29">
        <f>$C35*D$26</f>
        <v>3686443653.6230407</v>
      </c>
      <c r="E35" s="29">
        <f>$C35*E$26</f>
        <v>3889198054.5723076</v>
      </c>
      <c r="F35" s="29">
        <f>$C35*F$26</f>
        <v>4025319986.482338</v>
      </c>
      <c r="AP35" s="30"/>
    </row>
    <row r="36" spans="1:42" ht="15" customHeight="1" x14ac:dyDescent="0.35">
      <c r="A36" s="17" t="s">
        <v>249</v>
      </c>
      <c r="B36" s="253">
        <f>B35</f>
        <v>2893252775.8732586</v>
      </c>
      <c r="C36" s="196">
        <f>C35</f>
        <v>3400778278.2500372</v>
      </c>
      <c r="D36" s="29">
        <f t="shared" ref="D36:F37" si="8">$C36*D$26</f>
        <v>3686443653.6230407</v>
      </c>
      <c r="E36" s="29">
        <f t="shared" si="8"/>
        <v>3889198054.5723076</v>
      </c>
      <c r="F36" s="29">
        <f t="shared" si="8"/>
        <v>4025319986.482338</v>
      </c>
      <c r="AP36" s="30"/>
    </row>
    <row r="37" spans="1:42" ht="15" customHeight="1" x14ac:dyDescent="0.35">
      <c r="A37" s="17" t="s">
        <v>250</v>
      </c>
      <c r="B37" s="253">
        <f>B36/2</f>
        <v>1446626387.9366293</v>
      </c>
      <c r="C37" s="196">
        <f>C36/2</f>
        <v>1700389139.1250186</v>
      </c>
      <c r="D37" s="29">
        <f t="shared" si="8"/>
        <v>1843221826.8115203</v>
      </c>
      <c r="E37" s="29">
        <f>$C37*E$26</f>
        <v>1944599027.2861538</v>
      </c>
      <c r="F37" s="29">
        <f>$C37*F$26</f>
        <v>2012659993.241169</v>
      </c>
      <c r="AP37" s="30"/>
    </row>
    <row r="38" spans="1:42" ht="15" customHeight="1" x14ac:dyDescent="0.35">
      <c r="A38" s="17"/>
      <c r="B38" s="174"/>
      <c r="C38" s="196"/>
      <c r="AP38" s="30"/>
    </row>
    <row r="39" spans="1:42" ht="15" customHeight="1" x14ac:dyDescent="0.35">
      <c r="A39" s="17" t="s">
        <v>251</v>
      </c>
      <c r="B39" s="301">
        <v>173994318.84000003</v>
      </c>
      <c r="C39" s="295" t="s">
        <v>552</v>
      </c>
      <c r="E39" s="1">
        <v>335331769.43883318</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173606</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3.9955664995236617E-2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6.3920538569867166E-2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6.6284277965729652E-2</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6.6284277965729652E-2</v>
      </c>
      <c r="C56" s="177"/>
      <c r="E56" s="1"/>
      <c r="AP56" s="30"/>
    </row>
    <row r="57" spans="1:42" ht="15" customHeight="1" x14ac:dyDescent="0.35">
      <c r="A57" s="221" t="s">
        <v>533</v>
      </c>
      <c r="B57" s="68">
        <v>0</v>
      </c>
      <c r="C57" s="177"/>
      <c r="E57" s="1"/>
      <c r="AP57" s="30"/>
    </row>
    <row r="58" spans="1:42" ht="15" customHeight="1" x14ac:dyDescent="0.35">
      <c r="A58" s="221" t="s">
        <v>534</v>
      </c>
      <c r="B58" s="68">
        <f>B52</f>
        <v>6.6284277965729652E-2</v>
      </c>
      <c r="C58" s="177"/>
      <c r="E58" s="1"/>
      <c r="AP58" s="30"/>
    </row>
    <row r="59" spans="1:42" ht="15" customHeight="1" x14ac:dyDescent="0.35">
      <c r="A59" s="221" t="s">
        <v>535</v>
      </c>
      <c r="B59" s="68">
        <v>0</v>
      </c>
      <c r="C59" s="177"/>
      <c r="E59" s="1"/>
      <c r="AP59" s="30"/>
    </row>
    <row r="60" spans="1:42" ht="15" customHeight="1" x14ac:dyDescent="0.35">
      <c r="A60" s="221" t="s">
        <v>536</v>
      </c>
      <c r="B60" s="68">
        <f>B52</f>
        <v>6.6284277965729652E-2</v>
      </c>
      <c r="C60" s="177"/>
      <c r="E60" s="1"/>
      <c r="AP60" s="30"/>
    </row>
    <row r="61" spans="1:42" ht="15" customHeight="1" x14ac:dyDescent="0.35">
      <c r="A61" s="221" t="s">
        <v>537</v>
      </c>
      <c r="B61" s="68">
        <v>0</v>
      </c>
      <c r="C61" s="177"/>
      <c r="E61" s="1"/>
      <c r="AP61" s="30"/>
    </row>
    <row r="62" spans="1:42" ht="15" customHeight="1" x14ac:dyDescent="0.35">
      <c r="A62" s="222" t="s">
        <v>538</v>
      </c>
      <c r="B62" s="68">
        <f>B49</f>
        <v>6.3920538569867166E-2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15546089.269795327</v>
      </c>
      <c r="C66" s="294" t="s">
        <v>552</v>
      </c>
      <c r="E66" s="1"/>
      <c r="AP66" s="30"/>
    </row>
    <row r="67" spans="1:42" ht="15" customHeight="1" x14ac:dyDescent="0.35">
      <c r="A67" s="178" t="s">
        <v>259</v>
      </c>
      <c r="B67" s="174">
        <v>39955664.99523662</v>
      </c>
      <c r="C67" s="294" t="s">
        <v>552</v>
      </c>
      <c r="E67" s="1"/>
      <c r="AP67" s="30"/>
    </row>
    <row r="68" spans="1:42" ht="15" customHeight="1" x14ac:dyDescent="0.35">
      <c r="A68" s="178" t="s">
        <v>260</v>
      </c>
      <c r="B68" s="174">
        <f>B66+B67</f>
        <v>55501754.265031949</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9942641.694859447</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65444395.959891394</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65444395.959891394</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173606</v>
      </c>
      <c r="C88" s="196"/>
      <c r="AP88" s="30"/>
    </row>
    <row r="89" spans="1:42" ht="15" customHeight="1" x14ac:dyDescent="0.35">
      <c r="A89" s="17" t="s">
        <v>255</v>
      </c>
      <c r="B89" s="46">
        <v>4344965.8520436771</v>
      </c>
      <c r="C89" s="196"/>
      <c r="AP89" s="30"/>
    </row>
    <row r="90" spans="1:42" ht="15" customHeight="1" x14ac:dyDescent="0.35">
      <c r="A90" s="17" t="s">
        <v>256</v>
      </c>
      <c r="B90" s="68">
        <f>B88/B89</f>
        <v>3.9955664995236617E-2</v>
      </c>
      <c r="C90" s="196"/>
      <c r="AP90" s="30"/>
    </row>
    <row r="91" spans="1:42" ht="15" customHeight="1" x14ac:dyDescent="0.35">
      <c r="A91" s="17"/>
      <c r="B91" s="174"/>
      <c r="C91" s="196"/>
      <c r="AP91" s="30"/>
    </row>
    <row r="92" spans="1:42" ht="15" customHeight="1" x14ac:dyDescent="0.35">
      <c r="A92" s="17" t="s">
        <v>266</v>
      </c>
      <c r="B92" s="254">
        <f>B86*B90</f>
        <v>39955664.99523662</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7991132.9990473241</v>
      </c>
      <c r="G94" s="1">
        <f>$B$92/$B$93</f>
        <v>7991132.9990473241</v>
      </c>
      <c r="H94" s="1">
        <f>$B$92/$B$93</f>
        <v>7991132.9990473241</v>
      </c>
      <c r="I94" s="1">
        <f t="shared" ref="I94:J94" si="10">$B$92/$B$93</f>
        <v>7991132.9990473241</v>
      </c>
      <c r="J94" s="1">
        <f t="shared" si="10"/>
        <v>7991132.9990473241</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1.1399999999999999</v>
      </c>
      <c r="C99" s="295" t="s">
        <v>552</v>
      </c>
      <c r="AP99" s="30"/>
    </row>
    <row r="100" spans="1:42" ht="15" customHeight="1" thickBot="1" x14ac:dyDescent="0.4">
      <c r="A100" s="17" t="s">
        <v>273</v>
      </c>
      <c r="B100" s="253">
        <f>Data!AL80</f>
        <v>76377283.789999992</v>
      </c>
      <c r="C100" s="1">
        <f>Data!AO80</f>
        <v>81533000</v>
      </c>
      <c r="E100" s="6">
        <f>Data!AX80</f>
        <v>93199470.306763038</v>
      </c>
      <c r="AP100" s="30"/>
    </row>
    <row r="101" spans="1:42" ht="15" customHeight="1" x14ac:dyDescent="0.35">
      <c r="A101" t="s">
        <v>586</v>
      </c>
      <c r="B101" s="174"/>
      <c r="E101" s="6">
        <f>(1+B99)*E100</f>
        <v>199446866.45647287</v>
      </c>
      <c r="G101" s="403" t="s">
        <v>274</v>
      </c>
      <c r="H101" s="404"/>
      <c r="AP101" s="30"/>
    </row>
    <row r="102" spans="1:42" ht="15" customHeight="1" x14ac:dyDescent="0.35">
      <c r="A102" s="17" t="s">
        <v>275</v>
      </c>
      <c r="B102" s="253">
        <f>Data!AZ80</f>
        <v>48278480.812090851</v>
      </c>
      <c r="C102" s="1">
        <f>Data!BA80</f>
        <v>67315000</v>
      </c>
      <c r="E102" s="6">
        <f>Data!BH80*E22</f>
        <v>78918636.197562531</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-0.61553582527871264</v>
      </c>
      <c r="C121" s="180" t="s">
        <v>552</v>
      </c>
      <c r="AP121" s="30"/>
    </row>
    <row r="122" spans="1:42" ht="15" customHeight="1" x14ac:dyDescent="0.35">
      <c r="A122" s="17" t="s">
        <v>283</v>
      </c>
      <c r="B122" s="171">
        <v>-0.25317410661725892</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-0.32564645034954964</v>
      </c>
      <c r="AP124" s="30"/>
    </row>
    <row r="125" spans="1:42" ht="15" customHeight="1" x14ac:dyDescent="0.35">
      <c r="A125" s="179" t="str">
        <f>$B$321</f>
        <v>1 CSE - Best case</v>
      </c>
      <c r="B125" s="171">
        <f t="shared" ref="B125:B126" si="16">$B$122+($B$121-$B$122)*B130</f>
        <v>-0.39811879408184042</v>
      </c>
      <c r="AP125" s="30"/>
    </row>
    <row r="126" spans="1:42" ht="15" customHeight="1" x14ac:dyDescent="0.35">
      <c r="A126" s="179" t="str">
        <f>$B$322</f>
        <v>4 CSE - Base case</v>
      </c>
      <c r="B126" s="171">
        <f t="shared" si="16"/>
        <v>-0.43435496594798578</v>
      </c>
      <c r="AP126" s="30"/>
    </row>
    <row r="127" spans="1:42" ht="15" customHeight="1" x14ac:dyDescent="0.35">
      <c r="A127" s="179" t="str">
        <f>$B$323</f>
        <v>4 CSE - Best case</v>
      </c>
      <c r="B127" s="171">
        <f>$B$122+($B$121-$B$122)*B132</f>
        <v>-0.54306348154642192</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-0.30936412783207212</v>
      </c>
      <c r="C134" s="180"/>
      <c r="AP134" s="30"/>
    </row>
    <row r="135" spans="1:42" ht="15" customHeight="1" x14ac:dyDescent="0.35">
      <c r="A135" s="179" t="str">
        <f>B319</f>
        <v>No centralised services entity (CSE)</v>
      </c>
      <c r="B135" s="187">
        <f>B122</f>
        <v>-0.25317410661725892</v>
      </c>
      <c r="AP135" s="30"/>
    </row>
    <row r="136" spans="1:42" ht="15" customHeight="1" x14ac:dyDescent="0.35">
      <c r="A136" s="179" t="str">
        <f>$B$320</f>
        <v>1 CSE - Base case</v>
      </c>
      <c r="B136" s="187">
        <f>B124*B116</f>
        <v>-0.30936412783207212</v>
      </c>
      <c r="AP136" s="30"/>
    </row>
    <row r="137" spans="1:42" ht="15" customHeight="1" x14ac:dyDescent="0.35">
      <c r="A137" s="179" t="str">
        <f>$B$321</f>
        <v>1 CSE - Best case</v>
      </c>
      <c r="B137" s="185">
        <f>B125*B117</f>
        <v>-0.3881658242297944</v>
      </c>
      <c r="AP137" s="30"/>
    </row>
    <row r="138" spans="1:42" ht="15" customHeight="1" x14ac:dyDescent="0.35">
      <c r="A138" s="179" t="str">
        <f>$B$322</f>
        <v>4 CSE - Base case</v>
      </c>
      <c r="B138" s="185">
        <f t="shared" ref="B138:B139" si="17">B126*B118</f>
        <v>-0.39091946935318722</v>
      </c>
      <c r="AP138" s="30"/>
    </row>
    <row r="139" spans="1:42" ht="15" customHeight="1" thickBot="1" x14ac:dyDescent="0.4">
      <c r="A139" s="179" t="str">
        <f>$B$323</f>
        <v>4 CSE - Best case</v>
      </c>
      <c r="B139" s="185">
        <f t="shared" si="17"/>
        <v>-0.51591030746910083</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-0.25129660624708</v>
      </c>
      <c r="C141" s="180"/>
      <c r="F141" t="s">
        <v>550</v>
      </c>
      <c r="AP141" s="30"/>
    </row>
    <row r="142" spans="1:42" ht="15" customHeight="1" x14ac:dyDescent="0.35">
      <c r="A142" s="179" t="str">
        <f>B319</f>
        <v>No centralised services entity (CSE)</v>
      </c>
      <c r="B142" s="187">
        <v>-0.20565342927247368</v>
      </c>
      <c r="C142" s="180" t="s">
        <v>552</v>
      </c>
      <c r="AP142" s="30"/>
    </row>
    <row r="143" spans="1:42" ht="15" customHeight="1" x14ac:dyDescent="0.35">
      <c r="A143" s="179" t="str">
        <f>$B$320</f>
        <v>1 CSE - Base case</v>
      </c>
      <c r="B143" s="187">
        <f>($B$142+($D$140-$B$142)*B148)*B116</f>
        <v>-0.25129660624708</v>
      </c>
      <c r="C143" s="180"/>
      <c r="D143" s="181"/>
      <c r="AP143" s="30"/>
    </row>
    <row r="144" spans="1:42" ht="15" customHeight="1" x14ac:dyDescent="0.35">
      <c r="A144" s="179" t="str">
        <f>$B$321</f>
        <v>1 CSE - Best case</v>
      </c>
      <c r="B144" s="187">
        <f>($B$142+($D$140-$B$142)*B149)*B117</f>
        <v>-0.31530725612439708</v>
      </c>
      <c r="C144" s="180"/>
      <c r="AP144" s="30"/>
    </row>
    <row r="145" spans="1:42" ht="15" customHeight="1" x14ac:dyDescent="0.35">
      <c r="A145" s="179" t="str">
        <f>$B$322</f>
        <v>4 CSE - Base case</v>
      </c>
      <c r="B145" s="187">
        <f>($B$142+($D$140-$B$142)*B150)*B118</f>
        <v>-0.31754404317261314</v>
      </c>
      <c r="C145" s="180"/>
      <c r="AP145" s="30"/>
    </row>
    <row r="146" spans="1:42" ht="15" customHeight="1" x14ac:dyDescent="0.35">
      <c r="A146" s="179" t="str">
        <f>$B$323</f>
        <v>4 CSE - Best case</v>
      </c>
      <c r="B146" s="187">
        <f>($B$142+($D$140-$B$142)*B151)*B119</f>
        <v>-0.41907415156177003</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-0.41907415156177003</v>
      </c>
      <c r="C153" s="180"/>
      <c r="AP153" s="30"/>
    </row>
    <row r="154" spans="1:42" ht="15" customHeight="1" x14ac:dyDescent="0.35">
      <c r="A154" s="179" t="str">
        <f>B319</f>
        <v>No centralised services entity (CSE)</v>
      </c>
      <c r="B154" s="187">
        <v>-0.20565342927247368</v>
      </c>
      <c r="C154" s="180" t="s">
        <v>552</v>
      </c>
      <c r="AP154" s="30"/>
    </row>
    <row r="155" spans="1:42" ht="15" customHeight="1" x14ac:dyDescent="0.35">
      <c r="A155" s="179" t="str">
        <f>$B$320</f>
        <v>1 CSE - Base case</v>
      </c>
      <c r="B155" s="187">
        <f>($B$154+($D$140-$B$154)*B160)*B116</f>
        <v>-0.41907415156177003</v>
      </c>
      <c r="C155" s="180"/>
      <c r="D155" s="20"/>
      <c r="AP155" s="30"/>
    </row>
    <row r="156" spans="1:42" ht="15" customHeight="1" x14ac:dyDescent="0.35">
      <c r="A156" s="179" t="str">
        <f>$B$321</f>
        <v>1 CSE - Best case</v>
      </c>
      <c r="B156" s="187">
        <f>($B$154+($D$140-$B$154)*B161)*B117</f>
        <v>-0.45880120935406621</v>
      </c>
      <c r="C156" s="180"/>
      <c r="AP156" s="30"/>
    </row>
    <row r="157" spans="1:42" ht="15" customHeight="1" x14ac:dyDescent="0.35">
      <c r="A157" s="179" t="str">
        <f>$B$322</f>
        <v>4 CSE - Base case</v>
      </c>
      <c r="B157" s="187">
        <f>($B$154+($D$140-$B$154)*B162)*B118</f>
        <v>-0.39701761726904533</v>
      </c>
      <c r="C157" s="180"/>
      <c r="AP157" s="30"/>
    </row>
    <row r="158" spans="1:42" ht="15" customHeight="1" x14ac:dyDescent="0.35">
      <c r="A158" s="179" t="str">
        <f>$B$323</f>
        <v>4 CSE - Best case</v>
      </c>
      <c r="B158" s="187">
        <f>($B$154+($D$140-$B$154)*B163)*B119</f>
        <v>-0.44703707578088497</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173606</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0.21700749999999999</v>
      </c>
      <c r="AP171" s="30"/>
    </row>
    <row r="172" spans="1:42" ht="15" customHeight="1" x14ac:dyDescent="0.35">
      <c r="A172" s="51" t="s">
        <v>291</v>
      </c>
      <c r="B172" s="190">
        <f>B165*B167</f>
        <v>-4.0499999999999998E-3</v>
      </c>
      <c r="AP172" s="30"/>
    </row>
    <row r="173" spans="1:42" ht="15" customHeight="1" x14ac:dyDescent="0.35">
      <c r="A173" s="51" t="s">
        <v>292</v>
      </c>
      <c r="B173" s="190">
        <f>B172*B171</f>
        <v>-8.7888037499999987E-4</v>
      </c>
      <c r="AP173" s="30"/>
    </row>
    <row r="174" spans="1:42" ht="15" customHeight="1" x14ac:dyDescent="0.35">
      <c r="A174" s="51"/>
      <c r="B174" s="28"/>
      <c r="AP174" s="30"/>
    </row>
    <row r="175" spans="1:42" ht="15" customHeight="1" x14ac:dyDescent="0.35">
      <c r="A175" s="262" t="s">
        <v>293</v>
      </c>
      <c r="B175" s="191">
        <f>INDEX(A176:B180,MATCH(B3,A176:A180,0),2)</f>
        <v>-1.5131042999999998E-3</v>
      </c>
      <c r="AP175" s="30"/>
    </row>
    <row r="176" spans="1:42" ht="15" customHeight="1" x14ac:dyDescent="0.35">
      <c r="A176" s="263" t="str">
        <f>B319</f>
        <v>No centralised services entity (CSE)</v>
      </c>
      <c r="B176" s="192">
        <f>B173</f>
        <v>-8.7888037499999987E-4</v>
      </c>
      <c r="C176" s="113"/>
      <c r="AP176" s="30"/>
    </row>
    <row r="177" spans="1:42" ht="15" customHeight="1" x14ac:dyDescent="0.35">
      <c r="A177" s="179" t="str">
        <f>$B$320</f>
        <v>1 CSE - Base case</v>
      </c>
      <c r="B177" s="192">
        <f>($B$173+($B$172-$B$173)*B182)</f>
        <v>-1.5131042999999998E-3</v>
      </c>
      <c r="C177" s="113"/>
      <c r="AP177" s="30"/>
    </row>
    <row r="178" spans="1:42" ht="15" customHeight="1" x14ac:dyDescent="0.35">
      <c r="A178" s="179" t="str">
        <f>$B$321</f>
        <v>1 CSE - Best case</v>
      </c>
      <c r="B178" s="192">
        <f>($B$173+($B$172-$B$173)*B183)</f>
        <v>-2.147328225E-3</v>
      </c>
      <c r="C178" s="113"/>
      <c r="AP178" s="30"/>
    </row>
    <row r="179" spans="1:42" ht="15" customHeight="1" x14ac:dyDescent="0.35">
      <c r="A179" s="179" t="str">
        <f>$B$322</f>
        <v>4 CSE - Base case</v>
      </c>
      <c r="B179" s="192">
        <f>($B$173+($B$172-$B$173)*B184)</f>
        <v>-2.4644401874999999E-3</v>
      </c>
      <c r="C179" s="113"/>
      <c r="AP179" s="30"/>
    </row>
    <row r="180" spans="1:42" ht="15" customHeight="1" x14ac:dyDescent="0.35">
      <c r="A180" s="179" t="str">
        <f>$B$323</f>
        <v>4 CSE - Best case</v>
      </c>
      <c r="B180" s="192">
        <f>($B$173+($B$172-$B$173)*B185)</f>
        <v>-3.4157760749999998E-3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0.69063587216792788</v>
      </c>
      <c r="AP188" s="30"/>
    </row>
    <row r="189" spans="1:42" ht="15" hidden="1" customHeight="1" outlineLevel="1" x14ac:dyDescent="0.35">
      <c r="A189" s="51" t="s">
        <v>111</v>
      </c>
      <c r="B189" s="195">
        <f>B188/B187-1</f>
        <v>-0.30936412783207212</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-0.18561847669924328</v>
      </c>
      <c r="AP192" s="30"/>
    </row>
    <row r="193" spans="1:42" ht="15" hidden="1" customHeight="1" outlineLevel="1" x14ac:dyDescent="0.35">
      <c r="A193" s="51"/>
      <c r="B193" s="195"/>
      <c r="AP193" s="30"/>
    </row>
    <row r="194" spans="1:42" ht="15" hidden="1" customHeight="1" outlineLevel="1" x14ac:dyDescent="0.35">
      <c r="A194" s="51" t="s">
        <v>298</v>
      </c>
      <c r="B194" s="195">
        <f>1+B192</f>
        <v>0.81438152330075675</v>
      </c>
      <c r="AP194" s="30"/>
    </row>
    <row r="195" spans="1:42" ht="15" hidden="1" customHeight="1" outlineLevel="1" x14ac:dyDescent="0.35">
      <c r="A195" s="51" t="s">
        <v>295</v>
      </c>
      <c r="B195" s="195">
        <f>B188</f>
        <v>0.69063587216792788</v>
      </c>
      <c r="C195" s="196"/>
      <c r="AP195" s="30"/>
    </row>
    <row r="196" spans="1:42" ht="15" hidden="1" customHeight="1" outlineLevel="1" x14ac:dyDescent="0.35">
      <c r="A196" s="51" t="s">
        <v>111</v>
      </c>
      <c r="B196" s="195">
        <f>B195/B194-1</f>
        <v>-0.15195046497528253</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-9.1170278985169509E-2</v>
      </c>
      <c r="AP199" s="30"/>
    </row>
    <row r="200" spans="1:42" ht="15" hidden="1" customHeight="1" outlineLevel="1" x14ac:dyDescent="0.35">
      <c r="A200" s="51"/>
      <c r="B200" s="195"/>
      <c r="AP200" s="30"/>
    </row>
    <row r="201" spans="1:42" ht="15" hidden="1" customHeight="1" outlineLevel="1" x14ac:dyDescent="0.35">
      <c r="A201" s="51" t="s">
        <v>300</v>
      </c>
      <c r="B201" s="195">
        <f>(1+B192)*(1+B199)</f>
        <v>0.74013413262105943</v>
      </c>
      <c r="AP201" s="30"/>
    </row>
    <row r="202" spans="1:42" ht="15" hidden="1" customHeight="1" outlineLevel="1" x14ac:dyDescent="0.35">
      <c r="A202" s="51" t="s">
        <v>295</v>
      </c>
      <c r="B202" s="195">
        <f>B195</f>
        <v>0.69063587216792788</v>
      </c>
      <c r="AP202" s="30"/>
    </row>
    <row r="203" spans="1:42" ht="15" hidden="1" customHeight="1" outlineLevel="1" x14ac:dyDescent="0.35">
      <c r="A203" s="51" t="s">
        <v>301</v>
      </c>
      <c r="B203" s="195">
        <f>B202/B201-1</f>
        <v>-6.6877418931946653E-2</v>
      </c>
      <c r="AP203" s="30"/>
    </row>
    <row r="204" spans="1:42" ht="15" hidden="1" customHeight="1" outlineLevel="1" x14ac:dyDescent="0.35">
      <c r="A204" s="51"/>
      <c r="B204" s="195"/>
      <c r="AP204" s="30"/>
    </row>
    <row r="205" spans="1:42" ht="15" customHeight="1" collapsed="1" x14ac:dyDescent="0.35">
      <c r="A205" s="51" t="s">
        <v>302</v>
      </c>
      <c r="B205" s="171">
        <f>((1+B192)^(1/5))-1</f>
        <v>-4.0233510477319712E-2</v>
      </c>
      <c r="AP205" s="30"/>
    </row>
    <row r="206" spans="1:42" ht="15" customHeight="1" x14ac:dyDescent="0.35">
      <c r="A206" s="51" t="s">
        <v>303</v>
      </c>
      <c r="B206" s="171">
        <f>((1+B199)^(1/5))-1</f>
        <v>-1.8937887173292922E-2</v>
      </c>
      <c r="AP206" s="30"/>
    </row>
    <row r="207" spans="1:42" ht="15" customHeight="1" x14ac:dyDescent="0.35">
      <c r="A207" s="51" t="s">
        <v>304</v>
      </c>
      <c r="B207" s="171">
        <f>((1+B203)^(1/5))-1</f>
        <v>-1.3748356683872309E-2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0.74870339375291994</v>
      </c>
      <c r="C211" s="198">
        <f>1+B153</f>
        <v>0.58092584843823003</v>
      </c>
      <c r="AP211" s="30"/>
    </row>
    <row r="212" spans="1:42" ht="15" hidden="1" customHeight="1" outlineLevel="1" x14ac:dyDescent="0.35">
      <c r="A212" s="51" t="s">
        <v>111</v>
      </c>
      <c r="B212" s="171">
        <f>B211/B210-1</f>
        <v>-0.25129660624708006</v>
      </c>
      <c r="C212" s="198">
        <f>C211/C210-1</f>
        <v>-0.41907415156176997</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-0.15077796374824803</v>
      </c>
      <c r="C215" s="198">
        <f>C212*C214</f>
        <v>-0.25144449093706195</v>
      </c>
      <c r="AP215" s="30"/>
    </row>
    <row r="216" spans="1:42" ht="15" hidden="1" customHeight="1" outlineLevel="1" x14ac:dyDescent="0.35">
      <c r="A216" s="51"/>
      <c r="B216" s="171"/>
      <c r="C216" s="198"/>
      <c r="AP216" s="30"/>
    </row>
    <row r="217" spans="1:42" ht="15" hidden="1" customHeight="1" outlineLevel="1" x14ac:dyDescent="0.35">
      <c r="A217" s="51" t="s">
        <v>309</v>
      </c>
      <c r="B217" s="171">
        <f>1+B215</f>
        <v>0.84922203625175197</v>
      </c>
      <c r="C217" s="198">
        <f>1+C215</f>
        <v>0.74855550906293811</v>
      </c>
      <c r="AP217" s="30"/>
    </row>
    <row r="218" spans="1:42" ht="15" hidden="1" customHeight="1" outlineLevel="1" x14ac:dyDescent="0.35">
      <c r="A218" s="51" t="s">
        <v>308</v>
      </c>
      <c r="B218" s="171">
        <f>B211</f>
        <v>0.74870339375291994</v>
      </c>
      <c r="C218" s="198">
        <f>C211</f>
        <v>0.58092584843823003</v>
      </c>
      <c r="AP218" s="30"/>
    </row>
    <row r="219" spans="1:42" ht="15" hidden="1" customHeight="1" outlineLevel="1" x14ac:dyDescent="0.35">
      <c r="A219" s="51" t="s">
        <v>111</v>
      </c>
      <c r="B219" s="171">
        <f>B218/B217-1</f>
        <v>-0.11836556072248838</v>
      </c>
      <c r="C219" s="198">
        <f>C218/C217-1</f>
        <v>-0.22393751511434523</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-7.1019336433493022E-2</v>
      </c>
      <c r="C222" s="198">
        <f>C219*C221</f>
        <v>-0.13436250906860714</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0.78891085075245282</v>
      </c>
      <c r="C224" s="198">
        <f>(1+C215)*(1+C222)</f>
        <v>0.64797771268811322</v>
      </c>
      <c r="AP224" s="30"/>
    </row>
    <row r="225" spans="1:42" ht="15" hidden="1" customHeight="1" outlineLevel="1" x14ac:dyDescent="0.35">
      <c r="A225" s="51" t="s">
        <v>308</v>
      </c>
      <c r="B225" s="171">
        <f>B218</f>
        <v>0.74870339375291994</v>
      </c>
      <c r="C225" s="198">
        <f>C218</f>
        <v>0.58092584843823003</v>
      </c>
      <c r="AP225" s="30"/>
    </row>
    <row r="226" spans="1:42" ht="15" hidden="1" customHeight="1" outlineLevel="1" x14ac:dyDescent="0.35">
      <c r="A226" s="51" t="s">
        <v>301</v>
      </c>
      <c r="B226" s="171">
        <f>B225/B224-1</f>
        <v>-5.0965780178056308E-2</v>
      </c>
      <c r="C226" s="198">
        <f>C225/C224-1</f>
        <v>-0.10347865819600621</v>
      </c>
      <c r="AP226" s="30"/>
    </row>
    <row r="227" spans="1:42" ht="15" hidden="1" customHeight="1" outlineLevel="1" x14ac:dyDescent="0.35">
      <c r="A227" s="51"/>
      <c r="B227" s="171"/>
      <c r="C227" s="198"/>
      <c r="AP227" s="30"/>
    </row>
    <row r="228" spans="1:42" ht="15" customHeight="1" collapsed="1" x14ac:dyDescent="0.35">
      <c r="A228" s="51" t="s">
        <v>311</v>
      </c>
      <c r="B228" s="171">
        <f>((1+B215)^(1/5))-1</f>
        <v>-3.2158476027677518E-2</v>
      </c>
      <c r="C228" s="198">
        <f>((1+C215)^(1/5))-1</f>
        <v>-5.6276429419065743E-2</v>
      </c>
      <c r="AP228" s="30"/>
    </row>
    <row r="229" spans="1:42" ht="15" customHeight="1" x14ac:dyDescent="0.35">
      <c r="A229" s="51" t="s">
        <v>312</v>
      </c>
      <c r="B229" s="171">
        <f>((1+B222)^(1/5))-1</f>
        <v>-1.4625464430673363E-2</v>
      </c>
      <c r="C229" s="198">
        <f>((1+C222)^(1/5))-1</f>
        <v>-2.8445401901050604E-2</v>
      </c>
      <c r="AP229" s="30"/>
    </row>
    <row r="230" spans="1:42" ht="15" customHeight="1" thickBot="1" x14ac:dyDescent="0.4">
      <c r="A230" s="51" t="s">
        <v>313</v>
      </c>
      <c r="B230" s="199">
        <f>((1+B226)^(1/5))-1</f>
        <v>-1.040754719147563E-2</v>
      </c>
      <c r="C230" s="200">
        <f>((1+C226)^(1/5))-1</f>
        <v>-2.1609726711568911E-2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0.95976648952268029</v>
      </c>
      <c r="I232" s="4">
        <f>H232*(1+$B$205)</f>
        <v>0.92115171441068922</v>
      </c>
      <c r="J232" s="4">
        <f>I232*(1+$B$205)</f>
        <v>0.88409054725774572</v>
      </c>
      <c r="K232" s="4">
        <f>J232*(1+$B$205)</f>
        <v>0.84852048096175192</v>
      </c>
      <c r="L232" s="4">
        <f>K232*(1+$B$205)</f>
        <v>0.81438152330075686</v>
      </c>
      <c r="M232" s="4">
        <f>L232*(1+$B$206)</f>
        <v>0.7989588578964727</v>
      </c>
      <c r="N232" s="4">
        <f>M232*(1+$B$206)</f>
        <v>0.78382826518952631</v>
      </c>
      <c r="O232" s="4">
        <f>N232*(1+$B$206)</f>
        <v>0.76898421394012917</v>
      </c>
      <c r="P232" s="4">
        <f>O232*(1+$B$206)</f>
        <v>0.75442127765848765</v>
      </c>
      <c r="Q232" s="4">
        <f>P232*(1+$B$206)</f>
        <v>0.74013413262105976</v>
      </c>
      <c r="R232" s="4">
        <f>Q232*(1+$B$207)</f>
        <v>0.72995850457187694</v>
      </c>
      <c r="S232" s="4">
        <f>R232*(1+$B$207)</f>
        <v>0.71992277468659671</v>
      </c>
      <c r="T232" s="4">
        <f>S232*(1+$B$207)</f>
        <v>0.71002501959536235</v>
      </c>
      <c r="U232" s="4">
        <f>T232*(1+$B$207)</f>
        <v>0.7002633423714919</v>
      </c>
      <c r="V232" s="4">
        <f>U232*(1+$B$207)</f>
        <v>0.69063587216792799</v>
      </c>
      <c r="W232" s="4">
        <f t="shared" ref="W232:AP232" si="18">V232</f>
        <v>0.69063587216792799</v>
      </c>
      <c r="X232" s="4">
        <f t="shared" si="18"/>
        <v>0.69063587216792799</v>
      </c>
      <c r="Y232" s="4">
        <f t="shared" si="18"/>
        <v>0.69063587216792799</v>
      </c>
      <c r="Z232" s="4">
        <f t="shared" si="18"/>
        <v>0.69063587216792799</v>
      </c>
      <c r="AA232" s="4">
        <f t="shared" si="18"/>
        <v>0.69063587216792799</v>
      </c>
      <c r="AB232" s="4">
        <f t="shared" si="18"/>
        <v>0.69063587216792799</v>
      </c>
      <c r="AC232" s="4">
        <f t="shared" si="18"/>
        <v>0.69063587216792799</v>
      </c>
      <c r="AD232" s="4">
        <f t="shared" si="18"/>
        <v>0.69063587216792799</v>
      </c>
      <c r="AE232" s="4">
        <f t="shared" si="18"/>
        <v>0.69063587216792799</v>
      </c>
      <c r="AF232" s="4">
        <f t="shared" si="18"/>
        <v>0.69063587216792799</v>
      </c>
      <c r="AG232" s="4">
        <f t="shared" si="18"/>
        <v>0.69063587216792799</v>
      </c>
      <c r="AH232" s="4">
        <f t="shared" si="18"/>
        <v>0.69063587216792799</v>
      </c>
      <c r="AI232" s="4">
        <f t="shared" si="18"/>
        <v>0.69063587216792799</v>
      </c>
      <c r="AJ232" s="4">
        <f t="shared" si="18"/>
        <v>0.69063587216792799</v>
      </c>
      <c r="AK232" s="4">
        <f t="shared" si="18"/>
        <v>0.69063587216792799</v>
      </c>
      <c r="AL232" s="4">
        <f t="shared" si="18"/>
        <v>0.69063587216792799</v>
      </c>
      <c r="AM232" s="4">
        <f t="shared" si="18"/>
        <v>0.69063587216792799</v>
      </c>
      <c r="AN232" s="4">
        <f t="shared" si="18"/>
        <v>0.69063587216792799</v>
      </c>
      <c r="AO232" s="4">
        <f t="shared" si="18"/>
        <v>0.69063587216792799</v>
      </c>
      <c r="AP232" s="202">
        <f t="shared" si="18"/>
        <v>0.69063587216792799</v>
      </c>
    </row>
    <row r="233" spans="1:42" ht="15" customHeight="1" x14ac:dyDescent="0.35">
      <c r="A233" s="51" t="s">
        <v>315</v>
      </c>
      <c r="B233" s="28">
        <v>1</v>
      </c>
      <c r="C233" s="43">
        <v>1</v>
      </c>
      <c r="D233" s="4">
        <v>1</v>
      </c>
      <c r="E233" s="4">
        <v>1</v>
      </c>
      <c r="F233" s="4">
        <v>1</v>
      </c>
      <c r="G233" s="4">
        <v>1</v>
      </c>
      <c r="H233" s="4">
        <f>G233*(1+$B$228)</f>
        <v>0.96784152397232248</v>
      </c>
      <c r="I233" s="4">
        <f>H233*(1+$B$228)</f>
        <v>0.9367172155250677</v>
      </c>
      <c r="J233" s="4">
        <f>I233*(1+$B$228)</f>
        <v>0.90659381740489198</v>
      </c>
      <c r="K233" s="4">
        <f>J233*(1+$B$228)</f>
        <v>0.87743914186103611</v>
      </c>
      <c r="L233" s="4">
        <f>K233*(1+$B$228)</f>
        <v>0.84922203625175208</v>
      </c>
      <c r="M233" s="4">
        <f>L233*(1+$B$229)</f>
        <v>0.83680176956680807</v>
      </c>
      <c r="N233" s="4">
        <f>M233*(1+$B$229)</f>
        <v>0.82456315505048416</v>
      </c>
      <c r="O233" s="4">
        <f>N233*(1+$B$229)</f>
        <v>0.81250353595544955</v>
      </c>
      <c r="P233" s="4">
        <f>O233*(1+$B$229)</f>
        <v>0.80062029439053684</v>
      </c>
      <c r="Q233" s="4">
        <f>P233*(1+$B$229)</f>
        <v>0.78891085075245282</v>
      </c>
      <c r="R233" s="4">
        <f>Q233*(1+$B$230)</f>
        <v>0.78070022384337945</v>
      </c>
      <c r="S233" s="4">
        <f>R233*(1+$B$230)</f>
        <v>0.77257504942133393</v>
      </c>
      <c r="T233" s="4">
        <f>S233*(1+$B$230)</f>
        <v>0.7645344381355248</v>
      </c>
      <c r="U233" s="4">
        <f>T233*(1+$B$230)</f>
        <v>0.75657750989112105</v>
      </c>
      <c r="V233" s="4">
        <f>U233*(1+$B$230)</f>
        <v>0.74870339375292005</v>
      </c>
      <c r="W233" s="4">
        <f t="shared" ref="W233:AP233" si="19">V233</f>
        <v>0.74870339375292005</v>
      </c>
      <c r="X233" s="4">
        <f t="shared" si="19"/>
        <v>0.74870339375292005</v>
      </c>
      <c r="Y233" s="4">
        <f t="shared" si="19"/>
        <v>0.74870339375292005</v>
      </c>
      <c r="Z233" s="4">
        <f t="shared" si="19"/>
        <v>0.74870339375292005</v>
      </c>
      <c r="AA233" s="4">
        <f t="shared" si="19"/>
        <v>0.74870339375292005</v>
      </c>
      <c r="AB233" s="4">
        <f t="shared" si="19"/>
        <v>0.74870339375292005</v>
      </c>
      <c r="AC233" s="4">
        <f t="shared" si="19"/>
        <v>0.74870339375292005</v>
      </c>
      <c r="AD233" s="4">
        <f t="shared" si="19"/>
        <v>0.74870339375292005</v>
      </c>
      <c r="AE233" s="4">
        <f t="shared" si="19"/>
        <v>0.74870339375292005</v>
      </c>
      <c r="AF233" s="4">
        <f t="shared" si="19"/>
        <v>0.74870339375292005</v>
      </c>
      <c r="AG233" s="4">
        <f t="shared" si="19"/>
        <v>0.74870339375292005</v>
      </c>
      <c r="AH233" s="4">
        <f t="shared" si="19"/>
        <v>0.74870339375292005</v>
      </c>
      <c r="AI233" s="4">
        <f t="shared" si="19"/>
        <v>0.74870339375292005</v>
      </c>
      <c r="AJ233" s="4">
        <f t="shared" si="19"/>
        <v>0.74870339375292005</v>
      </c>
      <c r="AK233" s="4">
        <f t="shared" si="19"/>
        <v>0.74870339375292005</v>
      </c>
      <c r="AL233" s="4">
        <f t="shared" si="19"/>
        <v>0.74870339375292005</v>
      </c>
      <c r="AM233" s="4">
        <f t="shared" si="19"/>
        <v>0.74870339375292005</v>
      </c>
      <c r="AN233" s="4">
        <f t="shared" si="19"/>
        <v>0.74870339375292005</v>
      </c>
      <c r="AO233" s="4">
        <f t="shared" si="19"/>
        <v>0.74870339375292005</v>
      </c>
      <c r="AP233" s="202">
        <f t="shared" si="19"/>
        <v>0.74870339375292005</v>
      </c>
    </row>
    <row r="234" spans="1:42" ht="15" customHeight="1" x14ac:dyDescent="0.35">
      <c r="A234" s="51" t="s">
        <v>316</v>
      </c>
      <c r="B234" s="28">
        <v>1</v>
      </c>
      <c r="C234" s="43">
        <v>1</v>
      </c>
      <c r="D234" s="4">
        <v>1</v>
      </c>
      <c r="E234" s="4">
        <v>1</v>
      </c>
      <c r="F234" s="4">
        <v>1</v>
      </c>
      <c r="G234" s="4">
        <v>1</v>
      </c>
      <c r="H234" s="4">
        <f>G234*(1+$C$228)</f>
        <v>0.94372357058093426</v>
      </c>
      <c r="I234" s="4">
        <f>H234*(1+$C$228)</f>
        <v>0.8906141776700276</v>
      </c>
      <c r="J234" s="4">
        <f>I234*(1+$C$228)</f>
        <v>0.84049359176076099</v>
      </c>
      <c r="K234" s="4">
        <f>J234*(1+$C$228)</f>
        <v>0.79319361346685946</v>
      </c>
      <c r="L234" s="4">
        <f>K234*(1+$C$228)</f>
        <v>0.748555509062938</v>
      </c>
      <c r="M234" s="4">
        <f>L234*(1+$C$229)</f>
        <v>0.72726254676239721</v>
      </c>
      <c r="N234" s="4">
        <f>M234*(1+$C$229)</f>
        <v>0.70657527133215925</v>
      </c>
      <c r="O234" s="4">
        <f>N234*(1+$C$229)</f>
        <v>0.68647645376577215</v>
      </c>
      <c r="P234" s="4">
        <f>O234*(1+$C$229)</f>
        <v>0.66694935514279674</v>
      </c>
      <c r="Q234" s="4">
        <f>P234*(1+$C$229)</f>
        <v>0.64797771268811333</v>
      </c>
      <c r="R234" s="4">
        <f>Q234*(1+$C$230)</f>
        <v>0.63397509140173569</v>
      </c>
      <c r="S234" s="4">
        <f>R234*(1+$C$230)</f>
        <v>0.62027506293460222</v>
      </c>
      <c r="T234" s="4">
        <f>S234*(1+$C$230)</f>
        <v>0.60687108833858427</v>
      </c>
      <c r="U234" s="4">
        <f>T234*(1+$C$230)</f>
        <v>0.59375676997043503</v>
      </c>
      <c r="V234" s="4">
        <f>U234*(1+$C$230)</f>
        <v>0.58092584843823003</v>
      </c>
      <c r="W234" s="4">
        <f t="shared" ref="W234:AP234" si="20">V234</f>
        <v>0.58092584843823003</v>
      </c>
      <c r="X234" s="4">
        <f t="shared" si="20"/>
        <v>0.58092584843823003</v>
      </c>
      <c r="Y234" s="4">
        <f t="shared" si="20"/>
        <v>0.58092584843823003</v>
      </c>
      <c r="Z234" s="4">
        <f t="shared" si="20"/>
        <v>0.58092584843823003</v>
      </c>
      <c r="AA234" s="4">
        <f t="shared" si="20"/>
        <v>0.58092584843823003</v>
      </c>
      <c r="AB234" s="4">
        <f t="shared" si="20"/>
        <v>0.58092584843823003</v>
      </c>
      <c r="AC234" s="4">
        <f t="shared" si="20"/>
        <v>0.58092584843823003</v>
      </c>
      <c r="AD234" s="4">
        <f t="shared" si="20"/>
        <v>0.58092584843823003</v>
      </c>
      <c r="AE234" s="4">
        <f t="shared" si="20"/>
        <v>0.58092584843823003</v>
      </c>
      <c r="AF234" s="4">
        <f t="shared" si="20"/>
        <v>0.58092584843823003</v>
      </c>
      <c r="AG234" s="4">
        <f t="shared" si="20"/>
        <v>0.58092584843823003</v>
      </c>
      <c r="AH234" s="4">
        <f t="shared" si="20"/>
        <v>0.58092584843823003</v>
      </c>
      <c r="AI234" s="4">
        <f t="shared" si="20"/>
        <v>0.58092584843823003</v>
      </c>
      <c r="AJ234" s="4">
        <f t="shared" si="20"/>
        <v>0.58092584843823003</v>
      </c>
      <c r="AK234" s="4">
        <f t="shared" si="20"/>
        <v>0.58092584843823003</v>
      </c>
      <c r="AL234" s="4">
        <f t="shared" si="20"/>
        <v>0.58092584843823003</v>
      </c>
      <c r="AM234" s="4">
        <f t="shared" si="20"/>
        <v>0.58092584843823003</v>
      </c>
      <c r="AN234" s="4">
        <f t="shared" si="20"/>
        <v>0.58092584843823003</v>
      </c>
      <c r="AO234" s="4">
        <f t="shared" si="20"/>
        <v>0.58092584843823003</v>
      </c>
      <c r="AP234" s="202">
        <f t="shared" si="20"/>
        <v>0.58092584843823003</v>
      </c>
    </row>
    <row r="235" spans="1:42" ht="15" customHeight="1" x14ac:dyDescent="0.35">
      <c r="A235" s="51" t="s">
        <v>317</v>
      </c>
      <c r="B235" s="28">
        <v>1</v>
      </c>
      <c r="C235" s="43">
        <v>1</v>
      </c>
      <c r="D235" s="43">
        <v>1</v>
      </c>
      <c r="E235" s="43">
        <v>1</v>
      </c>
      <c r="F235" s="203">
        <f>E235*(1+$B$175)</f>
        <v>0.99848689570000004</v>
      </c>
      <c r="G235" s="4">
        <f t="shared" ref="G235:AP235" si="21">F235*(1+$B$175)</f>
        <v>0.99697608088462275</v>
      </c>
      <c r="H235" s="4">
        <f t="shared" si="21"/>
        <v>0.99546755208963911</v>
      </c>
      <c r="I235" s="4">
        <f t="shared" si="21"/>
        <v>0.99396130585606179</v>
      </c>
      <c r="J235" s="4">
        <f t="shared" si="21"/>
        <v>0.99245733873013742</v>
      </c>
      <c r="K235" s="4">
        <f t="shared" si="21"/>
        <v>0.99095564726333829</v>
      </c>
      <c r="L235" s="4">
        <f t="shared" si="21"/>
        <v>0.98945622801235489</v>
      </c>
      <c r="M235" s="4">
        <f t="shared" si="21"/>
        <v>0.98795907753908763</v>
      </c>
      <c r="N235" s="4">
        <f t="shared" si="21"/>
        <v>0.98646419241063921</v>
      </c>
      <c r="O235" s="4">
        <f t="shared" si="21"/>
        <v>0.98497156919930673</v>
      </c>
      <c r="P235" s="4">
        <f t="shared" si="21"/>
        <v>0.98348120448257359</v>
      </c>
      <c r="Q235" s="4">
        <f t="shared" si="21"/>
        <v>0.98199309484310182</v>
      </c>
      <c r="R235" s="4">
        <f t="shared" si="21"/>
        <v>0.98050723686872443</v>
      </c>
      <c r="S235" s="4">
        <f t="shared" si="21"/>
        <v>0.97902362715243729</v>
      </c>
      <c r="T235" s="4">
        <f t="shared" si="21"/>
        <v>0.97754226229239138</v>
      </c>
      <c r="U235" s="4">
        <f t="shared" si="21"/>
        <v>0.97606313889188512</v>
      </c>
      <c r="V235" s="4">
        <f t="shared" si="21"/>
        <v>0.97458625355935635</v>
      </c>
      <c r="W235" s="4">
        <f t="shared" si="21"/>
        <v>0.97311160290837484</v>
      </c>
      <c r="X235" s="4">
        <f t="shared" si="21"/>
        <v>0.97163918355763434</v>
      </c>
      <c r="Y235" s="4">
        <f t="shared" si="21"/>
        <v>0.97016899213094487</v>
      </c>
      <c r="Z235" s="4">
        <f t="shared" si="21"/>
        <v>0.9687010252572249</v>
      </c>
      <c r="AA235" s="4">
        <f t="shared" si="21"/>
        <v>0.96723527957049382</v>
      </c>
      <c r="AB235" s="4">
        <f t="shared" si="21"/>
        <v>0.96577175170986407</v>
      </c>
      <c r="AC235" s="4">
        <f t="shared" si="21"/>
        <v>0.96431043831953334</v>
      </c>
      <c r="AD235" s="4">
        <f t="shared" si="21"/>
        <v>0.96285133604877726</v>
      </c>
      <c r="AE235" s="4">
        <f t="shared" si="21"/>
        <v>0.9613944415519412</v>
      </c>
      <c r="AF235" s="4">
        <f t="shared" si="21"/>
        <v>0.95993975148843291</v>
      </c>
      <c r="AG235" s="4">
        <f t="shared" si="21"/>
        <v>0.95848726252271488</v>
      </c>
      <c r="AH235" s="4">
        <f t="shared" si="21"/>
        <v>0.95703697132429655</v>
      </c>
      <c r="AI235" s="4">
        <f t="shared" si="21"/>
        <v>0.95558887456772679</v>
      </c>
      <c r="AJ235" s="4">
        <f t="shared" si="21"/>
        <v>0.95414296893258621</v>
      </c>
      <c r="AK235" s="4">
        <f t="shared" si="21"/>
        <v>0.95269925110347964</v>
      </c>
      <c r="AL235" s="4">
        <f t="shared" si="21"/>
        <v>0.95125771777002821</v>
      </c>
      <c r="AM235" s="4">
        <f t="shared" si="21"/>
        <v>0.94981836562686228</v>
      </c>
      <c r="AN235" s="4">
        <f t="shared" si="21"/>
        <v>0.94838119137361332</v>
      </c>
      <c r="AO235" s="4">
        <f t="shared" si="21"/>
        <v>0.94694619171490679</v>
      </c>
      <c r="AP235" s="202">
        <f t="shared" si="21"/>
        <v>0.94551336336035441</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41577961.065158509</v>
      </c>
      <c r="C239" s="1">
        <f>B239*(1+Inflation!Z19)*(1+Inflation!AD19)</f>
        <v>48871439.102530345</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5080611472.5916662</v>
      </c>
      <c r="C241" s="1">
        <f>B241*(1+Inflation!Z19)*(1+Inflation!AD19)</f>
        <v>5971836709.2908831</v>
      </c>
      <c r="E241" s="29"/>
      <c r="G241" s="37"/>
      <c r="AP241" s="30"/>
    </row>
    <row r="242" spans="1:42" ht="15" customHeight="1" x14ac:dyDescent="0.35">
      <c r="A242" s="179" t="str">
        <f t="shared" ref="A242:A244" si="22">B305</f>
        <v>Method 1: RFI G tables</v>
      </c>
      <c r="B242" s="254">
        <f>Data!BM80</f>
        <v>2350236483.0822387</v>
      </c>
      <c r="E242" s="29"/>
      <c r="G242" s="37"/>
      <c r="AP242" s="30"/>
    </row>
    <row r="243" spans="1:42" ht="15" customHeight="1" x14ac:dyDescent="0.35">
      <c r="A243" s="179" t="str">
        <f t="shared" si="22"/>
        <v>Method 2: Original NZ$185bn</v>
      </c>
      <c r="B243" s="254">
        <f>Data!BN80</f>
        <v>5585493500.9075146</v>
      </c>
      <c r="E243" s="29"/>
      <c r="G243" s="37"/>
      <c r="AP243" s="30"/>
    </row>
    <row r="244" spans="1:42" ht="15" customHeight="1" x14ac:dyDescent="0.35">
      <c r="A244" s="179" t="str">
        <f t="shared" si="22"/>
        <v>Method 3: Revised NZ$185bn</v>
      </c>
      <c r="B244" s="254">
        <f>Data!BO80</f>
        <v>5080611472.5916662</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5080611472.5916662</v>
      </c>
      <c r="C248" s="1">
        <f>C241*B246</f>
        <v>5971836709.2908831</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169353715.75305554</v>
      </c>
      <c r="C252" s="1">
        <f>C248/C250</f>
        <v>199061223.64302942</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67741486.30122222</v>
      </c>
      <c r="C256" s="1">
        <f>$C$252*C254</f>
        <v>79624489.457211778</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169353715.75305554</v>
      </c>
      <c r="C260" s="1">
        <f>$C$252*C258</f>
        <v>199061223.64302942</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1.6</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270965945.20488888</v>
      </c>
      <c r="C264" s="1">
        <f>$C$252*C262</f>
        <v>318497957.82884711</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0.49740678750584011</v>
      </c>
      <c r="E273" s="29"/>
      <c r="G273" s="37"/>
      <c r="AP273" s="30"/>
    </row>
    <row r="274" spans="1:42" ht="15" customHeight="1" x14ac:dyDescent="0.35">
      <c r="A274" s="51"/>
      <c r="B274" s="28"/>
      <c r="E274" s="29"/>
      <c r="G274" s="37"/>
      <c r="AP274" s="30"/>
    </row>
    <row r="275" spans="1:42" ht="15" customHeight="1" x14ac:dyDescent="0.35">
      <c r="A275" s="51" t="s">
        <v>333</v>
      </c>
      <c r="B275" s="258">
        <f>B271*B273</f>
        <v>1.4922203625175203E-2</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48871439.102530345</v>
      </c>
      <c r="G277" s="6">
        <f t="shared" si="23"/>
        <v>48871439.102530345</v>
      </c>
      <c r="H277" s="6">
        <f t="shared" si="23"/>
        <v>48871439.102530345</v>
      </c>
      <c r="I277" s="6">
        <f t="shared" si="23"/>
        <v>48871439.102530345</v>
      </c>
      <c r="J277" s="6">
        <f t="shared" si="23"/>
        <v>48871439.102530345</v>
      </c>
      <c r="K277" s="6">
        <f t="shared" si="23"/>
        <v>48871439.102530345</v>
      </c>
      <c r="L277" s="6">
        <f t="shared" si="23"/>
        <v>48871439.102530345</v>
      </c>
      <c r="M277" s="6">
        <f t="shared" si="23"/>
        <v>48871439.102530345</v>
      </c>
      <c r="N277" s="6">
        <f t="shared" si="23"/>
        <v>48871439.102530345</v>
      </c>
      <c r="O277" s="6">
        <f t="shared" si="23"/>
        <v>48871439.102530345</v>
      </c>
      <c r="P277" s="6">
        <f t="shared" si="23"/>
        <v>48871439.102530345</v>
      </c>
      <c r="Q277" s="6">
        <f t="shared" si="23"/>
        <v>48871439.102530345</v>
      </c>
      <c r="R277" s="6">
        <f t="shared" si="23"/>
        <v>48871439.102530345</v>
      </c>
      <c r="S277" s="6">
        <f t="shared" si="23"/>
        <v>48871439.102530345</v>
      </c>
      <c r="T277" s="6">
        <f t="shared" si="23"/>
        <v>48871439.102530345</v>
      </c>
      <c r="U277" s="6">
        <f t="shared" si="23"/>
        <v>48871439.102530345</v>
      </c>
      <c r="V277" s="6">
        <f t="shared" si="23"/>
        <v>48871439.102530345</v>
      </c>
      <c r="W277" s="6">
        <f t="shared" si="23"/>
        <v>48871439.102530345</v>
      </c>
      <c r="X277" s="6">
        <f t="shared" si="23"/>
        <v>48871439.102530345</v>
      </c>
      <c r="Y277" s="6">
        <f t="shared" si="23"/>
        <v>48871439.102530345</v>
      </c>
      <c r="Z277" s="6">
        <f t="shared" si="23"/>
        <v>48871439.102530345</v>
      </c>
      <c r="AA277" s="6">
        <f t="shared" si="23"/>
        <v>48871439.102530345</v>
      </c>
      <c r="AB277" s="6">
        <f t="shared" si="23"/>
        <v>48871439.102530345</v>
      </c>
      <c r="AC277" s="6">
        <f t="shared" si="23"/>
        <v>48871439.102530345</v>
      </c>
      <c r="AD277" s="6">
        <f t="shared" si="23"/>
        <v>48871439.102530345</v>
      </c>
      <c r="AE277" s="6">
        <f t="shared" si="23"/>
        <v>48871439.102530345</v>
      </c>
      <c r="AF277" s="6">
        <f t="shared" si="23"/>
        <v>48871439.102530345</v>
      </c>
      <c r="AG277" s="6">
        <f t="shared" si="23"/>
        <v>48871439.102530345</v>
      </c>
      <c r="AH277" s="6">
        <f t="shared" si="23"/>
        <v>48871439.102530345</v>
      </c>
      <c r="AI277" s="6">
        <f t="shared" si="23"/>
        <v>48871439.102530345</v>
      </c>
      <c r="AJ277" s="6">
        <f t="shared" si="23"/>
        <v>48871439.102530345</v>
      </c>
      <c r="AK277" s="6">
        <f t="shared" si="23"/>
        <v>48871439.102530345</v>
      </c>
      <c r="AL277" s="6">
        <f t="shared" si="23"/>
        <v>48871439.102530345</v>
      </c>
      <c r="AM277" s="6">
        <f t="shared" si="23"/>
        <v>48871439.102530345</v>
      </c>
      <c r="AN277" s="6">
        <f t="shared" si="23"/>
        <v>48871439.102530345</v>
      </c>
      <c r="AO277" s="6">
        <f t="shared" si="23"/>
        <v>48871439.102530345</v>
      </c>
      <c r="AP277" s="64">
        <f t="shared" si="23"/>
        <v>48871439.102530345</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79624489.457211778</v>
      </c>
      <c r="G279" s="6">
        <f t="shared" ref="G279:AE279" si="24">IF(G$276&lt;=$C$255,$C$256,IF(G$276&lt;=$C$259,$C$260,IF(G$276&lt;=$C$263,$C$264,0)))</f>
        <v>79624489.457211778</v>
      </c>
      <c r="H279" s="6">
        <f t="shared" si="24"/>
        <v>79624489.457211778</v>
      </c>
      <c r="I279" s="6">
        <f t="shared" si="24"/>
        <v>79624489.457211778</v>
      </c>
      <c r="J279" s="6">
        <f t="shared" si="24"/>
        <v>79624489.457211778</v>
      </c>
      <c r="K279" s="6">
        <f t="shared" si="24"/>
        <v>79624489.457211778</v>
      </c>
      <c r="L279" s="6">
        <f t="shared" si="24"/>
        <v>79624489.457211778</v>
      </c>
      <c r="M279" s="6">
        <f t="shared" si="24"/>
        <v>79624489.457211778</v>
      </c>
      <c r="N279" s="6">
        <f t="shared" si="24"/>
        <v>79624489.457211778</v>
      </c>
      <c r="O279" s="6">
        <f t="shared" si="24"/>
        <v>79624489.457211778</v>
      </c>
      <c r="P279" s="6">
        <f t="shared" si="24"/>
        <v>199061223.64302942</v>
      </c>
      <c r="Q279" s="6">
        <f t="shared" si="24"/>
        <v>199061223.64302942</v>
      </c>
      <c r="R279" s="6">
        <f t="shared" si="24"/>
        <v>199061223.64302942</v>
      </c>
      <c r="S279" s="6">
        <f t="shared" si="24"/>
        <v>199061223.64302942</v>
      </c>
      <c r="T279" s="6">
        <f t="shared" si="24"/>
        <v>199061223.64302942</v>
      </c>
      <c r="U279" s="6">
        <f t="shared" si="24"/>
        <v>199061223.64302942</v>
      </c>
      <c r="V279" s="6">
        <f t="shared" si="24"/>
        <v>199061223.64302942</v>
      </c>
      <c r="W279" s="6">
        <f t="shared" si="24"/>
        <v>199061223.64302942</v>
      </c>
      <c r="X279" s="6">
        <f t="shared" si="24"/>
        <v>199061223.64302942</v>
      </c>
      <c r="Y279" s="6">
        <f t="shared" si="24"/>
        <v>199061223.64302942</v>
      </c>
      <c r="Z279" s="6">
        <f t="shared" si="24"/>
        <v>318497957.82884711</v>
      </c>
      <c r="AA279" s="6">
        <f t="shared" si="24"/>
        <v>318497957.82884711</v>
      </c>
      <c r="AB279" s="6">
        <f t="shared" si="24"/>
        <v>318497957.82884711</v>
      </c>
      <c r="AC279" s="6">
        <f t="shared" si="24"/>
        <v>318497957.82884711</v>
      </c>
      <c r="AD279" s="6">
        <f t="shared" si="24"/>
        <v>318497957.82884711</v>
      </c>
      <c r="AE279" s="6">
        <f t="shared" si="24"/>
        <v>318497957.82884711</v>
      </c>
      <c r="AF279" s="6">
        <f>IF(AF$276&lt;=$C$255,$C$256,IF(AF$276&lt;=$C$259,$C$260,IF(AF$276&lt;=$C$263,$C$264,0)))</f>
        <v>318497957.82884711</v>
      </c>
      <c r="AG279" s="6">
        <f t="shared" ref="AG279:AI279" si="25">IF(AG$276&lt;=$C$255,$C$256,IF(AG$276&lt;=$C$259,$C$260,IF(AG$276&lt;=$C$263,$C$264,0)))</f>
        <v>318497957.82884711</v>
      </c>
      <c r="AH279" s="6">
        <f t="shared" si="25"/>
        <v>318497957.82884711</v>
      </c>
      <c r="AI279" s="6">
        <f t="shared" si="25"/>
        <v>318497957.82884711</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5971836709.2908812</v>
      </c>
      <c r="C281" s="161"/>
      <c r="D281" s="161"/>
      <c r="E281" s="161"/>
      <c r="F281" s="6">
        <f t="shared" ref="F281:AP281" si="27">F279+F280</f>
        <v>79624489.457211778</v>
      </c>
      <c r="G281" s="6">
        <f t="shared" si="27"/>
        <v>79624489.457211778</v>
      </c>
      <c r="H281" s="6">
        <f t="shared" si="27"/>
        <v>79624489.457211778</v>
      </c>
      <c r="I281" s="6">
        <f t="shared" si="27"/>
        <v>79624489.457211778</v>
      </c>
      <c r="J281" s="6">
        <f t="shared" si="27"/>
        <v>79624489.457211778</v>
      </c>
      <c r="K281" s="6">
        <f t="shared" si="27"/>
        <v>79624489.457211778</v>
      </c>
      <c r="L281" s="6">
        <f t="shared" si="27"/>
        <v>79624489.457211778</v>
      </c>
      <c r="M281" s="6">
        <f t="shared" si="27"/>
        <v>79624489.457211778</v>
      </c>
      <c r="N281" s="6">
        <f t="shared" si="27"/>
        <v>79624489.457211778</v>
      </c>
      <c r="O281" s="6">
        <f t="shared" si="27"/>
        <v>79624489.457211778</v>
      </c>
      <c r="P281" s="6">
        <f t="shared" si="27"/>
        <v>199061223.64302942</v>
      </c>
      <c r="Q281" s="6">
        <f t="shared" si="27"/>
        <v>199061223.64302942</v>
      </c>
      <c r="R281" s="6">
        <f t="shared" si="27"/>
        <v>199061223.64302942</v>
      </c>
      <c r="S281" s="6">
        <f t="shared" si="27"/>
        <v>199061223.64302942</v>
      </c>
      <c r="T281" s="6">
        <f t="shared" si="27"/>
        <v>199061223.64302942</v>
      </c>
      <c r="U281" s="6">
        <f t="shared" si="27"/>
        <v>199061223.64302942</v>
      </c>
      <c r="V281" s="6">
        <f t="shared" si="27"/>
        <v>199061223.64302942</v>
      </c>
      <c r="W281" s="6">
        <f t="shared" si="27"/>
        <v>199061223.64302942</v>
      </c>
      <c r="X281" s="6">
        <f t="shared" si="27"/>
        <v>199061223.64302942</v>
      </c>
      <c r="Y281" s="6">
        <f t="shared" si="27"/>
        <v>199061223.64302942</v>
      </c>
      <c r="Z281" s="6">
        <f t="shared" si="27"/>
        <v>318497957.82884711</v>
      </c>
      <c r="AA281" s="6">
        <f t="shared" si="27"/>
        <v>318497957.82884711</v>
      </c>
      <c r="AB281" s="6">
        <f t="shared" si="27"/>
        <v>318497957.82884711</v>
      </c>
      <c r="AC281" s="6">
        <f t="shared" si="27"/>
        <v>318497957.82884711</v>
      </c>
      <c r="AD281" s="6">
        <f t="shared" si="27"/>
        <v>318497957.82884711</v>
      </c>
      <c r="AE281" s="6">
        <f t="shared" si="27"/>
        <v>318497957.82884711</v>
      </c>
      <c r="AF281" s="6">
        <f t="shared" si="27"/>
        <v>318497957.82884711</v>
      </c>
      <c r="AG281" s="6">
        <f t="shared" si="27"/>
        <v>318497957.82884711</v>
      </c>
      <c r="AH281" s="6">
        <f t="shared" si="27"/>
        <v>318497957.82884711</v>
      </c>
      <c r="AI281" s="6">
        <f t="shared" si="27"/>
        <v>318497957.82884711</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15924897.891442357</v>
      </c>
      <c r="G282" s="6">
        <f>$B282*G$281</f>
        <v>15924897.891442357</v>
      </c>
      <c r="H282" s="6">
        <f t="shared" si="28"/>
        <v>15924897.891442357</v>
      </c>
      <c r="I282" s="6">
        <f t="shared" si="28"/>
        <v>15924897.891442357</v>
      </c>
      <c r="J282" s="6">
        <f t="shared" si="28"/>
        <v>15924897.891442357</v>
      </c>
      <c r="K282" s="6">
        <f t="shared" si="28"/>
        <v>15924897.891442357</v>
      </c>
      <c r="L282" s="6">
        <f t="shared" si="28"/>
        <v>15924897.891442357</v>
      </c>
      <c r="M282" s="6">
        <f t="shared" ref="M282:V283" si="29">$B282*M$281</f>
        <v>15924897.891442357</v>
      </c>
      <c r="N282" s="6">
        <f t="shared" si="29"/>
        <v>15924897.891442357</v>
      </c>
      <c r="O282" s="6">
        <f t="shared" si="29"/>
        <v>15924897.891442357</v>
      </c>
      <c r="P282" s="6">
        <f t="shared" si="29"/>
        <v>39812244.728605889</v>
      </c>
      <c r="Q282" s="6">
        <f t="shared" si="29"/>
        <v>39812244.728605889</v>
      </c>
      <c r="R282" s="6">
        <f t="shared" si="29"/>
        <v>39812244.728605889</v>
      </c>
      <c r="S282" s="6">
        <f t="shared" si="29"/>
        <v>39812244.728605889</v>
      </c>
      <c r="T282" s="6">
        <f t="shared" si="29"/>
        <v>39812244.728605889</v>
      </c>
      <c r="U282" s="6">
        <f t="shared" si="29"/>
        <v>39812244.728605889</v>
      </c>
      <c r="V282" s="6">
        <f t="shared" si="29"/>
        <v>39812244.728605889</v>
      </c>
      <c r="W282" s="6">
        <f t="shared" ref="W282:AF283" si="30">$B282*W$281</f>
        <v>39812244.728605889</v>
      </c>
      <c r="X282" s="6">
        <f t="shared" si="30"/>
        <v>39812244.728605889</v>
      </c>
      <c r="Y282" s="6">
        <f t="shared" si="30"/>
        <v>39812244.728605889</v>
      </c>
      <c r="Z282" s="6">
        <f t="shared" si="30"/>
        <v>63699591.565769427</v>
      </c>
      <c r="AA282" s="6">
        <f t="shared" si="30"/>
        <v>63699591.565769427</v>
      </c>
      <c r="AB282" s="6">
        <f t="shared" si="30"/>
        <v>63699591.565769427</v>
      </c>
      <c r="AC282" s="6">
        <f t="shared" si="30"/>
        <v>63699591.565769427</v>
      </c>
      <c r="AD282" s="6">
        <f t="shared" si="30"/>
        <v>63699591.565769427</v>
      </c>
      <c r="AE282" s="6">
        <f t="shared" si="30"/>
        <v>63699591.565769427</v>
      </c>
      <c r="AF282" s="6">
        <f t="shared" si="30"/>
        <v>63699591.565769427</v>
      </c>
      <c r="AG282" s="6">
        <f t="shared" ref="AG282:AP283" si="31">$B282*AG$281</f>
        <v>63699591.565769427</v>
      </c>
      <c r="AH282" s="6">
        <f t="shared" si="31"/>
        <v>63699591.565769427</v>
      </c>
      <c r="AI282" s="6">
        <f t="shared" si="31"/>
        <v>63699591.565769427</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63699591.565769427</v>
      </c>
      <c r="G283" s="6">
        <f t="shared" si="28"/>
        <v>63699591.565769427</v>
      </c>
      <c r="H283" s="6">
        <f t="shared" si="28"/>
        <v>63699591.565769427</v>
      </c>
      <c r="I283" s="6">
        <f t="shared" si="28"/>
        <v>63699591.565769427</v>
      </c>
      <c r="J283" s="6">
        <f t="shared" si="28"/>
        <v>63699591.565769427</v>
      </c>
      <c r="K283" s="6">
        <f t="shared" si="28"/>
        <v>63699591.565769427</v>
      </c>
      <c r="L283" s="6">
        <f t="shared" si="28"/>
        <v>63699591.565769427</v>
      </c>
      <c r="M283" s="6">
        <f t="shared" si="29"/>
        <v>63699591.565769427</v>
      </c>
      <c r="N283" s="6">
        <f t="shared" si="29"/>
        <v>63699591.565769427</v>
      </c>
      <c r="O283" s="6">
        <f t="shared" si="29"/>
        <v>63699591.565769427</v>
      </c>
      <c r="P283" s="6">
        <f t="shared" si="29"/>
        <v>159248978.91442356</v>
      </c>
      <c r="Q283" s="6">
        <f t="shared" si="29"/>
        <v>159248978.91442356</v>
      </c>
      <c r="R283" s="6">
        <f t="shared" si="29"/>
        <v>159248978.91442356</v>
      </c>
      <c r="S283" s="6">
        <f t="shared" si="29"/>
        <v>159248978.91442356</v>
      </c>
      <c r="T283" s="6">
        <f t="shared" si="29"/>
        <v>159248978.91442356</v>
      </c>
      <c r="U283" s="6">
        <f t="shared" si="29"/>
        <v>159248978.91442356</v>
      </c>
      <c r="V283" s="6">
        <f t="shared" si="29"/>
        <v>159248978.91442356</v>
      </c>
      <c r="W283" s="6">
        <f t="shared" si="30"/>
        <v>159248978.91442356</v>
      </c>
      <c r="X283" s="6">
        <f t="shared" si="30"/>
        <v>159248978.91442356</v>
      </c>
      <c r="Y283" s="6">
        <f t="shared" si="30"/>
        <v>159248978.91442356</v>
      </c>
      <c r="Z283" s="6">
        <f t="shared" si="30"/>
        <v>254798366.26307771</v>
      </c>
      <c r="AA283" s="6">
        <f t="shared" si="30"/>
        <v>254798366.26307771</v>
      </c>
      <c r="AB283" s="6">
        <f t="shared" si="30"/>
        <v>254798366.26307771</v>
      </c>
      <c r="AC283" s="6">
        <f t="shared" si="30"/>
        <v>254798366.26307771</v>
      </c>
      <c r="AD283" s="6">
        <f t="shared" si="30"/>
        <v>254798366.26307771</v>
      </c>
      <c r="AE283" s="6">
        <f t="shared" si="30"/>
        <v>254798366.26307771</v>
      </c>
      <c r="AF283" s="6">
        <f t="shared" si="30"/>
        <v>254798366.26307771</v>
      </c>
      <c r="AG283" s="6">
        <f t="shared" si="31"/>
        <v>254798366.26307771</v>
      </c>
      <c r="AH283" s="6">
        <f t="shared" si="31"/>
        <v>254798366.26307771</v>
      </c>
      <c r="AI283" s="6">
        <f t="shared" si="31"/>
        <v>254798366.26307771</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-512120.44708516076</v>
      </c>
      <c r="I285" s="6">
        <f t="shared" si="32"/>
        <v>-1007771.8810494505</v>
      </c>
      <c r="J285" s="6">
        <f t="shared" si="32"/>
        <v>-1487483.920256516</v>
      </c>
      <c r="K285" s="6">
        <f t="shared" si="32"/>
        <v>-1951769.1513505522</v>
      </c>
      <c r="L285" s="6">
        <f t="shared" si="32"/>
        <v>-2401123.6769704446</v>
      </c>
      <c r="M285" s="6">
        <f t="shared" si="32"/>
        <v>-2598915.1557126623</v>
      </c>
      <c r="N285" s="6">
        <f t="shared" si="32"/>
        <v>-2793813.842217844</v>
      </c>
      <c r="O285" s="6">
        <f t="shared" si="32"/>
        <v>-2985862.0449159592</v>
      </c>
      <c r="P285" s="6">
        <f t="shared" si="32"/>
        <v>-7937753.6336413436</v>
      </c>
      <c r="Q285" s="6">
        <f t="shared" si="32"/>
        <v>-8403932.8693965636</v>
      </c>
      <c r="R285" s="6">
        <f t="shared" si="32"/>
        <v>-8730816.3572758697</v>
      </c>
      <c r="S285" s="6">
        <f t="shared" si="32"/>
        <v>-9054297.7898289524</v>
      </c>
      <c r="T285" s="6">
        <f t="shared" si="32"/>
        <v>-9374412.5741071776</v>
      </c>
      <c r="U285" s="6">
        <f t="shared" si="32"/>
        <v>-9691195.7486613356</v>
      </c>
      <c r="V285" s="6">
        <f t="shared" si="32"/>
        <v>-10004681.987376858</v>
      </c>
      <c r="W285" s="6">
        <f t="shared" si="32"/>
        <v>-10004681.987376858</v>
      </c>
      <c r="X285" s="6">
        <f t="shared" si="32"/>
        <v>-10004681.987376858</v>
      </c>
      <c r="Y285" s="6">
        <f t="shared" si="32"/>
        <v>-10004681.987376858</v>
      </c>
      <c r="Z285" s="6">
        <f t="shared" si="32"/>
        <v>-16007491.179802977</v>
      </c>
      <c r="AA285" s="6">
        <f t="shared" si="32"/>
        <v>-16007491.179802977</v>
      </c>
      <c r="AB285" s="6">
        <f t="shared" si="32"/>
        <v>-16007491.179802977</v>
      </c>
      <c r="AC285" s="6">
        <f t="shared" si="32"/>
        <v>-16007491.179802977</v>
      </c>
      <c r="AD285" s="6">
        <f t="shared" si="32"/>
        <v>-16007491.179802977</v>
      </c>
      <c r="AE285" s="6">
        <f t="shared" si="32"/>
        <v>-16007491.179802977</v>
      </c>
      <c r="AF285" s="6">
        <f t="shared" si="32"/>
        <v>-16007491.179802977</v>
      </c>
      <c r="AG285" s="6">
        <f t="shared" si="32"/>
        <v>-16007491.179802977</v>
      </c>
      <c r="AH285" s="6">
        <f t="shared" si="32"/>
        <v>-16007491.179802977</v>
      </c>
      <c r="AI285" s="6">
        <f t="shared" si="32"/>
        <v>-16007491.179802977</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-3584785.5687743351</v>
      </c>
      <c r="I286" s="6">
        <f t="shared" si="33"/>
        <v>-6967832.2055050656</v>
      </c>
      <c r="J286" s="6">
        <f t="shared" si="33"/>
        <v>-10160493.056962401</v>
      </c>
      <c r="K286" s="6">
        <f t="shared" si="33"/>
        <v>-13173482.355353691</v>
      </c>
      <c r="L286" s="6">
        <f t="shared" si="33"/>
        <v>-16016911.374153659</v>
      </c>
      <c r="M286" s="6">
        <f t="shared" si="33"/>
        <v>-17373264.375923432</v>
      </c>
      <c r="N286" s="6">
        <f t="shared" si="33"/>
        <v>-18691035.371438168</v>
      </c>
      <c r="O286" s="6">
        <f t="shared" si="33"/>
        <v>-19971321.841371939</v>
      </c>
      <c r="P286" s="6">
        <f t="shared" si="33"/>
        <v>-53037975.120299935</v>
      </c>
      <c r="Q286" s="6">
        <f t="shared" si="33"/>
        <v>-56059189.809537798</v>
      </c>
      <c r="R286" s="6">
        <f t="shared" si="33"/>
        <v>-58289092.951518804</v>
      </c>
      <c r="S286" s="6">
        <f t="shared" si="33"/>
        <v>-60470808.496008337</v>
      </c>
      <c r="T286" s="6">
        <f t="shared" si="33"/>
        <v>-62605377.763819069</v>
      </c>
      <c r="U286" s="6">
        <f t="shared" si="33"/>
        <v>-64693819.573105514</v>
      </c>
      <c r="V286" s="6">
        <f t="shared" si="33"/>
        <v>-66737130.725640252</v>
      </c>
      <c r="W286" s="6">
        <f t="shared" si="33"/>
        <v>-66737130.725640252</v>
      </c>
      <c r="X286" s="6">
        <f t="shared" si="33"/>
        <v>-66737130.725640252</v>
      </c>
      <c r="Y286" s="6">
        <f t="shared" si="33"/>
        <v>-66737130.725640252</v>
      </c>
      <c r="Z286" s="6">
        <f t="shared" si="33"/>
        <v>-106779409.16102439</v>
      </c>
      <c r="AA286" s="6">
        <f t="shared" si="33"/>
        <v>-106779409.16102439</v>
      </c>
      <c r="AB286" s="6">
        <f t="shared" si="33"/>
        <v>-106779409.16102439</v>
      </c>
      <c r="AC286" s="6">
        <f t="shared" si="33"/>
        <v>-106779409.16102439</v>
      </c>
      <c r="AD286" s="6">
        <f t="shared" si="33"/>
        <v>-106779409.16102439</v>
      </c>
      <c r="AE286" s="6">
        <f t="shared" si="33"/>
        <v>-106779409.16102439</v>
      </c>
      <c r="AF286" s="6">
        <f t="shared" si="33"/>
        <v>-106779409.16102439</v>
      </c>
      <c r="AG286" s="6">
        <f t="shared" si="33"/>
        <v>-106779409.16102439</v>
      </c>
      <c r="AH286" s="6">
        <f t="shared" si="33"/>
        <v>-106779409.16102439</v>
      </c>
      <c r="AI286" s="6">
        <f t="shared" si="33"/>
        <v>-106779409.16102439</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-120480.15738300979</v>
      </c>
      <c r="G287" s="6">
        <f>(G281*G$235)-G281</f>
        <v>-240778.01572181284</v>
      </c>
      <c r="H287" s="6">
        <f t="shared" si="34"/>
        <v>-360893.85085389018</v>
      </c>
      <c r="I287" s="6">
        <f t="shared" si="34"/>
        <v>-480827.9381993413</v>
      </c>
      <c r="J287" s="6">
        <f t="shared" si="34"/>
        <v>-600580.55276149511</v>
      </c>
      <c r="K287" s="6">
        <f t="shared" si="34"/>
        <v>-720151.96912762523</v>
      </c>
      <c r="L287" s="6">
        <f t="shared" si="34"/>
        <v>-839542.46146948636</v>
      </c>
      <c r="M287" s="6">
        <f t="shared" si="34"/>
        <v>-958752.30354401469</v>
      </c>
      <c r="N287" s="6">
        <f t="shared" si="34"/>
        <v>-1077781.768693909</v>
      </c>
      <c r="O287" s="6">
        <f t="shared" si="34"/>
        <v>-1196631.1298482418</v>
      </c>
      <c r="P287" s="6">
        <f t="shared" si="34"/>
        <v>-3288251.6488078833</v>
      </c>
      <c r="Q287" s="6">
        <f t="shared" si="34"/>
        <v>-3584476.5745561421</v>
      </c>
      <c r="R287" s="6">
        <f t="shared" si="34"/>
        <v>-3880253.2810954452</v>
      </c>
      <c r="S287" s="6">
        <f t="shared" si="34"/>
        <v>-4175582.4466282427</v>
      </c>
      <c r="T287" s="6">
        <f t="shared" si="34"/>
        <v>-4470464.7483307719</v>
      </c>
      <c r="U287" s="6">
        <f t="shared" si="34"/>
        <v>-4764900.8623545766</v>
      </c>
      <c r="V287" s="6">
        <f t="shared" si="34"/>
        <v>-5058891.4638282061</v>
      </c>
      <c r="W287" s="6">
        <f t="shared" si="34"/>
        <v>-5352437.2268585861</v>
      </c>
      <c r="X287" s="6">
        <f t="shared" si="34"/>
        <v>-5645538.8245326579</v>
      </c>
      <c r="Y287" s="6">
        <f t="shared" si="34"/>
        <v>-5938196.9289189577</v>
      </c>
      <c r="Z287" s="6">
        <f t="shared" si="34"/>
        <v>-9968659.5377105474</v>
      </c>
      <c r="AA287" s="6">
        <f t="shared" si="34"/>
        <v>-10435496.545630813</v>
      </c>
      <c r="AB287" s="6">
        <f t="shared" si="34"/>
        <v>-10901627.18046701</v>
      </c>
      <c r="AC287" s="6">
        <f t="shared" si="34"/>
        <v>-11367052.511035323</v>
      </c>
      <c r="AD287" s="6">
        <f t="shared" si="34"/>
        <v>-11831773.604534566</v>
      </c>
      <c r="AE287" s="6">
        <f t="shared" si="34"/>
        <v>-12295791.526548922</v>
      </c>
      <c r="AF287" s="6">
        <f t="shared" si="34"/>
        <v>-12759107.341050208</v>
      </c>
      <c r="AG287" s="6">
        <f t="shared" ref="AG287:AP287" si="35">(AG281*AG$235)-AG281</f>
        <v>-13221722.110400379</v>
      </c>
      <c r="AH287" s="6">
        <f t="shared" si="35"/>
        <v>-13683636.895353734</v>
      </c>
      <c r="AI287" s="6">
        <f t="shared" si="35"/>
        <v>-14144852.755059779</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79504009.299828768</v>
      </c>
      <c r="G289" s="6">
        <f>G281+G285+G286+G287</f>
        <v>79383711.441489965</v>
      </c>
      <c r="H289" s="6">
        <f t="shared" si="36"/>
        <v>75166689.590498388</v>
      </c>
      <c r="I289" s="6">
        <f t="shared" si="36"/>
        <v>71168057.432457924</v>
      </c>
      <c r="J289" s="6">
        <f t="shared" si="36"/>
        <v>67375931.927231371</v>
      </c>
      <c r="K289" s="6">
        <f t="shared" si="36"/>
        <v>63779085.981379904</v>
      </c>
      <c r="L289" s="6">
        <f t="shared" si="36"/>
        <v>60366911.944618195</v>
      </c>
      <c r="M289" s="6">
        <f t="shared" si="36"/>
        <v>58693557.622031666</v>
      </c>
      <c r="N289" s="6">
        <f t="shared" si="36"/>
        <v>57061858.474861853</v>
      </c>
      <c r="O289" s="6">
        <f t="shared" si="36"/>
        <v>55470674.441075638</v>
      </c>
      <c r="P289" s="6">
        <f t="shared" si="36"/>
        <v>134797243.24028027</v>
      </c>
      <c r="Q289" s="6">
        <f t="shared" si="36"/>
        <v>131013624.38953891</v>
      </c>
      <c r="R289" s="6">
        <f t="shared" si="36"/>
        <v>128161061.0531393</v>
      </c>
      <c r="S289" s="6">
        <f t="shared" si="36"/>
        <v>125360534.91056389</v>
      </c>
      <c r="T289" s="6">
        <f t="shared" si="36"/>
        <v>122610968.55677241</v>
      </c>
      <c r="U289" s="6">
        <f t="shared" si="36"/>
        <v>119911307.45890799</v>
      </c>
      <c r="V289" s="6">
        <f t="shared" si="36"/>
        <v>117260519.46618409</v>
      </c>
      <c r="W289" s="6">
        <f t="shared" si="36"/>
        <v>116966973.70315371</v>
      </c>
      <c r="X289" s="6">
        <f t="shared" si="36"/>
        <v>116673872.10547964</v>
      </c>
      <c r="Y289" s="6">
        <f t="shared" si="36"/>
        <v>116381214.00109334</v>
      </c>
      <c r="Z289" s="6">
        <f t="shared" si="36"/>
        <v>185742397.95030922</v>
      </c>
      <c r="AA289" s="6">
        <f t="shared" si="36"/>
        <v>185275560.94238895</v>
      </c>
      <c r="AB289" s="6">
        <f t="shared" si="36"/>
        <v>184809430.30755275</v>
      </c>
      <c r="AC289" s="6">
        <f t="shared" si="36"/>
        <v>184344004.97698444</v>
      </c>
      <c r="AD289" s="6">
        <f t="shared" si="36"/>
        <v>183879283.8834852</v>
      </c>
      <c r="AE289" s="6">
        <f t="shared" si="36"/>
        <v>183415265.96147084</v>
      </c>
      <c r="AF289" s="6">
        <f t="shared" si="36"/>
        <v>182951950.14696956</v>
      </c>
      <c r="AG289" s="6">
        <f t="shared" si="36"/>
        <v>182489335.37761939</v>
      </c>
      <c r="AH289" s="6">
        <f t="shared" si="36"/>
        <v>182027420.59266603</v>
      </c>
      <c r="AI289" s="6">
        <f t="shared" si="36"/>
        <v>181566204.73295999</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1908096.2231958907</v>
      </c>
      <c r="G291" s="6">
        <f>(SUM($C$289:G289)*$B$266/$B$268)+(SUM($C$289:G289)*$B$267/$B$269)</f>
        <v>3813305.2977916501</v>
      </c>
      <c r="H291" s="6">
        <f>(SUM($C$289:H289)*$B$266/$B$268)+(SUM($C$289:H289)*$B$267/$B$269)</f>
        <v>5617305.8479636107</v>
      </c>
      <c r="I291" s="6">
        <f>(SUM($C$289:I289)*$B$266/$B$268)+(SUM($C$289:I289)*$B$267/$B$269)</f>
        <v>7325339.2263426017</v>
      </c>
      <c r="J291" s="6">
        <f>(SUM($C$289:J289)*$B$266/$B$268)+(SUM($C$289:J289)*$B$267/$B$269)</f>
        <v>8942361.5925961547</v>
      </c>
      <c r="K291" s="6">
        <f>(SUM($C$289:K289)*$B$266/$B$268)+(SUM($C$289:K289)*$B$267/$B$269)</f>
        <v>10473059.656149274</v>
      </c>
      <c r="L291" s="6">
        <f>(SUM($C$289:L289)*$B$266/$B$268)+(SUM($C$289:L289)*$B$267/$B$269)</f>
        <v>11921865.542820109</v>
      </c>
      <c r="M291" s="6">
        <f>(SUM($C$289:M289)*$B$266/$B$268)+(SUM($C$289:M289)*$B$267/$B$269)</f>
        <v>13330510.92574887</v>
      </c>
      <c r="N291" s="6">
        <f>(SUM($C$289:N289)*$B$266/$B$268)+(SUM($C$289:N289)*$B$267/$B$269)</f>
        <v>14699995.529145556</v>
      </c>
      <c r="O291" s="6">
        <f>(SUM($C$289:O289)*$B$266/$B$268)+(SUM($C$289:O289)*$B$267/$B$269)</f>
        <v>16031291.715731371</v>
      </c>
      <c r="P291" s="6">
        <f>(SUM($C$289:P289)*$B$266/$B$268)+(SUM($C$289:P289)*$B$267/$B$269)</f>
        <v>19266425.553498097</v>
      </c>
      <c r="Q291" s="6">
        <f>(SUM($C$289:Q289)*$B$266/$B$268)+(SUM($C$289:Q289)*$B$267/$B$269)</f>
        <v>22410752.538847029</v>
      </c>
      <c r="R291" s="6">
        <f>(SUM($C$289:R289)*$B$266/$B$268)+(SUM($C$289:R289)*$B$267/$B$269)</f>
        <v>25486618.004122376</v>
      </c>
      <c r="S291" s="6">
        <f>(SUM($C$289:S289)*$B$266/$B$268)+(SUM($C$289:S289)*$B$267/$B$269)</f>
        <v>28495270.841975909</v>
      </c>
      <c r="T291" s="6">
        <f>(SUM($C$289:T289)*$B$266/$B$268)+(SUM($C$289:T289)*$B$267/$B$269)</f>
        <v>31437934.087338448</v>
      </c>
      <c r="U291" s="6">
        <f>(SUM($C$289:U289)*$B$266/$B$268)+(SUM($C$289:U289)*$B$267/$B$269)</f>
        <v>34315805.466352247</v>
      </c>
      <c r="V291" s="6">
        <f>(SUM($C$289:V289)*$B$266/$B$268)+(SUM($C$289:V289)*$B$267/$B$269)</f>
        <v>37130057.933540665</v>
      </c>
      <c r="W291" s="6">
        <f>(SUM($C$289:W289)*$B$266/$B$268)+(SUM($C$289:W289)*$B$267/$B$269)</f>
        <v>39937265.302416347</v>
      </c>
      <c r="X291" s="6">
        <f>(SUM($C$289:X289)*$B$266/$B$268)+(SUM($C$289:X289)*$B$267/$B$269)</f>
        <v>42737438.232947856</v>
      </c>
      <c r="Y291" s="6">
        <f>(SUM($C$289:Y289)*$B$266/$B$268)+(SUM($C$289:Y289)*$B$267/$B$269)</f>
        <v>45530587.368974105</v>
      </c>
      <c r="Z291" s="6">
        <f>(SUM($C$289:Z289)*$B$266/$B$268)+(SUM($C$289:Z289)*$B$267/$B$269)</f>
        <v>49988404.919781528</v>
      </c>
      <c r="AA291" s="6">
        <f>(SUM($C$289:AA289)*$B$266/$B$268)+(SUM($C$289:AA289)*$B$267/$B$269)</f>
        <v>54435018.382398859</v>
      </c>
      <c r="AB291" s="6">
        <f>(SUM($C$289:AB289)*$B$266/$B$268)+(SUM($C$289:AB289)*$B$267/$B$269)</f>
        <v>58870444.709780119</v>
      </c>
      <c r="AC291" s="6">
        <f>(SUM($C$289:AC289)*$B$266/$B$268)+(SUM($C$289:AC289)*$B$267/$B$269)</f>
        <v>63294700.829227753</v>
      </c>
      <c r="AD291" s="6">
        <f>(SUM($C$289:AD289)*$B$266/$B$268)+(SUM($C$289:AD289)*$B$267/$B$269)</f>
        <v>67707803.642431393</v>
      </c>
      <c r="AE291" s="6">
        <f>(SUM($C$289:AE289)*$B$266/$B$268)+(SUM($C$289:AE289)*$B$267/$B$269)</f>
        <v>72109770.025506705</v>
      </c>
      <c r="AF291" s="6">
        <f>(SUM($C$289:AF289)*$B$266/$B$268)+(SUM($C$289:AF289)*$B$267/$B$269)</f>
        <v>76500616.829033971</v>
      </c>
      <c r="AG291" s="6">
        <f>(SUM($C$289:AG289)*$B$266/$B$268)+(SUM($C$289:AG289)*$B$267/$B$269)</f>
        <v>80880360.878096834</v>
      </c>
      <c r="AH291" s="6">
        <f>(SUM($C$289:AH289)*$B$266/$B$268)+(SUM($C$289:AH289)*$B$267/$B$269)</f>
        <v>85249018.972320825</v>
      </c>
      <c r="AI291" s="6">
        <f>(SUM($C$289:AI289)*$B$266/$B$268)+(SUM($C$289:AI289)*$B$267/$B$269)</f>
        <v>89606607.885911852</v>
      </c>
      <c r="AJ291" s="6">
        <f>(SUM($C$289:AJ289)*$B$266/$B$268)+(SUM($C$289:AJ289)*$B$267/$B$269)</f>
        <v>89606607.885911852</v>
      </c>
      <c r="AK291" s="6">
        <f>(SUM($C$289:AK289)*$B$266/$B$268)+(SUM($C$289:AK289)*$B$267/$B$269)</f>
        <v>89606607.885911852</v>
      </c>
      <c r="AL291" s="6">
        <f>(SUM($C$289:AL289)*$B$266/$B$268)+(SUM($C$289:AL289)*$B$267/$B$269)</f>
        <v>89606607.885911852</v>
      </c>
      <c r="AM291" s="6">
        <f>(SUM($C$289:AM289)*$B$266/$B$268)+(SUM($C$289:AM289)*$B$267/$B$269)</f>
        <v>89606607.885911852</v>
      </c>
      <c r="AN291" s="6">
        <f>(SUM($C$289:AN289)*$B$266/$B$268)+(SUM($C$289:AN289)*$B$267/$B$269)</f>
        <v>89606607.885911852</v>
      </c>
      <c r="AO291" s="6">
        <f>(SUM($C$289:AO289)*$B$266/$B$268)+(SUM($C$289:AO289)*$B$267/$B$269)</f>
        <v>89606607.885911852</v>
      </c>
      <c r="AP291" s="64">
        <f>(SUM($C$289:AP289)*$B$266/$B$268)+(SUM($C$289:AP289)*$B$267/$B$269)</f>
        <v>89606607.885911852</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1186375.0157898678</v>
      </c>
      <c r="G293" s="1">
        <f>(SUM($C$289:G289)*$B$275)</f>
        <v>2370954.9224419319</v>
      </c>
      <c r="H293" s="1">
        <f>(SUM($C$289:H289)*$B$275)</f>
        <v>3492607.5703416863</v>
      </c>
      <c r="I293" s="1">
        <f>(SUM($C$289:I289)*$B$275)</f>
        <v>4554591.8149569873</v>
      </c>
      <c r="J293" s="1">
        <f>(SUM($C$289:J289)*$B$275)</f>
        <v>5559989.1906110765</v>
      </c>
      <c r="K293" s="1">
        <f>(SUM($C$289:K289)*$B$275)</f>
        <v>6511713.6986527853</v>
      </c>
      <c r="L293" s="1">
        <f>(SUM($C$289:L289)*$B$275)</f>
        <v>7412521.0509134</v>
      </c>
      <c r="M293" s="1">
        <f>(SUM($C$289:M289)*$B$275)</f>
        <v>8288358.2692353111</v>
      </c>
      <c r="N293" s="1">
        <f>(SUM($C$289:N289)*$B$275)</f>
        <v>9139846.9406281281</v>
      </c>
      <c r="O293" s="1">
        <f>(SUM($C$289:O289)*$B$275)</f>
        <v>9967591.6398636624</v>
      </c>
      <c r="P293" s="1">
        <f>(SUM($C$289:P289)*$B$275)</f>
        <v>11979063.551607396</v>
      </c>
      <c r="Q293" s="1">
        <f>(SUM($C$289:Q289)*$B$275)</f>
        <v>13934075.532420315</v>
      </c>
      <c r="R293" s="1">
        <f>(SUM($C$289:R289)*$B$275)</f>
        <v>15846520.982273772</v>
      </c>
      <c r="S293" s="1">
        <f>(SUM($C$289:S289)*$B$275)</f>
        <v>17717176.410770092</v>
      </c>
      <c r="T293" s="1">
        <f>(SUM($C$289:T289)*$B$275)</f>
        <v>19546802.250254206</v>
      </c>
      <c r="U293" s="1">
        <f>(SUM($C$289:U289)*$B$275)</f>
        <v>21336143.197117019</v>
      </c>
      <c r="V293" s="1">
        <f>(SUM($C$289:V289)*$B$275)</f>
        <v>23085928.545785241</v>
      </c>
      <c r="W293" s="1">
        <f>(SUM($C$289:W289)*$B$275)</f>
        <v>24831333.544804212</v>
      </c>
      <c r="X293" s="1">
        <f>(SUM($C$289:X289)*$B$275)</f>
        <v>26572364.822099831</v>
      </c>
      <c r="Y293" s="1">
        <f>(SUM($C$289:Y289)*$B$275)</f>
        <v>28309028.995569237</v>
      </c>
      <c r="Z293" s="1">
        <f>(SUM($C$289:Z289)*$B$275)</f>
        <v>31080714.879612077</v>
      </c>
      <c r="AA293" s="1">
        <f>(SUM($C$289:AA289)*$B$275)</f>
        <v>33845434.526762962</v>
      </c>
      <c r="AB293" s="1">
        <f>(SUM($C$289:AB289)*$B$275)</f>
        <v>36603198.477664888</v>
      </c>
      <c r="AC293" s="1">
        <f>(SUM($C$289:AC289)*$B$275)</f>
        <v>39354017.257011764</v>
      </c>
      <c r="AD293" s="1">
        <f>(SUM($C$289:AD289)*$B$275)</f>
        <v>42097901.373572528</v>
      </c>
      <c r="AE293" s="1">
        <f>(SUM($C$289:AE289)*$B$275)</f>
        <v>44834861.32021527</v>
      </c>
      <c r="AF293" s="1">
        <f>(SUM($C$289:AF289)*$B$275)</f>
        <v>47564907.573931254</v>
      </c>
      <c r="AG293" s="1">
        <f>(SUM($C$289:AG289)*$B$275)</f>
        <v>50288050.595858976</v>
      </c>
      <c r="AH293" s="1">
        <f>(SUM($C$289:AH289)*$B$275)</f>
        <v>53004300.831308149</v>
      </c>
      <c r="AI293" s="1">
        <f>(SUM($C$289:AI289)*$B$275)</f>
        <v>55713668.709783629</v>
      </c>
      <c r="AJ293" s="1">
        <f>(SUM($C$289:AJ289)*$B$275)</f>
        <v>55713668.709783629</v>
      </c>
      <c r="AK293" s="1">
        <f>(SUM($C$289:AK289)*$B$275)</f>
        <v>55713668.709783629</v>
      </c>
      <c r="AL293" s="1">
        <f>(SUM($C$289:AL289)*$B$275)</f>
        <v>55713668.709783629</v>
      </c>
      <c r="AM293" s="1">
        <f>(SUM($C$289:AM289)*$B$275)</f>
        <v>55713668.709783629</v>
      </c>
      <c r="AN293" s="1">
        <f>(SUM($C$289:AN289)*$B$275)</f>
        <v>55713668.709783629</v>
      </c>
      <c r="AO293" s="1">
        <f>(SUM($C$289:AO289)*$B$275)</f>
        <v>55713668.709783629</v>
      </c>
      <c r="AP293" s="65">
        <f>(SUM($C$289:AP289)*$B$275)</f>
        <v>55713668.709783629</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173606</v>
      </c>
      <c r="C302" s="99">
        <f t="shared" ref="C302:AP302" si="37">$B$302*C28</f>
        <v>177138.12133681204</v>
      </c>
      <c r="D302" s="69">
        <f t="shared" si="37"/>
        <v>178931.04001072579</v>
      </c>
      <c r="E302" s="69">
        <f t="shared" si="37"/>
        <v>180742.1058646311</v>
      </c>
      <c r="F302" s="69">
        <f t="shared" si="37"/>
        <v>182571.50257676528</v>
      </c>
      <c r="G302" s="69">
        <f t="shared" si="37"/>
        <v>184419.41568448069</v>
      </c>
      <c r="H302" s="69">
        <f t="shared" si="37"/>
        <v>186286.03260306179</v>
      </c>
      <c r="I302" s="69">
        <f t="shared" si="37"/>
        <v>188171.54264473298</v>
      </c>
      <c r="J302" s="69">
        <f t="shared" si="37"/>
        <v>190076.1370378586</v>
      </c>
      <c r="K302" s="69">
        <f t="shared" si="37"/>
        <v>192000.00894633718</v>
      </c>
      <c r="L302" s="69">
        <f t="shared" si="37"/>
        <v>193943.35348919226</v>
      </c>
      <c r="M302" s="69">
        <f t="shared" si="37"/>
        <v>195906.36776036123</v>
      </c>
      <c r="N302" s="69">
        <f t="shared" si="37"/>
        <v>197889.25084868478</v>
      </c>
      <c r="O302" s="69">
        <f t="shared" si="37"/>
        <v>199892.20385809816</v>
      </c>
      <c r="P302" s="69">
        <f t="shared" si="37"/>
        <v>201915.42992802759</v>
      </c>
      <c r="Q302" s="69">
        <f t="shared" si="37"/>
        <v>203959.13425399215</v>
      </c>
      <c r="R302" s="69">
        <f t="shared" si="37"/>
        <v>206023.52410841512</v>
      </c>
      <c r="S302" s="69">
        <f t="shared" si="37"/>
        <v>208108.80886164535</v>
      </c>
      <c r="T302" s="69">
        <f t="shared" si="37"/>
        <v>210215.20000319148</v>
      </c>
      <c r="U302" s="69">
        <f t="shared" si="37"/>
        <v>212342.91116317155</v>
      </c>
      <c r="V302" s="69">
        <f t="shared" si="37"/>
        <v>214492.15813397893</v>
      </c>
      <c r="W302" s="69">
        <f t="shared" si="37"/>
        <v>216663.15889216834</v>
      </c>
      <c r="X302" s="69">
        <f t="shared" si="37"/>
        <v>218856.13362056288</v>
      </c>
      <c r="Y302" s="69">
        <f t="shared" si="37"/>
        <v>221071.30473058479</v>
      </c>
      <c r="Z302" s="69">
        <f t="shared" si="37"/>
        <v>223308.8968848128</v>
      </c>
      <c r="AA302" s="69">
        <f t="shared" si="37"/>
        <v>225569.13701976702</v>
      </c>
      <c r="AB302" s="69">
        <f t="shared" si="37"/>
        <v>227852.25436892518</v>
      </c>
      <c r="AC302" s="69">
        <f t="shared" si="37"/>
        <v>230158.480485971</v>
      </c>
      <c r="AD302" s="69">
        <f t="shared" si="37"/>
        <v>232488.0492682789</v>
      </c>
      <c r="AE302" s="69">
        <f t="shared" si="37"/>
        <v>234841.19698063555</v>
      </c>
      <c r="AF302" s="69">
        <f t="shared" si="37"/>
        <v>237218.1622792019</v>
      </c>
      <c r="AG302" s="69">
        <f t="shared" si="37"/>
        <v>239619.18623571764</v>
      </c>
      <c r="AH302" s="69">
        <f t="shared" si="37"/>
        <v>242044.51236195079</v>
      </c>
      <c r="AI302" s="69">
        <f t="shared" si="37"/>
        <v>244494.38663439464</v>
      </c>
      <c r="AJ302" s="69">
        <f t="shared" si="37"/>
        <v>246969.05751921446</v>
      </c>
      <c r="AK302" s="69">
        <f t="shared" si="37"/>
        <v>249468.77599744729</v>
      </c>
      <c r="AL302" s="69">
        <f t="shared" si="37"/>
        <v>251993.79559045611</v>
      </c>
      <c r="AM302" s="69">
        <f t="shared" si="37"/>
        <v>254544.3723856422</v>
      </c>
      <c r="AN302" s="69">
        <f t="shared" si="37"/>
        <v>257120.7650624174</v>
      </c>
      <c r="AO302" s="69">
        <f t="shared" si="37"/>
        <v>259723.23491843921</v>
      </c>
      <c r="AP302" s="76">
        <f t="shared" si="37"/>
        <v>262352.04589611205</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F6HQwWkOGcZdPTtjm6Wbd0DoLOmFGWDTyqplZXwggUVOeBK93wHdBNDKRQM+qnY4sImlqqHJTlhidzOUO/Lp5g==" saltValue="L6GUJgvU9ukPV44QGr5itQ=="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8.5000000000000006E-2</v>
      </c>
      <c r="J4" s="333">
        <v>5.5E-2</v>
      </c>
      <c r="K4" s="333">
        <v>0.04</v>
      </c>
      <c r="L4" s="333">
        <v>0.03</v>
      </c>
      <c r="M4" s="333">
        <v>-1.4999999999999999E-2</v>
      </c>
      <c r="N4" s="333">
        <v>0.03</v>
      </c>
      <c r="O4" s="333">
        <v>0.02</v>
      </c>
      <c r="P4" s="333">
        <v>0.02</v>
      </c>
      <c r="Q4" s="333">
        <v>0.02</v>
      </c>
      <c r="R4" s="333">
        <v>0.1</v>
      </c>
      <c r="S4" s="333">
        <v>8.5000000000000006E-2</v>
      </c>
      <c r="T4" s="333">
        <v>7.0000000000000007E-2</v>
      </c>
      <c r="U4" s="333">
        <v>6.5000000000000002E-2</v>
      </c>
      <c r="V4" s="333">
        <v>0.05</v>
      </c>
      <c r="W4" s="333">
        <v>0.05</v>
      </c>
      <c r="X4" s="333">
        <v>0.04</v>
      </c>
      <c r="Y4" s="333">
        <v>0.04</v>
      </c>
      <c r="Z4" s="333">
        <v>3.5000000000000003E-2</v>
      </c>
      <c r="AA4" s="333">
        <v>3.5000000000000003E-2</v>
      </c>
      <c r="AB4" s="333">
        <v>0.09</v>
      </c>
      <c r="AC4" s="333">
        <v>7.4999999999999997E-2</v>
      </c>
      <c r="AD4" s="333">
        <v>7.0000000000000007E-2</v>
      </c>
      <c r="AE4" s="333">
        <v>0.06</v>
      </c>
      <c r="AF4" s="333">
        <v>0.05</v>
      </c>
      <c r="AG4" s="333">
        <v>0.05</v>
      </c>
      <c r="AH4" s="333">
        <v>4.4999999999999998E-2</v>
      </c>
      <c r="AI4" s="333">
        <v>3.5000000000000003E-2</v>
      </c>
      <c r="AJ4" s="333">
        <v>0.03</v>
      </c>
      <c r="AK4" s="333">
        <v>0.03</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2.1443843592736611</v>
      </c>
      <c r="J6" s="348">
        <f ca="1">'Debt worksheet'!H3/'Profit and Loss'!H3</f>
        <v>2.3037490654828137</v>
      </c>
      <c r="K6" s="348">
        <f ca="1">'Debt worksheet'!I3/'Profit and Loss'!I3</f>
        <v>2.4354533448722178</v>
      </c>
      <c r="L6" s="348">
        <f ca="1">'Debt worksheet'!J3/'Profit and Loss'!J3</f>
        <v>2.5450009608083692</v>
      </c>
      <c r="M6" s="348">
        <f ca="1">'Debt worksheet'!K3/'Profit and Loss'!K3</f>
        <v>2.740419320383376</v>
      </c>
      <c r="N6" s="348">
        <f ca="1">'Debt worksheet'!L3/'Profit and Loss'!L3</f>
        <v>2.7879924271397507</v>
      </c>
      <c r="O6" s="348">
        <f ca="1">'Debt worksheet'!M3/'Profit and Loss'!M3</f>
        <v>2.8303627026296545</v>
      </c>
      <c r="P6" s="348">
        <f ca="1">'Debt worksheet'!N3/'Profit and Loss'!N3</f>
        <v>2.8667620742806026</v>
      </c>
      <c r="Q6" s="348">
        <f ca="1">'Debt worksheet'!O3/'Profit and Loss'!O3</f>
        <v>2.8969253512770976</v>
      </c>
      <c r="R6" s="348">
        <f ca="1">'Debt worksheet'!P3/'Profit and Loss'!P3</f>
        <v>2.7081945186306005</v>
      </c>
      <c r="S6" s="348">
        <f ca="1">'Debt worksheet'!Q3/'Profit and Loss'!Q3</f>
        <v>2.8834435805194487</v>
      </c>
      <c r="T6" s="348">
        <f ca="1">'Debt worksheet'!R3/'Profit and Loss'!R3</f>
        <v>3.0125742056963229</v>
      </c>
      <c r="U6" s="348">
        <f ca="1">'Debt worksheet'!S3/'Profit and Loss'!S3</f>
        <v>3.0965780096514837</v>
      </c>
      <c r="V6" s="348">
        <f ca="1">'Debt worksheet'!T3/'Profit and Loss'!T3</f>
        <v>3.1746038237495511</v>
      </c>
      <c r="W6" s="348">
        <f ca="1">'Debt worksheet'!U3/'Profit and Loss'!U3</f>
        <v>3.219369982635969</v>
      </c>
      <c r="X6" s="348">
        <f ca="1">'Debt worksheet'!V3/'Profit and Loss'!V3</f>
        <v>3.2630265355282728</v>
      </c>
      <c r="Y6" s="348">
        <f ca="1">'Debt worksheet'!W3/'Profit and Loss'!W3</f>
        <v>3.2850804857014535</v>
      </c>
      <c r="Z6" s="348">
        <f ca="1">'Debt worksheet'!X3/'Profit and Loss'!X3</f>
        <v>3.314077587893641</v>
      </c>
      <c r="AA6" s="348">
        <f ca="1">'Debt worksheet'!Y3/'Profit and Loss'!Y3</f>
        <v>3.3388873069914626</v>
      </c>
      <c r="AB6" s="348">
        <f ca="1">'Debt worksheet'!Z3/'Profit and Loss'!Z3</f>
        <v>3.189767130294122</v>
      </c>
      <c r="AC6" s="348">
        <f ca="1">'Debt worksheet'!AA3/'Profit and Loss'!AA3</f>
        <v>3.2769022537553836</v>
      </c>
      <c r="AD6" s="348">
        <f ca="1">'Debt worksheet'!AB3/'Profit and Loss'!AB3</f>
        <v>3.3314120688041271</v>
      </c>
      <c r="AE6" s="348">
        <f ca="1">'Debt worksheet'!AC3/'Profit and Loss'!AC3</f>
        <v>3.3770493515754842</v>
      </c>
      <c r="AF6" s="348">
        <f ca="1">'Debt worksheet'!AD3/'Profit and Loss'!AD3</f>
        <v>3.4259277506922547</v>
      </c>
      <c r="AG6" s="348">
        <f ca="1">'Debt worksheet'!AE3/'Profit and Loss'!AE3</f>
        <v>3.4562695003831041</v>
      </c>
      <c r="AH6" s="348">
        <f ca="1">'Debt worksheet'!AF3/'Profit and Loss'!AF3</f>
        <v>3.4849083366285454</v>
      </c>
      <c r="AI6" s="348">
        <f ca="1">'Debt worksheet'!AG3/'Profit and Loss'!AG3</f>
        <v>3.5340859214152873</v>
      </c>
      <c r="AJ6" s="348">
        <f ca="1">'Debt worksheet'!AH3/'Profit and Loss'!AH3</f>
        <v>3.5973818210117687</v>
      </c>
      <c r="AK6" s="348">
        <f ca="1">'Debt worksheet'!AI3/'Profit and Loss'!AI3</f>
        <v>3.6625093451697839</v>
      </c>
      <c r="AL6" s="348">
        <f ca="1">'Debt worksheet'!AJ3/'Profit and Loss'!AJ3</f>
        <v>3.8410700106535201</v>
      </c>
      <c r="AM6" s="348">
        <f ca="1">'Debt worksheet'!AK3/'Profit and Loss'!AK3</f>
        <v>3.5315499398105956</v>
      </c>
      <c r="AN6" s="348">
        <f ca="1">'Debt worksheet'!AL3/'Profit and Loss'!AL3</f>
        <v>3.2208777596072133</v>
      </c>
      <c r="AO6" s="348">
        <f ca="1">'Debt worksheet'!AM3/'Profit and Loss'!AM3</f>
        <v>2.9091819161746986</v>
      </c>
      <c r="AP6" s="348">
        <f ca="1">'Debt worksheet'!AN3/'Profit and Loss'!AN3</f>
        <v>2.5965982247710682</v>
      </c>
      <c r="AQ6" s="348">
        <f ca="1">'Debt worksheet'!AO3/'Profit and Loss'!AO3</f>
        <v>2.2832701765439607</v>
      </c>
      <c r="AR6" s="349">
        <f ca="1">'Debt worksheet'!AP3/'Profit and Loss'!AP3</f>
        <v>1.9693492568059261</v>
      </c>
      <c r="AS6" s="350"/>
    </row>
    <row r="7" spans="1:45" ht="21" x14ac:dyDescent="0.5">
      <c r="A7" s="351" t="s">
        <v>356</v>
      </c>
      <c r="B7" s="352">
        <f ca="1">MIN('Price and Financial Ratios'!H7:AK7)</f>
        <v>0.17041896470143458</v>
      </c>
      <c r="C7" s="352"/>
      <c r="D7" s="352"/>
      <c r="E7" s="353"/>
      <c r="F7" s="354"/>
      <c r="G7" s="355"/>
      <c r="H7" s="355"/>
      <c r="I7" s="356">
        <f ca="1">'Cash Flow'!G5/'Debt worksheet'!G3</f>
        <v>0.19477010729927377</v>
      </c>
      <c r="J7" s="356">
        <f ca="1">'Cash Flow'!H5/'Debt worksheet'!H3</f>
        <v>0.18918924721885039</v>
      </c>
      <c r="K7" s="356">
        <f ca="1">'Cash Flow'!I5/'Debt worksheet'!I3</f>
        <v>0.18567849589466415</v>
      </c>
      <c r="L7" s="356">
        <f ca="1">'Cash Flow'!J5/'Debt worksheet'!J3</f>
        <v>0.1825461580929191</v>
      </c>
      <c r="M7" s="356">
        <f ca="1">'Cash Flow'!K5/'Debt worksheet'!K3</f>
        <v>0.18138377201269373</v>
      </c>
      <c r="N7" s="356">
        <f ca="1">'Cash Flow'!L5/'Debt worksheet'!L3</f>
        <v>0.18349579055126899</v>
      </c>
      <c r="O7" s="356">
        <f ca="1">'Cash Flow'!M5/'Debt worksheet'!M3</f>
        <v>0.18169861935693865</v>
      </c>
      <c r="P7" s="356">
        <f ca="1">'Cash Flow'!N5/'Debt worksheet'!N3</f>
        <v>0.18048625499483517</v>
      </c>
      <c r="Q7" s="356">
        <f ca="1">'Cash Flow'!O5/'Debt worksheet'!O3</f>
        <v>0.17984321480283746</v>
      </c>
      <c r="R7" s="356">
        <f ca="1">'Cash Flow'!P5/'Debt worksheet'!P3</f>
        <v>0.19944906462454684</v>
      </c>
      <c r="S7" s="356">
        <f ca="1">'Cash Flow'!Q5/'Debt worksheet'!Q3</f>
        <v>0.19286041798713663</v>
      </c>
      <c r="T7" s="356">
        <f ca="1">'Cash Flow'!R5/'Debt worksheet'!R3</f>
        <v>0.18809625460714344</v>
      </c>
      <c r="U7" s="356">
        <f ca="1">'Cash Flow'!S5/'Debt worksheet'!S3</f>
        <v>0.18642906734257336</v>
      </c>
      <c r="V7" s="356">
        <f ca="1">'Cash Flow'!T5/'Debt worksheet'!T3</f>
        <v>0.18377317998705775</v>
      </c>
      <c r="W7" s="356">
        <f ca="1">'Cash Flow'!U5/'Debt worksheet'!U3</f>
        <v>0.18358149903092744</v>
      </c>
      <c r="X7" s="356">
        <f ca="1">'Cash Flow'!V5/'Debt worksheet'!V3</f>
        <v>0.18257961720219198</v>
      </c>
      <c r="Y7" s="356">
        <f ca="1">'Cash Flow'!W5/'Debt worksheet'!W3</f>
        <v>0.18191664670241864</v>
      </c>
      <c r="Z7" s="356">
        <f ca="1">'Cash Flow'!X5/'Debt worksheet'!X3</f>
        <v>0.18038564351768513</v>
      </c>
      <c r="AA7" s="356">
        <f ca="1">'Cash Flow'!Y5/'Debt worksheet'!Y3</f>
        <v>0.17919541017273355</v>
      </c>
      <c r="AB7" s="356">
        <f ca="1">'Cash Flow'!Z5/'Debt worksheet'!Z3</f>
        <v>0.19071563850233955</v>
      </c>
      <c r="AC7" s="356">
        <f ca="1">'Cash Flow'!AA5/'Debt worksheet'!AA3</f>
        <v>0.18767094097832235</v>
      </c>
      <c r="AD7" s="356">
        <f ca="1">'Cash Flow'!AB5/'Debt worksheet'!AB3</f>
        <v>0.18659558733102397</v>
      </c>
      <c r="AE7" s="356">
        <f ca="1">'Cash Flow'!AC5/'Debt worksheet'!AC3</f>
        <v>0.18538713934551548</v>
      </c>
      <c r="AF7" s="356">
        <f ca="1">'Cash Flow'!AD5/'Debt worksheet'!AD3</f>
        <v>0.1832732147498789</v>
      </c>
      <c r="AG7" s="356">
        <f ca="1">'Cash Flow'!AE5/'Debt worksheet'!AE3</f>
        <v>0.18245954416431062</v>
      </c>
      <c r="AH7" s="356">
        <f ca="1">'Cash Flow'!AF5/'Debt worksheet'!AF3</f>
        <v>0.18144454441677821</v>
      </c>
      <c r="AI7" s="356">
        <f ca="1">'Cash Flow'!AG5/'Debt worksheet'!AG3</f>
        <v>0.17847426610398795</v>
      </c>
      <c r="AJ7" s="356">
        <f ca="1">'Cash Flow'!AH5/'Debt worksheet'!AH3</f>
        <v>0.17441296890036892</v>
      </c>
      <c r="AK7" s="356">
        <f ca="1">'Cash Flow'!AI5/'Debt worksheet'!AI3</f>
        <v>0.17041896470143458</v>
      </c>
      <c r="AL7" s="357">
        <f ca="1">'Cash Flow'!AJ5/'Debt worksheet'!AJ3</f>
        <v>0.16531903858875435</v>
      </c>
      <c r="AM7" s="357">
        <f ca="1">'Cash Flow'!AK5/'Debt worksheet'!AK3</f>
        <v>0.18288002495033867</v>
      </c>
      <c r="AN7" s="357">
        <f ca="1">'Cash Flow'!AL5/'Debt worksheet'!AL3</f>
        <v>0.20388808957523696</v>
      </c>
      <c r="AO7" s="357">
        <f ca="1">'Cash Flow'!AM5/'Debt worksheet'!AM3</f>
        <v>0.22946018772102686</v>
      </c>
      <c r="AP7" s="357">
        <f ca="1">'Cash Flow'!AN5/'Debt worksheet'!AN3</f>
        <v>0.26125391548685367</v>
      </c>
      <c r="AQ7" s="357">
        <f ca="1">'Cash Flow'!AO5/'Debt worksheet'!AO3</f>
        <v>0.3018396159565942</v>
      </c>
      <c r="AR7" s="358">
        <f ca="1">'Cash Flow'!AP5/'Debt worksheet'!AP3</f>
        <v>0.35542887008081486</v>
      </c>
      <c r="AS7" s="359"/>
    </row>
    <row r="8" spans="1:45" ht="21" x14ac:dyDescent="0.5">
      <c r="A8" s="351" t="s">
        <v>357</v>
      </c>
      <c r="B8" s="352">
        <f ca="1">MAX('Price and Financial Ratios'!H8:AK8)</f>
        <v>0.46896716978209751</v>
      </c>
      <c r="C8" s="352"/>
      <c r="D8" s="352"/>
      <c r="E8" s="353"/>
      <c r="F8" s="354"/>
      <c r="G8" s="355"/>
      <c r="H8" s="355"/>
      <c r="I8" s="357">
        <f ca="1">'Balance Sheet'!F9/'Balance Sheet'!F6</f>
        <v>0.26540899935116302</v>
      </c>
      <c r="J8" s="357">
        <f ca="1">'Balance Sheet'!G9/'Balance Sheet'!G6</f>
        <v>0.28200211776485717</v>
      </c>
      <c r="K8" s="357">
        <f ca="1">'Balance Sheet'!H9/'Balance Sheet'!H6</f>
        <v>0.29422095909636603</v>
      </c>
      <c r="L8" s="357">
        <f ca="1">'Balance Sheet'!I9/'Balance Sheet'!I6</f>
        <v>0.30331961298244703</v>
      </c>
      <c r="M8" s="357">
        <f ca="1">'Balance Sheet'!J9/'Balance Sheet'!J6</f>
        <v>0.3097045264579375</v>
      </c>
      <c r="N8" s="357">
        <f ca="1">'Balance Sheet'!K9/'Balance Sheet'!K6</f>
        <v>0.31319222973170252</v>
      </c>
      <c r="O8" s="357">
        <f ca="1">'Balance Sheet'!L9/'Balance Sheet'!L6</f>
        <v>0.3166482467221749</v>
      </c>
      <c r="P8" s="357">
        <f ca="1">'Balance Sheet'!M9/'Balance Sheet'!M6</f>
        <v>0.3197385904981806</v>
      </c>
      <c r="Q8" s="357">
        <f ca="1">'Balance Sheet'!N9/'Balance Sheet'!N6</f>
        <v>0.32242918102254592</v>
      </c>
      <c r="R8" s="357">
        <f ca="1">'Balance Sheet'!O9/'Balance Sheet'!O6</f>
        <v>0.36600729520706854</v>
      </c>
      <c r="S8" s="357">
        <f ca="1">'Balance Sheet'!P9/'Balance Sheet'!P6</f>
        <v>0.38515162806954245</v>
      </c>
      <c r="T8" s="357">
        <f ca="1">'Balance Sheet'!Q9/'Balance Sheet'!Q6</f>
        <v>0.39877501345250038</v>
      </c>
      <c r="U8" s="357">
        <f ca="1">'Balance Sheet'!R9/'Balance Sheet'!R6</f>
        <v>0.40753593793421661</v>
      </c>
      <c r="V8" s="357">
        <f ca="1">'Balance Sheet'!S9/'Balance Sheet'!S6</f>
        <v>0.41336925128621671</v>
      </c>
      <c r="W8" s="357">
        <f ca="1">'Balance Sheet'!T9/'Balance Sheet'!T6</f>
        <v>0.41632580528409985</v>
      </c>
      <c r="X8" s="357">
        <f ca="1">'Balance Sheet'!U9/'Balance Sheet'!U6</f>
        <v>0.4176260046015875</v>
      </c>
      <c r="Y8" s="357">
        <f ca="1">'Balance Sheet'!V9/'Balance Sheet'!V6</f>
        <v>0.41881837396474553</v>
      </c>
      <c r="Z8" s="357">
        <f ca="1">'Balance Sheet'!W9/'Balance Sheet'!W6</f>
        <v>0.41998765299232843</v>
      </c>
      <c r="AA8" s="357">
        <f ca="1">'Balance Sheet'!X9/'Balance Sheet'!X6</f>
        <v>0.42107982729779697</v>
      </c>
      <c r="AB8" s="357">
        <f ca="1">'Balance Sheet'!Y9/'Balance Sheet'!Y6</f>
        <v>0.44855769649284966</v>
      </c>
      <c r="AC8" s="357">
        <f ca="1">'Balance Sheet'!Z9/'Balance Sheet'!Z6</f>
        <v>0.45781148786495873</v>
      </c>
      <c r="AD8" s="357">
        <f ca="1">'Balance Sheet'!AA9/'Balance Sheet'!AA6</f>
        <v>0.46313731310657641</v>
      </c>
      <c r="AE8" s="357">
        <f ca="1">'Balance Sheet'!AB9/'Balance Sheet'!AB6</f>
        <v>0.4658815021882608</v>
      </c>
      <c r="AF8" s="357">
        <f ca="1">'Balance Sheet'!AC9/'Balance Sheet'!AC6</f>
        <v>0.46732712339943416</v>
      </c>
      <c r="AG8" s="357">
        <f ca="1">'Balance Sheet'!AD9/'Balance Sheet'!AD6</f>
        <v>0.46743671535870512</v>
      </c>
      <c r="AH8" s="357">
        <f ca="1">'Balance Sheet'!AE9/'Balance Sheet'!AE6</f>
        <v>0.46679441576710717</v>
      </c>
      <c r="AI8" s="357">
        <f ca="1">'Balance Sheet'!AF9/'Balance Sheet'!AF6</f>
        <v>0.46659207609310271</v>
      </c>
      <c r="AJ8" s="357">
        <f ca="1">'Balance Sheet'!AG9/'Balance Sheet'!AG6</f>
        <v>0.46735254691664674</v>
      </c>
      <c r="AK8" s="357">
        <f ca="1">'Balance Sheet'!AH9/'Balance Sheet'!AH6</f>
        <v>0.46896716978209751</v>
      </c>
      <c r="AL8" s="357">
        <f ca="1">'Balance Sheet'!AI9/'Balance Sheet'!AI6</f>
        <v>0.41263935841821842</v>
      </c>
      <c r="AM8" s="357">
        <f ca="1">'Balance Sheet'!AJ9/'Balance Sheet'!AJ6</f>
        <v>0.38141546767979645</v>
      </c>
      <c r="AN8" s="357">
        <f ca="1">'Balance Sheet'!AK9/'Balance Sheet'!AK6</f>
        <v>0.34921313531247167</v>
      </c>
      <c r="AO8" s="357">
        <f ca="1">'Balance Sheet'!AL9/'Balance Sheet'!AL6</f>
        <v>0.31600992922743787</v>
      </c>
      <c r="AP8" s="357">
        <f ca="1">'Balance Sheet'!AM9/'Balance Sheet'!AM6</f>
        <v>0.28178261112282871</v>
      </c>
      <c r="AQ8" s="357">
        <f ca="1">'Balance Sheet'!AN9/'Balance Sheet'!AN6</f>
        <v>0.24650706798182737</v>
      </c>
      <c r="AR8" s="358">
        <f ca="1">'Balance Sheet'!AO9/'Balance Sheet'!AO6</f>
        <v>0.2101582358126082</v>
      </c>
      <c r="AS8" s="359"/>
    </row>
    <row r="9" spans="1:45" ht="21.5" thickBot="1" x14ac:dyDescent="0.55000000000000004">
      <c r="A9" s="360" t="s">
        <v>358</v>
      </c>
      <c r="B9" s="361">
        <f ca="1">MIN('Price and Financial Ratios'!H9:AK9)</f>
        <v>3.9146463750316545</v>
      </c>
      <c r="C9" s="361"/>
      <c r="D9" s="361"/>
      <c r="E9" s="362"/>
      <c r="F9" s="363"/>
      <c r="G9" s="363"/>
      <c r="H9" s="363"/>
      <c r="I9" s="361">
        <f ca="1">('Cash Flow'!G5+'Profit and Loss'!G6)/('Profit and Loss'!G6)</f>
        <v>3.931475436032128</v>
      </c>
      <c r="J9" s="361">
        <f ca="1">('Cash Flow'!H5+'Profit and Loss'!H6)/('Profit and Loss'!H6)</f>
        <v>3.9146463750316545</v>
      </c>
      <c r="K9" s="361">
        <f ca="1">('Cash Flow'!I5+'Profit and Loss'!I6)/('Profit and Loss'!I6)</f>
        <v>3.9778597978732857</v>
      </c>
      <c r="L9" s="361">
        <f ca="1">('Cash Flow'!J5+'Profit and Loss'!J6)/('Profit and Loss'!J6)</f>
        <v>4.0141622758645532</v>
      </c>
      <c r="M9" s="361">
        <f ca="1">('Cash Flow'!K5+'Profit and Loss'!K6)/('Profit and Loss'!K6)</f>
        <v>4.0650979888802929</v>
      </c>
      <c r="N9" s="361">
        <f ca="1">('Cash Flow'!L5+'Profit and Loss'!L6)/('Profit and Loss'!L6)</f>
        <v>4.1631246908482078</v>
      </c>
      <c r="O9" s="361">
        <f ca="1">('Cash Flow'!M5+'Profit and Loss'!M6)/('Profit and Loss'!M6)</f>
        <v>4.1624383032726993</v>
      </c>
      <c r="P9" s="361">
        <f ca="1">('Cash Flow'!N5+'Profit and Loss'!N6)/('Profit and Loss'!N6)</f>
        <v>4.1696477558240472</v>
      </c>
      <c r="Q9" s="361">
        <f ca="1">('Cash Flow'!O5+'Profit and Loss'!O6)/('Profit and Loss'!O6)</f>
        <v>4.184872538169583</v>
      </c>
      <c r="R9" s="361">
        <f ca="1">('Cash Flow'!P5+'Profit and Loss'!P6)/('Profit and Loss'!P6)</f>
        <v>4.2354136029726179</v>
      </c>
      <c r="S9" s="361">
        <f ca="1">('Cash Flow'!Q5+'Profit and Loss'!Q6)/('Profit and Loss'!Q6)</f>
        <v>4.2980478265144839</v>
      </c>
      <c r="T9" s="361">
        <f ca="1">('Cash Flow'!R5+'Profit and Loss'!R6)/('Profit and Loss'!R6)</f>
        <v>4.334184984061455</v>
      </c>
      <c r="U9" s="361">
        <f ca="1">('Cash Flow'!S5+'Profit and Loss'!S6)/('Profit and Loss'!S6)</f>
        <v>4.3990392497935229</v>
      </c>
      <c r="V9" s="361">
        <f ca="1">('Cash Flow'!T5+'Profit and Loss'!T6)/('Profit and Loss'!T6)</f>
        <v>4.418459826070765</v>
      </c>
      <c r="W9" s="361">
        <f ca="1">('Cash Flow'!U5+'Profit and Loss'!U6)/('Profit and Loss'!U6)</f>
        <v>4.4749940322571202</v>
      </c>
      <c r="X9" s="361">
        <f ca="1">('Cash Flow'!V5+'Profit and Loss'!V6)/('Profit and Loss'!V6)</f>
        <v>4.5008773479790296</v>
      </c>
      <c r="Y9" s="361">
        <f ca="1">('Cash Flow'!W5+'Profit and Loss'!W6)/('Profit and Loss'!W6)</f>
        <v>4.5174067157302105</v>
      </c>
      <c r="Z9" s="361">
        <f ca="1">('Cash Flow'!X5+'Profit and Loss'!X6)/('Profit and Loss'!X6)</f>
        <v>4.5107212526121945</v>
      </c>
      <c r="AA9" s="361">
        <f ca="1">('Cash Flow'!Y5+'Profit and Loss'!Y6)/('Profit and Loss'!Y6)</f>
        <v>4.5094146829145094</v>
      </c>
      <c r="AB9" s="361">
        <f ca="1">('Cash Flow'!Z5+'Profit and Loss'!Z6)/('Profit and Loss'!Z6)</f>
        <v>4.5607823710398812</v>
      </c>
      <c r="AC9" s="361">
        <f ca="1">('Cash Flow'!AA5+'Profit and Loss'!AA6)/('Profit and Loss'!AA6)</f>
        <v>4.5880745154604883</v>
      </c>
      <c r="AD9" s="361">
        <f ca="1">('Cash Flow'!AB5+'Profit and Loss'!AB6)/('Profit and Loss'!AB6)</f>
        <v>4.6365112410764828</v>
      </c>
      <c r="AE9" s="361">
        <f ca="1">('Cash Flow'!AC5+'Profit and Loss'!AC6)/('Profit and Loss'!AC6)</f>
        <v>4.6654021236753964</v>
      </c>
      <c r="AF9" s="361">
        <f ca="1">('Cash Flow'!AD5+'Profit and Loss'!AD6)/('Profit and Loss'!AD6)</f>
        <v>4.6617764448104069</v>
      </c>
      <c r="AG9" s="361">
        <f ca="1">('Cash Flow'!AE5+'Profit and Loss'!AE6)/('Profit and Loss'!AE6)</f>
        <v>4.6806834989496631</v>
      </c>
      <c r="AH9" s="361">
        <f ca="1">('Cash Flow'!AF5+'Profit and Loss'!AF6)/('Profit and Loss'!AF6)</f>
        <v>4.6882440970004611</v>
      </c>
      <c r="AI9" s="361">
        <f ca="1">('Cash Flow'!AG5+'Profit and Loss'!AG6)/('Profit and Loss'!AG6)</f>
        <v>4.644721974402759</v>
      </c>
      <c r="AJ9" s="361">
        <f ca="1">('Cash Flow'!AH5+'Profit and Loss'!AH6)/('Profit and Loss'!AH6)</f>
        <v>4.5731983591429852</v>
      </c>
      <c r="AK9" s="361">
        <f ca="1">('Cash Flow'!AI5+'Profit and Loss'!AI6)/('Profit and Loss'!AI6)</f>
        <v>4.5023746940798004</v>
      </c>
      <c r="AL9" s="361">
        <f ca="1">('Cash Flow'!AJ5+'Profit and Loss'!AJ6)/('Profit and Loss'!AJ6)</f>
        <v>4.856612676078881</v>
      </c>
      <c r="AM9" s="361">
        <f ca="1">('Cash Flow'!AK5+'Profit and Loss'!AK6)/('Profit and Loss'!AK6)</f>
        <v>5.2758537217076675</v>
      </c>
      <c r="AN9" s="361">
        <f ca="1">('Cash Flow'!AL5+'Profit and Loss'!AL6)/('Profit and Loss'!AL6)</f>
        <v>5.7796197169079493</v>
      </c>
      <c r="AO9" s="361">
        <f ca="1">('Cash Flow'!AM5+'Profit and Loss'!AM6)/('Profit and Loss'!AM6)</f>
        <v>6.3961114453271835</v>
      </c>
      <c r="AP9" s="361">
        <f ca="1">('Cash Flow'!AN5+'Profit and Loss'!AN6)/('Profit and Loss'!AN6)</f>
        <v>7.1676339217795348</v>
      </c>
      <c r="AQ9" s="361">
        <f ca="1">('Cash Flow'!AO5+'Profit and Loss'!AO6)/('Profit and Loss'!AO6)</f>
        <v>8.1606729226664037</v>
      </c>
      <c r="AR9" s="364">
        <f ca="1">('Cash Flow'!AP5+'Profit and Loss'!AP6)/('Profit and Loss'!AP6)</f>
        <v>9.4860503367450217</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1.085</v>
      </c>
      <c r="J12" s="370">
        <f t="shared" ref="J12:AI12" si="1">(1+J4)</f>
        <v>1.0549999999999999</v>
      </c>
      <c r="K12" s="370">
        <f t="shared" si="1"/>
        <v>1.04</v>
      </c>
      <c r="L12" s="370">
        <f t="shared" si="1"/>
        <v>1.03</v>
      </c>
      <c r="M12" s="370">
        <f t="shared" si="1"/>
        <v>0.98499999999999999</v>
      </c>
      <c r="N12" s="370">
        <f t="shared" si="1"/>
        <v>1.03</v>
      </c>
      <c r="O12" s="370">
        <f t="shared" si="1"/>
        <v>1.02</v>
      </c>
      <c r="P12" s="370">
        <f t="shared" si="1"/>
        <v>1.02</v>
      </c>
      <c r="Q12" s="370">
        <f t="shared" si="1"/>
        <v>1.02</v>
      </c>
      <c r="R12" s="370">
        <f t="shared" si="1"/>
        <v>1.1000000000000001</v>
      </c>
      <c r="S12" s="370">
        <f t="shared" si="1"/>
        <v>1.085</v>
      </c>
      <c r="T12" s="370">
        <f t="shared" si="1"/>
        <v>1.07</v>
      </c>
      <c r="U12" s="370">
        <f t="shared" si="1"/>
        <v>1.0649999999999999</v>
      </c>
      <c r="V12" s="370">
        <f t="shared" si="1"/>
        <v>1.05</v>
      </c>
      <c r="W12" s="370">
        <f t="shared" si="1"/>
        <v>1.05</v>
      </c>
      <c r="X12" s="370">
        <f t="shared" si="1"/>
        <v>1.04</v>
      </c>
      <c r="Y12" s="370">
        <f t="shared" si="1"/>
        <v>1.04</v>
      </c>
      <c r="Z12" s="370">
        <f t="shared" si="1"/>
        <v>1.0349999999999999</v>
      </c>
      <c r="AA12" s="370">
        <f t="shared" si="1"/>
        <v>1.0349999999999999</v>
      </c>
      <c r="AB12" s="370">
        <f t="shared" si="1"/>
        <v>1.0900000000000001</v>
      </c>
      <c r="AC12" s="370">
        <f t="shared" si="1"/>
        <v>1.075</v>
      </c>
      <c r="AD12" s="370">
        <f t="shared" si="1"/>
        <v>1.07</v>
      </c>
      <c r="AE12" s="370">
        <f t="shared" si="1"/>
        <v>1.06</v>
      </c>
      <c r="AF12" s="370">
        <f t="shared" si="1"/>
        <v>1.05</v>
      </c>
      <c r="AG12" s="370">
        <f t="shared" si="1"/>
        <v>1.05</v>
      </c>
      <c r="AH12" s="370">
        <f t="shared" si="1"/>
        <v>1.0449999999999999</v>
      </c>
      <c r="AI12" s="370">
        <f t="shared" si="1"/>
        <v>1.0349999999999999</v>
      </c>
      <c r="AJ12" s="370">
        <f>(1+AJ4)</f>
        <v>1.03</v>
      </c>
      <c r="AK12" s="370">
        <f>(1+AK4)</f>
        <v>1.03</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173606</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
      </c>
      <c r="J26" s="379"/>
    </row>
    <row r="27" spans="5:14" x14ac:dyDescent="0.35">
      <c r="G27" s="382" t="s">
        <v>368</v>
      </c>
      <c r="H27" s="383">
        <v>0.17</v>
      </c>
      <c r="I27" s="383" t="str">
        <f>IF(AND($J$24&gt;=100000,$J$24&lt;200000),"YES","")</f>
        <v>YES</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31F7H7rzKoJEiFwWD508ktmDg1Knm81M+/IGsZpjU9ZmWiTEDgvxAZ0+t/1TuzuMxiIiaPUMb/CcI4GWe+3KPQ==" saltValue="h7p1sRhuc8/C8ec9dE65ww=="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48871439.102530345</v>
      </c>
      <c r="G3" s="306">
        <f>Assumptions!G277</f>
        <v>48871439.102530345</v>
      </c>
      <c r="H3" s="306">
        <f>Assumptions!H277</f>
        <v>48871439.102530345</v>
      </c>
      <c r="I3" s="306">
        <f>Assumptions!I277</f>
        <v>48871439.102530345</v>
      </c>
      <c r="J3" s="306">
        <f>Assumptions!J277</f>
        <v>48871439.102530345</v>
      </c>
      <c r="K3" s="306">
        <f>Assumptions!K277</f>
        <v>48871439.102530345</v>
      </c>
      <c r="L3" s="306">
        <f>Assumptions!L277</f>
        <v>48871439.102530345</v>
      </c>
      <c r="M3" s="306">
        <f>Assumptions!M277</f>
        <v>48871439.102530345</v>
      </c>
      <c r="N3" s="306">
        <f>Assumptions!N277</f>
        <v>48871439.102530345</v>
      </c>
      <c r="O3" s="306">
        <f>Assumptions!O277</f>
        <v>48871439.102530345</v>
      </c>
      <c r="P3" s="306">
        <f>Assumptions!P277</f>
        <v>48871439.102530345</v>
      </c>
      <c r="Q3" s="306">
        <f>Assumptions!Q277</f>
        <v>48871439.102530345</v>
      </c>
      <c r="R3" s="306">
        <f>Assumptions!R277</f>
        <v>48871439.102530345</v>
      </c>
      <c r="S3" s="306">
        <f>Assumptions!S277</f>
        <v>48871439.102530345</v>
      </c>
      <c r="T3" s="306">
        <f>Assumptions!T277</f>
        <v>48871439.102530345</v>
      </c>
      <c r="U3" s="306">
        <f>Assumptions!U277</f>
        <v>48871439.102530345</v>
      </c>
      <c r="V3" s="306">
        <f>Assumptions!V277</f>
        <v>48871439.102530345</v>
      </c>
      <c r="W3" s="306">
        <f>Assumptions!W277</f>
        <v>48871439.102530345</v>
      </c>
      <c r="X3" s="306">
        <f>Assumptions!X277</f>
        <v>48871439.102530345</v>
      </c>
      <c r="Y3" s="306">
        <f>Assumptions!Y277</f>
        <v>48871439.102530345</v>
      </c>
      <c r="Z3" s="306">
        <f>Assumptions!Z277</f>
        <v>48871439.102530345</v>
      </c>
      <c r="AA3" s="306">
        <f>Assumptions!AA277</f>
        <v>48871439.102530345</v>
      </c>
      <c r="AB3" s="306">
        <f>Assumptions!AB277</f>
        <v>48871439.102530345</v>
      </c>
      <c r="AC3" s="306">
        <f>Assumptions!AC277</f>
        <v>48871439.102530345</v>
      </c>
      <c r="AD3" s="306">
        <f>Assumptions!AD277</f>
        <v>48871439.102530345</v>
      </c>
      <c r="AE3" s="306">
        <f>Assumptions!AE277</f>
        <v>48871439.102530345</v>
      </c>
      <c r="AF3" s="306">
        <f>Assumptions!AF277</f>
        <v>48871439.102530345</v>
      </c>
      <c r="AG3" s="306">
        <f>Assumptions!AG277</f>
        <v>48871439.102530345</v>
      </c>
      <c r="AH3" s="306">
        <f>Assumptions!AH277</f>
        <v>48871439.102530345</v>
      </c>
      <c r="AI3" s="306">
        <f>Assumptions!AI277</f>
        <v>48871439.102530345</v>
      </c>
      <c r="AJ3" s="306">
        <f>Assumptions!AJ277</f>
        <v>48871439.102530345</v>
      </c>
      <c r="AK3" s="306">
        <f>Assumptions!AK277</f>
        <v>48871439.102530345</v>
      </c>
      <c r="AL3" s="306">
        <f>Assumptions!AL277</f>
        <v>48871439.102530345</v>
      </c>
      <c r="AM3" s="306">
        <f>Assumptions!AM277</f>
        <v>48871439.102530345</v>
      </c>
      <c r="AN3" s="306">
        <f>Assumptions!AN277</f>
        <v>48871439.102530345</v>
      </c>
      <c r="AO3" s="306">
        <f>Assumptions!AO277</f>
        <v>48871439.102530345</v>
      </c>
      <c r="AP3" s="306">
        <f>Assumptions!AP277</f>
        <v>48871439.102530345</v>
      </c>
    </row>
    <row r="4" spans="1:42" x14ac:dyDescent="0.35">
      <c r="A4" s="304" t="s">
        <v>383</v>
      </c>
      <c r="C4" s="305"/>
      <c r="D4" s="305"/>
      <c r="E4" s="305"/>
      <c r="F4" s="306">
        <f>Assumptions!F281</f>
        <v>79624489.457211778</v>
      </c>
      <c r="G4" s="306">
        <f>Assumptions!G281</f>
        <v>79624489.457211778</v>
      </c>
      <c r="H4" s="306">
        <f>Assumptions!H281</f>
        <v>79624489.457211778</v>
      </c>
      <c r="I4" s="306">
        <f>Assumptions!I281</f>
        <v>79624489.457211778</v>
      </c>
      <c r="J4" s="306">
        <f>Assumptions!J281</f>
        <v>79624489.457211778</v>
      </c>
      <c r="K4" s="306">
        <f>Assumptions!K281</f>
        <v>79624489.457211778</v>
      </c>
      <c r="L4" s="306">
        <f>Assumptions!L281</f>
        <v>79624489.457211778</v>
      </c>
      <c r="M4" s="306">
        <f>Assumptions!M281</f>
        <v>79624489.457211778</v>
      </c>
      <c r="N4" s="306">
        <f>Assumptions!N281</f>
        <v>79624489.457211778</v>
      </c>
      <c r="O4" s="306">
        <f>Assumptions!O281</f>
        <v>79624489.457211778</v>
      </c>
      <c r="P4" s="306">
        <f>Assumptions!P281</f>
        <v>199061223.64302942</v>
      </c>
      <c r="Q4" s="306">
        <f>Assumptions!Q281</f>
        <v>199061223.64302942</v>
      </c>
      <c r="R4" s="306">
        <f>Assumptions!R281</f>
        <v>199061223.64302942</v>
      </c>
      <c r="S4" s="306">
        <f>Assumptions!S281</f>
        <v>199061223.64302942</v>
      </c>
      <c r="T4" s="306">
        <f>Assumptions!T281</f>
        <v>199061223.64302942</v>
      </c>
      <c r="U4" s="306">
        <f>Assumptions!U281</f>
        <v>199061223.64302942</v>
      </c>
      <c r="V4" s="306">
        <f>Assumptions!V281</f>
        <v>199061223.64302942</v>
      </c>
      <c r="W4" s="306">
        <f>Assumptions!W281</f>
        <v>199061223.64302942</v>
      </c>
      <c r="X4" s="306">
        <f>Assumptions!X281</f>
        <v>199061223.64302942</v>
      </c>
      <c r="Y4" s="306">
        <f>Assumptions!Y281</f>
        <v>199061223.64302942</v>
      </c>
      <c r="Z4" s="306">
        <f>Assumptions!Z281</f>
        <v>318497957.82884711</v>
      </c>
      <c r="AA4" s="306">
        <f>Assumptions!AA281</f>
        <v>318497957.82884711</v>
      </c>
      <c r="AB4" s="306">
        <f>Assumptions!AB281</f>
        <v>318497957.82884711</v>
      </c>
      <c r="AC4" s="306">
        <f>Assumptions!AC281</f>
        <v>318497957.82884711</v>
      </c>
      <c r="AD4" s="306">
        <f>Assumptions!AD281</f>
        <v>318497957.82884711</v>
      </c>
      <c r="AE4" s="306">
        <f>Assumptions!AE281</f>
        <v>318497957.82884711</v>
      </c>
      <c r="AF4" s="306">
        <f>Assumptions!AF281</f>
        <v>318497957.82884711</v>
      </c>
      <c r="AG4" s="306">
        <f>Assumptions!AG281</f>
        <v>318497957.82884711</v>
      </c>
      <c r="AH4" s="306">
        <f>Assumptions!AH281</f>
        <v>318497957.82884711</v>
      </c>
      <c r="AI4" s="306">
        <f>Assumptions!AI281</f>
        <v>318497957.82884711</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15924897.891442357</v>
      </c>
      <c r="G5" s="306">
        <f t="shared" si="1"/>
        <v>15924897.891442357</v>
      </c>
      <c r="H5" s="306">
        <f t="shared" si="1"/>
        <v>15924897.891442357</v>
      </c>
      <c r="I5" s="306">
        <f t="shared" si="1"/>
        <v>15924897.891442357</v>
      </c>
      <c r="J5" s="306">
        <f t="shared" si="1"/>
        <v>15924897.891442357</v>
      </c>
      <c r="K5" s="306">
        <f t="shared" si="1"/>
        <v>15924897.891442357</v>
      </c>
      <c r="L5" s="306">
        <f t="shared" si="1"/>
        <v>15924897.891442357</v>
      </c>
      <c r="M5" s="306">
        <f t="shared" ref="M5:V6" si="2">$B5*M$4</f>
        <v>15924897.891442357</v>
      </c>
      <c r="N5" s="306">
        <f t="shared" si="2"/>
        <v>15924897.891442357</v>
      </c>
      <c r="O5" s="306">
        <f t="shared" si="2"/>
        <v>15924897.891442357</v>
      </c>
      <c r="P5" s="306">
        <f t="shared" si="2"/>
        <v>39812244.728605889</v>
      </c>
      <c r="Q5" s="306">
        <f t="shared" si="2"/>
        <v>39812244.728605889</v>
      </c>
      <c r="R5" s="306">
        <f t="shared" si="2"/>
        <v>39812244.728605889</v>
      </c>
      <c r="S5" s="306">
        <f t="shared" si="2"/>
        <v>39812244.728605889</v>
      </c>
      <c r="T5" s="306">
        <f t="shared" si="2"/>
        <v>39812244.728605889</v>
      </c>
      <c r="U5" s="306">
        <f t="shared" si="2"/>
        <v>39812244.728605889</v>
      </c>
      <c r="V5" s="306">
        <f t="shared" si="2"/>
        <v>39812244.728605889</v>
      </c>
      <c r="W5" s="306">
        <f t="shared" ref="W5:AF6" si="3">$B5*W$4</f>
        <v>39812244.728605889</v>
      </c>
      <c r="X5" s="306">
        <f t="shared" si="3"/>
        <v>39812244.728605889</v>
      </c>
      <c r="Y5" s="306">
        <f t="shared" si="3"/>
        <v>39812244.728605889</v>
      </c>
      <c r="Z5" s="306">
        <f t="shared" si="3"/>
        <v>63699591.565769427</v>
      </c>
      <c r="AA5" s="306">
        <f t="shared" si="3"/>
        <v>63699591.565769427</v>
      </c>
      <c r="AB5" s="306">
        <f t="shared" si="3"/>
        <v>63699591.565769427</v>
      </c>
      <c r="AC5" s="306">
        <f t="shared" si="3"/>
        <v>63699591.565769427</v>
      </c>
      <c r="AD5" s="306">
        <f t="shared" si="3"/>
        <v>63699591.565769427</v>
      </c>
      <c r="AE5" s="306">
        <f t="shared" si="3"/>
        <v>63699591.565769427</v>
      </c>
      <c r="AF5" s="306">
        <f t="shared" si="3"/>
        <v>63699591.565769427</v>
      </c>
      <c r="AG5" s="306">
        <f t="shared" ref="AG5:AP6" si="4">$B5*AG$4</f>
        <v>63699591.565769427</v>
      </c>
      <c r="AH5" s="306">
        <f t="shared" si="4"/>
        <v>63699591.565769427</v>
      </c>
      <c r="AI5" s="306">
        <f t="shared" si="4"/>
        <v>63699591.565769427</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63699591.565769427</v>
      </c>
      <c r="G6" s="306">
        <f t="shared" si="1"/>
        <v>63699591.565769427</v>
      </c>
      <c r="H6" s="306">
        <f t="shared" si="1"/>
        <v>63699591.565769427</v>
      </c>
      <c r="I6" s="306">
        <f t="shared" si="1"/>
        <v>63699591.565769427</v>
      </c>
      <c r="J6" s="306">
        <f t="shared" si="1"/>
        <v>63699591.565769427</v>
      </c>
      <c r="K6" s="306">
        <f t="shared" si="1"/>
        <v>63699591.565769427</v>
      </c>
      <c r="L6" s="306">
        <f t="shared" si="1"/>
        <v>63699591.565769427</v>
      </c>
      <c r="M6" s="306">
        <f t="shared" si="2"/>
        <v>63699591.565769427</v>
      </c>
      <c r="N6" s="306">
        <f t="shared" si="2"/>
        <v>63699591.565769427</v>
      </c>
      <c r="O6" s="306">
        <f t="shared" si="2"/>
        <v>63699591.565769427</v>
      </c>
      <c r="P6" s="306">
        <f t="shared" si="2"/>
        <v>159248978.91442356</v>
      </c>
      <c r="Q6" s="306">
        <f t="shared" si="2"/>
        <v>159248978.91442356</v>
      </c>
      <c r="R6" s="306">
        <f t="shared" si="2"/>
        <v>159248978.91442356</v>
      </c>
      <c r="S6" s="306">
        <f t="shared" si="2"/>
        <v>159248978.91442356</v>
      </c>
      <c r="T6" s="306">
        <f t="shared" si="2"/>
        <v>159248978.91442356</v>
      </c>
      <c r="U6" s="306">
        <f t="shared" si="2"/>
        <v>159248978.91442356</v>
      </c>
      <c r="V6" s="306">
        <f t="shared" si="2"/>
        <v>159248978.91442356</v>
      </c>
      <c r="W6" s="306">
        <f t="shared" si="3"/>
        <v>159248978.91442356</v>
      </c>
      <c r="X6" s="306">
        <f t="shared" si="3"/>
        <v>159248978.91442356</v>
      </c>
      <c r="Y6" s="306">
        <f t="shared" si="3"/>
        <v>159248978.91442356</v>
      </c>
      <c r="Z6" s="306">
        <f t="shared" si="3"/>
        <v>254798366.26307771</v>
      </c>
      <c r="AA6" s="306">
        <f t="shared" si="3"/>
        <v>254798366.26307771</v>
      </c>
      <c r="AB6" s="306">
        <f t="shared" si="3"/>
        <v>254798366.26307771</v>
      </c>
      <c r="AC6" s="306">
        <f t="shared" si="3"/>
        <v>254798366.26307771</v>
      </c>
      <c r="AD6" s="306">
        <f t="shared" si="3"/>
        <v>254798366.26307771</v>
      </c>
      <c r="AE6" s="306">
        <f t="shared" si="3"/>
        <v>254798366.26307771</v>
      </c>
      <c r="AF6" s="306">
        <f t="shared" si="3"/>
        <v>254798366.26307771</v>
      </c>
      <c r="AG6" s="306">
        <f t="shared" si="4"/>
        <v>254798366.26307771</v>
      </c>
      <c r="AH6" s="306">
        <f t="shared" si="4"/>
        <v>254798366.26307771</v>
      </c>
      <c r="AI6" s="306">
        <f t="shared" si="4"/>
        <v>254798366.26307771</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1908096.2231958907</v>
      </c>
      <c r="G7" s="306">
        <f>Assumptions!G291</f>
        <v>3813305.2977916501</v>
      </c>
      <c r="H7" s="306">
        <f>Assumptions!H291</f>
        <v>5617305.8479636107</v>
      </c>
      <c r="I7" s="306">
        <f>Assumptions!I291</f>
        <v>7325339.2263426017</v>
      </c>
      <c r="J7" s="306">
        <f>Assumptions!J291</f>
        <v>8942361.5925961547</v>
      </c>
      <c r="K7" s="306">
        <f>Assumptions!K291</f>
        <v>10473059.656149274</v>
      </c>
      <c r="L7" s="306">
        <f>Assumptions!L291</f>
        <v>11921865.542820109</v>
      </c>
      <c r="M7" s="306">
        <f>Assumptions!M291</f>
        <v>13330510.92574887</v>
      </c>
      <c r="N7" s="306">
        <f>Assumptions!N291</f>
        <v>14699995.529145556</v>
      </c>
      <c r="O7" s="306">
        <f>Assumptions!O291</f>
        <v>16031291.715731371</v>
      </c>
      <c r="P7" s="306">
        <f>Assumptions!P291</f>
        <v>19266425.553498097</v>
      </c>
      <c r="Q7" s="306">
        <f>Assumptions!Q291</f>
        <v>22410752.538847029</v>
      </c>
      <c r="R7" s="306">
        <f>Assumptions!R291</f>
        <v>25486618.004122376</v>
      </c>
      <c r="S7" s="306">
        <f>Assumptions!S291</f>
        <v>28495270.841975909</v>
      </c>
      <c r="T7" s="306">
        <f>Assumptions!T291</f>
        <v>31437934.087338448</v>
      </c>
      <c r="U7" s="306">
        <f>Assumptions!U291</f>
        <v>34315805.466352247</v>
      </c>
      <c r="V7" s="306">
        <f>Assumptions!V291</f>
        <v>37130057.933540665</v>
      </c>
      <c r="W7" s="306">
        <f>Assumptions!W291</f>
        <v>39937265.302416347</v>
      </c>
      <c r="X7" s="306">
        <f>Assumptions!X291</f>
        <v>42737438.232947856</v>
      </c>
      <c r="Y7" s="306">
        <f>Assumptions!Y291</f>
        <v>45530587.368974105</v>
      </c>
      <c r="Z7" s="306">
        <f>Assumptions!Z291</f>
        <v>49988404.919781528</v>
      </c>
      <c r="AA7" s="306">
        <f>Assumptions!AA291</f>
        <v>54435018.382398859</v>
      </c>
      <c r="AB7" s="306">
        <f>Assumptions!AB291</f>
        <v>58870444.709780119</v>
      </c>
      <c r="AC7" s="306">
        <f>Assumptions!AC291</f>
        <v>63294700.829227753</v>
      </c>
      <c r="AD7" s="306">
        <f>Assumptions!AD291</f>
        <v>67707803.642431393</v>
      </c>
      <c r="AE7" s="306">
        <f>Assumptions!AE291</f>
        <v>72109770.025506705</v>
      </c>
      <c r="AF7" s="306">
        <f>Assumptions!AF291</f>
        <v>76500616.829033971</v>
      </c>
      <c r="AG7" s="306">
        <f>Assumptions!AG291</f>
        <v>80880360.878096834</v>
      </c>
      <c r="AH7" s="306">
        <f>Assumptions!AH291</f>
        <v>85249018.972320825</v>
      </c>
      <c r="AI7" s="306">
        <f>Assumptions!AI291</f>
        <v>89606607.885911852</v>
      </c>
      <c r="AJ7" s="306">
        <f>Assumptions!AJ291</f>
        <v>89606607.885911852</v>
      </c>
      <c r="AK7" s="306">
        <f>Assumptions!AK291</f>
        <v>89606607.885911852</v>
      </c>
      <c r="AL7" s="306">
        <f>Assumptions!AL291</f>
        <v>89606607.885911852</v>
      </c>
      <c r="AM7" s="306">
        <f>Assumptions!AM291</f>
        <v>89606607.885911852</v>
      </c>
      <c r="AN7" s="306">
        <f>Assumptions!AN291</f>
        <v>89606607.885911852</v>
      </c>
      <c r="AO7" s="306">
        <f>Assumptions!AO291</f>
        <v>89606607.885911852</v>
      </c>
      <c r="AP7" s="306">
        <f>Assumptions!AP291</f>
        <v>89606607.885911852</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57846517.617961004</v>
      </c>
      <c r="G11" s="306">
        <f t="shared" ref="G11:AP11" si="5">G3*G$9</f>
        <v>59581913.146499835</v>
      </c>
      <c r="H11" s="306">
        <f t="shared" si="5"/>
        <v>61369370.540894829</v>
      </c>
      <c r="I11" s="306">
        <f t="shared" si="5"/>
        <v>63210451.657121673</v>
      </c>
      <c r="J11" s="306">
        <f t="shared" si="5"/>
        <v>65106765.20683533</v>
      </c>
      <c r="K11" s="306">
        <f t="shared" si="5"/>
        <v>67059968.163040385</v>
      </c>
      <c r="L11" s="306">
        <f t="shared" si="5"/>
        <v>69071767.207931608</v>
      </c>
      <c r="M11" s="306">
        <f t="shared" si="5"/>
        <v>71143920.224169552</v>
      </c>
      <c r="N11" s="306">
        <f t="shared" si="5"/>
        <v>73278237.830894634</v>
      </c>
      <c r="O11" s="306">
        <f t="shared" si="5"/>
        <v>75476584.965821475</v>
      </c>
      <c r="P11" s="306">
        <f t="shared" si="5"/>
        <v>77740882.514796138</v>
      </c>
      <c r="Q11" s="306">
        <f t="shared" si="5"/>
        <v>80073108.990240023</v>
      </c>
      <c r="R11" s="306">
        <f t="shared" si="5"/>
        <v>82475302.259947225</v>
      </c>
      <c r="S11" s="306">
        <f t="shared" si="5"/>
        <v>84949561.327745646</v>
      </c>
      <c r="T11" s="306">
        <f t="shared" si="5"/>
        <v>87498048.167578012</v>
      </c>
      <c r="U11" s="306">
        <f t="shared" si="5"/>
        <v>90122989.612605348</v>
      </c>
      <c r="V11" s="306">
        <f t="shared" si="5"/>
        <v>92826679.300983518</v>
      </c>
      <c r="W11" s="306">
        <f t="shared" si="5"/>
        <v>95611479.680013031</v>
      </c>
      <c r="X11" s="306">
        <f t="shared" si="5"/>
        <v>98479824.070413411</v>
      </c>
      <c r="Y11" s="306">
        <f t="shared" si="5"/>
        <v>101434218.79252581</v>
      </c>
      <c r="Z11" s="306">
        <f t="shared" si="5"/>
        <v>104477245.35630158</v>
      </c>
      <c r="AA11" s="306">
        <f t="shared" si="5"/>
        <v>107611562.71699063</v>
      </c>
      <c r="AB11" s="306">
        <f t="shared" si="5"/>
        <v>110839909.59850037</v>
      </c>
      <c r="AC11" s="306">
        <f t="shared" si="5"/>
        <v>114165106.88645537</v>
      </c>
      <c r="AD11" s="306">
        <f t="shared" si="5"/>
        <v>117590060.09304903</v>
      </c>
      <c r="AE11" s="306">
        <f t="shared" si="5"/>
        <v>121117761.89584053</v>
      </c>
      <c r="AF11" s="306">
        <f t="shared" si="5"/>
        <v>124751294.75271574</v>
      </c>
      <c r="AG11" s="306">
        <f t="shared" si="5"/>
        <v>128493833.59529722</v>
      </c>
      <c r="AH11" s="306">
        <f t="shared" si="5"/>
        <v>132348648.60315613</v>
      </c>
      <c r="AI11" s="306">
        <f t="shared" si="5"/>
        <v>136319108.06125084</v>
      </c>
      <c r="AJ11" s="306">
        <f t="shared" si="5"/>
        <v>140408681.30308837</v>
      </c>
      <c r="AK11" s="306">
        <f t="shared" si="5"/>
        <v>144620941.742181</v>
      </c>
      <c r="AL11" s="306">
        <f t="shared" si="5"/>
        <v>148959569.99444646</v>
      </c>
      <c r="AM11" s="306">
        <f t="shared" si="5"/>
        <v>153428357.09427983</v>
      </c>
      <c r="AN11" s="306">
        <f t="shared" si="5"/>
        <v>158031207.80710822</v>
      </c>
      <c r="AO11" s="306">
        <f t="shared" si="5"/>
        <v>162772144.04132149</v>
      </c>
      <c r="AP11" s="306">
        <f t="shared" si="5"/>
        <v>167655308.36256114</v>
      </c>
    </row>
    <row r="12" spans="1:42" x14ac:dyDescent="0.35">
      <c r="A12" s="303" t="s">
        <v>389</v>
      </c>
      <c r="C12" s="305"/>
      <c r="D12" s="305"/>
      <c r="E12" s="305"/>
      <c r="F12" s="306">
        <f t="shared" ref="F12:AP12" si="6">F4*F$9</f>
        <v>94247264.185213506</v>
      </c>
      <c r="G12" s="306">
        <f t="shared" si="6"/>
        <v>97074682.110769928</v>
      </c>
      <c r="H12" s="306">
        <f t="shared" si="6"/>
        <v>99986922.574093014</v>
      </c>
      <c r="I12" s="306">
        <f t="shared" si="6"/>
        <v>102986530.2513158</v>
      </c>
      <c r="J12" s="306">
        <f t="shared" si="6"/>
        <v>106076126.15885529</v>
      </c>
      <c r="K12" s="306">
        <f t="shared" si="6"/>
        <v>109258409.94362094</v>
      </c>
      <c r="L12" s="306">
        <f t="shared" si="6"/>
        <v>112536162.24192958</v>
      </c>
      <c r="M12" s="306">
        <f t="shared" si="6"/>
        <v>115912247.10918747</v>
      </c>
      <c r="N12" s="306">
        <f t="shared" si="6"/>
        <v>119389614.52246308</v>
      </c>
      <c r="O12" s="306">
        <f t="shared" si="6"/>
        <v>122971302.95813699</v>
      </c>
      <c r="P12" s="306">
        <f t="shared" si="6"/>
        <v>316651105.1172027</v>
      </c>
      <c r="Q12" s="306">
        <f t="shared" si="6"/>
        <v>326150638.27071881</v>
      </c>
      <c r="R12" s="306">
        <f t="shared" si="6"/>
        <v>335935157.41884041</v>
      </c>
      <c r="S12" s="306">
        <f t="shared" si="6"/>
        <v>346013212.14140564</v>
      </c>
      <c r="T12" s="306">
        <f t="shared" si="6"/>
        <v>356393608.50564784</v>
      </c>
      <c r="U12" s="306">
        <f t="shared" si="6"/>
        <v>367085416.76081723</v>
      </c>
      <c r="V12" s="306">
        <f t="shared" si="6"/>
        <v>378097979.26364177</v>
      </c>
      <c r="W12" s="306">
        <f t="shared" si="6"/>
        <v>389440918.64155102</v>
      </c>
      <c r="X12" s="306">
        <f t="shared" si="6"/>
        <v>401124146.20079756</v>
      </c>
      <c r="Y12" s="306">
        <f t="shared" si="6"/>
        <v>413157870.58682144</v>
      </c>
      <c r="Z12" s="306">
        <f t="shared" si="6"/>
        <v>680884170.72708178</v>
      </c>
      <c r="AA12" s="306">
        <f t="shared" si="6"/>
        <v>701310695.84889436</v>
      </c>
      <c r="AB12" s="306">
        <f t="shared" si="6"/>
        <v>722350016.72436118</v>
      </c>
      <c r="AC12" s="306">
        <f t="shared" si="6"/>
        <v>744020517.2260921</v>
      </c>
      <c r="AD12" s="306">
        <f t="shared" si="6"/>
        <v>766341132.74287486</v>
      </c>
      <c r="AE12" s="306">
        <f t="shared" si="6"/>
        <v>789331366.72516119</v>
      </c>
      <c r="AF12" s="306">
        <f t="shared" si="6"/>
        <v>813011307.72691596</v>
      </c>
      <c r="AG12" s="306">
        <f t="shared" si="6"/>
        <v>837401646.95872343</v>
      </c>
      <c r="AH12" s="306">
        <f t="shared" si="6"/>
        <v>862523696.36748517</v>
      </c>
      <c r="AI12" s="306">
        <f t="shared" si="6"/>
        <v>888399407.25850987</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18849452.837042704</v>
      </c>
      <c r="G13" s="306">
        <f t="shared" si="7"/>
        <v>19414936.422153987</v>
      </c>
      <c r="H13" s="306">
        <f t="shared" si="7"/>
        <v>19997384.514818605</v>
      </c>
      <c r="I13" s="306">
        <f t="shared" si="7"/>
        <v>20597306.050263163</v>
      </c>
      <c r="J13" s="306">
        <f t="shared" si="7"/>
        <v>21215225.231771059</v>
      </c>
      <c r="K13" s="306">
        <f t="shared" si="7"/>
        <v>21851681.988724191</v>
      </c>
      <c r="L13" s="306">
        <f t="shared" si="7"/>
        <v>22507232.448385917</v>
      </c>
      <c r="M13" s="306">
        <f t="shared" si="7"/>
        <v>23182449.421837498</v>
      </c>
      <c r="N13" s="306">
        <f t="shared" si="7"/>
        <v>23877922.90449262</v>
      </c>
      <c r="O13" s="306">
        <f t="shared" si="7"/>
        <v>24594260.5916274</v>
      </c>
      <c r="P13" s="306">
        <f t="shared" si="7"/>
        <v>63330221.023440555</v>
      </c>
      <c r="Q13" s="306">
        <f t="shared" si="7"/>
        <v>65230127.654143773</v>
      </c>
      <c r="R13" s="306">
        <f t="shared" si="7"/>
        <v>67187031.483768091</v>
      </c>
      <c r="S13" s="306">
        <f t="shared" si="7"/>
        <v>69202642.428281128</v>
      </c>
      <c r="T13" s="306">
        <f t="shared" si="7"/>
        <v>71278721.701129571</v>
      </c>
      <c r="U13" s="306">
        <f t="shared" si="7"/>
        <v>73417083.352163464</v>
      </c>
      <c r="V13" s="306">
        <f t="shared" si="7"/>
        <v>75619595.852728367</v>
      </c>
      <c r="W13" s="306">
        <f t="shared" si="7"/>
        <v>77888183.728310212</v>
      </c>
      <c r="X13" s="306">
        <f t="shared" si="7"/>
        <v>80224829.240159512</v>
      </c>
      <c r="Y13" s="306">
        <f t="shared" si="7"/>
        <v>82631574.117364302</v>
      </c>
      <c r="Z13" s="306">
        <f t="shared" si="7"/>
        <v>136176834.14541638</v>
      </c>
      <c r="AA13" s="306">
        <f t="shared" si="7"/>
        <v>140262139.16977888</v>
      </c>
      <c r="AB13" s="306">
        <f t="shared" si="7"/>
        <v>144470003.34487227</v>
      </c>
      <c r="AC13" s="306">
        <f t="shared" si="7"/>
        <v>148804103.44521841</v>
      </c>
      <c r="AD13" s="306">
        <f t="shared" si="7"/>
        <v>153268226.54857498</v>
      </c>
      <c r="AE13" s="306">
        <f t="shared" si="7"/>
        <v>157866273.34503224</v>
      </c>
      <c r="AF13" s="306">
        <f t="shared" si="7"/>
        <v>162602261.54538321</v>
      </c>
      <c r="AG13" s="306">
        <f t="shared" si="7"/>
        <v>167480329.3917447</v>
      </c>
      <c r="AH13" s="306">
        <f t="shared" si="7"/>
        <v>172504739.27349705</v>
      </c>
      <c r="AI13" s="306">
        <f t="shared" si="7"/>
        <v>177679881.45170197</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75397811.348170817</v>
      </c>
      <c r="G14" s="306">
        <f t="shared" si="8"/>
        <v>77659745.688615948</v>
      </c>
      <c r="H14" s="306">
        <f t="shared" si="8"/>
        <v>79989538.05927442</v>
      </c>
      <c r="I14" s="306">
        <f t="shared" si="8"/>
        <v>82389224.201052651</v>
      </c>
      <c r="J14" s="306">
        <f t="shared" si="8"/>
        <v>84860900.927084237</v>
      </c>
      <c r="K14" s="306">
        <f t="shared" si="8"/>
        <v>87406727.954896763</v>
      </c>
      <c r="L14" s="306">
        <f t="shared" si="8"/>
        <v>90028929.793543667</v>
      </c>
      <c r="M14" s="306">
        <f t="shared" si="8"/>
        <v>92729797.68734999</v>
      </c>
      <c r="N14" s="306">
        <f t="shared" si="8"/>
        <v>95511691.617970482</v>
      </c>
      <c r="O14" s="306">
        <f t="shared" si="8"/>
        <v>98377042.366509601</v>
      </c>
      <c r="P14" s="306">
        <f t="shared" si="8"/>
        <v>253320884.09376222</v>
      </c>
      <c r="Q14" s="306">
        <f t="shared" si="8"/>
        <v>260920510.61657509</v>
      </c>
      <c r="R14" s="306">
        <f t="shared" si="8"/>
        <v>268748125.93507236</v>
      </c>
      <c r="S14" s="306">
        <f t="shared" si="8"/>
        <v>276810569.71312451</v>
      </c>
      <c r="T14" s="306">
        <f t="shared" si="8"/>
        <v>285114886.80451828</v>
      </c>
      <c r="U14" s="306">
        <f t="shared" si="8"/>
        <v>293668333.40865386</v>
      </c>
      <c r="V14" s="306">
        <f t="shared" si="8"/>
        <v>302478383.41091347</v>
      </c>
      <c r="W14" s="306">
        <f t="shared" si="8"/>
        <v>311552734.91324085</v>
      </c>
      <c r="X14" s="306">
        <f t="shared" si="8"/>
        <v>320899316.96063805</v>
      </c>
      <c r="Y14" s="306">
        <f t="shared" si="8"/>
        <v>330526296.46945721</v>
      </c>
      <c r="Z14" s="306">
        <f t="shared" si="8"/>
        <v>544707336.58166552</v>
      </c>
      <c r="AA14" s="306">
        <f t="shared" si="8"/>
        <v>561048556.67911553</v>
      </c>
      <c r="AB14" s="306">
        <f t="shared" si="8"/>
        <v>577880013.37948906</v>
      </c>
      <c r="AC14" s="306">
        <f t="shared" si="8"/>
        <v>595216413.78087366</v>
      </c>
      <c r="AD14" s="306">
        <f t="shared" si="8"/>
        <v>613072906.19429994</v>
      </c>
      <c r="AE14" s="306">
        <f t="shared" si="8"/>
        <v>631465093.38012898</v>
      </c>
      <c r="AF14" s="306">
        <f t="shared" si="8"/>
        <v>650409046.18153286</v>
      </c>
      <c r="AG14" s="306">
        <f t="shared" si="8"/>
        <v>669921317.56697881</v>
      </c>
      <c r="AH14" s="306">
        <f t="shared" si="8"/>
        <v>690018957.09398818</v>
      </c>
      <c r="AI14" s="306">
        <f t="shared" si="8"/>
        <v>710719525.80680788</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2258511.7978682793</v>
      </c>
      <c r="G15" s="306">
        <f t="shared" si="9"/>
        <v>4649014.4187783124</v>
      </c>
      <c r="H15" s="306">
        <f t="shared" si="9"/>
        <v>7053823.876599649</v>
      </c>
      <c r="I15" s="306">
        <f t="shared" si="9"/>
        <v>9474613.5890803356</v>
      </c>
      <c r="J15" s="306">
        <f t="shared" si="9"/>
        <v>11913056.936635938</v>
      </c>
      <c r="K15" s="306">
        <f t="shared" si="9"/>
        <v>14370828.033885948</v>
      </c>
      <c r="L15" s="306">
        <f t="shared" si="9"/>
        <v>16849602.47907446</v>
      </c>
      <c r="M15" s="306">
        <f t="shared" si="9"/>
        <v>19405706.548956424</v>
      </c>
      <c r="N15" s="306">
        <f t="shared" si="9"/>
        <v>22041294.225813862</v>
      </c>
      <c r="O15" s="306">
        <f t="shared" si="9"/>
        <v>24758574.200276028</v>
      </c>
      <c r="P15" s="306">
        <f t="shared" si="9"/>
        <v>30647530.601508576</v>
      </c>
      <c r="Q15" s="306">
        <f t="shared" si="9"/>
        <v>36718759.74087052</v>
      </c>
      <c r="R15" s="306">
        <f t="shared" si="9"/>
        <v>43011144.383611426</v>
      </c>
      <c r="S15" s="306">
        <f t="shared" si="9"/>
        <v>49531194.54621961</v>
      </c>
      <c r="T15" s="306">
        <f t="shared" si="9"/>
        <v>56285591.780755654</v>
      </c>
      <c r="U15" s="306">
        <f t="shared" si="9"/>
        <v>63281193.195559621</v>
      </c>
      <c r="V15" s="306">
        <f t="shared" si="9"/>
        <v>70525035.552825898</v>
      </c>
      <c r="W15" s="306">
        <f t="shared" si="9"/>
        <v>78132772.434351474</v>
      </c>
      <c r="X15" s="306">
        <f t="shared" si="9"/>
        <v>86119326.045853093</v>
      </c>
      <c r="Y15" s="306">
        <f t="shared" si="9"/>
        <v>94500175.271032959</v>
      </c>
      <c r="Z15" s="306">
        <f t="shared" si="9"/>
        <v>106865092.20277417</v>
      </c>
      <c r="AA15" s="306">
        <f t="shared" si="9"/>
        <v>119862183.35761593</v>
      </c>
      <c r="AB15" s="306">
        <f t="shared" si="9"/>
        <v>133517549.09377524</v>
      </c>
      <c r="AC15" s="306">
        <f t="shared" si="9"/>
        <v>147858266.8776142</v>
      </c>
      <c r="AD15" s="306">
        <f t="shared" si="9"/>
        <v>162912425.85221207</v>
      </c>
      <c r="AE15" s="306">
        <f t="shared" si="9"/>
        <v>178709162.58451131</v>
      </c>
      <c r="AF15" s="306">
        <f t="shared" si="9"/>
        <v>195278698.03018057</v>
      </c>
      <c r="AG15" s="306">
        <f t="shared" si="9"/>
        <v>212652375.756614</v>
      </c>
      <c r="AH15" s="306">
        <f t="shared" si="9"/>
        <v>230862701.46579984</v>
      </c>
      <c r="AI15" s="306">
        <f t="shared" si="9"/>
        <v>249943383.86015126</v>
      </c>
      <c r="AJ15" s="306">
        <f t="shared" si="9"/>
        <v>257441685.37595582</v>
      </c>
      <c r="AK15" s="306">
        <f t="shared" si="9"/>
        <v>265164935.93723449</v>
      </c>
      <c r="AL15" s="306">
        <f t="shared" si="9"/>
        <v>273119884.01535153</v>
      </c>
      <c r="AM15" s="306">
        <f t="shared" si="9"/>
        <v>281313480.53581208</v>
      </c>
      <c r="AN15" s="306">
        <f t="shared" si="9"/>
        <v>289752884.95188642</v>
      </c>
      <c r="AO15" s="306">
        <f t="shared" si="9"/>
        <v>298445471.50044304</v>
      </c>
      <c r="AP15" s="306">
        <f t="shared" si="9"/>
        <v>307398835.64545631</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0.96784152397232248</v>
      </c>
      <c r="I17" s="311">
        <f>Assumptions!I233</f>
        <v>0.9367172155250677</v>
      </c>
      <c r="J17" s="311">
        <f>Assumptions!J233</f>
        <v>0.90659381740489198</v>
      </c>
      <c r="K17" s="311">
        <f>Assumptions!K233</f>
        <v>0.87743914186103611</v>
      </c>
      <c r="L17" s="311">
        <f>Assumptions!L233</f>
        <v>0.84922203625175208</v>
      </c>
      <c r="M17" s="311">
        <f>Assumptions!M233</f>
        <v>0.83680176956680807</v>
      </c>
      <c r="N17" s="311">
        <f>Assumptions!N233</f>
        <v>0.82456315505048416</v>
      </c>
      <c r="O17" s="311">
        <f>Assumptions!O233</f>
        <v>0.81250353595544955</v>
      </c>
      <c r="P17" s="311">
        <f>Assumptions!P233</f>
        <v>0.80062029439053684</v>
      </c>
      <c r="Q17" s="311">
        <f>Assumptions!Q233</f>
        <v>0.78891085075245282</v>
      </c>
      <c r="R17" s="311">
        <f>Assumptions!R233</f>
        <v>0.78070022384337945</v>
      </c>
      <c r="S17" s="311">
        <f>Assumptions!S233</f>
        <v>0.77257504942133393</v>
      </c>
      <c r="T17" s="311">
        <f>Assumptions!T233</f>
        <v>0.7645344381355248</v>
      </c>
      <c r="U17" s="311">
        <f>Assumptions!U233</f>
        <v>0.75657750989112105</v>
      </c>
      <c r="V17" s="311">
        <f>Assumptions!V233</f>
        <v>0.74870339375292005</v>
      </c>
      <c r="W17" s="311">
        <f>Assumptions!W233</f>
        <v>0.74870339375292005</v>
      </c>
      <c r="X17" s="311">
        <f>Assumptions!X233</f>
        <v>0.74870339375292005</v>
      </c>
      <c r="Y17" s="311">
        <f>Assumptions!Y233</f>
        <v>0.74870339375292005</v>
      </c>
      <c r="Z17" s="311">
        <f>Assumptions!Z233</f>
        <v>0.74870339375292005</v>
      </c>
      <c r="AA17" s="311">
        <f>Assumptions!AA233</f>
        <v>0.74870339375292005</v>
      </c>
      <c r="AB17" s="311">
        <f>Assumptions!AB233</f>
        <v>0.74870339375292005</v>
      </c>
      <c r="AC17" s="311">
        <f>Assumptions!AC233</f>
        <v>0.74870339375292005</v>
      </c>
      <c r="AD17" s="311">
        <f>Assumptions!AD233</f>
        <v>0.74870339375292005</v>
      </c>
      <c r="AE17" s="311">
        <f>Assumptions!AE233</f>
        <v>0.74870339375292005</v>
      </c>
      <c r="AF17" s="311">
        <f>Assumptions!AF233</f>
        <v>0.74870339375292005</v>
      </c>
      <c r="AG17" s="311">
        <f>Assumptions!AG233</f>
        <v>0.74870339375292005</v>
      </c>
      <c r="AH17" s="311">
        <f>Assumptions!AH233</f>
        <v>0.74870339375292005</v>
      </c>
      <c r="AI17" s="311">
        <f>Assumptions!AI233</f>
        <v>0.74870339375292005</v>
      </c>
      <c r="AJ17" s="311">
        <f>Assumptions!AJ233</f>
        <v>0.74870339375292005</v>
      </c>
      <c r="AK17" s="311">
        <f>Assumptions!AK233</f>
        <v>0.74870339375292005</v>
      </c>
      <c r="AL17" s="311">
        <f>Assumptions!AL233</f>
        <v>0.74870339375292005</v>
      </c>
      <c r="AM17" s="311">
        <f>Assumptions!AM233</f>
        <v>0.74870339375292005</v>
      </c>
      <c r="AN17" s="311">
        <f>Assumptions!AN233</f>
        <v>0.74870339375292005</v>
      </c>
      <c r="AO17" s="311">
        <f>Assumptions!AO233</f>
        <v>0.74870339375292005</v>
      </c>
      <c r="AP17" s="311">
        <f>Assumptions!AP233</f>
        <v>0.74870339375292005</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0.94372357058093426</v>
      </c>
      <c r="I18" s="311">
        <f>Assumptions!I234</f>
        <v>0.8906141776700276</v>
      </c>
      <c r="J18" s="311">
        <f>Assumptions!J234</f>
        <v>0.84049359176076099</v>
      </c>
      <c r="K18" s="311">
        <f>Assumptions!K234</f>
        <v>0.79319361346685946</v>
      </c>
      <c r="L18" s="311">
        <f>Assumptions!L234</f>
        <v>0.748555509062938</v>
      </c>
      <c r="M18" s="311">
        <f>Assumptions!M234</f>
        <v>0.72726254676239721</v>
      </c>
      <c r="N18" s="311">
        <f>Assumptions!N234</f>
        <v>0.70657527133215925</v>
      </c>
      <c r="O18" s="311">
        <f>Assumptions!O234</f>
        <v>0.68647645376577215</v>
      </c>
      <c r="P18" s="311">
        <f>Assumptions!P234</f>
        <v>0.66694935514279674</v>
      </c>
      <c r="Q18" s="311">
        <f>Assumptions!Q234</f>
        <v>0.64797771268811333</v>
      </c>
      <c r="R18" s="311">
        <f>Assumptions!R234</f>
        <v>0.63397509140173569</v>
      </c>
      <c r="S18" s="311">
        <f>Assumptions!S234</f>
        <v>0.62027506293460222</v>
      </c>
      <c r="T18" s="311">
        <f>Assumptions!T234</f>
        <v>0.60687108833858427</v>
      </c>
      <c r="U18" s="311">
        <f>Assumptions!U234</f>
        <v>0.59375676997043503</v>
      </c>
      <c r="V18" s="311">
        <f>Assumptions!V234</f>
        <v>0.58092584843823003</v>
      </c>
      <c r="W18" s="311">
        <f>Assumptions!W234</f>
        <v>0.58092584843823003</v>
      </c>
      <c r="X18" s="311">
        <f>Assumptions!X234</f>
        <v>0.58092584843823003</v>
      </c>
      <c r="Y18" s="311">
        <f>Assumptions!Y234</f>
        <v>0.58092584843823003</v>
      </c>
      <c r="Z18" s="311">
        <f>Assumptions!Z234</f>
        <v>0.58092584843823003</v>
      </c>
      <c r="AA18" s="311">
        <f>Assumptions!AA234</f>
        <v>0.58092584843823003</v>
      </c>
      <c r="AB18" s="311">
        <f>Assumptions!AB234</f>
        <v>0.58092584843823003</v>
      </c>
      <c r="AC18" s="311">
        <f>Assumptions!AC234</f>
        <v>0.58092584843823003</v>
      </c>
      <c r="AD18" s="311">
        <f>Assumptions!AD234</f>
        <v>0.58092584843823003</v>
      </c>
      <c r="AE18" s="311">
        <f>Assumptions!AE234</f>
        <v>0.58092584843823003</v>
      </c>
      <c r="AF18" s="311">
        <f>Assumptions!AF234</f>
        <v>0.58092584843823003</v>
      </c>
      <c r="AG18" s="311">
        <f>Assumptions!AG234</f>
        <v>0.58092584843823003</v>
      </c>
      <c r="AH18" s="311">
        <f>Assumptions!AH234</f>
        <v>0.58092584843823003</v>
      </c>
      <c r="AI18" s="311">
        <f>Assumptions!AI234</f>
        <v>0.58092584843823003</v>
      </c>
      <c r="AJ18" s="311">
        <f>Assumptions!AJ234</f>
        <v>0.58092584843823003</v>
      </c>
      <c r="AK18" s="311">
        <f>Assumptions!AK234</f>
        <v>0.58092584843823003</v>
      </c>
      <c r="AL18" s="311">
        <f>Assumptions!AL234</f>
        <v>0.58092584843823003</v>
      </c>
      <c r="AM18" s="311">
        <f>Assumptions!AM234</f>
        <v>0.58092584843823003</v>
      </c>
      <c r="AN18" s="311">
        <f>Assumptions!AN234</f>
        <v>0.58092584843823003</v>
      </c>
      <c r="AO18" s="311">
        <f>Assumptions!AO234</f>
        <v>0.58092584843823003</v>
      </c>
      <c r="AP18" s="311">
        <f>Assumptions!AP234</f>
        <v>0.58092584843823003</v>
      </c>
    </row>
    <row r="19" spans="1:42" x14ac:dyDescent="0.35">
      <c r="A19" s="303" t="s">
        <v>393</v>
      </c>
      <c r="C19" s="312">
        <f>Assumptions!C235</f>
        <v>1</v>
      </c>
      <c r="D19" s="312">
        <f>Assumptions!D235</f>
        <v>1</v>
      </c>
      <c r="E19" s="312">
        <f>Assumptions!E235</f>
        <v>1</v>
      </c>
      <c r="F19" s="312">
        <f>Assumptions!F235</f>
        <v>0.99848689570000004</v>
      </c>
      <c r="G19" s="312">
        <f>Assumptions!G235</f>
        <v>0.99697608088462275</v>
      </c>
      <c r="H19" s="312">
        <f>Assumptions!H235</f>
        <v>0.99546755208963911</v>
      </c>
      <c r="I19" s="312">
        <f>Assumptions!I235</f>
        <v>0.99396130585606179</v>
      </c>
      <c r="J19" s="312">
        <f>Assumptions!J235</f>
        <v>0.99245733873013742</v>
      </c>
      <c r="K19" s="312">
        <f>Assumptions!K235</f>
        <v>0.99095564726333829</v>
      </c>
      <c r="L19" s="312">
        <f>Assumptions!L235</f>
        <v>0.98945622801235489</v>
      </c>
      <c r="M19" s="312">
        <f>Assumptions!M235</f>
        <v>0.98795907753908763</v>
      </c>
      <c r="N19" s="312">
        <f>Assumptions!N235</f>
        <v>0.98646419241063921</v>
      </c>
      <c r="O19" s="312">
        <f>Assumptions!O235</f>
        <v>0.98497156919930673</v>
      </c>
      <c r="P19" s="312">
        <f>Assumptions!P235</f>
        <v>0.98348120448257359</v>
      </c>
      <c r="Q19" s="312">
        <f>Assumptions!Q235</f>
        <v>0.98199309484310182</v>
      </c>
      <c r="R19" s="312">
        <f>Assumptions!R235</f>
        <v>0.98050723686872443</v>
      </c>
      <c r="S19" s="312">
        <f>Assumptions!S235</f>
        <v>0.97902362715243729</v>
      </c>
      <c r="T19" s="312">
        <f>Assumptions!T235</f>
        <v>0.97754226229239138</v>
      </c>
      <c r="U19" s="312">
        <f>Assumptions!U235</f>
        <v>0.97606313889188512</v>
      </c>
      <c r="V19" s="312">
        <f>Assumptions!V235</f>
        <v>0.97458625355935635</v>
      </c>
      <c r="W19" s="312">
        <f>Assumptions!W235</f>
        <v>0.97311160290837484</v>
      </c>
      <c r="X19" s="312">
        <f>Assumptions!X235</f>
        <v>0.97163918355763434</v>
      </c>
      <c r="Y19" s="312">
        <f>Assumptions!Y235</f>
        <v>0.97016899213094487</v>
      </c>
      <c r="Z19" s="312">
        <f>Assumptions!Z235</f>
        <v>0.9687010252572249</v>
      </c>
      <c r="AA19" s="312">
        <f>Assumptions!AA235</f>
        <v>0.96723527957049382</v>
      </c>
      <c r="AB19" s="312">
        <f>Assumptions!AB235</f>
        <v>0.96577175170986407</v>
      </c>
      <c r="AC19" s="312">
        <f>Assumptions!AC235</f>
        <v>0.96431043831953334</v>
      </c>
      <c r="AD19" s="312">
        <f>Assumptions!AD235</f>
        <v>0.96285133604877726</v>
      </c>
      <c r="AE19" s="312">
        <f>Assumptions!AE235</f>
        <v>0.9613944415519412</v>
      </c>
      <c r="AF19" s="312">
        <f>Assumptions!AF235</f>
        <v>0.95993975148843291</v>
      </c>
      <c r="AG19" s="312">
        <f>Assumptions!AG235</f>
        <v>0.95848726252271488</v>
      </c>
      <c r="AH19" s="312">
        <f>Assumptions!AH235</f>
        <v>0.95703697132429655</v>
      </c>
      <c r="AI19" s="312">
        <f>Assumptions!AI235</f>
        <v>0.95558887456772679</v>
      </c>
      <c r="AJ19" s="312">
        <f>Assumptions!AJ235</f>
        <v>0.95414296893258621</v>
      </c>
      <c r="AK19" s="312">
        <f>Assumptions!AK235</f>
        <v>0.95269925110347964</v>
      </c>
      <c r="AL19" s="312">
        <f>Assumptions!AL235</f>
        <v>0.95125771777002821</v>
      </c>
      <c r="AM19" s="312">
        <f>Assumptions!AM235</f>
        <v>0.94981836562686228</v>
      </c>
      <c r="AN19" s="312">
        <f>Assumptions!AN235</f>
        <v>0.94838119137361332</v>
      </c>
      <c r="AO19" s="312">
        <f>Assumptions!AO235</f>
        <v>0.94694619171490679</v>
      </c>
      <c r="AP19" s="312">
        <f>Assumptions!AP235</f>
        <v>0.94551336336035441</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-87527.814547762275</v>
      </c>
      <c r="G21" s="306">
        <f t="shared" si="10"/>
        <v>-180170.88609445095</v>
      </c>
      <c r="H21" s="306">
        <f t="shared" si="10"/>
        <v>-278153.47526824474</v>
      </c>
      <c r="I21" s="306">
        <f t="shared" si="10"/>
        <v>-381708.58425755054</v>
      </c>
      <c r="J21" s="306">
        <f t="shared" si="10"/>
        <v>-491078.27633163333</v>
      </c>
      <c r="K21" s="306">
        <f t="shared" si="10"/>
        <v>-606514.00657583773</v>
      </c>
      <c r="L21" s="306">
        <f t="shared" si="10"/>
        <v>-728276.96422412992</v>
      </c>
      <c r="M21" s="306">
        <f t="shared" si="10"/>
        <v>-856638.42698456347</v>
      </c>
      <c r="N21" s="306">
        <f t="shared" si="10"/>
        <v>-991880.12776641548</v>
      </c>
      <c r="O21" s="306">
        <f t="shared" si="10"/>
        <v>-1134294.6342314929</v>
      </c>
      <c r="P21" s="306">
        <f t="shared" si="10"/>
        <v>-1284185.7416061908</v>
      </c>
      <c r="Q21" s="306">
        <f t="shared" si="10"/>
        <v>-1441868.8792052269</v>
      </c>
      <c r="R21" s="306">
        <f t="shared" si="10"/>
        <v>-1607671.5311335027</v>
      </c>
      <c r="S21" s="306">
        <f t="shared" si="10"/>
        <v>-1781933.6716476828</v>
      </c>
      <c r="T21" s="306">
        <f t="shared" si="10"/>
        <v>-1965008.2156751752</v>
      </c>
      <c r="U21" s="306">
        <f t="shared" si="10"/>
        <v>-2157261.4850050211</v>
      </c>
      <c r="V21" s="306">
        <f t="shared" si="10"/>
        <v>-2359073.690682143</v>
      </c>
      <c r="W21" s="306">
        <f t="shared" si="10"/>
        <v>-2570839.4321540445</v>
      </c>
      <c r="X21" s="306">
        <f t="shared" si="10"/>
        <v>-2792968.213737458</v>
      </c>
      <c r="Y21" s="306">
        <f t="shared" si="10"/>
        <v>-3025884.9789912999</v>
      </c>
      <c r="Z21" s="306">
        <f t="shared" si="10"/>
        <v>-3270030.6636016071</v>
      </c>
      <c r="AA21" s="306">
        <f t="shared" si="10"/>
        <v>-3525862.7674044669</v>
      </c>
      <c r="AB21" s="306">
        <f t="shared" si="10"/>
        <v>-3793855.9461936951</v>
      </c>
      <c r="AC21" s="306">
        <f t="shared" si="10"/>
        <v>-4074502.6239812225</v>
      </c>
      <c r="AD21" s="306">
        <f t="shared" si="10"/>
        <v>-4368313.6264007688</v>
      </c>
      <c r="AE21" s="306">
        <f t="shared" si="10"/>
        <v>-4675818.8359679431</v>
      </c>
      <c r="AF21" s="306">
        <f t="shared" si="10"/>
        <v>-4997567.8699335456</v>
      </c>
      <c r="AG21" s="306">
        <f t="shared" si="10"/>
        <v>-5334130.7814915329</v>
      </c>
      <c r="AH21" s="306">
        <f t="shared" si="10"/>
        <v>-5686098.7851279974</v>
      </c>
      <c r="AI21" s="306">
        <f t="shared" si="10"/>
        <v>-6054085.0069238245</v>
      </c>
      <c r="AJ21" s="306">
        <f t="shared" si="10"/>
        <v>-6438725.2606503218</v>
      </c>
      <c r="AK21" s="306">
        <f t="shared" si="10"/>
        <v>-6840678.8505252004</v>
      </c>
      <c r="AL21" s="306">
        <f t="shared" si="10"/>
        <v>-7260629.4015245438</v>
      </c>
      <c r="AM21" s="306">
        <f t="shared" si="10"/>
        <v>-7699285.7181763649</v>
      </c>
      <c r="AN21" s="306">
        <f t="shared" si="10"/>
        <v>-8157382.6727918684</v>
      </c>
      <c r="AO21" s="306">
        <f t="shared" si="10"/>
        <v>-8635682.1241218448</v>
      </c>
      <c r="AP21" s="306">
        <f t="shared" si="10"/>
        <v>-9134973.8674586117</v>
      </c>
    </row>
    <row r="23" spans="1:42" x14ac:dyDescent="0.35">
      <c r="A23" s="303" t="s">
        <v>395</v>
      </c>
      <c r="C23" s="305"/>
      <c r="D23" s="305"/>
      <c r="E23" s="305"/>
      <c r="F23" s="306">
        <f t="shared" ref="F23:AP23" si="11">(F13*F17)-F13</f>
        <v>0</v>
      </c>
      <c r="G23" s="306">
        <f t="shared" si="11"/>
        <v>0</v>
      </c>
      <c r="H23" s="306">
        <f>(H13*H17)-H13</f>
        <v>-643085.41053604335</v>
      </c>
      <c r="I23" s="306">
        <f t="shared" si="11"/>
        <v>-1303454.8795430213</v>
      </c>
      <c r="J23" s="306">
        <f t="shared" si="11"/>
        <v>-1981633.2017951496</v>
      </c>
      <c r="K23" s="306">
        <f t="shared" si="11"/>
        <v>-2678160.8963177763</v>
      </c>
      <c r="L23" s="306">
        <f t="shared" si="11"/>
        <v>-3393594.6781761199</v>
      </c>
      <c r="M23" s="306">
        <f t="shared" si="11"/>
        <v>-3783334.7227508537</v>
      </c>
      <c r="N23" s="306">
        <f t="shared" si="11"/>
        <v>-4189067.4583119638</v>
      </c>
      <c r="O23" s="306">
        <f t="shared" si="11"/>
        <v>-4611336.8967203721</v>
      </c>
      <c r="P23" s="306">
        <f t="shared" si="11"/>
        <v>-12626760.823835813</v>
      </c>
      <c r="Q23" s="306">
        <f t="shared" si="11"/>
        <v>-13769372.151822113</v>
      </c>
      <c r="R23" s="306">
        <f t="shared" si="11"/>
        <v>-14734100.965018161</v>
      </c>
      <c r="S23" s="306">
        <f t="shared" si="11"/>
        <v>-15738407.534164935</v>
      </c>
      <c r="T23" s="306">
        <f t="shared" si="11"/>
        <v>-16783684.254338033</v>
      </c>
      <c r="U23" s="306">
        <f t="shared" si="11"/>
        <v>-17871369.246114753</v>
      </c>
      <c r="V23" s="306">
        <f t="shared" si="11"/>
        <v>-19002947.803566404</v>
      </c>
      <c r="W23" s="306">
        <f t="shared" si="11"/>
        <v>-19573036.237673394</v>
      </c>
      <c r="X23" s="306">
        <f t="shared" si="11"/>
        <v>-20160227.324803591</v>
      </c>
      <c r="Y23" s="306">
        <f t="shared" si="11"/>
        <v>-20765034.144547701</v>
      </c>
      <c r="Z23" s="306">
        <f t="shared" si="11"/>
        <v>-34220776.270214617</v>
      </c>
      <c r="AA23" s="306">
        <f t="shared" si="11"/>
        <v>-35247399.558321059</v>
      </c>
      <c r="AB23" s="306">
        <f t="shared" si="11"/>
        <v>-36304821.545070693</v>
      </c>
      <c r="AC23" s="306">
        <f t="shared" si="11"/>
        <v>-37393966.191422805</v>
      </c>
      <c r="AD23" s="306">
        <f t="shared" si="11"/>
        <v>-38515785.177165493</v>
      </c>
      <c r="AE23" s="306">
        <f t="shared" si="11"/>
        <v>-39671258.732480466</v>
      </c>
      <c r="AF23" s="306">
        <f t="shared" si="11"/>
        <v>-40861396.494454876</v>
      </c>
      <c r="AG23" s="306">
        <f t="shared" si="11"/>
        <v>-42087238.389288515</v>
      </c>
      <c r="AH23" s="306">
        <f t="shared" si="11"/>
        <v>-43349855.540967181</v>
      </c>
      <c r="AI23" s="306">
        <f t="shared" si="11"/>
        <v>-44650351.207196191</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-4501525.592856437</v>
      </c>
      <c r="I24" s="306">
        <f t="shared" ref="I24:AP24" si="12">(I14*I18)-I14</f>
        <v>-9012213.0403606147</v>
      </c>
      <c r="J24" s="306">
        <f t="shared" si="12"/>
        <v>-13535857.506825119</v>
      </c>
      <c r="K24" s="306">
        <f t="shared" si="12"/>
        <v>-18076269.567037433</v>
      </c>
      <c r="L24" s="306">
        <f t="shared" si="12"/>
        <v>-22637278.421546087</v>
      </c>
      <c r="M24" s="306">
        <f t="shared" si="12"/>
        <v>-25290888.860485986</v>
      </c>
      <c r="N24" s="306">
        <f t="shared" si="12"/>
        <v>-28025492.197609469</v>
      </c>
      <c r="O24" s="306">
        <f t="shared" si="12"/>
        <v>-30843519.190782964</v>
      </c>
      <c r="P24" s="306">
        <f t="shared" si="12"/>
        <v>-84368683.803224355</v>
      </c>
      <c r="Q24" s="306">
        <f t="shared" si="12"/>
        <v>-91849834.953832179</v>
      </c>
      <c r="R24" s="306">
        <f t="shared" si="12"/>
        <v>-98368508.231339693</v>
      </c>
      <c r="S24" s="306">
        <f t="shared" si="12"/>
        <v>-105111876.16335312</v>
      </c>
      <c r="T24" s="306">
        <f t="shared" si="12"/>
        <v>-112086905.147928</v>
      </c>
      <c r="U24" s="306">
        <f t="shared" si="12"/>
        <v>-119300772.32133076</v>
      </c>
      <c r="V24" s="306">
        <f t="shared" si="12"/>
        <v>-126760871.89370432</v>
      </c>
      <c r="W24" s="306">
        <f t="shared" si="12"/>
        <v>-130563698.05051544</v>
      </c>
      <c r="X24" s="306">
        <f t="shared" si="12"/>
        <v>-134480608.99203089</v>
      </c>
      <c r="Y24" s="306">
        <f t="shared" si="12"/>
        <v>-138515027.26179183</v>
      </c>
      <c r="Z24" s="306">
        <f t="shared" si="12"/>
        <v>-228272764.92743295</v>
      </c>
      <c r="AA24" s="306">
        <f t="shared" si="12"/>
        <v>-235120947.87525594</v>
      </c>
      <c r="AB24" s="306">
        <f t="shared" si="12"/>
        <v>-242174576.31151366</v>
      </c>
      <c r="AC24" s="306">
        <f t="shared" si="12"/>
        <v>-249439813.60085905</v>
      </c>
      <c r="AD24" s="306">
        <f t="shared" si="12"/>
        <v>-256923008.00888485</v>
      </c>
      <c r="AE24" s="306">
        <f t="shared" si="12"/>
        <v>-264630698.24915141</v>
      </c>
      <c r="AF24" s="306">
        <f t="shared" si="12"/>
        <v>-272569619.19662595</v>
      </c>
      <c r="AG24" s="306">
        <f t="shared" si="12"/>
        <v>-280746707.77252471</v>
      </c>
      <c r="AH24" s="306">
        <f t="shared" si="12"/>
        <v>-289169109.00570047</v>
      </c>
      <c r="AI24" s="306">
        <f t="shared" si="12"/>
        <v>-297844182.27587152</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-142605.94070187211</v>
      </c>
      <c r="G26" s="306">
        <f t="shared" si="13"/>
        <v>-293545.98685392737</v>
      </c>
      <c r="H26" s="306">
        <f t="shared" si="13"/>
        <v>-453185.51828436553</v>
      </c>
      <c r="I26" s="306">
        <f t="shared" si="13"/>
        <v>-621904.15713313222</v>
      </c>
      <c r="J26" s="306">
        <f t="shared" si="13"/>
        <v>-800096.28843545914</v>
      </c>
      <c r="K26" s="306">
        <f t="shared" si="13"/>
        <v>-988171.59897689521</v>
      </c>
      <c r="L26" s="306">
        <f t="shared" si="13"/>
        <v>-1186555.6350435466</v>
      </c>
      <c r="M26" s="306">
        <f t="shared" si="13"/>
        <v>-1395690.3797118366</v>
      </c>
      <c r="N26" s="306">
        <f t="shared" si="13"/>
        <v>-1616034.8503440171</v>
      </c>
      <c r="O26" s="306">
        <f t="shared" si="13"/>
        <v>-1848065.7169774473</v>
      </c>
      <c r="P26" s="306">
        <f t="shared" si="13"/>
        <v>-5230694.8557981849</v>
      </c>
      <c r="Q26" s="306">
        <f t="shared" si="13"/>
        <v>-5872963.6102026105</v>
      </c>
      <c r="R26" s="306">
        <f t="shared" si="13"/>
        <v>-6548304.4510332346</v>
      </c>
      <c r="S26" s="306">
        <f t="shared" si="13"/>
        <v>-7258102.1480609179</v>
      </c>
      <c r="T26" s="306">
        <f t="shared" si="13"/>
        <v>-8003794.1804879904</v>
      </c>
      <c r="U26" s="306">
        <f t="shared" si="13"/>
        <v>-8786872.6358181238</v>
      </c>
      <c r="V26" s="306">
        <f t="shared" si="13"/>
        <v>-9608886.1747259498</v>
      </c>
      <c r="W26" s="306">
        <f t="shared" si="13"/>
        <v>-10471442.064161301</v>
      </c>
      <c r="X26" s="306">
        <f t="shared" si="13"/>
        <v>-11376208.281001449</v>
      </c>
      <c r="Y26" s="306">
        <f t="shared" si="13"/>
        <v>-12324915.688637555</v>
      </c>
      <c r="Z26" s="306">
        <f t="shared" si="13"/>
        <v>-21310976.462342262</v>
      </c>
      <c r="AA26" s="306">
        <f t="shared" si="13"/>
        <v>-22978248.883711457</v>
      </c>
      <c r="AB26" s="306">
        <f t="shared" si="13"/>
        <v>-24724775.724825263</v>
      </c>
      <c r="AC26" s="306">
        <f t="shared" si="13"/>
        <v>-26553766.141073346</v>
      </c>
      <c r="AD26" s="306">
        <f t="shared" si="13"/>
        <v>-28468549.212264419</v>
      </c>
      <c r="AE26" s="306">
        <f t="shared" si="13"/>
        <v>-30472578.212994337</v>
      </c>
      <c r="AF26" s="306">
        <f t="shared" si="13"/>
        <v>-32569435.030254364</v>
      </c>
      <c r="AG26" s="306">
        <f t="shared" si="13"/>
        <v>-34762834.733243704</v>
      </c>
      <c r="AH26" s="306">
        <f t="shared" si="13"/>
        <v>-37056630.300510049</v>
      </c>
      <c r="AI26" s="306">
        <f t="shared" si="13"/>
        <v>-39454817.509714842</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-3417.3639129549265</v>
      </c>
      <c r="G28" s="306">
        <f t="shared" si="14"/>
        <v>-14058.243568608537</v>
      </c>
      <c r="H28" s="306">
        <f t="shared" si="14"/>
        <v>-31971.089289547876</v>
      </c>
      <c r="I28" s="306">
        <f t="shared" si="14"/>
        <v>-57214.29359645769</v>
      </c>
      <c r="J28" s="306">
        <f t="shared" si="14"/>
        <v>-89856.153161631897</v>
      </c>
      <c r="K28" s="306">
        <f t="shared" si="14"/>
        <v>-129974.83785637096</v>
      </c>
      <c r="L28" s="306">
        <f t="shared" si="14"/>
        <v>-177658.36662182026</v>
      </c>
      <c r="M28" s="306">
        <f t="shared" si="14"/>
        <v>-233662.60785520449</v>
      </c>
      <c r="N28" s="306">
        <f t="shared" si="14"/>
        <v>-298346.7176611051</v>
      </c>
      <c r="O28" s="306">
        <f t="shared" si="14"/>
        <v>-372082.51909267902</v>
      </c>
      <c r="P28" s="306">
        <f t="shared" si="14"/>
        <v>-506260.29112038761</v>
      </c>
      <c r="Q28" s="306">
        <f t="shared" si="14"/>
        <v>-661191.22413278371</v>
      </c>
      <c r="R28" s="306">
        <f t="shared" si="14"/>
        <v>-838406.04947482795</v>
      </c>
      <c r="S28" s="306">
        <f t="shared" si="14"/>
        <v>-1038984.8043866679</v>
      </c>
      <c r="T28" s="306">
        <f t="shared" si="14"/>
        <v>-1264047.0569297448</v>
      </c>
      <c r="U28" s="306">
        <f t="shared" si="14"/>
        <v>-1514753.1322778985</v>
      </c>
      <c r="V28" s="306">
        <f t="shared" si="14"/>
        <v>-1792305.3712569028</v>
      </c>
      <c r="W28" s="306">
        <f t="shared" si="14"/>
        <v>-2100865.0110844225</v>
      </c>
      <c r="X28" s="306">
        <f t="shared" si="14"/>
        <v>-2442414.3981266767</v>
      </c>
      <c r="Y28" s="306">
        <f t="shared" si="14"/>
        <v>-2819035.4721372724</v>
      </c>
      <c r="Z28" s="306">
        <f t="shared" si="14"/>
        <v>-3344767.8217389584</v>
      </c>
      <c r="AA28" s="306">
        <f t="shared" si="14"/>
        <v>-3927250.9277824908</v>
      </c>
      <c r="AB28" s="306">
        <f t="shared" si="14"/>
        <v>-4570071.8214721531</v>
      </c>
      <c r="AC28" s="306">
        <f t="shared" si="14"/>
        <v>-5276996.7356955111</v>
      </c>
      <c r="AD28" s="306">
        <f t="shared" si="14"/>
        <v>-6051978.9614623189</v>
      </c>
      <c r="AE28" s="306">
        <f t="shared" si="14"/>
        <v>-6899167.0213599801</v>
      </c>
      <c r="AF28" s="306">
        <f t="shared" si="14"/>
        <v>-7822913.1721042991</v>
      </c>
      <c r="AG28" s="306">
        <f t="shared" si="14"/>
        <v>-8827782.2487052977</v>
      </c>
      <c r="AH28" s="306">
        <f t="shared" si="14"/>
        <v>-9918560.8632255197</v>
      </c>
      <c r="AI28" s="306">
        <f t="shared" si="14"/>
        <v>-11100266.971579999</v>
      </c>
      <c r="AJ28" s="306">
        <f t="shared" si="14"/>
        <v>-11805511.364332587</v>
      </c>
      <c r="AK28" s="306">
        <f t="shared" si="14"/>
        <v>-12542500.05092904</v>
      </c>
      <c r="AL28" s="306">
        <f t="shared" si="14"/>
        <v>-13312486.469293416</v>
      </c>
      <c r="AM28" s="306">
        <f t="shared" si="14"/>
        <v>-14116770.224482924</v>
      </c>
      <c r="AN28" s="306">
        <f t="shared" si="14"/>
        <v>-14956698.717274845</v>
      </c>
      <c r="AO28" s="306">
        <f t="shared" si="14"/>
        <v>-15833668.828538775</v>
      </c>
      <c r="AP28" s="306">
        <f t="shared" si="14"/>
        <v>-16749128.661264122</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154118742.48188019</v>
      </c>
      <c r="G30" s="306">
        <f t="shared" si="15"/>
        <v>160817834.55953109</v>
      </c>
      <c r="H30" s="306">
        <f t="shared" si="15"/>
        <v>162502195.90535283</v>
      </c>
      <c r="I30" s="306">
        <f t="shared" si="15"/>
        <v>164295100.54262707</v>
      </c>
      <c r="J30" s="306">
        <f t="shared" si="15"/>
        <v>166197426.87577754</v>
      </c>
      <c r="K30" s="306">
        <f t="shared" si="15"/>
        <v>168210115.23378298</v>
      </c>
      <c r="L30" s="306">
        <f t="shared" si="15"/>
        <v>170334167.8633239</v>
      </c>
      <c r="M30" s="306">
        <f t="shared" si="15"/>
        <v>174901658.88452503</v>
      </c>
      <c r="N30" s="306">
        <f t="shared" si="15"/>
        <v>179588325.22747859</v>
      </c>
      <c r="O30" s="306">
        <f t="shared" si="15"/>
        <v>184397163.16642952</v>
      </c>
      <c r="P30" s="306">
        <f t="shared" si="15"/>
        <v>321022932.71792251</v>
      </c>
      <c r="Q30" s="306">
        <f t="shared" si="15"/>
        <v>329347276.18263453</v>
      </c>
      <c r="R30" s="306">
        <f t="shared" si="15"/>
        <v>339324612.8343997</v>
      </c>
      <c r="S30" s="306">
        <f t="shared" si="15"/>
        <v>349564663.69375759</v>
      </c>
      <c r="T30" s="306">
        <f t="shared" si="15"/>
        <v>360073809.59862256</v>
      </c>
      <c r="U30" s="306">
        <f t="shared" si="15"/>
        <v>370858570.74843568</v>
      </c>
      <c r="V30" s="306">
        <f t="shared" si="15"/>
        <v>381925609.18351543</v>
      </c>
      <c r="W30" s="306">
        <f t="shared" si="15"/>
        <v>397905289.96032691</v>
      </c>
      <c r="X30" s="306">
        <f t="shared" si="15"/>
        <v>414470869.107364</v>
      </c>
      <c r="Y30" s="306">
        <f t="shared" si="15"/>
        <v>431642367.10427463</v>
      </c>
      <c r="Z30" s="306">
        <f t="shared" si="15"/>
        <v>601807192.14082694</v>
      </c>
      <c r="AA30" s="306">
        <f t="shared" si="15"/>
        <v>627984731.91102552</v>
      </c>
      <c r="AB30" s="306">
        <f t="shared" si="15"/>
        <v>655139374.06756139</v>
      </c>
      <c r="AC30" s="306">
        <f t="shared" si="15"/>
        <v>683304845.69712973</v>
      </c>
      <c r="AD30" s="306">
        <f t="shared" si="15"/>
        <v>712515983.70195794</v>
      </c>
      <c r="AE30" s="306">
        <f t="shared" si="15"/>
        <v>742808770.15355873</v>
      </c>
      <c r="AF30" s="306">
        <f t="shared" si="15"/>
        <v>774220368.74643922</v>
      </c>
      <c r="AG30" s="306">
        <f t="shared" si="15"/>
        <v>806789162.38538098</v>
      </c>
      <c r="AH30" s="306">
        <f t="shared" si="15"/>
        <v>840554791.9409101</v>
      </c>
      <c r="AI30" s="306">
        <f t="shared" si="15"/>
        <v>875558196.20862532</v>
      </c>
      <c r="AJ30" s="306">
        <f t="shared" si="15"/>
        <v>379606130.05406129</v>
      </c>
      <c r="AK30" s="306">
        <f t="shared" si="15"/>
        <v>390402698.77796125</v>
      </c>
      <c r="AL30" s="306">
        <f t="shared" si="15"/>
        <v>401506338.13898003</v>
      </c>
      <c r="AM30" s="306">
        <f t="shared" si="15"/>
        <v>412925781.68743265</v>
      </c>
      <c r="AN30" s="306">
        <f t="shared" si="15"/>
        <v>424670011.3689279</v>
      </c>
      <c r="AO30" s="306">
        <f t="shared" si="15"/>
        <v>436748264.58910388</v>
      </c>
      <c r="AP30" s="306">
        <f t="shared" si="15"/>
        <v>449170041.47929472</v>
      </c>
    </row>
  </sheetData>
  <sheetProtection algorithmName="SHA-512" hashValue="V/kV01l+jLh5qs8CuiT+Zhh/q/PwRw5Iesobfyq3nwnwo3T0uzky969g7MsjsrM/Vjm8QT+Qt94e7EJTgZnz+w==" saltValue="D8E4a9GQBB9lrCR7PpXAyQ=="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201465585.00573117</v>
      </c>
      <c r="G3" s="77">
        <f>F3*('Price and Financial Ratios'!I4+1)*(1+Assumptions!$B$28)</f>
        <v>220802638.7637282</v>
      </c>
      <c r="H3" s="77">
        <f>G3*('Price and Financial Ratios'!J4+1)*(1+Assumptions!$B$28)</f>
        <v>235304574.72993022</v>
      </c>
      <c r="I3" s="77">
        <f>H3*('Price and Financial Ratios'!K4+1)*(1+Assumptions!$B$28)</f>
        <v>247193679.35193616</v>
      </c>
      <c r="J3" s="77">
        <f>I3*('Price and Financial Ratios'!L4+1)*(1+Assumptions!$B$28)</f>
        <v>257186541.50007543</v>
      </c>
      <c r="K3" s="77">
        <f>J3*('Price and Financial Ratios'!M4+1)*(1+Assumptions!$B$28)</f>
        <v>255892831.96117815</v>
      </c>
      <c r="L3" s="77">
        <f>K3*('Price and Financial Ratios'!N4+1)*(1+Assumptions!$B$28)</f>
        <v>266237359.38270822</v>
      </c>
      <c r="M3" s="77">
        <f>L3*('Price and Financial Ratios'!O4+1)*(1+Assumptions!$B$28)</f>
        <v>274310745.70192224</v>
      </c>
      <c r="N3" s="77">
        <f>M3*('Price and Financial Ratios'!P4+1)*(1+Assumptions!$B$28)</f>
        <v>282628949.52838016</v>
      </c>
      <c r="O3" s="77">
        <f>N3*('Price and Financial Ratios'!Q4+1)*(1+Assumptions!$B$28)</f>
        <v>291199394.71243215</v>
      </c>
      <c r="P3" s="77">
        <f>O3*('Price and Financial Ratios'!R4+1)*(1+Assumptions!$B$28)</f>
        <v>323561473.77248549</v>
      </c>
      <c r="Q3" s="77">
        <f>P3*('Price and Financial Ratios'!S4+1)*(1+Assumptions!$B$28)</f>
        <v>354617525.41613126</v>
      </c>
      <c r="R3" s="77">
        <f>Q3*('Price and Financial Ratios'!T4+1)*(1+Assumptions!$B$28)</f>
        <v>383281294.2825349</v>
      </c>
      <c r="S3" s="77">
        <f>R3*('Price and Financial Ratios'!U4+1)*(1+Assumptions!$B$28)</f>
        <v>412326154.81410468</v>
      </c>
      <c r="T3" s="77">
        <f>S3*('Price and Financial Ratios'!V4+1)*(1+Assumptions!$B$28)</f>
        <v>437324526.78800106</v>
      </c>
      <c r="U3" s="77">
        <f>T3*('Price and Financial Ratios'!W4+1)*(1+Assumptions!$B$28)</f>
        <v>463838491.68281472</v>
      </c>
      <c r="V3" s="77">
        <f>U3*('Price and Financial Ratios'!X4+1)*(1+Assumptions!$B$28)</f>
        <v>487274603.63116848</v>
      </c>
      <c r="W3" s="77">
        <f>V3*('Price and Financial Ratios'!Y4+1)*(1+Assumptions!$B$28)</f>
        <v>511894859.09737277</v>
      </c>
      <c r="X3" s="77">
        <f>W3*('Price and Financial Ratios'!Z4+1)*(1+Assumptions!$B$28)</f>
        <v>535173708.4147414</v>
      </c>
      <c r="Y3" s="77">
        <f>X3*('Price and Financial Ratios'!AA4+1)*(1+Assumptions!$B$28)</f>
        <v>559511182.98671067</v>
      </c>
      <c r="Z3" s="77">
        <f>Y3*('Price and Financial Ratios'!AB4+1)*(1+Assumptions!$B$28)</f>
        <v>616040012.47254896</v>
      </c>
      <c r="AA3" s="77">
        <f>Z3*('Price and Financial Ratios'!AC4+1)*(1+Assumptions!$B$28)</f>
        <v>668945962.81519568</v>
      </c>
      <c r="AB3" s="77">
        <f>AA3*('Price and Financial Ratios'!AD4+1)*(1+Assumptions!$B$28)</f>
        <v>723016929.66813958</v>
      </c>
      <c r="AC3" s="77">
        <f>AB3*('Price and Financial Ratios'!AE4+1)*(1+Assumptions!$B$28)</f>
        <v>774155107.9250195</v>
      </c>
      <c r="AD3" s="77">
        <f>AC3*('Price and Financial Ratios'!AF4+1)*(1+Assumptions!$B$28)</f>
        <v>821090324.44585013</v>
      </c>
      <c r="AE3" s="77">
        <f>AD3*('Price and Financial Ratios'!AG4+1)*(1+Assumptions!$B$28)</f>
        <v>870871113.54936612</v>
      </c>
      <c r="AF3" s="77">
        <f>AE3*('Price and Financial Ratios'!AH4+1)*(1+Assumptions!$B$28)</f>
        <v>919271567.10602176</v>
      </c>
      <c r="AG3" s="77">
        <f>AF3*('Price and Financial Ratios'!AI4+1)*(1+Assumptions!$B$28)</f>
        <v>961076214.90056372</v>
      </c>
      <c r="AH3" s="77">
        <f>AG3*('Price and Financial Ratios'!AJ4+1)*(1+Assumptions!$B$28)</f>
        <v>999927945.06832194</v>
      </c>
      <c r="AI3" s="77">
        <f>AH3*('Price and Financial Ratios'!AK4+1)*(1+Assumptions!$B$28)</f>
        <v>1040350265.490657</v>
      </c>
      <c r="AJ3" s="77">
        <f>AI3*('Price and Financial Ratios'!AL4+1)*(1+Assumptions!$B$28)</f>
        <v>1050880259.849481</v>
      </c>
      <c r="AK3" s="77">
        <f>AJ3*('Price and Financial Ratios'!AM4+1)*(1+Assumptions!$B$28)</f>
        <v>1061516834.4485134</v>
      </c>
      <c r="AL3" s="77">
        <f>AK3*('Price and Financial Ratios'!AN4+1)*(1+Assumptions!$B$28)</f>
        <v>1072261068.0487882</v>
      </c>
      <c r="AM3" s="77">
        <f>AL3*('Price and Financial Ratios'!AO4+1)*(1+Assumptions!$B$28)</f>
        <v>1083114050.3301117</v>
      </c>
      <c r="AN3" s="77">
        <f>AM3*('Price and Financial Ratios'!AP4+1)*(1+Assumptions!$B$28)</f>
        <v>1094076882.0015779</v>
      </c>
      <c r="AO3" s="77">
        <f>AN3*('Price and Financial Ratios'!AQ4+1)*(1+Assumptions!$B$28)</f>
        <v>1105150674.9132016</v>
      </c>
      <c r="AP3" s="77">
        <f>AO3*('Price and Financial Ratios'!AR4+1)*(1+Assumptions!$B$28)</f>
        <v>1116336552.1686835</v>
      </c>
      <c r="AQ3" s="77"/>
      <c r="AR3" s="77"/>
      <c r="AS3" s="77"/>
    </row>
    <row r="4" spans="1:45" x14ac:dyDescent="0.35">
      <c r="A4" t="s">
        <v>400</v>
      </c>
      <c r="C4" s="162"/>
      <c r="D4" s="162"/>
      <c r="E4" s="162"/>
      <c r="F4" s="77">
        <f>F25</f>
        <v>93056587.824791148</v>
      </c>
      <c r="G4" s="77">
        <f t="shared" ref="G4:AF4" si="1">G25</f>
        <v>97122916.65521498</v>
      </c>
      <c r="H4" s="77">
        <f t="shared" si="1"/>
        <v>97561853.723832384</v>
      </c>
      <c r="I4" s="77">
        <f t="shared" si="1"/>
        <v>97871606.172372907</v>
      </c>
      <c r="J4" s="77">
        <f t="shared" si="1"/>
        <v>98061994.153315812</v>
      </c>
      <c r="K4" s="77">
        <f t="shared" si="1"/>
        <v>87198602.831048042</v>
      </c>
      <c r="L4" s="77">
        <f t="shared" si="1"/>
        <v>86974714.690019473</v>
      </c>
      <c r="M4" s="77">
        <f t="shared" si="1"/>
        <v>88631959.45415926</v>
      </c>
      <c r="N4" s="77">
        <f t="shared" si="1"/>
        <v>90257421.409897506</v>
      </c>
      <c r="O4" s="77">
        <f t="shared" si="1"/>
        <v>91851337.156876057</v>
      </c>
      <c r="P4" s="77">
        <f t="shared" si="1"/>
        <v>94772714.277609408</v>
      </c>
      <c r="Q4" s="77">
        <f t="shared" si="1"/>
        <v>97619935.133145005</v>
      </c>
      <c r="R4" s="77">
        <f t="shared" si="1"/>
        <v>100953732.53882611</v>
      </c>
      <c r="S4" s="77">
        <f t="shared" si="1"/>
        <v>104264110.13608311</v>
      </c>
      <c r="T4" s="77">
        <f t="shared" si="1"/>
        <v>107550892.48188213</v>
      </c>
      <c r="U4" s="77">
        <f t="shared" si="1"/>
        <v>110813878.93387657</v>
      </c>
      <c r="V4" s="77">
        <f t="shared" si="1"/>
        <v>114052843.02795669</v>
      </c>
      <c r="W4" s="77">
        <f t="shared" si="1"/>
        <v>119009514.45010805</v>
      </c>
      <c r="X4" s="77">
        <f t="shared" si="1"/>
        <v>124110078.40237242</v>
      </c>
      <c r="Y4" s="77">
        <f t="shared" si="1"/>
        <v>129358238.75646621</v>
      </c>
      <c r="Z4" s="77">
        <f t="shared" si="1"/>
        <v>136032401.22376639</v>
      </c>
      <c r="AA4" s="77">
        <f t="shared" si="1"/>
        <v>142903787.89268082</v>
      </c>
      <c r="AB4" s="77">
        <f t="shared" si="1"/>
        <v>149977411.25829715</v>
      </c>
      <c r="AC4" s="77">
        <f t="shared" si="1"/>
        <v>157258404.27381983</v>
      </c>
      <c r="AD4" s="77">
        <f t="shared" si="1"/>
        <v>164752023.20230436</v>
      </c>
      <c r="AE4" s="77">
        <f t="shared" si="1"/>
        <v>172463650.53638276</v>
      </c>
      <c r="AF4" s="77">
        <f t="shared" si="1"/>
        <v>180398797.98763046</v>
      </c>
      <c r="AG4" s="77">
        <f t="shared" ref="AG4:AP4" si="2">AG25</f>
        <v>188563109.54726848</v>
      </c>
      <c r="AH4" s="77">
        <f t="shared" si="2"/>
        <v>196962364.61993426</v>
      </c>
      <c r="AI4" s="77">
        <f t="shared" si="2"/>
        <v>205602481.23229897</v>
      </c>
      <c r="AJ4" s="77">
        <f t="shared" si="2"/>
        <v>210538834.70634049</v>
      </c>
      <c r="AK4" s="77">
        <f t="shared" si="2"/>
        <v>215598541.54699123</v>
      </c>
      <c r="AL4" s="77">
        <f t="shared" si="2"/>
        <v>220784782.60630977</v>
      </c>
      <c r="AM4" s="77">
        <f t="shared" si="2"/>
        <v>226100822.63706481</v>
      </c>
      <c r="AN4" s="77">
        <f t="shared" si="2"/>
        <v>231550012.53906652</v>
      </c>
      <c r="AO4" s="77">
        <f t="shared" si="2"/>
        <v>237135791.66617393</v>
      </c>
      <c r="AP4" s="77">
        <f t="shared" si="2"/>
        <v>242861690.19562069</v>
      </c>
    </row>
    <row r="5" spans="1:45" x14ac:dyDescent="0.35">
      <c r="A5" t="s">
        <v>401</v>
      </c>
      <c r="C5" s="162"/>
      <c r="D5" s="162"/>
      <c r="E5" s="162"/>
      <c r="F5" s="77">
        <f>Depreciation!F6+Depreciation!F7</f>
        <v>60105029.415829286</v>
      </c>
      <c r="G5" s="77">
        <f>Depreciation!G6+Depreciation!G7</f>
        <v>64230927.56527815</v>
      </c>
      <c r="H5" s="77">
        <f>Depreciation!H6+Depreciation!H7</f>
        <v>68423194.417494476</v>
      </c>
      <c r="I5" s="77">
        <f>Depreciation!I6+Depreciation!I7</f>
        <v>72685065.246202007</v>
      </c>
      <c r="J5" s="77">
        <f>Depreciation!J6+Depreciation!J7</f>
        <v>77019822.143471271</v>
      </c>
      <c r="K5" s="77">
        <f>Depreciation!K6+Depreciation!K7</f>
        <v>81430796.196926326</v>
      </c>
      <c r="L5" s="77">
        <f>Depreciation!L6+Depreciation!L7</f>
        <v>85921369.687006071</v>
      </c>
      <c r="M5" s="77">
        <f>Depreciation!M6+Depreciation!M7</f>
        <v>90549626.773125976</v>
      </c>
      <c r="N5" s="77">
        <f>Depreciation!N6+Depreciation!N7</f>
        <v>95319532.0567085</v>
      </c>
      <c r="O5" s="77">
        <f>Depreciation!O6+Depreciation!O7</f>
        <v>100235159.16609751</v>
      </c>
      <c r="P5" s="77">
        <f>Depreciation!P6+Depreciation!P7</f>
        <v>108388413.11630471</v>
      </c>
      <c r="Q5" s="77">
        <f>Depreciation!Q6+Depreciation!Q7</f>
        <v>116791868.73111054</v>
      </c>
      <c r="R5" s="77">
        <f>Depreciation!R6+Depreciation!R7</f>
        <v>125486446.64355865</v>
      </c>
      <c r="S5" s="77">
        <f>Depreciation!S6+Depreciation!S7</f>
        <v>134480755.87396526</v>
      </c>
      <c r="T5" s="77">
        <f>Depreciation!T6+Depreciation!T7</f>
        <v>143783639.94833368</v>
      </c>
      <c r="U5" s="77">
        <f>Depreciation!U6+Depreciation!U7</f>
        <v>153404182.80816495</v>
      </c>
      <c r="V5" s="77">
        <f>Depreciation!V6+Depreciation!V7</f>
        <v>163351714.85380942</v>
      </c>
      <c r="W5" s="77">
        <f>Depreciation!W6+Depreciation!W7</f>
        <v>173744252.1143645</v>
      </c>
      <c r="X5" s="77">
        <f>Depreciation!X6+Depreciation!X7</f>
        <v>184599150.11626649</v>
      </c>
      <c r="Y5" s="77">
        <f>Depreciation!Y6+Depreciation!Y7</f>
        <v>195934394.06355876</v>
      </c>
      <c r="Z5" s="77">
        <f>Depreciation!Z6+Depreciation!Z7</f>
        <v>211342337.55907574</v>
      </c>
      <c r="AA5" s="77">
        <f>Depreciation!AA6+Depreciation!AA7</f>
        <v>227473746.07460657</v>
      </c>
      <c r="AB5" s="77">
        <f>Depreciation!AB6+Depreciation!AB7</f>
        <v>244357458.69227561</v>
      </c>
      <c r="AC5" s="77">
        <f>Depreciation!AC6+Depreciation!AC7</f>
        <v>262023373.76406956</v>
      </c>
      <c r="AD5" s="77">
        <f>Depreciation!AD6+Depreciation!AD7</f>
        <v>280502485.94526112</v>
      </c>
      <c r="AE5" s="77">
        <f>Depreciation!AE6+Depreciation!AE7</f>
        <v>299826924.48035181</v>
      </c>
      <c r="AF5" s="77">
        <f>Depreciation!AF6+Depreciation!AF7</f>
        <v>320029992.78289628</v>
      </c>
      <c r="AG5" s="77">
        <f>Depreciation!AG6+Depreciation!AG7</f>
        <v>341146209.35191119</v>
      </c>
      <c r="AH5" s="77">
        <f>Depreciation!AH6+Depreciation!AH7</f>
        <v>363211350.06895596</v>
      </c>
      <c r="AI5" s="77">
        <f>Depreciation!AI6+Depreciation!AI7</f>
        <v>386262491.9214021</v>
      </c>
      <c r="AJ5" s="77">
        <f>Depreciation!AJ6+Depreciation!AJ7</f>
        <v>397850366.67904419</v>
      </c>
      <c r="AK5" s="77">
        <f>Depreciation!AK6+Depreciation!AK7</f>
        <v>409785877.67941546</v>
      </c>
      <c r="AL5" s="77">
        <f>Depreciation!AL6+Depreciation!AL7</f>
        <v>422079454.00979799</v>
      </c>
      <c r="AM5" s="77">
        <f>Depreciation!AM6+Depreciation!AM7</f>
        <v>434741837.63009191</v>
      </c>
      <c r="AN5" s="77">
        <f>Depreciation!AN6+Depreciation!AN7</f>
        <v>447784092.75899464</v>
      </c>
      <c r="AO5" s="77">
        <f>Depreciation!AO6+Depreciation!AO7</f>
        <v>461217615.5417645</v>
      </c>
      <c r="AP5" s="77">
        <f>Depreciation!AP6+Depreciation!AP7</f>
        <v>475054144.00801742</v>
      </c>
    </row>
    <row r="6" spans="1:45" x14ac:dyDescent="0.35">
      <c r="A6" t="s">
        <v>402</v>
      </c>
      <c r="C6" s="162"/>
      <c r="D6" s="162"/>
      <c r="E6" s="162"/>
      <c r="F6" s="77">
        <f ca="1">'Debt worksheet'!F10</f>
        <v>26999814.351626236</v>
      </c>
      <c r="G6" s="77">
        <f ca="1">'Debt worksheet'!G10</f>
        <v>31458856.635598861</v>
      </c>
      <c r="H6" s="77">
        <f ca="1">'Debt worksheet'!H10</f>
        <v>35186504.171780787</v>
      </c>
      <c r="I6" s="77">
        <f ca="1">'Debt worksheet'!I10</f>
        <v>37538294.65266636</v>
      </c>
      <c r="J6" s="77">
        <f ca="1">'Debt worksheet'!J10</f>
        <v>39640785.900337838</v>
      </c>
      <c r="K6" s="77">
        <f ca="1">'Debt worksheet'!K10</f>
        <v>41498195.022992775</v>
      </c>
      <c r="L6" s="77">
        <f ca="1">'Debt worksheet'!L10</f>
        <v>43059638.613938622</v>
      </c>
      <c r="M6" s="77">
        <f ca="1">'Debt worksheet'!M10</f>
        <v>44608177.39971637</v>
      </c>
      <c r="N6" s="77">
        <f ca="1">'Debt worksheet'!N10</f>
        <v>46136158.108267896</v>
      </c>
      <c r="O6" s="77">
        <f ca="1">'Debt worksheet'!O10</f>
        <v>47635395.280819885</v>
      </c>
      <c r="P6" s="77">
        <f ca="1">'Debt worksheet'!P10</f>
        <v>54018044.267105602</v>
      </c>
      <c r="Q6" s="77">
        <f ca="1">'Debt worksheet'!Q10</f>
        <v>59794027.580981873</v>
      </c>
      <c r="R6" s="77">
        <f ca="1">'Debt worksheet'!R10</f>
        <v>65139712.029352933</v>
      </c>
      <c r="S6" s="77">
        <f ca="1">'Debt worksheet'!S10</f>
        <v>70029392.143405184</v>
      </c>
      <c r="T6" s="77">
        <f ca="1">'Debt worksheet'!T10</f>
        <v>74635426.661642656</v>
      </c>
      <c r="U6" s="77">
        <f ca="1">'Debt worksheet'!U10</f>
        <v>78888286.823229074</v>
      </c>
      <c r="V6" s="77">
        <f ca="1">'Debt worksheet'!V10</f>
        <v>82922002.033846721</v>
      </c>
      <c r="W6" s="77">
        <f ca="1">'Debt worksheet'!W10</f>
        <v>86971435.022484407</v>
      </c>
      <c r="X6" s="77">
        <f ca="1">'Debt worksheet'!X10</f>
        <v>91130355.211889625</v>
      </c>
      <c r="Y6" s="77">
        <f ca="1">'Debt worksheet'!Y10</f>
        <v>95389972.862781718</v>
      </c>
      <c r="Z6" s="77">
        <f ca="1">'Debt worksheet'!Z10</f>
        <v>105246769.56671767</v>
      </c>
      <c r="AA6" s="77">
        <f ca="1">'Debt worksheet'!AA10</f>
        <v>114654235.26795487</v>
      </c>
      <c r="AB6" s="77">
        <f ca="1">'Debt worksheet'!AB10</f>
        <v>123592824.13317238</v>
      </c>
      <c r="AC6" s="77">
        <f ca="1">'Debt worksheet'!AC10</f>
        <v>132227981.06097862</v>
      </c>
      <c r="AD6" s="77">
        <f ca="1">'Debt worksheet'!AD10</f>
        <v>140791457.72298801</v>
      </c>
      <c r="AE6" s="77">
        <f ca="1">'Debt worksheet'!AE10</f>
        <v>149210572.16744193</v>
      </c>
      <c r="AF6" s="77">
        <f ca="1">'Debt worksheet'!AF10</f>
        <v>157601173.02576506</v>
      </c>
      <c r="AG6" s="77">
        <f ca="1">'Debt worksheet'!AG10</f>
        <v>166320634.39117444</v>
      </c>
      <c r="AH6" s="77">
        <f ca="1">'Debt worksheet'!AH10</f>
        <v>175580746.20643896</v>
      </c>
      <c r="AI6" s="77">
        <f ca="1">'Debt worksheet'!AI10</f>
        <v>185401669.33595574</v>
      </c>
      <c r="AJ6" s="77">
        <f ca="1">'Debt worksheet'!AJ10</f>
        <v>173030356.99804109</v>
      </c>
      <c r="AK6" s="77">
        <f ca="1">'Debt worksheet'!AK10</f>
        <v>160337707.88999787</v>
      </c>
      <c r="AL6" s="77">
        <f ca="1">'Debt worksheet'!AL10</f>
        <v>147323929.10757309</v>
      </c>
      <c r="AM6" s="77">
        <f ca="1">'Debt worksheet'!AM10</f>
        <v>133989727.19888368</v>
      </c>
      <c r="AN6" s="77">
        <f ca="1">'Debt worksheet'!AN10</f>
        <v>120336345.14196405</v>
      </c>
      <c r="AO6" s="77">
        <f ca="1">'Debt worksheet'!AO10</f>
        <v>106365601.39986764</v>
      </c>
      <c r="AP6" s="77">
        <f ca="1">'Debt worksheet'!AP10</f>
        <v>92079931.15844892</v>
      </c>
    </row>
    <row r="7" spans="1:45" x14ac:dyDescent="0.35">
      <c r="A7" t="s">
        <v>403</v>
      </c>
      <c r="C7" s="162"/>
      <c r="D7" s="162"/>
      <c r="E7" s="162"/>
      <c r="F7" s="77">
        <f t="shared" ref="F7:AP7" ca="1" si="3">F3-F4-F5-F6</f>
        <v>21304153.413484495</v>
      </c>
      <c r="G7" s="77">
        <f t="shared" ca="1" si="3"/>
        <v>27989937.90763621</v>
      </c>
      <c r="H7" s="77">
        <f t="shared" ca="1" si="3"/>
        <v>34133022.41682259</v>
      </c>
      <c r="I7" s="77">
        <f t="shared" ca="1" si="3"/>
        <v>39098713.280694887</v>
      </c>
      <c r="J7" s="77">
        <f t="shared" ca="1" si="3"/>
        <v>42463939.302950509</v>
      </c>
      <c r="K7" s="77">
        <f t="shared" ca="1" si="3"/>
        <v>45765237.910211012</v>
      </c>
      <c r="L7" s="77">
        <f t="shared" ca="1" si="3"/>
        <v>50281636.39174407</v>
      </c>
      <c r="M7" s="77">
        <f t="shared" ca="1" si="3"/>
        <v>50520982.074920632</v>
      </c>
      <c r="N7" s="77">
        <f t="shared" ca="1" si="3"/>
        <v>50915837.953506254</v>
      </c>
      <c r="O7" s="77">
        <f t="shared" ca="1" si="3"/>
        <v>51477503.108638696</v>
      </c>
      <c r="P7" s="77">
        <f t="shared" ca="1" si="3"/>
        <v>66382302.111465774</v>
      </c>
      <c r="Q7" s="77">
        <f t="shared" ca="1" si="3"/>
        <v>80411693.97089383</v>
      </c>
      <c r="R7" s="77">
        <f t="shared" ca="1" si="3"/>
        <v>91701403.070797205</v>
      </c>
      <c r="S7" s="77">
        <f t="shared" ca="1" si="3"/>
        <v>103551896.6606511</v>
      </c>
      <c r="T7" s="77">
        <f t="shared" ca="1" si="3"/>
        <v>111354567.69614263</v>
      </c>
      <c r="U7" s="77">
        <f t="shared" ca="1" si="3"/>
        <v>120732143.11754411</v>
      </c>
      <c r="V7" s="77">
        <f t="shared" ca="1" si="3"/>
        <v>126948043.71555562</v>
      </c>
      <c r="W7" s="77">
        <f t="shared" ca="1" si="3"/>
        <v>132169657.51041581</v>
      </c>
      <c r="X7" s="77">
        <f t="shared" ca="1" si="3"/>
        <v>135334124.68421286</v>
      </c>
      <c r="Y7" s="77">
        <f t="shared" ca="1" si="3"/>
        <v>138828577.303904</v>
      </c>
      <c r="Z7" s="77">
        <f t="shared" ca="1" si="3"/>
        <v>163418504.12298912</v>
      </c>
      <c r="AA7" s="77">
        <f t="shared" ca="1" si="3"/>
        <v>183914193.57995337</v>
      </c>
      <c r="AB7" s="77">
        <f t="shared" ca="1" si="3"/>
        <v>205089235.58439445</v>
      </c>
      <c r="AC7" s="77">
        <f t="shared" ca="1" si="3"/>
        <v>222645348.82615152</v>
      </c>
      <c r="AD7" s="77">
        <f t="shared" ca="1" si="3"/>
        <v>235044357.57529664</v>
      </c>
      <c r="AE7" s="77">
        <f t="shared" ca="1" si="3"/>
        <v>249369966.36518958</v>
      </c>
      <c r="AF7" s="77">
        <f t="shared" ca="1" si="3"/>
        <v>261241603.30972993</v>
      </c>
      <c r="AG7" s="77">
        <f t="shared" ca="1" si="3"/>
        <v>265046261.61020958</v>
      </c>
      <c r="AH7" s="77">
        <f t="shared" ca="1" si="3"/>
        <v>264173484.17299271</v>
      </c>
      <c r="AI7" s="77">
        <f t="shared" ca="1" si="3"/>
        <v>263083623.00100017</v>
      </c>
      <c r="AJ7" s="77">
        <f t="shared" ca="1" si="3"/>
        <v>269460701.46605527</v>
      </c>
      <c r="AK7" s="77">
        <f t="shared" ca="1" si="3"/>
        <v>275794707.33210886</v>
      </c>
      <c r="AL7" s="77">
        <f t="shared" ca="1" si="3"/>
        <v>282072902.32510734</v>
      </c>
      <c r="AM7" s="77">
        <f t="shared" ca="1" si="3"/>
        <v>288281662.86407137</v>
      </c>
      <c r="AN7" s="77">
        <f t="shared" ca="1" si="3"/>
        <v>294406431.56155264</v>
      </c>
      <c r="AO7" s="77">
        <f t="shared" ca="1" si="3"/>
        <v>300431666.30539548</v>
      </c>
      <c r="AP7" s="77">
        <f t="shared" ca="1" si="3"/>
        <v>306340786.80659652</v>
      </c>
    </row>
    <row r="10" spans="1:45" x14ac:dyDescent="0.35">
      <c r="A10" t="s">
        <v>404</v>
      </c>
      <c r="C10" s="155"/>
      <c r="D10" s="155"/>
      <c r="E10" s="155"/>
      <c r="F10" s="38">
        <f>Assumptions!$E$102*Assumptions!F21*Assumptions!F29</f>
        <v>81710353.384709269</v>
      </c>
      <c r="G10" s="38">
        <f>Assumptions!$E$102*Assumptions!G21*Assumptions!G29</f>
        <v>84188139.562741429</v>
      </c>
      <c r="H10" s="38">
        <f>Assumptions!$E$102*Assumptions!H21*Assumptions!H29</f>
        <v>86741062.171956792</v>
      </c>
      <c r="I10" s="38">
        <f>Assumptions!$E$102*Assumptions!I21*Assumptions!I29</f>
        <v>89371399.650802165</v>
      </c>
      <c r="J10" s="38">
        <f>Assumptions!$E$102*Assumptions!J21*Assumptions!J29</f>
        <v>92081499.529131487</v>
      </c>
      <c r="K10" s="38">
        <f>Assumptions!$E$102*Assumptions!K21*Assumptions!K29</f>
        <v>94873780.523334756</v>
      </c>
      <c r="L10" s="38">
        <f>Assumptions!$E$102*Assumptions!L21*Assumptions!L29</f>
        <v>97750734.694999933</v>
      </c>
      <c r="M10" s="38">
        <f>Assumptions!$E$102*Assumptions!M21*Assumptions!M29</f>
        <v>100714929.67503394</v>
      </c>
      <c r="N10" s="38">
        <f>Assumptions!$E$102*Assumptions!N21*Assumptions!N29</f>
        <v>103769010.95522796</v>
      </c>
      <c r="O10" s="38">
        <f>Assumptions!$E$102*Assumptions!O21*Assumptions!O29</f>
        <v>106915704.24931236</v>
      </c>
      <c r="P10" s="38">
        <f>Assumptions!$E$102*Assumptions!P21*Assumptions!P29</f>
        <v>110157817.92560802</v>
      </c>
      <c r="Q10" s="38">
        <f>Assumptions!$E$102*Assumptions!Q21*Assumptions!Q29</f>
        <v>113498245.51344578</v>
      </c>
      <c r="R10" s="38">
        <f>Assumptions!$E$102*Assumptions!R21*Assumptions!R29</f>
        <v>116939968.28559013</v>
      </c>
      <c r="S10" s="38">
        <f>Assumptions!$E$102*Assumptions!S21*Assumptions!S29</f>
        <v>120486057.91897279</v>
      </c>
      <c r="T10" s="38">
        <f>Assumptions!$E$102*Assumptions!T21*Assumptions!T29</f>
        <v>124139679.23611028</v>
      </c>
      <c r="U10" s="38">
        <f>Assumptions!$E$102*Assumptions!U21*Assumptions!U29</f>
        <v>127904093.02965212</v>
      </c>
      <c r="V10" s="38">
        <f>Assumptions!$E$102*Assumptions!V21*Assumptions!V29</f>
        <v>131782658.97258092</v>
      </c>
      <c r="W10" s="38">
        <f>Assumptions!$E$102*Assumptions!W21*Assumptions!W29</f>
        <v>135778838.61666125</v>
      </c>
      <c r="X10" s="38">
        <f>Assumptions!$E$102*Assumptions!X21*Assumptions!X29</f>
        <v>139896198.48181364</v>
      </c>
      <c r="Y10" s="38">
        <f>Assumptions!$E$102*Assumptions!Y21*Assumptions!Y29</f>
        <v>144138413.23917079</v>
      </c>
      <c r="Z10" s="38">
        <f>Assumptions!$E$102*Assumptions!Z21*Assumptions!Z29</f>
        <v>148509268.9906567</v>
      </c>
      <c r="AA10" s="38">
        <f>Assumptions!$E$102*Assumptions!AA21*Assumptions!AA29</f>
        <v>153012666.64801612</v>
      </c>
      <c r="AB10" s="38">
        <f>Assumptions!$E$102*Assumptions!AB21*Assumptions!AB29</f>
        <v>157652625.41430932</v>
      </c>
      <c r="AC10" s="38">
        <f>Assumptions!$E$102*Assumptions!AC21*Assumptions!AC29</f>
        <v>162433286.37098014</v>
      </c>
      <c r="AD10" s="38">
        <f>Assumptions!$E$102*Assumptions!AD21*Assumptions!AD29</f>
        <v>167358916.17369825</v>
      </c>
      <c r="AE10" s="38">
        <f>Assumptions!$E$102*Assumptions!AE21*Assumptions!AE29</f>
        <v>172433910.86027408</v>
      </c>
      <c r="AF10" s="38">
        <f>Assumptions!$E$102*Assumptions!AF21*Assumptions!AF29</f>
        <v>177662799.77404508</v>
      </c>
      <c r="AG10" s="38">
        <f>Assumptions!$E$102*Assumptions!AG21*Assumptions!AG29</f>
        <v>183050249.60623488</v>
      </c>
      <c r="AH10" s="38">
        <f>Assumptions!$E$102*Assumptions!AH21*Assumptions!AH29</f>
        <v>188601068.56089309</v>
      </c>
      <c r="AI10" s="38">
        <f>Assumptions!$E$102*Assumptions!AI21*Assumptions!AI29</f>
        <v>194320210.64613247</v>
      </c>
      <c r="AJ10" s="38">
        <f>Assumptions!$E$102*Assumptions!AJ21*Assumptions!AJ29</f>
        <v>200212780.09549412</v>
      </c>
      <c r="AK10" s="38">
        <f>Assumptions!$E$102*Assumptions!AK21*Assumptions!AK29</f>
        <v>206284035.92338583</v>
      </c>
      <c r="AL10" s="38">
        <f>Assumptions!$E$102*Assumptions!AL21*Assumptions!AL29</f>
        <v>212539396.61865976</v>
      </c>
      <c r="AM10" s="38">
        <f>Assumptions!$E$102*Assumptions!AM21*Assumptions!AM29</f>
        <v>218984444.98051837</v>
      </c>
      <c r="AN10" s="38">
        <f>Assumptions!$E$102*Assumptions!AN21*Assumptions!AN29</f>
        <v>225624933.10106426</v>
      </c>
      <c r="AO10" s="38">
        <f>Assumptions!$E$102*Assumptions!AO21*Assumptions!AO29</f>
        <v>232466787.49894115</v>
      </c>
      <c r="AP10" s="38">
        <f>Assumptions!$E$102*Assumptions!AP21*Assumptions!AP29</f>
        <v>239516114.40864709</v>
      </c>
    </row>
    <row r="11" spans="1:45" x14ac:dyDescent="0.35">
      <c r="A11" t="s">
        <v>405</v>
      </c>
      <c r="C11" s="156"/>
      <c r="D11" s="156"/>
      <c r="E11" s="156"/>
      <c r="F11" s="38">
        <f>Assumptions!F94*Assumptions!F23</f>
        <v>10002296.862931171</v>
      </c>
      <c r="G11" s="38">
        <f>Assumptions!G94*Assumptions!G23</f>
        <v>10202342.800189795</v>
      </c>
      <c r="H11" s="38">
        <f>Assumptions!H94*Assumptions!H23</f>
        <v>10406389.656193592</v>
      </c>
      <c r="I11" s="38">
        <f>Assumptions!I94*Assumptions!I23</f>
        <v>10614517.449317463</v>
      </c>
      <c r="J11" s="38">
        <f>Assumptions!J94*Assumptions!J23</f>
        <v>10826807.798303813</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1484955.2748164241</v>
      </c>
      <c r="G12" s="38">
        <f>Assumptions!G293*Assumptions!G23</f>
        <v>3027016.9305696408</v>
      </c>
      <c r="H12" s="38">
        <f>Assumptions!H293*Assumptions!H23</f>
        <v>4548220.5461328374</v>
      </c>
      <c r="I12" s="38">
        <f>Assumptions!I293*Assumptions!I23</f>
        <v>6049804.7398463944</v>
      </c>
      <c r="J12" s="38">
        <f>Assumptions!J293*Assumptions!J23</f>
        <v>7532966.143170109</v>
      </c>
      <c r="K12" s="38">
        <f>Assumptions!K293*Assumptions!K23</f>
        <v>8998860.8767400887</v>
      </c>
      <c r="L12" s="38">
        <f>Assumptions!L293*Assumptions!L23</f>
        <v>10448605.965402776</v>
      </c>
      <c r="M12" s="38">
        <f>Assumptions!M293*Assumptions!M23</f>
        <v>11916839.742067134</v>
      </c>
      <c r="N12" s="38">
        <f>Assumptions!N293*Assumptions!N23</f>
        <v>13403915.404577168</v>
      </c>
      <c r="O12" s="38">
        <f>Assumptions!O293*Assumptions!O23</f>
        <v>14910189.537736362</v>
      </c>
      <c r="P12" s="38">
        <f>Assumptions!P293*Assumptions!P23</f>
        <v>18277465.287726074</v>
      </c>
      <c r="Q12" s="38">
        <f>Assumptions!Q293*Assumptions!Q23</f>
        <v>21685599.410875108</v>
      </c>
      <c r="R12" s="38">
        <f>Assumptions!R293*Assumptions!R23</f>
        <v>25155176.702152196</v>
      </c>
      <c r="S12" s="38">
        <f>Assumptions!S293*Assumptions!S23</f>
        <v>28687197.514846478</v>
      </c>
      <c r="T12" s="38">
        <f>Assumptions!T293*Assumptions!T23</f>
        <v>32282674.350283857</v>
      </c>
      <c r="U12" s="38">
        <f>Assumptions!U293*Assumptions!U23</f>
        <v>35942631.893607415</v>
      </c>
      <c r="V12" s="38">
        <f>Assumptions!V293*Assumptions!V23</f>
        <v>39668107.045255981</v>
      </c>
      <c r="W12" s="38">
        <f>Assumptions!W293*Assumptions!W23</f>
        <v>43520546.946239807</v>
      </c>
      <c r="X12" s="38">
        <f>Assumptions!X293*Assumptions!X23</f>
        <v>47503398.301130734</v>
      </c>
      <c r="Y12" s="38">
        <f>Assumptions!Y293*Assumptions!Y23</f>
        <v>51620192.281564742</v>
      </c>
      <c r="Z12" s="38">
        <f>Assumptions!Z293*Assumptions!Z23</f>
        <v>57807716.688441679</v>
      </c>
      <c r="AA12" s="38">
        <f>Assumptions!AA293*Assumptions!AA23</f>
        <v>64208878.201698229</v>
      </c>
      <c r="AB12" s="38">
        <f>Assumptions!AB293*Assumptions!AB23</f>
        <v>70829503.376777828</v>
      </c>
      <c r="AC12" s="38">
        <f>Assumptions!AC293*Assumptions!AC23</f>
        <v>77675561.874574602</v>
      </c>
      <c r="AD12" s="38">
        <f>Assumptions!AD293*Assumptions!AD23</f>
        <v>84753169.771938756</v>
      </c>
      <c r="AE12" s="38">
        <f>Assumptions!AE293*Assumptions!AE23</f>
        <v>92068592.94582665</v>
      </c>
      <c r="AF12" s="38">
        <f>Assumptions!AF293*Assumptions!AF23</f>
        <v>99628250.532688394</v>
      </c>
      <c r="AG12" s="38">
        <f>Assumptions!AG293*Assumptions!AG23</f>
        <v>107438718.46472031</v>
      </c>
      <c r="AH12" s="38">
        <f>Assumptions!AH293*Assumptions!AH23</f>
        <v>115506733.08464374</v>
      </c>
      <c r="AI12" s="38">
        <f>Assumptions!AI293*Assumptions!AI23</f>
        <v>123839194.84070648</v>
      </c>
      <c r="AJ12" s="38">
        <f>Assumptions!AJ293*Assumptions!AJ23</f>
        <v>126315978.73752062</v>
      </c>
      <c r="AK12" s="38">
        <f>Assumptions!AK293*Assumptions!AK23</f>
        <v>128842298.31227103</v>
      </c>
      <c r="AL12" s="38">
        <f>Assumptions!AL293*Assumptions!AL23</f>
        <v>131419144.27851646</v>
      </c>
      <c r="AM12" s="38">
        <f>Assumptions!AM293*Assumptions!AM23</f>
        <v>134047527.16408679</v>
      </c>
      <c r="AN12" s="38">
        <f>Assumptions!AN293*Assumptions!AN23</f>
        <v>136728477.70736852</v>
      </c>
      <c r="AO12" s="38">
        <f>Assumptions!AO293*Assumptions!AO23</f>
        <v>139463047.26151592</v>
      </c>
      <c r="AP12" s="38">
        <f>Assumptions!AP293*Assumptions!AP23</f>
        <v>142252308.20674622</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0.95976648952268029</v>
      </c>
      <c r="I14" s="45">
        <f>Assumptions!I232</f>
        <v>0.92115171441068922</v>
      </c>
      <c r="J14" s="45">
        <f>Assumptions!J232</f>
        <v>0.88409054725774572</v>
      </c>
      <c r="K14" s="45">
        <f>Assumptions!K232</f>
        <v>0.84852048096175192</v>
      </c>
      <c r="L14" s="45">
        <f>Assumptions!L232</f>
        <v>0.81438152330075686</v>
      </c>
      <c r="M14" s="45">
        <f>Assumptions!M232</f>
        <v>0.7989588578964727</v>
      </c>
      <c r="N14" s="45">
        <f>Assumptions!N232</f>
        <v>0.78382826518952631</v>
      </c>
      <c r="O14" s="45">
        <f>Assumptions!O232</f>
        <v>0.76898421394012917</v>
      </c>
      <c r="P14" s="45">
        <f>Assumptions!P232</f>
        <v>0.75442127765848765</v>
      </c>
      <c r="Q14" s="45">
        <f>Assumptions!Q232</f>
        <v>0.74013413262105976</v>
      </c>
      <c r="R14" s="45">
        <f>Assumptions!R232</f>
        <v>0.72995850457187694</v>
      </c>
      <c r="S14" s="45">
        <f>Assumptions!S232</f>
        <v>0.71992277468659671</v>
      </c>
      <c r="T14" s="45">
        <f>Assumptions!T232</f>
        <v>0.71002501959536235</v>
      </c>
      <c r="U14" s="45">
        <f>Assumptions!U232</f>
        <v>0.7002633423714919</v>
      </c>
      <c r="V14" s="45">
        <f>Assumptions!V232</f>
        <v>0.69063587216792799</v>
      </c>
      <c r="W14" s="45">
        <f>Assumptions!W232</f>
        <v>0.69063587216792799</v>
      </c>
      <c r="X14" s="45">
        <f>Assumptions!X232</f>
        <v>0.69063587216792799</v>
      </c>
      <c r="Y14" s="45">
        <f>Assumptions!Y232</f>
        <v>0.69063587216792799</v>
      </c>
      <c r="Z14" s="45">
        <f>Assumptions!Z232</f>
        <v>0.69063587216792799</v>
      </c>
      <c r="AA14" s="45">
        <f>Assumptions!AA232</f>
        <v>0.69063587216792799</v>
      </c>
      <c r="AB14" s="45">
        <f>Assumptions!AB232</f>
        <v>0.69063587216792799</v>
      </c>
      <c r="AC14" s="45">
        <f>Assumptions!AC232</f>
        <v>0.69063587216792799</v>
      </c>
      <c r="AD14" s="45">
        <f>Assumptions!AD232</f>
        <v>0.69063587216792799</v>
      </c>
      <c r="AE14" s="45">
        <f>Assumptions!AE232</f>
        <v>0.69063587216792799</v>
      </c>
      <c r="AF14" s="45">
        <f>Assumptions!AF232</f>
        <v>0.69063587216792799</v>
      </c>
      <c r="AG14" s="45">
        <f>Assumptions!AG232</f>
        <v>0.69063587216792799</v>
      </c>
      <c r="AH14" s="45">
        <f>Assumptions!AH232</f>
        <v>0.69063587216792799</v>
      </c>
      <c r="AI14" s="45">
        <f>Assumptions!AI232</f>
        <v>0.69063587216792799</v>
      </c>
      <c r="AJ14" s="45">
        <f>Assumptions!AJ232</f>
        <v>0.69063587216792799</v>
      </c>
      <c r="AK14" s="45">
        <f>Assumptions!AK232</f>
        <v>0.69063587216792799</v>
      </c>
      <c r="AL14" s="45">
        <f>Assumptions!AL232</f>
        <v>0.69063587216792799</v>
      </c>
      <c r="AM14" s="45">
        <f>Assumptions!AM232</f>
        <v>0.69063587216792799</v>
      </c>
      <c r="AN14" s="45">
        <f>Assumptions!AN232</f>
        <v>0.69063587216792799</v>
      </c>
      <c r="AO14" s="45">
        <f>Assumptions!AO232</f>
        <v>0.69063587216792799</v>
      </c>
      <c r="AP14" s="45">
        <f>Assumptions!AP232</f>
        <v>0.69063587216792799</v>
      </c>
    </row>
    <row r="15" spans="1:45" x14ac:dyDescent="0.35">
      <c r="A15" t="s">
        <v>393</v>
      </c>
      <c r="C15" s="45">
        <f>Assumptions!C235</f>
        <v>1</v>
      </c>
      <c r="D15" s="45">
        <f>Assumptions!D235</f>
        <v>1</v>
      </c>
      <c r="E15" s="45">
        <f>Assumptions!E235</f>
        <v>1</v>
      </c>
      <c r="F15" s="45">
        <f>Assumptions!F235</f>
        <v>0.99848689570000004</v>
      </c>
      <c r="G15" s="45">
        <f>Assumptions!G235</f>
        <v>0.99697608088462275</v>
      </c>
      <c r="H15" s="45">
        <f>Assumptions!H235</f>
        <v>0.99546755208963911</v>
      </c>
      <c r="I15" s="45">
        <f>Assumptions!I235</f>
        <v>0.99396130585606179</v>
      </c>
      <c r="J15" s="45">
        <f>Assumptions!J235</f>
        <v>0.99245733873013742</v>
      </c>
      <c r="K15" s="45">
        <f>Assumptions!K235</f>
        <v>0.99095564726333829</v>
      </c>
      <c r="L15" s="45">
        <f>Assumptions!L235</f>
        <v>0.98945622801235489</v>
      </c>
      <c r="M15" s="45">
        <f>Assumptions!M235</f>
        <v>0.98795907753908763</v>
      </c>
      <c r="N15" s="45">
        <f>Assumptions!N235</f>
        <v>0.98646419241063921</v>
      </c>
      <c r="O15" s="45">
        <f>Assumptions!O235</f>
        <v>0.98497156919930673</v>
      </c>
      <c r="P15" s="45">
        <f>Assumptions!P235</f>
        <v>0.98348120448257359</v>
      </c>
      <c r="Q15" s="45">
        <f>Assumptions!Q235</f>
        <v>0.98199309484310182</v>
      </c>
      <c r="R15" s="45">
        <f>Assumptions!R235</f>
        <v>0.98050723686872443</v>
      </c>
      <c r="S15" s="45">
        <f>Assumptions!S235</f>
        <v>0.97902362715243729</v>
      </c>
      <c r="T15" s="45">
        <f>Assumptions!T235</f>
        <v>0.97754226229239138</v>
      </c>
      <c r="U15" s="45">
        <f>Assumptions!U235</f>
        <v>0.97606313889188512</v>
      </c>
      <c r="V15" s="45">
        <f>Assumptions!V235</f>
        <v>0.97458625355935635</v>
      </c>
      <c r="W15" s="45">
        <f>Assumptions!W235</f>
        <v>0.97311160290837484</v>
      </c>
      <c r="X15" s="45">
        <f>Assumptions!X235</f>
        <v>0.97163918355763434</v>
      </c>
      <c r="Y15" s="45">
        <f>Assumptions!Y235</f>
        <v>0.97016899213094487</v>
      </c>
      <c r="Z15" s="45">
        <f>Assumptions!Z235</f>
        <v>0.9687010252572249</v>
      </c>
      <c r="AA15" s="45">
        <f>Assumptions!AA235</f>
        <v>0.96723527957049382</v>
      </c>
      <c r="AB15" s="45">
        <f>Assumptions!AB235</f>
        <v>0.96577175170986407</v>
      </c>
      <c r="AC15" s="45">
        <f>Assumptions!AC235</f>
        <v>0.96431043831953334</v>
      </c>
      <c r="AD15" s="45">
        <f>Assumptions!AD235</f>
        <v>0.96285133604877726</v>
      </c>
      <c r="AE15" s="45">
        <f>Assumptions!AE235</f>
        <v>0.9613944415519412</v>
      </c>
      <c r="AF15" s="45">
        <f>Assumptions!AF235</f>
        <v>0.95993975148843291</v>
      </c>
      <c r="AG15" s="45">
        <f>Assumptions!AG235</f>
        <v>0.95848726252271488</v>
      </c>
      <c r="AH15" s="45">
        <f>Assumptions!AH235</f>
        <v>0.95703697132429655</v>
      </c>
      <c r="AI15" s="45">
        <f>Assumptions!AI235</f>
        <v>0.95558887456772679</v>
      </c>
      <c r="AJ15" s="45">
        <f>Assumptions!AJ235</f>
        <v>0.95414296893258621</v>
      </c>
      <c r="AK15" s="45">
        <f>Assumptions!AK235</f>
        <v>0.95269925110347964</v>
      </c>
      <c r="AL15" s="45">
        <f>Assumptions!AL235</f>
        <v>0.95125771777002821</v>
      </c>
      <c r="AM15" s="45">
        <f>Assumptions!AM235</f>
        <v>0.94981836562686228</v>
      </c>
      <c r="AN15" s="45">
        <f>Assumptions!AN235</f>
        <v>0.94838119137361332</v>
      </c>
      <c r="AO15" s="45">
        <f>Assumptions!AO235</f>
        <v>0.94694619171490679</v>
      </c>
      <c r="AP15" s="45">
        <f>Assumptions!AP235</f>
        <v>0.94551336336035441</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-3489897.4337092638</v>
      </c>
      <c r="I17" s="39">
        <f t="shared" si="4"/>
        <v>-7046781.6431828737</v>
      </c>
      <c r="J17" s="39">
        <f t="shared" si="4"/>
        <v>-10673116.218107775</v>
      </c>
      <c r="K17" s="39">
        <f t="shared" si="4"/>
        <v>-14371434.643015057</v>
      </c>
      <c r="L17" s="39">
        <f t="shared" si="4"/>
        <v>-18144342.470317736</v>
      </c>
      <c r="M17" s="39">
        <f t="shared" si="4"/>
        <v>-20247844.488745257</v>
      </c>
      <c r="N17" s="39">
        <f t="shared" si="4"/>
        <v>-22431927.117758676</v>
      </c>
      <c r="O17" s="39">
        <f t="shared" si="4"/>
        <v>-24699215.459299564</v>
      </c>
      <c r="P17" s="39">
        <f t="shared" si="4"/>
        <v>-27052416.18209976</v>
      </c>
      <c r="Q17" s="39">
        <f t="shared" si="4"/>
        <v>-29494320.016339496</v>
      </c>
      <c r="R17" s="39">
        <f t="shared" si="4"/>
        <v>-31578643.91115804</v>
      </c>
      <c r="S17" s="39">
        <f t="shared" si="4"/>
        <v>-33745400.790895894</v>
      </c>
      <c r="T17" s="39">
        <f t="shared" si="4"/>
        <v>-35997401.05392909</v>
      </c>
      <c r="U17" s="39">
        <f t="shared" si="4"/>
        <v>-38337545.341713682</v>
      </c>
      <c r="V17" s="39">
        <f t="shared" si="4"/>
        <v>-40768827.356443882</v>
      </c>
      <c r="W17" s="39">
        <f t="shared" si="4"/>
        <v>-42005101.986695066</v>
      </c>
      <c r="X17" s="39">
        <f t="shared" si="4"/>
        <v>-43278865.430348709</v>
      </c>
      <c r="Y17" s="39">
        <f t="shared" si="4"/>
        <v>-44591254.498834848</v>
      </c>
      <c r="Z17" s="39">
        <f t="shared" si="4"/>
        <v>-45943440.47627309</v>
      </c>
      <c r="AA17" s="39">
        <f t="shared" si="4"/>
        <v>-47336630.164823085</v>
      </c>
      <c r="AB17" s="39">
        <f t="shared" si="4"/>
        <v>-48772066.961734161</v>
      </c>
      <c r="AC17" s="39">
        <f t="shared" si="4"/>
        <v>-50251031.969055459</v>
      </c>
      <c r="AD17" s="39">
        <f t="shared" si="4"/>
        <v>-51774845.136997014</v>
      </c>
      <c r="AE17" s="39">
        <f t="shared" si="4"/>
        <v>-53344866.441961944</v>
      </c>
      <c r="AF17" s="39">
        <f t="shared" si="4"/>
        <v>-54962497.100301489</v>
      </c>
      <c r="AG17" s="39">
        <f t="shared" si="4"/>
        <v>-56629180.818875939</v>
      </c>
      <c r="AH17" s="39">
        <f t="shared" si="4"/>
        <v>-58346405.083537504</v>
      </c>
      <c r="AI17" s="39">
        <f t="shared" si="4"/>
        <v>-60115702.486685291</v>
      </c>
      <c r="AJ17" s="39">
        <f t="shared" si="4"/>
        <v>-61938652.095076978</v>
      </c>
      <c r="AK17" s="39">
        <f t="shared" si="4"/>
        <v>-63816880.859118074</v>
      </c>
      <c r="AL17" s="39">
        <f t="shared" si="4"/>
        <v>-65752065.06488651</v>
      </c>
      <c r="AM17" s="39">
        <f t="shared" si="4"/>
        <v>-67745931.830188423</v>
      </c>
      <c r="AN17" s="39">
        <f t="shared" si="4"/>
        <v>-69800260.645980328</v>
      </c>
      <c r="AO17" s="39">
        <f t="shared" si="4"/>
        <v>-71916884.964533538</v>
      </c>
      <c r="AP17" s="39">
        <f t="shared" si="4"/>
        <v>-74097693.835757881</v>
      </c>
    </row>
    <row r="18" spans="1:42" x14ac:dyDescent="0.35">
      <c r="A18" t="s">
        <v>409</v>
      </c>
      <c r="C18" s="163"/>
      <c r="D18" s="163"/>
      <c r="E18" s="163"/>
      <c r="F18" s="39">
        <f>(F10*F15)-F10</f>
        <v>-123636.28706091642</v>
      </c>
      <c r="G18" s="39">
        <f t="shared" ref="G18:AP18" si="5">(G10*G15)-G10</f>
        <v>-254578.12451182306</v>
      </c>
      <c r="H18" s="39">
        <f t="shared" si="5"/>
        <v>-393149.34598377347</v>
      </c>
      <c r="I18" s="39">
        <f t="shared" si="5"/>
        <v>-539686.54770685732</v>
      </c>
      <c r="J18" s="39">
        <f t="shared" si="5"/>
        <v>-694539.56016924977</v>
      </c>
      <c r="K18" s="39">
        <f t="shared" si="5"/>
        <v>-858071.93651366234</v>
      </c>
      <c r="L18" s="39">
        <f t="shared" si="5"/>
        <v>-1030661.4582488686</v>
      </c>
      <c r="M18" s="39">
        <f t="shared" si="5"/>
        <v>-1212700.6588733196</v>
      </c>
      <c r="N18" s="39">
        <f t="shared" si="5"/>
        <v>-1404597.3660282344</v>
      </c>
      <c r="O18" s="39">
        <f t="shared" si="5"/>
        <v>-1606775.2628181726</v>
      </c>
      <c r="P18" s="39">
        <f t="shared" si="5"/>
        <v>-1819674.4689590037</v>
      </c>
      <c r="Q18" s="39">
        <f t="shared" si="5"/>
        <v>-2043752.1424349695</v>
      </c>
      <c r="R18" s="39">
        <f t="shared" si="5"/>
        <v>-2279483.1023698896</v>
      </c>
      <c r="S18" s="39">
        <f t="shared" si="5"/>
        <v>-2527360.4738414139</v>
      </c>
      <c r="T18" s="39">
        <f t="shared" si="5"/>
        <v>-2787896.3553912342</v>
      </c>
      <c r="U18" s="39">
        <f t="shared" si="5"/>
        <v>-3061622.5100101829</v>
      </c>
      <c r="V18" s="39">
        <f t="shared" si="5"/>
        <v>-3349091.0804029852</v>
      </c>
      <c r="W18" s="39">
        <f t="shared" si="5"/>
        <v>-3650875.3293644786</v>
      </c>
      <c r="X18" s="39">
        <f t="shared" si="5"/>
        <v>-3967570.4061274827</v>
      </c>
      <c r="Y18" s="39">
        <f t="shared" si="5"/>
        <v>-4299794.1395708323</v>
      </c>
      <c r="Z18" s="39">
        <f t="shared" si="5"/>
        <v>-4648187.8592065573</v>
      </c>
      <c r="AA18" s="39">
        <f t="shared" si="5"/>
        <v>-5013417.2448954582</v>
      </c>
      <c r="AB18" s="39">
        <f t="shared" si="5"/>
        <v>-5396173.2062727809</v>
      </c>
      <c r="AC18" s="39">
        <f t="shared" si="5"/>
        <v>-5797172.7928979993</v>
      </c>
      <c r="AD18" s="39">
        <f t="shared" si="5"/>
        <v>-6217160.1361775696</v>
      </c>
      <c r="AE18" s="39">
        <f t="shared" si="5"/>
        <v>-6656907.424143672</v>
      </c>
      <c r="AF18" s="39">
        <f t="shared" si="5"/>
        <v>-7117215.9102090299</v>
      </c>
      <c r="AG18" s="39">
        <f t="shared" si="5"/>
        <v>-7598916.9570551515</v>
      </c>
      <c r="AH18" s="39">
        <f t="shared" si="5"/>
        <v>-8102873.1168499589</v>
      </c>
      <c r="AI18" s="39">
        <f t="shared" si="5"/>
        <v>-8629979.2490311563</v>
      </c>
      <c r="AJ18" s="39">
        <f t="shared" si="5"/>
        <v>-9181163.6769323647</v>
      </c>
      <c r="AK18" s="39">
        <f t="shared" si="5"/>
        <v>-9757389.3845728636</v>
      </c>
      <c r="AL18" s="39">
        <f t="shared" si="5"/>
        <v>-10359655.254974633</v>
      </c>
      <c r="AM18" s="39">
        <f t="shared" si="5"/>
        <v>-10988997.351416856</v>
      </c>
      <c r="AN18" s="39">
        <f t="shared" si="5"/>
        <v>-11646490.243085146</v>
      </c>
      <c r="AO18" s="39">
        <f t="shared" si="5"/>
        <v>-12333248.376620322</v>
      </c>
      <c r="AP18" s="39">
        <f t="shared" si="5"/>
        <v>-13050427.495123744</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-15134.518393177539</v>
      </c>
      <c r="G20" s="39">
        <f t="shared" si="6"/>
        <v>-30851.059415126219</v>
      </c>
      <c r="H20" s="39">
        <f t="shared" si="6"/>
        <v>-47166.419051615521</v>
      </c>
      <c r="I20" s="39">
        <f t="shared" si="6"/>
        <v>-64097.824361924082</v>
      </c>
      <c r="J20" s="39">
        <f t="shared" si="6"/>
        <v>-81662.943856513128</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-182990.87899599597</v>
      </c>
      <c r="I22" s="39">
        <f t="shared" si="7"/>
        <v>-477016.73188697454</v>
      </c>
      <c r="J22" s="39">
        <f t="shared" si="7"/>
        <v>-873141.98318077717</v>
      </c>
      <c r="K22" s="39">
        <f t="shared" si="7"/>
        <v>-1363143.1175006963</v>
      </c>
      <c r="L22" s="39">
        <f t="shared" si="7"/>
        <v>-1939454.3229286876</v>
      </c>
      <c r="M22" s="39">
        <f t="shared" si="7"/>
        <v>-2395775.0720098801</v>
      </c>
      <c r="N22" s="39">
        <f t="shared" si="7"/>
        <v>-2897547.6462602783</v>
      </c>
      <c r="O22" s="39">
        <f t="shared" si="7"/>
        <v>-3444489.1563618276</v>
      </c>
      <c r="P22" s="39">
        <f t="shared" si="7"/>
        <v>-4488556.5730011109</v>
      </c>
      <c r="Q22" s="39">
        <f t="shared" si="7"/>
        <v>-5635347.100539295</v>
      </c>
      <c r="R22" s="39">
        <f t="shared" si="7"/>
        <v>-6792941.5344078615</v>
      </c>
      <c r="S22" s="39">
        <f t="shared" si="7"/>
        <v>-8034630.6819757596</v>
      </c>
      <c r="T22" s="39">
        <f t="shared" si="7"/>
        <v>-9361167.8621328585</v>
      </c>
      <c r="U22" s="39">
        <f t="shared" si="7"/>
        <v>-10773324.350161701</v>
      </c>
      <c r="V22" s="39">
        <f t="shared" si="7"/>
        <v>-12271889.338804889</v>
      </c>
      <c r="W22" s="39">
        <f t="shared" si="7"/>
        <v>-13463696.048798222</v>
      </c>
      <c r="X22" s="39">
        <f t="shared" si="7"/>
        <v>-14695847.38448884</v>
      </c>
      <c r="Y22" s="39">
        <f t="shared" si="7"/>
        <v>-15969435.763710134</v>
      </c>
      <c r="Z22" s="39">
        <f t="shared" si="7"/>
        <v>-17883633.855283275</v>
      </c>
      <c r="AA22" s="39">
        <f t="shared" si="7"/>
        <v>-19863923.603944115</v>
      </c>
      <c r="AB22" s="39">
        <f t="shared" si="7"/>
        <v>-21912107.536935672</v>
      </c>
      <c r="AC22" s="39">
        <f t="shared" si="7"/>
        <v>-24030032.453193918</v>
      </c>
      <c r="AD22" s="39">
        <f t="shared" si="7"/>
        <v>-26219590.447499365</v>
      </c>
      <c r="AE22" s="39">
        <f t="shared" si="7"/>
        <v>-28482719.957411721</v>
      </c>
      <c r="AF22" s="39">
        <f t="shared" si="7"/>
        <v>-30821406.833480313</v>
      </c>
      <c r="AG22" s="39">
        <f t="shared" si="7"/>
        <v>-33237685.433233723</v>
      </c>
      <c r="AH22" s="39">
        <f t="shared" si="7"/>
        <v>-35733639.739462748</v>
      </c>
      <c r="AI22" s="39">
        <f t="shared" si="7"/>
        <v>-38311404.503321186</v>
      </c>
      <c r="AJ22" s="39">
        <f t="shared" si="7"/>
        <v>-39077632.593387619</v>
      </c>
      <c r="AK22" s="39">
        <f t="shared" si="7"/>
        <v>-39859185.245255366</v>
      </c>
      <c r="AL22" s="39">
        <f t="shared" si="7"/>
        <v>-40656368.950160474</v>
      </c>
      <c r="AM22" s="39">
        <f t="shared" si="7"/>
        <v>-41469496.329163685</v>
      </c>
      <c r="AN22" s="39">
        <f t="shared" si="7"/>
        <v>-42298886.255746961</v>
      </c>
      <c r="AO22" s="39">
        <f t="shared" si="7"/>
        <v>-43144863.980861917</v>
      </c>
      <c r="AP22" s="39">
        <f t="shared" si="7"/>
        <v>-44007761.260479137</v>
      </c>
    </row>
    <row r="23" spans="1:42" x14ac:dyDescent="0.35">
      <c r="A23" t="s">
        <v>412</v>
      </c>
      <c r="C23" s="163"/>
      <c r="D23" s="163"/>
      <c r="E23" s="163"/>
      <c r="F23" s="39">
        <f t="shared" ref="F23:AP23" si="8">(F12*F15)-F12</f>
        <v>-2246.8922116323374</v>
      </c>
      <c r="G23" s="39">
        <f t="shared" si="8"/>
        <v>-9153.4543589199893</v>
      </c>
      <c r="H23" s="39">
        <f t="shared" si="8"/>
        <v>-20614.572710180655</v>
      </c>
      <c r="I23" s="39">
        <f t="shared" si="8"/>
        <v>-36532.920454479754</v>
      </c>
      <c r="J23" s="39">
        <f t="shared" si="8"/>
        <v>-56818.61197527498</v>
      </c>
      <c r="K23" s="39">
        <f t="shared" si="8"/>
        <v>-81388.871997382492</v>
      </c>
      <c r="L23" s="39">
        <f t="shared" si="8"/>
        <v>-110167.71888795495</v>
      </c>
      <c r="M23" s="39">
        <f t="shared" si="8"/>
        <v>-143489.74331334978</v>
      </c>
      <c r="N23" s="39">
        <f t="shared" si="8"/>
        <v>-181432.81986042485</v>
      </c>
      <c r="O23" s="39">
        <f t="shared" si="8"/>
        <v>-224076.75169309229</v>
      </c>
      <c r="P23" s="39">
        <f t="shared" si="8"/>
        <v>-301921.71166480705</v>
      </c>
      <c r="Q23" s="39">
        <f t="shared" si="8"/>
        <v>-390490.53186211362</v>
      </c>
      <c r="R23" s="39">
        <f t="shared" si="8"/>
        <v>-490343.90098043531</v>
      </c>
      <c r="S23" s="39">
        <f t="shared" si="8"/>
        <v>-601753.35102309287</v>
      </c>
      <c r="T23" s="39">
        <f t="shared" si="8"/>
        <v>-724995.83305881917</v>
      </c>
      <c r="U23" s="39">
        <f t="shared" si="8"/>
        <v>-860353.78749737889</v>
      </c>
      <c r="V23" s="39">
        <f t="shared" si="8"/>
        <v>-1008115.2142284438</v>
      </c>
      <c r="W23" s="39">
        <f t="shared" si="8"/>
        <v>-1170197.7479352131</v>
      </c>
      <c r="X23" s="39">
        <f t="shared" si="8"/>
        <v>-1347235.1596069559</v>
      </c>
      <c r="Y23" s="39">
        <f t="shared" si="8"/>
        <v>-1539882.3621534929</v>
      </c>
      <c r="Z23" s="39">
        <f t="shared" si="8"/>
        <v>-1809322.2645690367</v>
      </c>
      <c r="AA23" s="39">
        <f t="shared" si="8"/>
        <v>-2103785.9433708563</v>
      </c>
      <c r="AB23" s="39">
        <f t="shared" si="8"/>
        <v>-2424369.8278473765</v>
      </c>
      <c r="AC23" s="39">
        <f t="shared" si="8"/>
        <v>-2772206.7565875351</v>
      </c>
      <c r="AD23" s="39">
        <f t="shared" si="8"/>
        <v>-3148467.0226586759</v>
      </c>
      <c r="AE23" s="39">
        <f t="shared" si="8"/>
        <v>-3554359.446200639</v>
      </c>
      <c r="AF23" s="39">
        <f t="shared" si="8"/>
        <v>-3991132.47511217</v>
      </c>
      <c r="AG23" s="39">
        <f t="shared" si="8"/>
        <v>-4460075.314521879</v>
      </c>
      <c r="AH23" s="39">
        <f t="shared" si="8"/>
        <v>-4962519.085752368</v>
      </c>
      <c r="AI23" s="39">
        <f t="shared" si="8"/>
        <v>-5499838.0155023336</v>
      </c>
      <c r="AJ23" s="39">
        <f t="shared" si="8"/>
        <v>-5792475.7612772584</v>
      </c>
      <c r="AK23" s="39">
        <f t="shared" si="8"/>
        <v>-6094337.1997192949</v>
      </c>
      <c r="AL23" s="39">
        <f t="shared" si="8"/>
        <v>-6405669.0208448321</v>
      </c>
      <c r="AM23" s="39">
        <f t="shared" si="8"/>
        <v>-6726723.9967714548</v>
      </c>
      <c r="AN23" s="39">
        <f t="shared" si="8"/>
        <v>-7057761.1245538294</v>
      </c>
      <c r="AO23" s="39">
        <f t="shared" si="8"/>
        <v>-7399045.7722673565</v>
      </c>
      <c r="AP23" s="39">
        <f t="shared" si="8"/>
        <v>-7750849.8284118474</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93056587.824791148</v>
      </c>
      <c r="G25" s="38">
        <f t="shared" si="9"/>
        <v>97122916.65521498</v>
      </c>
      <c r="H25" s="38">
        <f t="shared" si="9"/>
        <v>97561853.723832384</v>
      </c>
      <c r="I25" s="38">
        <f t="shared" si="9"/>
        <v>97871606.172372907</v>
      </c>
      <c r="J25" s="38">
        <f t="shared" si="9"/>
        <v>98061994.153315812</v>
      </c>
      <c r="K25" s="38">
        <f t="shared" si="9"/>
        <v>87198602.831048042</v>
      </c>
      <c r="L25" s="38">
        <f t="shared" si="9"/>
        <v>86974714.690019473</v>
      </c>
      <c r="M25" s="38">
        <f t="shared" si="9"/>
        <v>88631959.45415926</v>
      </c>
      <c r="N25" s="38">
        <f t="shared" si="9"/>
        <v>90257421.409897506</v>
      </c>
      <c r="O25" s="38">
        <f t="shared" si="9"/>
        <v>91851337.156876057</v>
      </c>
      <c r="P25" s="38">
        <f t="shared" si="9"/>
        <v>94772714.277609408</v>
      </c>
      <c r="Q25" s="38">
        <f t="shared" si="9"/>
        <v>97619935.133145005</v>
      </c>
      <c r="R25" s="38">
        <f t="shared" si="9"/>
        <v>100953732.53882611</v>
      </c>
      <c r="S25" s="38">
        <f t="shared" si="9"/>
        <v>104264110.13608311</v>
      </c>
      <c r="T25" s="38">
        <f t="shared" si="9"/>
        <v>107550892.48188213</v>
      </c>
      <c r="U25" s="38">
        <f t="shared" si="9"/>
        <v>110813878.93387657</v>
      </c>
      <c r="V25" s="38">
        <f t="shared" si="9"/>
        <v>114052843.02795669</v>
      </c>
      <c r="W25" s="38">
        <f t="shared" si="9"/>
        <v>119009514.45010805</v>
      </c>
      <c r="X25" s="38">
        <f t="shared" si="9"/>
        <v>124110078.40237242</v>
      </c>
      <c r="Y25" s="38">
        <f t="shared" si="9"/>
        <v>129358238.75646621</v>
      </c>
      <c r="Z25" s="38">
        <f t="shared" si="9"/>
        <v>136032401.22376639</v>
      </c>
      <c r="AA25" s="38">
        <f t="shared" si="9"/>
        <v>142903787.89268082</v>
      </c>
      <c r="AB25" s="38">
        <f t="shared" si="9"/>
        <v>149977411.25829715</v>
      </c>
      <c r="AC25" s="38">
        <f t="shared" si="9"/>
        <v>157258404.27381983</v>
      </c>
      <c r="AD25" s="38">
        <f t="shared" si="9"/>
        <v>164752023.20230436</v>
      </c>
      <c r="AE25" s="38">
        <f t="shared" si="9"/>
        <v>172463650.53638276</v>
      </c>
      <c r="AF25" s="38">
        <f t="shared" si="9"/>
        <v>180398797.98763046</v>
      </c>
      <c r="AG25" s="38">
        <f t="shared" si="9"/>
        <v>188563109.54726848</v>
      </c>
      <c r="AH25" s="38">
        <f t="shared" si="9"/>
        <v>196962364.61993426</v>
      </c>
      <c r="AI25" s="38">
        <f t="shared" si="9"/>
        <v>205602481.23229897</v>
      </c>
      <c r="AJ25" s="38">
        <f t="shared" si="9"/>
        <v>210538834.70634049</v>
      </c>
      <c r="AK25" s="38">
        <f t="shared" si="9"/>
        <v>215598541.54699123</v>
      </c>
      <c r="AL25" s="38">
        <f t="shared" si="9"/>
        <v>220784782.60630977</v>
      </c>
      <c r="AM25" s="38">
        <f t="shared" si="9"/>
        <v>226100822.63706481</v>
      </c>
      <c r="AN25" s="38">
        <f t="shared" si="9"/>
        <v>231550012.53906652</v>
      </c>
      <c r="AO25" s="38">
        <f t="shared" si="9"/>
        <v>237135791.66617393</v>
      </c>
      <c r="AP25" s="38">
        <f t="shared" si="9"/>
        <v>242861690.19562069</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JKlvY+lglFM9cW7UeXeC6X7pn0r2oYraCIZum9JynDU9zgETks5QocK8TvZN2qrREfP4RNW1gc7WH4a08xsYHw==" saltValue="zpXWIjPy7wd6NLmIWOGPwA=="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4025319986.482338</v>
      </c>
      <c r="F4" s="1">
        <f>E4+Depreciation!F16</f>
        <v>4179438728.9642181</v>
      </c>
      <c r="G4" s="1">
        <f>F4+Depreciation!G16</f>
        <v>4340256563.5237494</v>
      </c>
      <c r="H4" s="1">
        <f>G4+Depreciation!H16</f>
        <v>4502758759.4291019</v>
      </c>
      <c r="I4" s="1">
        <f>H4+Depreciation!I16</f>
        <v>4667053859.9717293</v>
      </c>
      <c r="J4" s="1">
        <f>I4+Depreciation!J16</f>
        <v>4833251286.8475065</v>
      </c>
      <c r="K4" s="1">
        <f>J4+Depreciation!K16</f>
        <v>5001461402.0812893</v>
      </c>
      <c r="L4" s="1">
        <f>K4+Depreciation!L16</f>
        <v>5171795569.9446135</v>
      </c>
      <c r="M4" s="1">
        <f>L4+Depreciation!M16</f>
        <v>5346697228.8291388</v>
      </c>
      <c r="N4" s="1">
        <f>M4+Depreciation!N16</f>
        <v>5526285554.0566177</v>
      </c>
      <c r="O4" s="1">
        <f>N4+Depreciation!O16</f>
        <v>5710682717.2230473</v>
      </c>
      <c r="P4" s="1">
        <f>O4+Depreciation!P16</f>
        <v>6031705649.9409695</v>
      </c>
      <c r="Q4" s="1">
        <f>P4+Depreciation!Q16</f>
        <v>6361052926.1236038</v>
      </c>
      <c r="R4" s="1">
        <f>Q4+Depreciation!R16</f>
        <v>6700377538.958004</v>
      </c>
      <c r="S4" s="1">
        <f>R4+Depreciation!S16</f>
        <v>7049942202.651762</v>
      </c>
      <c r="T4" s="1">
        <f>S4+Depreciation!T16</f>
        <v>7410016012.2503843</v>
      </c>
      <c r="U4" s="1">
        <f>T4+Depreciation!U16</f>
        <v>7780874582.9988203</v>
      </c>
      <c r="V4" s="1">
        <f>U4+Depreciation!V16</f>
        <v>8162800192.1823359</v>
      </c>
      <c r="W4" s="1">
        <f>V4+Depreciation!W16</f>
        <v>8560705482.142663</v>
      </c>
      <c r="X4" s="1">
        <f>W4+Depreciation!X16</f>
        <v>8975176351.2500267</v>
      </c>
      <c r="Y4" s="1">
        <f>X4+Depreciation!Y16</f>
        <v>9406818718.3543015</v>
      </c>
      <c r="Z4" s="1">
        <f>Y4+Depreciation!Z16</f>
        <v>10008625910.495129</v>
      </c>
      <c r="AA4" s="1">
        <f>Z4+Depreciation!AA16</f>
        <v>10636610642.406155</v>
      </c>
      <c r="AB4" s="1">
        <f>AA4+Depreciation!AB16</f>
        <v>11291750016.473717</v>
      </c>
      <c r="AC4" s="1">
        <f>AB4+Depreciation!AC16</f>
        <v>11975054862.170847</v>
      </c>
      <c r="AD4" s="1">
        <f>AC4+Depreciation!AD16</f>
        <v>12687570845.872805</v>
      </c>
      <c r="AE4" s="1">
        <f>AD4+Depreciation!AE16</f>
        <v>13430379616.026363</v>
      </c>
      <c r="AF4" s="1">
        <f>AE4+Depreciation!AF16</f>
        <v>14204599984.772802</v>
      </c>
      <c r="AG4" s="1">
        <f>AF4+Depreciation!AG16</f>
        <v>15011389147.158184</v>
      </c>
      <c r="AH4" s="1">
        <f>AG4+Depreciation!AH16</f>
        <v>15851943939.099094</v>
      </c>
      <c r="AI4" s="1">
        <f>AH4+Depreciation!AI16</f>
        <v>16727502135.30772</v>
      </c>
      <c r="AJ4" s="1">
        <f>AI4+Depreciation!AJ16</f>
        <v>17107108265.361782</v>
      </c>
      <c r="AK4" s="1">
        <f>AJ4+Depreciation!AK16</f>
        <v>17497510964.139744</v>
      </c>
      <c r="AL4" s="1">
        <f>AK4+Depreciation!AL16</f>
        <v>17899017302.278725</v>
      </c>
      <c r="AM4" s="1">
        <f>AL4+Depreciation!AM16</f>
        <v>18311943083.966156</v>
      </c>
      <c r="AN4" s="1">
        <f>AM4+Depreciation!AN16</f>
        <v>18736613095.335083</v>
      </c>
      <c r="AO4" s="1">
        <f>AN4+Depreciation!AO16</f>
        <v>19173361359.924187</v>
      </c>
      <c r="AP4" s="1"/>
    </row>
    <row r="5" spans="1:42" x14ac:dyDescent="0.35">
      <c r="A5" t="s">
        <v>415</v>
      </c>
      <c r="B5" s="157"/>
      <c r="C5" s="157"/>
      <c r="D5" s="157"/>
      <c r="E5" s="1">
        <f>Depreciation!F10</f>
        <v>2072765022.6569982</v>
      </c>
      <c r="F5" s="1">
        <f>Depreciation!G10</f>
        <v>2136995950.2222764</v>
      </c>
      <c r="G5" s="1">
        <f>Depreciation!H10</f>
        <v>2205419144.639771</v>
      </c>
      <c r="H5" s="1">
        <f>Depreciation!I10</f>
        <v>2278104209.885973</v>
      </c>
      <c r="I5" s="1">
        <f>Depreciation!J10</f>
        <v>2355124032.0294442</v>
      </c>
      <c r="J5" s="1">
        <f>Depreciation!K10</f>
        <v>2436554828.2263703</v>
      </c>
      <c r="K5" s="1">
        <f>Depreciation!L10</f>
        <v>2522476197.9133763</v>
      </c>
      <c r="L5" s="1">
        <f>Depreciation!M10</f>
        <v>2613025824.6865025</v>
      </c>
      <c r="M5" s="1">
        <f>Depreciation!N10</f>
        <v>2708345356.7432108</v>
      </c>
      <c r="N5" s="1">
        <f>Depreciation!O10</f>
        <v>2808580515.909308</v>
      </c>
      <c r="O5" s="1">
        <f>Depreciation!P10</f>
        <v>2916968929.0256128</v>
      </c>
      <c r="P5" s="1">
        <f>Depreciation!Q10</f>
        <v>3033760797.7567234</v>
      </c>
      <c r="Q5" s="1">
        <f>Depreciation!R10</f>
        <v>3159247244.4002819</v>
      </c>
      <c r="R5" s="1">
        <f>Depreciation!S10</f>
        <v>3293728000.2742472</v>
      </c>
      <c r="S5" s="1">
        <f>Depreciation!T10</f>
        <v>3437511640.2225809</v>
      </c>
      <c r="T5" s="1">
        <f>Depreciation!U10</f>
        <v>3590915823.030746</v>
      </c>
      <c r="U5" s="1">
        <f>Depreciation!V10</f>
        <v>3754267537.8845553</v>
      </c>
      <c r="V5" s="1">
        <f>Depreciation!W10</f>
        <v>3928011789.99892</v>
      </c>
      <c r="W5" s="1">
        <f>Depreciation!X10</f>
        <v>4112610940.1151867</v>
      </c>
      <c r="X5" s="1">
        <f>Depreciation!Y10</f>
        <v>4308545334.1787453</v>
      </c>
      <c r="Y5" s="1">
        <f>Depreciation!Z10</f>
        <v>4519887671.7378206</v>
      </c>
      <c r="Z5" s="1">
        <f>Depreciation!AA10</f>
        <v>4747361417.8124266</v>
      </c>
      <c r="AA5" s="1">
        <f>Depreciation!AB10</f>
        <v>4991718876.5047016</v>
      </c>
      <c r="AB5" s="1">
        <f>Depreciation!AC10</f>
        <v>5253742250.2687712</v>
      </c>
      <c r="AC5" s="1">
        <f>Depreciation!AD10</f>
        <v>5534244736.2140322</v>
      </c>
      <c r="AD5" s="1">
        <f>Depreciation!AE10</f>
        <v>5834071660.6943846</v>
      </c>
      <c r="AE5" s="1">
        <f>Depreciation!AF10</f>
        <v>6154101653.4772816</v>
      </c>
      <c r="AF5" s="1">
        <f>Depreciation!AG10</f>
        <v>6495247862.8291922</v>
      </c>
      <c r="AG5" s="1">
        <f>Depreciation!AH10</f>
        <v>6858459212.8981485</v>
      </c>
      <c r="AH5" s="1">
        <f>Depreciation!AI10</f>
        <v>7244721704.8195505</v>
      </c>
      <c r="AI5" s="1">
        <f>Depreciation!AJ10</f>
        <v>7642572071.4985943</v>
      </c>
      <c r="AJ5" s="1">
        <f>Depreciation!AK10</f>
        <v>8052357949.17801</v>
      </c>
      <c r="AK5" s="1">
        <f>Depreciation!AL10</f>
        <v>8474437403.187808</v>
      </c>
      <c r="AL5" s="1">
        <f>Depreciation!AM10</f>
        <v>8909179240.8178997</v>
      </c>
      <c r="AM5" s="1">
        <f>Depreciation!AN10</f>
        <v>9356963333.5768948</v>
      </c>
      <c r="AN5" s="1">
        <f>Depreciation!AO10</f>
        <v>9818180949.1186581</v>
      </c>
      <c r="AO5" s="1">
        <f>Depreciation!AP10</f>
        <v>10293235093.126675</v>
      </c>
      <c r="AP5" s="1"/>
    </row>
    <row r="6" spans="1:42" x14ac:dyDescent="0.35">
      <c r="A6" t="s">
        <v>416</v>
      </c>
      <c r="B6" s="157"/>
      <c r="C6" s="157"/>
      <c r="D6" s="157"/>
      <c r="E6" s="1">
        <f>E4-E5</f>
        <v>1952554963.8253398</v>
      </c>
      <c r="F6" s="1">
        <f t="shared" ref="F6:AE6" si="1">F4-F5</f>
        <v>2042442778.7419417</v>
      </c>
      <c r="G6" s="1">
        <f t="shared" si="1"/>
        <v>2134837418.8839784</v>
      </c>
      <c r="H6" s="1">
        <f t="shared" si="1"/>
        <v>2224654549.543129</v>
      </c>
      <c r="I6" s="1">
        <f t="shared" si="1"/>
        <v>2311929827.9422851</v>
      </c>
      <c r="J6" s="1">
        <f t="shared" si="1"/>
        <v>2396696458.6211362</v>
      </c>
      <c r="K6" s="1">
        <f t="shared" si="1"/>
        <v>2478985204.167913</v>
      </c>
      <c r="L6" s="1">
        <f t="shared" si="1"/>
        <v>2558769745.258111</v>
      </c>
      <c r="M6" s="1">
        <f t="shared" si="1"/>
        <v>2638351872.085928</v>
      </c>
      <c r="N6" s="1">
        <f t="shared" si="1"/>
        <v>2717705038.1473098</v>
      </c>
      <c r="O6" s="1">
        <f t="shared" si="1"/>
        <v>2793713788.1974344</v>
      </c>
      <c r="P6" s="1">
        <f t="shared" si="1"/>
        <v>2997944852.1842461</v>
      </c>
      <c r="Q6" s="1">
        <f t="shared" si="1"/>
        <v>3201805681.7233219</v>
      </c>
      <c r="R6" s="1">
        <f t="shared" si="1"/>
        <v>3406649538.6837568</v>
      </c>
      <c r="S6" s="1">
        <f t="shared" si="1"/>
        <v>3612430562.4291811</v>
      </c>
      <c r="T6" s="1">
        <f t="shared" si="1"/>
        <v>3819100189.2196383</v>
      </c>
      <c r="U6" s="1">
        <f t="shared" si="1"/>
        <v>4026607045.114265</v>
      </c>
      <c r="V6" s="1">
        <f t="shared" si="1"/>
        <v>4234788402.1834159</v>
      </c>
      <c r="W6" s="1">
        <f t="shared" si="1"/>
        <v>4448094542.0274763</v>
      </c>
      <c r="X6" s="1">
        <f t="shared" si="1"/>
        <v>4666631017.0712814</v>
      </c>
      <c r="Y6" s="1">
        <f t="shared" si="1"/>
        <v>4886931046.6164808</v>
      </c>
      <c r="Z6" s="1">
        <f t="shared" si="1"/>
        <v>5261264492.6827021</v>
      </c>
      <c r="AA6" s="1">
        <f t="shared" si="1"/>
        <v>5644891765.901453</v>
      </c>
      <c r="AB6" s="1">
        <f t="shared" si="1"/>
        <v>6038007766.2049456</v>
      </c>
      <c r="AC6" s="1">
        <f t="shared" si="1"/>
        <v>6440810125.9568148</v>
      </c>
      <c r="AD6" s="1">
        <f t="shared" si="1"/>
        <v>6853499185.1784201</v>
      </c>
      <c r="AE6" s="1">
        <f t="shared" si="1"/>
        <v>7276277962.5490818</v>
      </c>
      <c r="AF6" s="1">
        <f t="shared" ref="AF6:AO6" si="2">AF4-AF5</f>
        <v>7709352121.9436102</v>
      </c>
      <c r="AG6" s="1">
        <f t="shared" si="2"/>
        <v>8152929934.2600355</v>
      </c>
      <c r="AH6" s="1">
        <f t="shared" si="2"/>
        <v>8607222234.2795448</v>
      </c>
      <c r="AI6" s="1">
        <f t="shared" si="2"/>
        <v>9084930063.8091259</v>
      </c>
      <c r="AJ6" s="1">
        <f t="shared" si="2"/>
        <v>9054750316.183773</v>
      </c>
      <c r="AK6" s="1">
        <f t="shared" si="2"/>
        <v>9023073560.9519348</v>
      </c>
      <c r="AL6" s="1">
        <f t="shared" si="2"/>
        <v>8989838061.460825</v>
      </c>
      <c r="AM6" s="1">
        <f t="shared" si="2"/>
        <v>8954979750.3892612</v>
      </c>
      <c r="AN6" s="1">
        <f t="shared" si="2"/>
        <v>8918432146.2164249</v>
      </c>
      <c r="AO6" s="1">
        <f t="shared" si="2"/>
        <v>8880126266.7975121</v>
      </c>
      <c r="AP6" s="1"/>
    </row>
    <row r="8" spans="1:42" x14ac:dyDescent="0.35">
      <c r="A8" t="s">
        <v>417</v>
      </c>
      <c r="B8" s="157"/>
      <c r="C8" s="157"/>
      <c r="D8" s="157"/>
      <c r="E8" s="1">
        <f ca="1">E6-E9</f>
        <v>1479069238.7740488</v>
      </c>
      <c r="F8" s="1">
        <f t="shared" ref="F8:AE8" ca="1" si="3">F6-F9</f>
        <v>1500360084.6040339</v>
      </c>
      <c r="G8" s="1">
        <f ca="1">G6-G9</f>
        <v>1532808745.675035</v>
      </c>
      <c r="H8" s="1">
        <f t="shared" ca="1" si="3"/>
        <v>1570114554.3184555</v>
      </c>
      <c r="I8" s="1">
        <f t="shared" ca="1" si="3"/>
        <v>1610676167.2882557</v>
      </c>
      <c r="J8" s="1">
        <f t="shared" ca="1" si="3"/>
        <v>1654428716.8404613</v>
      </c>
      <c r="K8" s="1">
        <f t="shared" ca="1" si="3"/>
        <v>1702586300.6026645</v>
      </c>
      <c r="L8" s="1">
        <f t="shared" ca="1" si="3"/>
        <v>1748539791.656384</v>
      </c>
      <c r="M8" s="1">
        <f t="shared" ca="1" si="3"/>
        <v>1794768963.2669373</v>
      </c>
      <c r="N8" s="1">
        <f t="shared" ca="1" si="3"/>
        <v>1841437628.4366257</v>
      </c>
      <c r="O8" s="1">
        <f t="shared" ca="1" si="3"/>
        <v>1771194160.9965982</v>
      </c>
      <c r="P8" s="1">
        <f t="shared" ca="1" si="3"/>
        <v>1843281511.50278</v>
      </c>
      <c r="Q8" s="1">
        <f t="shared" ca="1" si="3"/>
        <v>1925005577.9218121</v>
      </c>
      <c r="R8" s="1">
        <f t="shared" ca="1" si="3"/>
        <v>2018317423.7231057</v>
      </c>
      <c r="S8" s="1">
        <f t="shared" ca="1" si="3"/>
        <v>2119162845.5143838</v>
      </c>
      <c r="T8" s="1">
        <f t="shared" ca="1" si="3"/>
        <v>2229110227.4821143</v>
      </c>
      <c r="U8" s="1">
        <f t="shared" ca="1" si="3"/>
        <v>2344991232.7625904</v>
      </c>
      <c r="V8" s="1">
        <f t="shared" ca="1" si="3"/>
        <v>2461181209.4961948</v>
      </c>
      <c r="W8" s="1">
        <f t="shared" ca="1" si="3"/>
        <v>2579949755.0333705</v>
      </c>
      <c r="X8" s="1">
        <f t="shared" ca="1" si="3"/>
        <v>2701606834.3403635</v>
      </c>
      <c r="Y8" s="1">
        <f t="shared" ca="1" si="3"/>
        <v>2694860513.4268012</v>
      </c>
      <c r="Z8" s="1">
        <f t="shared" ca="1" si="3"/>
        <v>2852597167.236557</v>
      </c>
      <c r="AA8" s="1">
        <f t="shared" ca="1" si="3"/>
        <v>3030531760.6644168</v>
      </c>
      <c r="AB8" s="1">
        <f t="shared" ca="1" si="3"/>
        <v>3225011637.8610005</v>
      </c>
      <c r="AC8" s="1">
        <f t="shared" ca="1" si="3"/>
        <v>3430844857.4314694</v>
      </c>
      <c r="AD8" s="1">
        <f t="shared" ca="1" si="3"/>
        <v>3649922037.3450575</v>
      </c>
      <c r="AE8" s="1">
        <f t="shared" ca="1" si="3"/>
        <v>3879752042.0619063</v>
      </c>
      <c r="AF8" s="1">
        <f t="shared" ref="AF8:AO8" ca="1" si="4">AF6-AF9</f>
        <v>4112229510.0331745</v>
      </c>
      <c r="AG8" s="1">
        <f t="shared" ca="1" si="4"/>
        <v>4342637364.6506386</v>
      </c>
      <c r="AH8" s="1">
        <f t="shared" ca="1" si="4"/>
        <v>4570717583.3839245</v>
      </c>
      <c r="AI8" s="1">
        <f t="shared" ca="1" si="4"/>
        <v>5336130351.0045443</v>
      </c>
      <c r="AJ8" s="1">
        <f t="shared" ca="1" si="4"/>
        <v>5601128489.6127548</v>
      </c>
      <c r="AK8" s="1">
        <f t="shared" ca="1" si="4"/>
        <v>5872097752.5768414</v>
      </c>
      <c r="AL8" s="1">
        <f t="shared" ca="1" si="4"/>
        <v>6148959971.8924618</v>
      </c>
      <c r="AM8" s="1">
        <f t="shared" ca="1" si="4"/>
        <v>6431622173.7725182</v>
      </c>
      <c r="AN8" s="1">
        <f t="shared" ca="1" si="4"/>
        <v>6719975586.8577385</v>
      </c>
      <c r="AO8" s="1">
        <f t="shared" ca="1" si="4"/>
        <v>7013894596.7741442</v>
      </c>
    </row>
    <row r="9" spans="1:42" x14ac:dyDescent="0.35">
      <c r="A9" t="s">
        <v>418</v>
      </c>
      <c r="B9" s="157"/>
      <c r="C9" s="157"/>
      <c r="D9" s="157"/>
      <c r="E9" s="1">
        <f ca="1">'Debt worksheet'!F8</f>
        <v>473485725.05129093</v>
      </c>
      <c r="F9" s="1">
        <f ca="1">'Debt worksheet'!G8</f>
        <v>542082694.13790762</v>
      </c>
      <c r="G9" s="1">
        <f ca="1">'Debt worksheet'!H8</f>
        <v>602028673.20894337</v>
      </c>
      <c r="H9" s="1">
        <f ca="1">'Debt worksheet'!I8</f>
        <v>654539995.22467351</v>
      </c>
      <c r="I9" s="1">
        <f ca="1">'Debt worksheet'!J8</f>
        <v>701253660.65402925</v>
      </c>
      <c r="J9" s="1">
        <f ca="1">'Debt worksheet'!K8</f>
        <v>742267741.78067482</v>
      </c>
      <c r="K9" s="1">
        <f ca="1">'Debt worksheet'!L8</f>
        <v>776398903.56524849</v>
      </c>
      <c r="L9" s="1">
        <f ca="1">'Debt worksheet'!M8</f>
        <v>810229953.60172689</v>
      </c>
      <c r="M9" s="1">
        <f ca="1">'Debt worksheet'!N8</f>
        <v>843582908.81899071</v>
      </c>
      <c r="N9" s="1">
        <f ca="1">'Debt worksheet'!O8</f>
        <v>876267409.71068406</v>
      </c>
      <c r="O9" s="1">
        <f ca="1">'Debt worksheet'!P8</f>
        <v>1022519627.2008361</v>
      </c>
      <c r="P9" s="1">
        <f ca="1">'Debt worksheet'!Q8</f>
        <v>1154663340.6814661</v>
      </c>
      <c r="Q9" s="1">
        <f ca="1">'Debt worksheet'!R8</f>
        <v>1276800103.8015099</v>
      </c>
      <c r="R9" s="1">
        <f ca="1">'Debt worksheet'!S8</f>
        <v>1388332114.9606512</v>
      </c>
      <c r="S9" s="1">
        <f ca="1">'Debt worksheet'!T8</f>
        <v>1493267716.9147973</v>
      </c>
      <c r="T9" s="1">
        <f ca="1">'Debt worksheet'!U8</f>
        <v>1589989961.737524</v>
      </c>
      <c r="U9" s="1">
        <f ca="1">'Debt worksheet'!V8</f>
        <v>1681615812.3516746</v>
      </c>
      <c r="V9" s="1">
        <f ca="1">'Debt worksheet'!W8</f>
        <v>1773607192.6872211</v>
      </c>
      <c r="W9" s="1">
        <f ca="1">'Debt worksheet'!X8</f>
        <v>1868144786.9941058</v>
      </c>
      <c r="X9" s="1">
        <f ca="1">'Debt worksheet'!Y8</f>
        <v>1965024182.7309177</v>
      </c>
      <c r="Y9" s="1">
        <f ca="1">'Debt worksheet'!Z8</f>
        <v>2192070533.1896796</v>
      </c>
      <c r="Z9" s="1">
        <f ca="1">'Debt worksheet'!AA8</f>
        <v>2408667325.4461451</v>
      </c>
      <c r="AA9" s="1">
        <f ca="1">'Debt worksheet'!AB8</f>
        <v>2614360005.2370362</v>
      </c>
      <c r="AB9" s="1">
        <f ca="1">'Debt worksheet'!AC8</f>
        <v>2812996128.343945</v>
      </c>
      <c r="AC9" s="1">
        <f ca="1">'Debt worksheet'!AD8</f>
        <v>3009965268.5253453</v>
      </c>
      <c r="AD9" s="1">
        <f ca="1">'Debt worksheet'!AE8</f>
        <v>3203577147.8333626</v>
      </c>
      <c r="AE9" s="1">
        <f ca="1">'Debt worksheet'!AF8</f>
        <v>3396525920.4871755</v>
      </c>
      <c r="AF9" s="1">
        <f ca="1">'Debt worksheet'!AG8</f>
        <v>3597122611.9104357</v>
      </c>
      <c r="AG9" s="1">
        <f ca="1">'Debt worksheet'!AH8</f>
        <v>3810292569.6093969</v>
      </c>
      <c r="AH9" s="1">
        <f ca="1">'Debt worksheet'!AI8</f>
        <v>4036504650.8956199</v>
      </c>
      <c r="AI9" s="1">
        <f ca="1">'Debt worksheet'!AJ8</f>
        <v>3748799712.8045816</v>
      </c>
      <c r="AJ9" s="1">
        <f ca="1">'Debt worksheet'!AK8</f>
        <v>3453621826.5710187</v>
      </c>
      <c r="AK9" s="1">
        <f ca="1">'Debt worksheet'!AL8</f>
        <v>3150975808.3750935</v>
      </c>
      <c r="AL9" s="1">
        <f ca="1">'Debt worksheet'!AM8</f>
        <v>2840878089.5683627</v>
      </c>
      <c r="AM9" s="1">
        <f ca="1">'Debt worksheet'!AN8</f>
        <v>2523357576.6167431</v>
      </c>
      <c r="AN9" s="1">
        <f ca="1">'Debt worksheet'!AO8</f>
        <v>2198456559.3586869</v>
      </c>
      <c r="AO9" s="1">
        <f ca="1">'Debt worksheet'!AP8</f>
        <v>1866231670.0233676</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21304153.413484495</v>
      </c>
      <c r="G3" s="77">
        <f ca="1">'Profit and Loss'!G7</f>
        <v>27989937.90763621</v>
      </c>
      <c r="H3" s="77">
        <f ca="1">'Profit and Loss'!H7</f>
        <v>34133022.41682259</v>
      </c>
      <c r="I3" s="77">
        <f ca="1">'Profit and Loss'!I7</f>
        <v>39098713.280694887</v>
      </c>
      <c r="J3" s="77">
        <f ca="1">'Profit and Loss'!J7</f>
        <v>42463939.302950509</v>
      </c>
      <c r="K3" s="77">
        <f ca="1">'Profit and Loss'!K7</f>
        <v>45765237.910211012</v>
      </c>
      <c r="L3" s="77">
        <f ca="1">'Profit and Loss'!L7</f>
        <v>50281636.39174407</v>
      </c>
      <c r="M3" s="77">
        <f ca="1">'Profit and Loss'!M7</f>
        <v>50520982.074920632</v>
      </c>
      <c r="N3" s="77">
        <f ca="1">'Profit and Loss'!N7</f>
        <v>50915837.953506254</v>
      </c>
      <c r="O3" s="77">
        <f ca="1">'Profit and Loss'!O7</f>
        <v>51477503.108638696</v>
      </c>
      <c r="P3" s="77">
        <f ca="1">'Profit and Loss'!P7</f>
        <v>66382302.111465774</v>
      </c>
      <c r="Q3" s="77">
        <f ca="1">'Profit and Loss'!Q7</f>
        <v>80411693.97089383</v>
      </c>
      <c r="R3" s="77">
        <f ca="1">'Profit and Loss'!R7</f>
        <v>91701403.070797205</v>
      </c>
      <c r="S3" s="77">
        <f ca="1">'Profit and Loss'!S7</f>
        <v>103551896.6606511</v>
      </c>
      <c r="T3" s="77">
        <f ca="1">'Profit and Loss'!T7</f>
        <v>111354567.69614263</v>
      </c>
      <c r="U3" s="77">
        <f ca="1">'Profit and Loss'!U7</f>
        <v>120732143.11754411</v>
      </c>
      <c r="V3" s="77">
        <f ca="1">'Profit and Loss'!V7</f>
        <v>126948043.71555562</v>
      </c>
      <c r="W3" s="77">
        <f ca="1">'Profit and Loss'!W7</f>
        <v>132169657.51041581</v>
      </c>
      <c r="X3" s="77">
        <f ca="1">'Profit and Loss'!X7</f>
        <v>135334124.68421286</v>
      </c>
      <c r="Y3" s="77">
        <f ca="1">'Profit and Loss'!Y7</f>
        <v>138828577.303904</v>
      </c>
      <c r="Z3" s="77">
        <f ca="1">'Profit and Loss'!Z7</f>
        <v>163418504.12298912</v>
      </c>
      <c r="AA3" s="77">
        <f ca="1">'Profit and Loss'!AA7</f>
        <v>183914193.57995337</v>
      </c>
      <c r="AB3" s="77">
        <f ca="1">'Profit and Loss'!AB7</f>
        <v>205089235.58439445</v>
      </c>
      <c r="AC3" s="77">
        <f ca="1">'Profit and Loss'!AC7</f>
        <v>222645348.82615152</v>
      </c>
      <c r="AD3" s="77">
        <f ca="1">'Profit and Loss'!AD7</f>
        <v>235044357.57529664</v>
      </c>
      <c r="AE3" s="77">
        <f ca="1">'Profit and Loss'!AE7</f>
        <v>249369966.36518958</v>
      </c>
      <c r="AF3" s="77">
        <f ca="1">'Profit and Loss'!AF7</f>
        <v>261241603.30972993</v>
      </c>
      <c r="AG3" s="77">
        <f ca="1">'Profit and Loss'!AG7</f>
        <v>265046261.61020958</v>
      </c>
      <c r="AH3" s="77">
        <f ca="1">'Profit and Loss'!AH7</f>
        <v>264173484.17299271</v>
      </c>
      <c r="AI3" s="77">
        <f ca="1">'Profit and Loss'!AI7</f>
        <v>263083623.00100017</v>
      </c>
      <c r="AJ3" s="77">
        <f ca="1">'Profit and Loss'!AJ7</f>
        <v>269460701.46605527</v>
      </c>
      <c r="AK3" s="77">
        <f ca="1">'Profit and Loss'!AK7</f>
        <v>275794707.33210886</v>
      </c>
      <c r="AL3" s="77">
        <f ca="1">'Profit and Loss'!AL7</f>
        <v>282072902.32510734</v>
      </c>
      <c r="AM3" s="77">
        <f ca="1">'Profit and Loss'!AM7</f>
        <v>288281662.86407137</v>
      </c>
      <c r="AN3" s="77">
        <f ca="1">'Profit and Loss'!AN7</f>
        <v>294406431.56155264</v>
      </c>
      <c r="AO3" s="77">
        <f ca="1">'Profit and Loss'!AO7</f>
        <v>300431666.30539548</v>
      </c>
      <c r="AP3" s="77">
        <f ca="1">'Profit and Loss'!AP7</f>
        <v>306340786.80659652</v>
      </c>
    </row>
    <row r="4" spans="1:42" x14ac:dyDescent="0.35">
      <c r="A4" t="s">
        <v>401</v>
      </c>
      <c r="C4" s="162"/>
      <c r="D4" s="162"/>
      <c r="E4" s="162"/>
      <c r="F4" s="77">
        <f>Depreciation!F6+Depreciation!F7</f>
        <v>60105029.415829286</v>
      </c>
      <c r="G4" s="77">
        <f>Depreciation!G6+Depreciation!G7</f>
        <v>64230927.56527815</v>
      </c>
      <c r="H4" s="77">
        <f>Depreciation!H6+Depreciation!H7</f>
        <v>68423194.417494476</v>
      </c>
      <c r="I4" s="77">
        <f>Depreciation!I6+Depreciation!I7</f>
        <v>72685065.246202007</v>
      </c>
      <c r="J4" s="77">
        <f>Depreciation!J6+Depreciation!J7</f>
        <v>77019822.143471271</v>
      </c>
      <c r="K4" s="77">
        <f>Depreciation!K6+Depreciation!K7</f>
        <v>81430796.196926326</v>
      </c>
      <c r="L4" s="77">
        <f>Depreciation!L6+Depreciation!L7</f>
        <v>85921369.687006071</v>
      </c>
      <c r="M4" s="77">
        <f>Depreciation!M6+Depreciation!M7</f>
        <v>90549626.773125976</v>
      </c>
      <c r="N4" s="77">
        <f>Depreciation!N6+Depreciation!N7</f>
        <v>95319532.0567085</v>
      </c>
      <c r="O4" s="77">
        <f>Depreciation!O6+Depreciation!O7</f>
        <v>100235159.16609751</v>
      </c>
      <c r="P4" s="77">
        <f>Depreciation!P6+Depreciation!P7</f>
        <v>108388413.11630471</v>
      </c>
      <c r="Q4" s="77">
        <f>Depreciation!Q6+Depreciation!Q7</f>
        <v>116791868.73111054</v>
      </c>
      <c r="R4" s="77">
        <f>Depreciation!R6+Depreciation!R7</f>
        <v>125486446.64355865</v>
      </c>
      <c r="S4" s="77">
        <f>Depreciation!S6+Depreciation!S7</f>
        <v>134480755.87396526</v>
      </c>
      <c r="T4" s="77">
        <f>Depreciation!T6+Depreciation!T7</f>
        <v>143783639.94833368</v>
      </c>
      <c r="U4" s="77">
        <f>Depreciation!U6+Depreciation!U7</f>
        <v>153404182.80816495</v>
      </c>
      <c r="V4" s="77">
        <f>Depreciation!V6+Depreciation!V7</f>
        <v>163351714.85380942</v>
      </c>
      <c r="W4" s="77">
        <f>Depreciation!W6+Depreciation!W7</f>
        <v>173744252.1143645</v>
      </c>
      <c r="X4" s="77">
        <f>Depreciation!X6+Depreciation!X7</f>
        <v>184599150.11626649</v>
      </c>
      <c r="Y4" s="77">
        <f>Depreciation!Y6+Depreciation!Y7</f>
        <v>195934394.06355876</v>
      </c>
      <c r="Z4" s="77">
        <f>Depreciation!Z6+Depreciation!Z7</f>
        <v>211342337.55907574</v>
      </c>
      <c r="AA4" s="77">
        <f>Depreciation!AA6+Depreciation!AA7</f>
        <v>227473746.07460657</v>
      </c>
      <c r="AB4" s="77">
        <f>Depreciation!AB6+Depreciation!AB7</f>
        <v>244357458.69227561</v>
      </c>
      <c r="AC4" s="77">
        <f>Depreciation!AC6+Depreciation!AC7</f>
        <v>262023373.76406956</v>
      </c>
      <c r="AD4" s="77">
        <f>Depreciation!AD6+Depreciation!AD7</f>
        <v>280502485.94526112</v>
      </c>
      <c r="AE4" s="77">
        <f>Depreciation!AE6+Depreciation!AE7</f>
        <v>299826924.48035181</v>
      </c>
      <c r="AF4" s="77">
        <f>Depreciation!AF6+Depreciation!AF7</f>
        <v>320029992.78289628</v>
      </c>
      <c r="AG4" s="77">
        <f>Depreciation!AG6+Depreciation!AG7</f>
        <v>341146209.35191119</v>
      </c>
      <c r="AH4" s="77">
        <f>Depreciation!AH6+Depreciation!AH7</f>
        <v>363211350.06895596</v>
      </c>
      <c r="AI4" s="77">
        <f>Depreciation!AI6+Depreciation!AI7</f>
        <v>386262491.9214021</v>
      </c>
      <c r="AJ4" s="77">
        <f>Depreciation!AJ6+Depreciation!AJ7</f>
        <v>397850366.67904419</v>
      </c>
      <c r="AK4" s="77">
        <f>Depreciation!AK6+Depreciation!AK7</f>
        <v>409785877.67941546</v>
      </c>
      <c r="AL4" s="77">
        <f>Depreciation!AL6+Depreciation!AL7</f>
        <v>422079454.00979799</v>
      </c>
      <c r="AM4" s="77">
        <f>Depreciation!AM6+Depreciation!AM7</f>
        <v>434741837.63009191</v>
      </c>
      <c r="AN4" s="77">
        <f>Depreciation!AN6+Depreciation!AN7</f>
        <v>447784092.75899464</v>
      </c>
      <c r="AO4" s="77">
        <f>Depreciation!AO6+Depreciation!AO7</f>
        <v>461217615.5417645</v>
      </c>
      <c r="AP4" s="77">
        <f>Depreciation!AP6+Depreciation!AP7</f>
        <v>475054144.00801742</v>
      </c>
    </row>
    <row r="5" spans="1:42" x14ac:dyDescent="0.35">
      <c r="A5" t="s">
        <v>420</v>
      </c>
      <c r="C5" s="162"/>
      <c r="D5" s="162"/>
      <c r="E5" s="162"/>
      <c r="F5" s="77">
        <f t="shared" ref="F5:AF5" ca="1" si="1">F4+F3</f>
        <v>81409182.829313785</v>
      </c>
      <c r="G5" s="77">
        <f ca="1">G4+G3</f>
        <v>92220865.472914368</v>
      </c>
      <c r="H5" s="77">
        <f t="shared" ca="1" si="1"/>
        <v>102556216.83431706</v>
      </c>
      <c r="I5" s="77">
        <f t="shared" ca="1" si="1"/>
        <v>111783778.52689689</v>
      </c>
      <c r="J5" s="77">
        <f t="shared" ca="1" si="1"/>
        <v>119483761.44642177</v>
      </c>
      <c r="K5" s="77">
        <f t="shared" ca="1" si="1"/>
        <v>127196034.10713734</v>
      </c>
      <c r="L5" s="77">
        <f t="shared" ca="1" si="1"/>
        <v>136203006.07875013</v>
      </c>
      <c r="M5" s="77">
        <f t="shared" ca="1" si="1"/>
        <v>141070608.8480466</v>
      </c>
      <c r="N5" s="77">
        <f t="shared" ca="1" si="1"/>
        <v>146235370.01021475</v>
      </c>
      <c r="O5" s="77">
        <f t="shared" ca="1" si="1"/>
        <v>151712662.2747362</v>
      </c>
      <c r="P5" s="77">
        <f t="shared" ca="1" si="1"/>
        <v>174770715.22777048</v>
      </c>
      <c r="Q5" s="77">
        <f t="shared" ca="1" si="1"/>
        <v>197203562.70200437</v>
      </c>
      <c r="R5" s="77">
        <f t="shared" ca="1" si="1"/>
        <v>217187849.71435586</v>
      </c>
      <c r="S5" s="77">
        <f t="shared" ca="1" si="1"/>
        <v>238032652.53461635</v>
      </c>
      <c r="T5" s="77">
        <f t="shared" ca="1" si="1"/>
        <v>255138207.64447629</v>
      </c>
      <c r="U5" s="77">
        <f t="shared" ca="1" si="1"/>
        <v>274136325.92570907</v>
      </c>
      <c r="V5" s="77">
        <f t="shared" ca="1" si="1"/>
        <v>290299758.56936502</v>
      </c>
      <c r="W5" s="77">
        <f t="shared" ca="1" si="1"/>
        <v>305913909.6247803</v>
      </c>
      <c r="X5" s="77">
        <f t="shared" ca="1" si="1"/>
        <v>319933274.80047935</v>
      </c>
      <c r="Y5" s="77">
        <f t="shared" ca="1" si="1"/>
        <v>334762971.36746275</v>
      </c>
      <c r="Z5" s="77">
        <f t="shared" ca="1" si="1"/>
        <v>374760841.68206489</v>
      </c>
      <c r="AA5" s="77">
        <f t="shared" ca="1" si="1"/>
        <v>411387939.65455997</v>
      </c>
      <c r="AB5" s="77">
        <f t="shared" ca="1" si="1"/>
        <v>449446694.2766701</v>
      </c>
      <c r="AC5" s="77">
        <f t="shared" ca="1" si="1"/>
        <v>484668722.59022105</v>
      </c>
      <c r="AD5" s="77">
        <f t="shared" ca="1" si="1"/>
        <v>515546843.52055776</v>
      </c>
      <c r="AE5" s="77">
        <f t="shared" ca="1" si="1"/>
        <v>549196890.84554136</v>
      </c>
      <c r="AF5" s="77">
        <f t="shared" ca="1" si="1"/>
        <v>581271596.09262621</v>
      </c>
      <c r="AG5" s="77">
        <f t="shared" ref="AG5:AP5" ca="1" si="2">AG4+AG3</f>
        <v>606192470.96212077</v>
      </c>
      <c r="AH5" s="77">
        <f t="shared" ca="1" si="2"/>
        <v>627384834.2419486</v>
      </c>
      <c r="AI5" s="77">
        <f t="shared" ca="1" si="2"/>
        <v>649346114.92240226</v>
      </c>
      <c r="AJ5" s="77">
        <f t="shared" ca="1" si="2"/>
        <v>667311068.1450994</v>
      </c>
      <c r="AK5" s="77">
        <f t="shared" ca="1" si="2"/>
        <v>685580585.01152432</v>
      </c>
      <c r="AL5" s="77">
        <f t="shared" ca="1" si="2"/>
        <v>704152356.33490539</v>
      </c>
      <c r="AM5" s="77">
        <f t="shared" ca="1" si="2"/>
        <v>723023500.49416327</v>
      </c>
      <c r="AN5" s="77">
        <f t="shared" ca="1" si="2"/>
        <v>742190524.32054734</v>
      </c>
      <c r="AO5" s="77">
        <f t="shared" ca="1" si="2"/>
        <v>761649281.84715998</v>
      </c>
      <c r="AP5" s="77">
        <f t="shared" ca="1" si="2"/>
        <v>781394930.81461394</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2181479.8653297131</v>
      </c>
      <c r="G7" s="77">
        <f>IF(AND(G1&lt;Assumptions!$B$77+Assumptions!$B$82,G1&gt;=Assumptions!$B$77),Assumptions!$B$78/Assumptions!$B$82,0)</f>
        <v>2181479.8653297131</v>
      </c>
      <c r="H7" s="77">
        <f>IF(AND(H1&lt;Assumptions!$B$77+Assumptions!$B$82,H1&gt;=Assumptions!$B$77),Assumptions!$B$78/Assumptions!$B$82,0)</f>
        <v>2181479.8653297131</v>
      </c>
      <c r="I7" s="77">
        <f>IF(AND(I1&lt;Assumptions!$B$77+Assumptions!$B$82,I1&gt;=Assumptions!$B$77),Assumptions!$B$78/Assumptions!$B$82,0)</f>
        <v>2181479.8653297131</v>
      </c>
      <c r="J7" s="77">
        <f>IF(AND(J1&lt;Assumptions!$B$77+Assumptions!$B$82,J1&gt;=Assumptions!$B$77),Assumptions!$B$78/Assumptions!$B$82,0)</f>
        <v>2181479.8653297131</v>
      </c>
      <c r="K7" s="77">
        <f>IF(AND(K1&lt;Assumptions!$B$77+Assumptions!$B$82,K1&gt;=Assumptions!$B$77),Assumptions!$B$78/Assumptions!$B$82,0)</f>
        <v>2181479.8653297131</v>
      </c>
      <c r="L7" s="77">
        <f>IF(AND(L1&lt;Assumptions!$B$77+Assumptions!$B$82,L1&gt;=Assumptions!$B$77),Assumptions!$B$78/Assumptions!$B$82,0)</f>
        <v>2181479.8653297131</v>
      </c>
      <c r="M7" s="77">
        <f>IF(AND(M1&lt;Assumptions!$B$77+Assumptions!$B$82,M1&gt;=Assumptions!$B$77),Assumptions!$B$78/Assumptions!$B$82,0)</f>
        <v>2181479.8653297131</v>
      </c>
      <c r="N7" s="77">
        <f>IF(AND(N1&lt;Assumptions!$B$77+Assumptions!$B$82,N1&gt;=Assumptions!$B$77),Assumptions!$B$78/Assumptions!$B$82,0)</f>
        <v>2181479.8653297131</v>
      </c>
      <c r="O7" s="77">
        <f>IF(AND(O1&lt;Assumptions!$B$77+Assumptions!$B$82,O1&gt;=Assumptions!$B$77),Assumptions!$B$78/Assumptions!$B$82,0)</f>
        <v>2181479.8653297131</v>
      </c>
      <c r="P7" s="77">
        <f>IF(AND(P1&lt;Assumptions!$B$77+Assumptions!$B$82,P1&gt;=Assumptions!$B$77),Assumptions!$B$78/Assumptions!$B$82,0)</f>
        <v>2181479.8653297131</v>
      </c>
      <c r="Q7" s="77">
        <f>IF(AND(Q1&lt;Assumptions!$B$77+Assumptions!$B$82,Q1&gt;=Assumptions!$B$77),Assumptions!$B$78/Assumptions!$B$82,0)</f>
        <v>2181479.8653297131</v>
      </c>
      <c r="R7" s="77">
        <f>IF(AND(R1&lt;Assumptions!$B$77+Assumptions!$B$82,R1&gt;=Assumptions!$B$77),Assumptions!$B$78/Assumptions!$B$82,0)</f>
        <v>2181479.8653297131</v>
      </c>
      <c r="S7" s="77">
        <f>IF(AND(S1&lt;Assumptions!$B$77+Assumptions!$B$82,S1&gt;=Assumptions!$B$77),Assumptions!$B$78/Assumptions!$B$82,0)</f>
        <v>2181479.8653297131</v>
      </c>
      <c r="T7" s="77">
        <f>IF(AND(T1&lt;Assumptions!$B$77+Assumptions!$B$82,T1&gt;=Assumptions!$B$77),Assumptions!$B$78/Assumptions!$B$82,0)</f>
        <v>2181479.8653297131</v>
      </c>
      <c r="U7" s="77">
        <f>IF(AND(U1&lt;Assumptions!$B$77+Assumptions!$B$82,U1&gt;=Assumptions!$B$77),Assumptions!$B$78/Assumptions!$B$82,0)</f>
        <v>2181479.8653297131</v>
      </c>
      <c r="V7" s="77">
        <f>IF(AND(V1&lt;Assumptions!$B$77+Assumptions!$B$82,V1&gt;=Assumptions!$B$77),Assumptions!$B$78/Assumptions!$B$82,0)</f>
        <v>2181479.8653297131</v>
      </c>
      <c r="W7" s="77">
        <f>IF(AND(W1&lt;Assumptions!$B$77+Assumptions!$B$82,W1&gt;=Assumptions!$B$77),Assumptions!$B$78/Assumptions!$B$82,0)</f>
        <v>2181479.8653297131</v>
      </c>
      <c r="X7" s="77">
        <f>IF(AND(X1&lt;Assumptions!$B$77+Assumptions!$B$82,X1&gt;=Assumptions!$B$77),Assumptions!$B$78/Assumptions!$B$82,0)</f>
        <v>2181479.8653297131</v>
      </c>
      <c r="Y7" s="77">
        <f>IF(AND(Y1&lt;Assumptions!$B$77+Assumptions!$B$82,Y1&gt;=Assumptions!$B$77),Assumptions!$B$78/Assumptions!$B$82,0)</f>
        <v>2181479.8653297131</v>
      </c>
      <c r="Z7" s="77">
        <f>IF(AND(Z1&lt;Assumptions!$B$77+Assumptions!$B$82,Z1&gt;=Assumptions!$B$77),Assumptions!$B$78/Assumptions!$B$82,0)</f>
        <v>2181479.8653297131</v>
      </c>
      <c r="AA7" s="77">
        <f>IF(AND(AA1&lt;Assumptions!$B$77+Assumptions!$B$82,AA1&gt;=Assumptions!$B$77),Assumptions!$B$78/Assumptions!$B$82,0)</f>
        <v>2181479.8653297131</v>
      </c>
      <c r="AB7" s="77">
        <f>IF(AND(AB1&lt;Assumptions!$B$77+Assumptions!$B$82,AB1&gt;=Assumptions!$B$77),Assumptions!$B$78/Assumptions!$B$82,0)</f>
        <v>2181479.8653297131</v>
      </c>
      <c r="AC7" s="77">
        <f>IF(AND(AC1&lt;Assumptions!$B$77+Assumptions!$B$82,AC1&gt;=Assumptions!$B$77),Assumptions!$B$78/Assumptions!$B$82,0)</f>
        <v>2181479.8653297131</v>
      </c>
      <c r="AD7" s="77">
        <f>IF(AND(AD1&lt;Assumptions!$B$77+Assumptions!$B$82,AD1&gt;=Assumptions!$B$77),Assumptions!$B$78/Assumptions!$B$82,0)</f>
        <v>2181479.8653297131</v>
      </c>
      <c r="AE7" s="77">
        <f>IF(AND(AE1&lt;Assumptions!$B$77+Assumptions!$B$82,AE1&gt;=Assumptions!$B$77),Assumptions!$B$78/Assumptions!$B$82,0)</f>
        <v>2181479.8653297131</v>
      </c>
      <c r="AF7" s="77">
        <f>IF(AND(AF1&lt;Assumptions!$B$77+Assumptions!$B$82,AF1&gt;=Assumptions!$B$77),Assumptions!$B$78/Assumptions!$B$82,0)</f>
        <v>2181479.8653297131</v>
      </c>
      <c r="AG7" s="77">
        <f>IF(AND(AG1&lt;Assumptions!$B$77+Assumptions!$B$82,AG1&gt;=Assumptions!$B$77),Assumptions!$B$78/Assumptions!$B$82,0)</f>
        <v>2181479.8653297131</v>
      </c>
      <c r="AH7" s="77">
        <f>IF(AND(AH1&lt;Assumptions!$B$77+Assumptions!$B$82,AH1&gt;=Assumptions!$B$77),Assumptions!$B$78/Assumptions!$B$82,0)</f>
        <v>2181479.8653297131</v>
      </c>
      <c r="AI7" s="77">
        <f>IF(AND(AI1&lt;Assumptions!$B$77+Assumptions!$B$82,AI1&gt;=Assumptions!$B$77),Assumptions!$B$78/Assumptions!$B$82,0)</f>
        <v>2181479.8653297131</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154118742.48188019</v>
      </c>
      <c r="G8" s="6">
        <f>Investment!G30</f>
        <v>160817834.55953109</v>
      </c>
      <c r="H8" s="6">
        <f>Investment!H30</f>
        <v>162502195.90535283</v>
      </c>
      <c r="I8" s="6">
        <f>Investment!I30</f>
        <v>164295100.54262707</v>
      </c>
      <c r="J8" s="6">
        <f>Investment!J30</f>
        <v>166197426.87577754</v>
      </c>
      <c r="K8" s="6">
        <f>Investment!K30</f>
        <v>168210115.23378298</v>
      </c>
      <c r="L8" s="6">
        <f>Investment!L30</f>
        <v>170334167.8633239</v>
      </c>
      <c r="M8" s="6">
        <f>Investment!M30</f>
        <v>174901658.88452503</v>
      </c>
      <c r="N8" s="6">
        <f>Investment!N30</f>
        <v>179588325.22747859</v>
      </c>
      <c r="O8" s="6">
        <f>Investment!O30</f>
        <v>184397163.16642952</v>
      </c>
      <c r="P8" s="6">
        <f>Investment!P30</f>
        <v>321022932.71792251</v>
      </c>
      <c r="Q8" s="6">
        <f>Investment!Q30</f>
        <v>329347276.18263453</v>
      </c>
      <c r="R8" s="6">
        <f>Investment!R30</f>
        <v>339324612.8343997</v>
      </c>
      <c r="S8" s="6">
        <f>Investment!S30</f>
        <v>349564663.69375759</v>
      </c>
      <c r="T8" s="6">
        <f>Investment!T30</f>
        <v>360073809.59862256</v>
      </c>
      <c r="U8" s="6">
        <f>Investment!U30</f>
        <v>370858570.74843568</v>
      </c>
      <c r="V8" s="6">
        <f>Investment!V30</f>
        <v>381925609.18351543</v>
      </c>
      <c r="W8" s="6">
        <f>Investment!W30</f>
        <v>397905289.96032691</v>
      </c>
      <c r="X8" s="6">
        <f>Investment!X30</f>
        <v>414470869.107364</v>
      </c>
      <c r="Y8" s="6">
        <f>Investment!Y30</f>
        <v>431642367.10427463</v>
      </c>
      <c r="Z8" s="6">
        <f>Investment!Z30</f>
        <v>601807192.14082694</v>
      </c>
      <c r="AA8" s="6">
        <f>Investment!AA30</f>
        <v>627984731.91102552</v>
      </c>
      <c r="AB8" s="6">
        <f>Investment!AB30</f>
        <v>655139374.06756139</v>
      </c>
      <c r="AC8" s="6">
        <f>Investment!AC30</f>
        <v>683304845.69712973</v>
      </c>
      <c r="AD8" s="6">
        <f>Investment!AD30</f>
        <v>712515983.70195794</v>
      </c>
      <c r="AE8" s="6">
        <f>Investment!AE30</f>
        <v>742808770.15355873</v>
      </c>
      <c r="AF8" s="6">
        <f>Investment!AF30</f>
        <v>774220368.74643922</v>
      </c>
      <c r="AG8" s="6">
        <f>Investment!AG30</f>
        <v>806789162.38538098</v>
      </c>
      <c r="AH8" s="6">
        <f>Investment!AH30</f>
        <v>840554791.9409101</v>
      </c>
      <c r="AI8" s="6">
        <f>Investment!AI30</f>
        <v>875558196.20862532</v>
      </c>
      <c r="AJ8" s="6">
        <f>Investment!AJ30</f>
        <v>379606130.05406129</v>
      </c>
      <c r="AK8" s="6">
        <f>Investment!AK30</f>
        <v>390402698.77796125</v>
      </c>
      <c r="AL8" s="6">
        <f>Investment!AL30</f>
        <v>401506338.13898003</v>
      </c>
      <c r="AM8" s="6">
        <f>Investment!AM30</f>
        <v>412925781.68743265</v>
      </c>
      <c r="AN8" s="6">
        <f>Investment!AN30</f>
        <v>424670011.3689279</v>
      </c>
      <c r="AO8" s="6">
        <f>Investment!AO30</f>
        <v>436748264.58910388</v>
      </c>
      <c r="AP8" s="6">
        <f>Investment!AP30</f>
        <v>449170041.47929472</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-74891039.517896116</v>
      </c>
      <c r="G10" s="1">
        <f ca="1">G5-G7-G8</f>
        <v>-70778448.951946437</v>
      </c>
      <c r="H10" s="1">
        <f t="shared" ca="1" si="3"/>
        <v>-62127458.936365485</v>
      </c>
      <c r="I10" s="1">
        <f t="shared" ca="1" si="3"/>
        <v>-54692801.881059885</v>
      </c>
      <c r="J10" s="1">
        <f t="shared" ca="1" si="3"/>
        <v>-48895145.294685483</v>
      </c>
      <c r="K10" s="1">
        <f t="shared" ca="1" si="3"/>
        <v>-43195560.991975352</v>
      </c>
      <c r="L10" s="1">
        <f t="shared" ca="1" si="3"/>
        <v>-36312641.649903476</v>
      </c>
      <c r="M10" s="1">
        <f t="shared" ca="1" si="3"/>
        <v>-36012529.901808143</v>
      </c>
      <c r="N10" s="1">
        <f t="shared" ca="1" si="3"/>
        <v>-35534435.08259356</v>
      </c>
      <c r="O10" s="1">
        <f t="shared" ca="1" si="3"/>
        <v>-34865980.757023036</v>
      </c>
      <c r="P10" s="1">
        <f t="shared" ca="1" si="3"/>
        <v>-148433697.35548174</v>
      </c>
      <c r="Q10" s="1">
        <f t="shared" ca="1" si="3"/>
        <v>-134325193.34595987</v>
      </c>
      <c r="R10" s="1">
        <f t="shared" ca="1" si="3"/>
        <v>-124318242.98537356</v>
      </c>
      <c r="S10" s="1">
        <f t="shared" ca="1" si="3"/>
        <v>-113713491.02447096</v>
      </c>
      <c r="T10" s="1">
        <f t="shared" ca="1" si="3"/>
        <v>-107117081.81947598</v>
      </c>
      <c r="U10" s="1">
        <f t="shared" ca="1" si="3"/>
        <v>-98903724.68805635</v>
      </c>
      <c r="V10" s="1">
        <f t="shared" ca="1" si="3"/>
        <v>-93807330.479480147</v>
      </c>
      <c r="W10" s="1">
        <f t="shared" ca="1" si="3"/>
        <v>-94172860.200876355</v>
      </c>
      <c r="X10" s="1">
        <f t="shared" ca="1" si="3"/>
        <v>-96719074.172214389</v>
      </c>
      <c r="Y10" s="1">
        <f t="shared" ca="1" si="3"/>
        <v>-99060875.602141619</v>
      </c>
      <c r="Z10" s="1">
        <f t="shared" ca="1" si="3"/>
        <v>-229227830.32409179</v>
      </c>
      <c r="AA10" s="1">
        <f t="shared" ca="1" si="3"/>
        <v>-218778272.1217953</v>
      </c>
      <c r="AB10" s="1">
        <f t="shared" ca="1" si="3"/>
        <v>-207874159.65622103</v>
      </c>
      <c r="AC10" s="1">
        <f t="shared" ca="1" si="3"/>
        <v>-200817602.97223842</v>
      </c>
      <c r="AD10" s="1">
        <f t="shared" ca="1" si="3"/>
        <v>-199150620.04672992</v>
      </c>
      <c r="AE10" s="1">
        <f t="shared" ca="1" si="3"/>
        <v>-195793359.17334712</v>
      </c>
      <c r="AF10" s="1">
        <f t="shared" ca="1" si="3"/>
        <v>-195130252.51914275</v>
      </c>
      <c r="AG10" s="1">
        <f t="shared" ca="1" si="3"/>
        <v>-202778171.28858995</v>
      </c>
      <c r="AH10" s="1">
        <f t="shared" ca="1" si="3"/>
        <v>-215351437.56429124</v>
      </c>
      <c r="AI10" s="1">
        <f t="shared" ca="1" si="3"/>
        <v>-228393561.1515528</v>
      </c>
      <c r="AJ10" s="1">
        <f t="shared" ca="1" si="3"/>
        <v>287704938.09103811</v>
      </c>
      <c r="AK10" s="1">
        <f t="shared" ca="1" si="3"/>
        <v>295177886.23356307</v>
      </c>
      <c r="AL10" s="1">
        <f t="shared" ca="1" si="3"/>
        <v>302646018.19592535</v>
      </c>
      <c r="AM10" s="1">
        <f t="shared" ca="1" si="3"/>
        <v>310097718.80673063</v>
      </c>
      <c r="AN10" s="1">
        <f t="shared" ca="1" si="3"/>
        <v>317520512.95161945</v>
      </c>
      <c r="AO10" s="1">
        <f t="shared" ca="1" si="3"/>
        <v>324901017.2580561</v>
      </c>
      <c r="AP10" s="1">
        <f t="shared" ca="1" si="3"/>
        <v>332224889.33531922</v>
      </c>
    </row>
    <row r="11" spans="1:42" x14ac:dyDescent="0.35">
      <c r="A11" t="s">
        <v>424</v>
      </c>
      <c r="C11" s="157"/>
      <c r="D11" s="157"/>
      <c r="E11" s="157"/>
      <c r="F11" s="1">
        <f t="shared" ref="F11:AF11" ca="1" si="4">F10</f>
        <v>-74891039.517896116</v>
      </c>
      <c r="G11" s="1">
        <f ca="1">G10</f>
        <v>-70778448.951946437</v>
      </c>
      <c r="H11" s="1">
        <f t="shared" ca="1" si="4"/>
        <v>-62127458.936365485</v>
      </c>
      <c r="I11" s="1">
        <f t="shared" ca="1" si="4"/>
        <v>-54692801.881059885</v>
      </c>
      <c r="J11" s="1">
        <f t="shared" ca="1" si="4"/>
        <v>-48895145.294685483</v>
      </c>
      <c r="K11" s="1">
        <f t="shared" ca="1" si="4"/>
        <v>-43195560.991975352</v>
      </c>
      <c r="L11" s="1">
        <f t="shared" ca="1" si="4"/>
        <v>-36312641.649903476</v>
      </c>
      <c r="M11" s="1">
        <f t="shared" ca="1" si="4"/>
        <v>-36012529.901808143</v>
      </c>
      <c r="N11" s="1">
        <f t="shared" ca="1" si="4"/>
        <v>-35534435.08259356</v>
      </c>
      <c r="O11" s="1">
        <f t="shared" ca="1" si="4"/>
        <v>-34865980.757023036</v>
      </c>
      <c r="P11" s="1">
        <f t="shared" ca="1" si="4"/>
        <v>-148433697.35548174</v>
      </c>
      <c r="Q11" s="1">
        <f t="shared" ca="1" si="4"/>
        <v>-134325193.34595987</v>
      </c>
      <c r="R11" s="1">
        <f t="shared" ca="1" si="4"/>
        <v>-124318242.98537356</v>
      </c>
      <c r="S11" s="1">
        <f t="shared" ca="1" si="4"/>
        <v>-113713491.02447096</v>
      </c>
      <c r="T11" s="1">
        <f t="shared" ca="1" si="4"/>
        <v>-107117081.81947598</v>
      </c>
      <c r="U11" s="1">
        <f t="shared" ca="1" si="4"/>
        <v>-98903724.68805635</v>
      </c>
      <c r="V11" s="1">
        <f t="shared" ca="1" si="4"/>
        <v>-93807330.479480147</v>
      </c>
      <c r="W11" s="1">
        <f t="shared" ca="1" si="4"/>
        <v>-94172860.200876355</v>
      </c>
      <c r="X11" s="1">
        <f t="shared" ca="1" si="4"/>
        <v>-96719074.172214389</v>
      </c>
      <c r="Y11" s="1">
        <f t="shared" ca="1" si="4"/>
        <v>-99060875.602141619</v>
      </c>
      <c r="Z11" s="1">
        <f t="shared" ca="1" si="4"/>
        <v>-229227830.32409179</v>
      </c>
      <c r="AA11" s="1">
        <f t="shared" ca="1" si="4"/>
        <v>-218778272.1217953</v>
      </c>
      <c r="AB11" s="1">
        <f t="shared" ca="1" si="4"/>
        <v>-207874159.65622103</v>
      </c>
      <c r="AC11" s="1">
        <f t="shared" ca="1" si="4"/>
        <v>-200817602.97223842</v>
      </c>
      <c r="AD11" s="1">
        <f t="shared" ca="1" si="4"/>
        <v>-199150620.04672992</v>
      </c>
      <c r="AE11" s="1">
        <f t="shared" ca="1" si="4"/>
        <v>-195793359.17334712</v>
      </c>
      <c r="AF11" s="1">
        <f t="shared" ca="1" si="4"/>
        <v>-195130252.51914275</v>
      </c>
      <c r="AG11" s="1">
        <f t="shared" ref="AG11:AP11" ca="1" si="5">AG10</f>
        <v>-202778171.28858995</v>
      </c>
      <c r="AH11" s="1">
        <f t="shared" ca="1" si="5"/>
        <v>-215351437.56429124</v>
      </c>
      <c r="AI11" s="1">
        <f t="shared" ca="1" si="5"/>
        <v>-228393561.1515528</v>
      </c>
      <c r="AJ11" s="1">
        <f t="shared" ca="1" si="5"/>
        <v>287704938.09103811</v>
      </c>
      <c r="AK11" s="1">
        <f t="shared" ca="1" si="5"/>
        <v>295177886.23356307</v>
      </c>
      <c r="AL11" s="1">
        <f t="shared" ca="1" si="5"/>
        <v>302646018.19592535</v>
      </c>
      <c r="AM11" s="1">
        <f t="shared" ca="1" si="5"/>
        <v>310097718.80673063</v>
      </c>
      <c r="AN11" s="1">
        <f t="shared" ca="1" si="5"/>
        <v>317520512.95161945</v>
      </c>
      <c r="AO11" s="1">
        <f t="shared" ca="1" si="5"/>
        <v>324901017.2580561</v>
      </c>
      <c r="AP11" s="1">
        <f t="shared" ca="1" si="5"/>
        <v>332224889.33531922</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9D97F63B-EDC4-4BAA-A638-0B3DEF7A15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0E5244-45CC-4119-ABE0-CFDD3395FF33}">
  <ds:schemaRefs>
    <ds:schemaRef ds:uri="http://schemas.microsoft.com/sharepoint/v3/contenttype/forms"/>
  </ds:schemaRefs>
</ds:datastoreItem>
</file>

<file path=customXml/itemProps3.xml><?xml version="1.0" encoding="utf-8"?>
<ds:datastoreItem xmlns:ds="http://schemas.openxmlformats.org/officeDocument/2006/customXml" ds:itemID="{822B3444-58B8-40FE-9AAB-A780E1780698}">
  <ds:schemaRefs>
    <ds:schemaRef ds:uri="65b6d800-2dda-48d6-88d8-9e2b35e6f7ea"/>
    <ds:schemaRef ds:uri="http://www.w3.org/XML/1998/namespace"/>
    <ds:schemaRef ds:uri="http://schemas.microsoft.com/sharepoint/v3"/>
    <ds:schemaRef ds:uri="08a23fc5-e034-477c-ac83-93bc1440f322"/>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2023-06-07T22:43:10Z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