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68AA8505-8233-4A72-B37D-90E685414C4D}" xr6:coauthVersionLast="47" xr6:coauthVersionMax="47" xr10:uidLastSave="{00000000-0000-0000-0000-000000000000}"/>
  <workbookProtection workbookAlgorithmName="SHA-512" workbookHashValue="ycOslmRAmh8m3Xif0oD3d6T0lAybcylUIkQKsXVZJTMl93sf+dHiea7QdSzUR87tTVPTIy52lEguDP+wyl+Y0A==" workbookSaltValue="tmIlRwJTSwhypRubzAX3vA=="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8" l="1"/>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F3" i="8" s="1"/>
  <c r="B36" i="2"/>
  <c r="B37" i="2" s="1"/>
  <c r="C36" i="2"/>
  <c r="G1" i="4"/>
  <c r="G13" i="2"/>
  <c r="B92" i="2"/>
  <c r="B169" i="2"/>
  <c r="B260" i="2"/>
  <c r="B264" i="2"/>
  <c r="T12" i="7"/>
  <c r="B171" i="2" l="1"/>
  <c r="B173" i="2" s="1"/>
  <c r="B177" i="2" s="1"/>
  <c r="G110" i="2"/>
  <c r="G109" i="2"/>
  <c r="B58" i="2"/>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70" i="2" l="1" a="1"/>
  <c r="B70"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7" i="2"/>
  <c r="L1" i="4"/>
  <c r="B217" i="2"/>
  <c r="B219" i="2" s="1"/>
  <c r="B222" i="2" s="1"/>
  <c r="B229" i="2" s="1"/>
  <c r="L13" i="2"/>
  <c r="G17" i="9"/>
  <c r="H233" i="2"/>
  <c r="I233" i="2" s="1"/>
  <c r="G235" i="2"/>
  <c r="E19" i="9"/>
  <c r="B195" i="2"/>
  <c r="H234" i="2"/>
  <c r="H18" i="9" s="1"/>
  <c r="G18" i="9"/>
  <c r="C224" i="2"/>
  <c r="C226" i="2" s="1"/>
  <c r="C230" i="2" s="1"/>
  <c r="Y12" i="7"/>
  <c r="G3" i="8"/>
  <c r="K105" i="2" l="1" a="1"/>
  <c r="K105" i="2" s="1"/>
  <c r="K26" i="2"/>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5" i="2" s="1" a="1"/>
  <c r="N105" i="2" s="1"/>
  <c r="N108" i="2"/>
  <c r="O1" i="4"/>
  <c r="O13" i="2"/>
  <c r="H21" i="9"/>
  <c r="H20" i="8"/>
  <c r="H18" i="8"/>
  <c r="J235" i="2"/>
  <c r="I15" i="8"/>
  <c r="I19" i="9"/>
  <c r="K234" i="2"/>
  <c r="J232" i="2"/>
  <c r="I14" i="8"/>
  <c r="H17" i="8"/>
  <c r="AB12" i="7"/>
  <c r="M233" i="2"/>
  <c r="L17" i="9"/>
  <c r="J3" i="8"/>
  <c r="O110" i="2" l="1"/>
  <c r="O109" i="2"/>
  <c r="AH22" i="2"/>
  <c r="AG12" i="21"/>
  <c r="N6" i="6"/>
  <c r="O26" i="2"/>
  <c r="O9" i="9" s="1"/>
  <c r="O11" i="9" s="1"/>
  <c r="O80" i="2"/>
  <c r="O4" i="3" s="1"/>
  <c r="N29" i="2"/>
  <c r="N10" i="8" s="1"/>
  <c r="O106" i="2"/>
  <c r="O108" i="2"/>
  <c r="O107" i="2"/>
  <c r="K18" i="9"/>
  <c r="L234" i="2"/>
  <c r="L18" i="9" s="1"/>
  <c r="P1" i="4"/>
  <c r="P13" i="2"/>
  <c r="I21" i="9"/>
  <c r="J15" i="8"/>
  <c r="J19" i="9"/>
  <c r="K235" i="2"/>
  <c r="L235" i="2" s="1"/>
  <c r="I20" i="8"/>
  <c r="I18" i="8"/>
  <c r="I17" i="8"/>
  <c r="K232" i="2"/>
  <c r="L232" i="2" s="1"/>
  <c r="J14" i="8"/>
  <c r="AC12" i="7"/>
  <c r="K3" i="8"/>
  <c r="N233" i="2"/>
  <c r="M17" i="9"/>
  <c r="O105" i="2" l="1" a="1"/>
  <c r="O105" i="2" s="1"/>
  <c r="P109" i="2"/>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5" i="2" s="1" a="1"/>
  <c r="AM105" i="2" s="1"/>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E67" i="31" l="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<sst xmlns="http://schemas.openxmlformats.org/spreadsheetml/2006/main" count="2807" uniqueCount="587">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</sst>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9" fontId="20" fillId="0" borderId="0" xfId="3" applyFont="1" applyFill="1" applyAlignment="1">
      <alignment horizontal="left" vertical="center"/>
    </xf>
    <xf numFmtId="0" fontId="20" fillId="0" borderId="0" xfId="0" applyFont="1" applyAlignment="1">
      <alignment horizontal="left" vertical="center"/>
    </xf>
    <xf numFmtId="172" fontId="10" fillId="0" borderId="0" xfId="0" applyNumberFormat="1" applyFont="1" applyAlignment="1">
      <alignment horizontal="center"/>
    </xf>
    <xf numFmtId="176" fontId="14" fillId="0" borderId="9" xfId="1" applyNumberFormat="1" applyFont="1" applyFill="1" applyBorder="1" applyProtection="1"/>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0.1</c:v>
                </c:pt>
                <c:pt idx="1">
                  <c:v>7.0000000000000007E-2</c:v>
                </c:pt>
                <c:pt idx="2">
                  <c:v>0.04</c:v>
                </c:pt>
                <c:pt idx="3">
                  <c:v>3.5000000000000003E-2</c:v>
                </c:pt>
                <c:pt idx="4">
                  <c:v>-0.02</c:v>
                </c:pt>
                <c:pt idx="5">
                  <c:v>0.02</c:v>
                </c:pt>
                <c:pt idx="6">
                  <c:v>2.5000000000000001E-2</c:v>
                </c:pt>
                <c:pt idx="7">
                  <c:v>2.5000000000000001E-2</c:v>
                </c:pt>
                <c:pt idx="8">
                  <c:v>2.5000000000000001E-2</c:v>
                </c:pt>
                <c:pt idx="9">
                  <c:v>0.1</c:v>
                </c:pt>
                <c:pt idx="10">
                  <c:v>0.09</c:v>
                </c:pt>
                <c:pt idx="11">
                  <c:v>7.0000000000000007E-2</c:v>
                </c:pt>
                <c:pt idx="12">
                  <c:v>0.06</c:v>
                </c:pt>
                <c:pt idx="13">
                  <c:v>0.05</c:v>
                </c:pt>
                <c:pt idx="14">
                  <c:v>0.04</c:v>
                </c:pt>
                <c:pt idx="15">
                  <c:v>0.04</c:v>
                </c:pt>
                <c:pt idx="16">
                  <c:v>3.5000000000000003E-2</c:v>
                </c:pt>
                <c:pt idx="17">
                  <c:v>0.04</c:v>
                </c:pt>
                <c:pt idx="18">
                  <c:v>0.04</c:v>
                </c:pt>
                <c:pt idx="19">
                  <c:v>0.08</c:v>
                </c:pt>
                <c:pt idx="20">
                  <c:v>7.0000000000000007E-2</c:v>
                </c:pt>
                <c:pt idx="21">
                  <c:v>0.06</c:v>
                </c:pt>
                <c:pt idx="22">
                  <c:v>0.06</c:v>
                </c:pt>
                <c:pt idx="23">
                  <c:v>0.05</c:v>
                </c:pt>
                <c:pt idx="24">
                  <c:v>0.05</c:v>
                </c:pt>
                <c:pt idx="25">
                  <c:v>0.04</c:v>
                </c:pt>
                <c:pt idx="26">
                  <c:v>0.01</c:v>
                </c:pt>
                <c:pt idx="27">
                  <c:v>0.04</c:v>
                </c:pt>
                <c:pt idx="28">
                  <c:v>0.05</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123</v>
      </c>
      <c r="E4" s="291" t="str">
        <f>Assumptions!B6</f>
        <v>Method 3: Revised NZ$185bn</v>
      </c>
      <c r="F4" s="100" t="str">
        <f>Assumptions!B3</f>
        <v>1 CSE - Base case</v>
      </c>
      <c r="G4" s="100" t="str">
        <f>IF(Assumptions!B7=Assumptions!B325, "Mid-point estimate", IF(Assumptions!B7=Assumptions!B326, "High estimate", ""))</f>
        <v>Mid-point estimate</v>
      </c>
      <c r="H4" s="300">
        <v>0.14499999999999999</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6Cm10EVDBdWBezMj9bHc9PirlPs9qBQqJ1BsgYh2odzMjF9wh78EzEOQcQw4bQt8MzI2haaeSWjyUGgb0UHjkw==" saltValue="n4rGFwjHIQxxtkXZILGE+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4488244469.9459314</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2244122234.9729657</v>
      </c>
      <c r="G5" s="6">
        <f>F10</f>
        <v>2310651805.6234717</v>
      </c>
      <c r="H5" s="6">
        <f t="shared" ref="H5" si="1">G10</f>
        <v>2381715404.1842337</v>
      </c>
      <c r="I5" s="6">
        <f t="shared" ref="I5" si="2">H10</f>
        <v>2457380872.3312321</v>
      </c>
      <c r="J5" s="6">
        <f t="shared" ref="J5" si="3">I10</f>
        <v>2537719594.0427399</v>
      </c>
      <c r="K5" s="6">
        <f t="shared" ref="K5" si="4">J10</f>
        <v>2622806539.2550344</v>
      </c>
      <c r="L5" s="6">
        <f t="shared" ref="L5" si="5">K10</f>
        <v>2712720309.8741946</v>
      </c>
      <c r="M5" s="6">
        <f t="shared" ref="M5" si="6">L10</f>
        <v>2807543188.1550083</v>
      </c>
      <c r="N5" s="6">
        <f t="shared" ref="N5" si="7">M10</f>
        <v>2907422265.2421708</v>
      </c>
      <c r="O5" s="6">
        <f t="shared" ref="O5" si="8">N10</f>
        <v>3012508794.8556275</v>
      </c>
      <c r="P5" s="6">
        <f t="shared" ref="P5" si="9">O10</f>
        <v>3122958305.27071</v>
      </c>
      <c r="Q5" s="6">
        <f t="shared" ref="Q5" si="10">P10</f>
        <v>3242244833.8513985</v>
      </c>
      <c r="R5" s="6">
        <f t="shared" ref="R5" si="11">Q10</f>
        <v>3370630335.6528606</v>
      </c>
      <c r="S5" s="6">
        <f t="shared" ref="S5" si="12">R10</f>
        <v>3508421629.6153698</v>
      </c>
      <c r="T5" s="6">
        <f t="shared" ref="T5" si="13">S10</f>
        <v>3655934347.9027371</v>
      </c>
      <c r="U5" s="6">
        <f t="shared" ref="U5" si="14">T10</f>
        <v>3813493166.9504704</v>
      </c>
      <c r="V5" s="6">
        <f t="shared" ref="V5" si="15">U10</f>
        <v>3981432043.9941249</v>
      </c>
      <c r="W5" s="6">
        <f t="shared" ref="W5" si="16">V10</f>
        <v>4160094459.187665</v>
      </c>
      <c r="X5" s="6">
        <f t="shared" ref="X5" si="17">W10</f>
        <v>4349955922.3056917</v>
      </c>
      <c r="Y5" s="6">
        <f t="shared" ref="Y5" si="18">X10</f>
        <v>4551510348.9339333</v>
      </c>
      <c r="Z5" s="6">
        <f t="shared" ref="Z5" si="19">Y10</f>
        <v>4765270723.4747677</v>
      </c>
      <c r="AA5" s="6">
        <f t="shared" ref="AA5" si="20">Z10</f>
        <v>4995565310.4322615</v>
      </c>
      <c r="AB5" s="6">
        <f t="shared" ref="AB5" si="21">AA10</f>
        <v>5243163804.2640867</v>
      </c>
      <c r="AC5" s="6">
        <f t="shared" ref="AC5" si="22">AB10</f>
        <v>5508866353.1985855</v>
      </c>
      <c r="AD5" s="6">
        <f t="shared" ref="AD5" si="23">AC10</f>
        <v>5793504669.7956142</v>
      </c>
      <c r="AE5" s="6">
        <f t="shared" ref="AE5" si="24">AD10</f>
        <v>6097943180.056057</v>
      </c>
      <c r="AF5" s="6">
        <f t="shared" ref="AF5" si="25">AE10</f>
        <v>6423080212.3742924</v>
      </c>
      <c r="AG5" s="6">
        <f t="shared" ref="AG5:AP5" si="26">AF10</f>
        <v>6769849227.6703548</v>
      </c>
      <c r="AH5" s="6">
        <f t="shared" si="26"/>
        <v>7139220092.0822697</v>
      </c>
      <c r="AI5" s="6">
        <f t="shared" si="26"/>
        <v>7532200393.6442814</v>
      </c>
      <c r="AJ5" s="6">
        <f t="shared" si="26"/>
        <v>7949836804.4233265</v>
      </c>
      <c r="AK5" s="6">
        <f t="shared" si="26"/>
        <v>8380002307.5257425</v>
      </c>
      <c r="AL5" s="6">
        <f t="shared" si="26"/>
        <v>8823072775.7212315</v>
      </c>
      <c r="AM5" s="6">
        <f t="shared" si="26"/>
        <v>9279435357.9625835</v>
      </c>
      <c r="AN5" s="6">
        <f t="shared" si="26"/>
        <v>9749488817.6711788</v>
      </c>
      <c r="AO5" s="6">
        <f t="shared" si="26"/>
        <v>10233643881.17103</v>
      </c>
      <c r="AP5" s="6">
        <f t="shared" si="26"/>
        <v>10732323596.575878</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64061189.744804479</v>
      </c>
      <c r="G6" s="6">
        <f>Assumptions!G277*Assumptions!G26</f>
        <v>65983025.437148616</v>
      </c>
      <c r="H6" s="6">
        <f>Assumptions!H277*Assumptions!H26</f>
        <v>67962516.200263068</v>
      </c>
      <c r="I6" s="6">
        <f>Assumptions!I277*Assumptions!I26</f>
        <v>70001391.686270967</v>
      </c>
      <c r="J6" s="6">
        <f>Assumptions!J277*Assumptions!J26</f>
        <v>72101433.436859101</v>
      </c>
      <c r="K6" s="6">
        <f>Assumptions!K277*Assumptions!K26</f>
        <v>74264476.439964876</v>
      </c>
      <c r="L6" s="6">
        <f>Assumptions!L277*Assumptions!L26</f>
        <v>76492410.733163819</v>
      </c>
      <c r="M6" s="6">
        <f>Assumptions!M277*Assumptions!M26</f>
        <v>78787183.055158734</v>
      </c>
      <c r="N6" s="6">
        <f>Assumptions!N277*Assumptions!N26</f>
        <v>81150798.546813503</v>
      </c>
      <c r="O6" s="6">
        <f>Assumptions!O277*Assumptions!O26</f>
        <v>83585322.503217906</v>
      </c>
      <c r="P6" s="6">
        <f>Assumptions!P277*Assumptions!P26</f>
        <v>86092882.178314447</v>
      </c>
      <c r="Q6" s="6">
        <f>Assumptions!Q277*Assumptions!Q26</f>
        <v>88675668.643663883</v>
      </c>
      <c r="R6" s="6">
        <f>Assumptions!R277*Assumptions!R26</f>
        <v>91335938.702973813</v>
      </c>
      <c r="S6" s="6">
        <f>Assumptions!S277*Assumptions!S26</f>
        <v>94076016.864063025</v>
      </c>
      <c r="T6" s="6">
        <f>Assumptions!T277*Assumptions!T26</f>
        <v>96898297.369984925</v>
      </c>
      <c r="U6" s="6">
        <f>Assumptions!U277*Assumptions!U26</f>
        <v>99805246.291084468</v>
      </c>
      <c r="V6" s="6">
        <f>Assumptions!V277*Assumptions!V26</f>
        <v>102799403.67981701</v>
      </c>
      <c r="W6" s="6">
        <f>Assumptions!W277*Assumptions!W26</f>
        <v>105883385.79021151</v>
      </c>
      <c r="X6" s="6">
        <f>Assumptions!X277*Assumptions!X26</f>
        <v>109059887.36391786</v>
      </c>
      <c r="Y6" s="6">
        <f>Assumptions!Y277*Assumptions!Y26</f>
        <v>112331683.98483539</v>
      </c>
      <c r="Z6" s="6">
        <f>Assumptions!Z277*Assumptions!Z26</f>
        <v>115701634.50438045</v>
      </c>
      <c r="AA6" s="6">
        <f>Assumptions!AA277*Assumptions!AA26</f>
        <v>119172683.53951187</v>
      </c>
      <c r="AB6" s="6">
        <f>Assumptions!AB277*Assumptions!AB26</f>
        <v>122747864.04569723</v>
      </c>
      <c r="AC6" s="6">
        <f>Assumptions!AC277*Assumptions!AC26</f>
        <v>126430299.96706815</v>
      </c>
      <c r="AD6" s="6">
        <f>Assumptions!AD277*Assumptions!AD26</f>
        <v>130223208.9660802</v>
      </c>
      <c r="AE6" s="6">
        <f>Assumptions!AE277*Assumptions!AE26</f>
        <v>134129905.23506261</v>
      </c>
      <c r="AF6" s="6">
        <f>Assumptions!AF277*Assumptions!AF26</f>
        <v>138153802.39211449</v>
      </c>
      <c r="AG6" s="6">
        <f>Assumptions!AG277*Assumptions!AG26</f>
        <v>142298416.46387795</v>
      </c>
      <c r="AH6" s="6">
        <f>Assumptions!AH277*Assumptions!AH26</f>
        <v>146567368.95779428</v>
      </c>
      <c r="AI6" s="6">
        <f>Assumptions!AI277*Assumptions!AI26</f>
        <v>150964390.02652812</v>
      </c>
      <c r="AJ6" s="6">
        <f>Assumptions!AJ277*Assumptions!AJ26</f>
        <v>155493321.72732395</v>
      </c>
      <c r="AK6" s="6">
        <f>Assumptions!AK277*Assumptions!AK26</f>
        <v>160158121.37914369</v>
      </c>
      <c r="AL6" s="6">
        <f>Assumptions!AL277*Assumptions!AL26</f>
        <v>164962865.020518</v>
      </c>
      <c r="AM6" s="6">
        <f>Assumptions!AM277*Assumptions!AM26</f>
        <v>169911750.97113353</v>
      </c>
      <c r="AN6" s="6">
        <f>Assumptions!AN277*Assumptions!AN26</f>
        <v>175009103.50026754</v>
      </c>
      <c r="AO6" s="6">
        <f>Assumptions!AO277*Assumptions!AO26</f>
        <v>180259376.60527557</v>
      </c>
      <c r="AP6" s="6">
        <f>Assumptions!AP277*Assumptions!AP26</f>
        <v>185667157.90343386</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2468380.9057014878</v>
      </c>
      <c r="G7" s="6">
        <f>Assumptions!G291*Assumptions!G26</f>
        <v>5080573.1236132011</v>
      </c>
      <c r="H7" s="6">
        <f>Assumptions!H291*Assumptions!H26</f>
        <v>7702951.9467354491</v>
      </c>
      <c r="I7" s="6">
        <f>Assumptions!I291*Assumptions!I26</f>
        <v>10337330.025236474</v>
      </c>
      <c r="J7" s="6">
        <f>Assumptions!J291*Assumptions!J26</f>
        <v>12985511.775435312</v>
      </c>
      <c r="K7" s="6">
        <f>Assumptions!K291*Assumptions!K26</f>
        <v>15649294.17919524</v>
      </c>
      <c r="L7" s="6">
        <f>Assumptions!L291*Assumptions!L26</f>
        <v>18330467.547649693</v>
      </c>
      <c r="M7" s="6">
        <f>Assumptions!M291*Assumptions!M26</f>
        <v>21091894.03200407</v>
      </c>
      <c r="N7" s="6">
        <f>Assumptions!N291*Assumptions!N26</f>
        <v>23935731.066643376</v>
      </c>
      <c r="O7" s="6">
        <f>Assumptions!O291*Assumptions!O26</f>
        <v>26864187.911864839</v>
      </c>
      <c r="P7" s="6">
        <f>Assumptions!P291*Assumptions!P26</f>
        <v>33193646.402374405</v>
      </c>
      <c r="Q7" s="6">
        <f>Assumptions!Q291*Assumptions!Q26</f>
        <v>39709833.157798164</v>
      </c>
      <c r="R7" s="6">
        <f>Assumptions!R291*Assumptions!R26</f>
        <v>46455355.259535186</v>
      </c>
      <c r="S7" s="6">
        <f>Assumptions!S291*Assumptions!S26</f>
        <v>53436701.423304297</v>
      </c>
      <c r="T7" s="6">
        <f>Assumptions!T291*Assumptions!T26</f>
        <v>60660521.677748099</v>
      </c>
      <c r="U7" s="6">
        <f>Assumptions!U291*Assumptions!U26</f>
        <v>68133630.752569988</v>
      </c>
      <c r="V7" s="6">
        <f>Assumptions!V291*Assumptions!V26</f>
        <v>75863011.513722941</v>
      </c>
      <c r="W7" s="6">
        <f>Assumptions!W291*Assumptions!W26</f>
        <v>83978077.327815518</v>
      </c>
      <c r="X7" s="6">
        <f>Assumptions!X291*Assumptions!X26</f>
        <v>92494539.264322966</v>
      </c>
      <c r="Y7" s="6">
        <f>Assumptions!Y291*Assumptions!Y26</f>
        <v>101428690.55599919</v>
      </c>
      <c r="Z7" s="6">
        <f>Assumptions!Z291*Assumptions!Z26</f>
        <v>114592952.45311373</v>
      </c>
      <c r="AA7" s="6">
        <f>Assumptions!AA291*Assumptions!AA26</f>
        <v>128425810.29231338</v>
      </c>
      <c r="AB7" s="6">
        <f>Assumptions!AB291*Assumptions!AB26</f>
        <v>142954684.88880178</v>
      </c>
      <c r="AC7" s="6">
        <f>Assumptions!AC291*Assumptions!AC26</f>
        <v>158208016.62996134</v>
      </c>
      <c r="AD7" s="6">
        <f>Assumptions!AD291*Assumptions!AD26</f>
        <v>174215301.29436189</v>
      </c>
      <c r="AE7" s="6">
        <f>Assumptions!AE291*Assumptions!AE26</f>
        <v>191007127.08317319</v>
      </c>
      <c r="AF7" s="6">
        <f>Assumptions!AF291*Assumptions!AF26</f>
        <v>208615212.90394831</v>
      </c>
      <c r="AG7" s="6">
        <f>Assumptions!AG291*Assumptions!AG26</f>
        <v>227072447.9480367</v>
      </c>
      <c r="AH7" s="6">
        <f>Assumptions!AH291*Assumptions!AH26</f>
        <v>246412932.60421708</v>
      </c>
      <c r="AI7" s="6">
        <f>Assumptions!AI291*Assumptions!AI26</f>
        <v>266672020.75251678</v>
      </c>
      <c r="AJ7" s="6">
        <f>Assumptions!AJ291*Assumptions!AJ26</f>
        <v>274672181.37509233</v>
      </c>
      <c r="AK7" s="6">
        <f>Assumptions!AK291*Assumptions!AK26</f>
        <v>282912346.8163451</v>
      </c>
      <c r="AL7" s="6">
        <f>Assumptions!AL291*Assumptions!AL26</f>
        <v>291399717.22083545</v>
      </c>
      <c r="AM7" s="6">
        <f>Assumptions!AM291*Assumptions!AM26</f>
        <v>300141708.73746049</v>
      </c>
      <c r="AN7" s="6">
        <f>Assumptions!AN291*Assumptions!AN26</f>
        <v>309145959.99958432</v>
      </c>
      <c r="AO7" s="6">
        <f>Assumptions!AO291*Assumptions!AO26</f>
        <v>318420338.79957187</v>
      </c>
      <c r="AP7" s="6">
        <f>Assumptions!AP291*Assumptions!AP26</f>
        <v>327972948.96355903</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66529570.650505967</v>
      </c>
      <c r="G8" s="6">
        <f>SUM($C$6:G7)</f>
        <v>137593169.2112678</v>
      </c>
      <c r="H8" s="6">
        <f>SUM($C$6:H7)</f>
        <v>213258637.35826629</v>
      </c>
      <c r="I8" s="6">
        <f>SUM($C$6:I7)</f>
        <v>293597359.06977367</v>
      </c>
      <c r="J8" s="6">
        <f>SUM($C$6:J7)</f>
        <v>378684304.28206807</v>
      </c>
      <c r="K8" s="6">
        <f>SUM($C$6:K7)</f>
        <v>468598074.90122819</v>
      </c>
      <c r="L8" s="6">
        <f>SUM($C$6:L7)</f>
        <v>563420953.18204176</v>
      </c>
      <c r="M8" s="6">
        <f>SUM($C$6:M7)</f>
        <v>663300030.26920485</v>
      </c>
      <c r="N8" s="6">
        <f>SUM($C$6:N7)</f>
        <v>768386559.8826617</v>
      </c>
      <c r="O8" s="6">
        <f>SUM($C$6:O7)</f>
        <v>878836070.29774451</v>
      </c>
      <c r="P8" s="6">
        <f>SUM($C$6:P7)</f>
        <v>998122598.87843335</v>
      </c>
      <c r="Q8" s="6">
        <f>SUM($C$6:Q7)</f>
        <v>1126508100.6798954</v>
      </c>
      <c r="R8" s="6">
        <f>SUM($C$6:R7)</f>
        <v>1264299394.6424043</v>
      </c>
      <c r="S8" s="6">
        <f>SUM($C$6:S7)</f>
        <v>1411812112.9297709</v>
      </c>
      <c r="T8" s="6">
        <f>SUM($C$6:T7)</f>
        <v>1569370931.977504</v>
      </c>
      <c r="U8" s="6">
        <f>SUM($C$6:U7)</f>
        <v>1737309809.0211585</v>
      </c>
      <c r="V8" s="6">
        <f>SUM($C$6:V7)</f>
        <v>1915972224.2146983</v>
      </c>
      <c r="W8" s="6">
        <f>SUM($C$6:W7)</f>
        <v>2105833687.3327253</v>
      </c>
      <c r="X8" s="6">
        <f>SUM($C$6:X7)</f>
        <v>2307388113.9609656</v>
      </c>
      <c r="Y8" s="6">
        <f>SUM($C$6:Y7)</f>
        <v>2521148488.5018005</v>
      </c>
      <c r="Z8" s="6">
        <f>SUM($C$6:Z7)</f>
        <v>2751443075.4592948</v>
      </c>
      <c r="AA8" s="6">
        <f>SUM($C$6:AA7)</f>
        <v>2999041569.2911205</v>
      </c>
      <c r="AB8" s="6">
        <f>SUM($C$6:AB7)</f>
        <v>3264744118.2256188</v>
      </c>
      <c r="AC8" s="6">
        <f>SUM($C$6:AC7)</f>
        <v>3549382434.8226495</v>
      </c>
      <c r="AD8" s="6">
        <f>SUM($C$6:AD7)</f>
        <v>3853820945.0830917</v>
      </c>
      <c r="AE8" s="6">
        <f>SUM($C$6:AE7)</f>
        <v>4178957977.4013276</v>
      </c>
      <c r="AF8" s="6">
        <f>SUM($C$6:AF7)</f>
        <v>4525726992.6973896</v>
      </c>
      <c r="AG8" s="6">
        <f>SUM($C$6:AG7)</f>
        <v>4895097857.1093054</v>
      </c>
      <c r="AH8" s="6">
        <f>SUM($C$6:AH7)</f>
        <v>5288078158.6713171</v>
      </c>
      <c r="AI8" s="6">
        <f>SUM($C$6:AI7)</f>
        <v>5705714569.4503613</v>
      </c>
      <c r="AJ8" s="6">
        <f>SUM($C$6:AJ7)</f>
        <v>6135880072.5527773</v>
      </c>
      <c r="AK8" s="6">
        <f>SUM($C$6:AK7)</f>
        <v>6578950540.7482672</v>
      </c>
      <c r="AL8" s="6">
        <f>SUM($C$6:AL7)</f>
        <v>7035313122.9896202</v>
      </c>
      <c r="AM8" s="6">
        <f>SUM($C$6:AM7)</f>
        <v>7505366582.6982145</v>
      </c>
      <c r="AN8" s="6">
        <f>SUM($C$6:AN7)</f>
        <v>7989521646.1980658</v>
      </c>
      <c r="AO8" s="6">
        <f>SUM($C$6:AO7)</f>
        <v>8488201361.6029139</v>
      </c>
      <c r="AP8" s="6">
        <f>SUM($C$6:AP7)</f>
        <v>9001841468.4699039</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2310651805.6234717</v>
      </c>
      <c r="G10" s="6">
        <f>G5+G6+G7</f>
        <v>2381715404.1842337</v>
      </c>
      <c r="H10" s="6">
        <f t="shared" ref="H10" si="27">H5+H6+H7</f>
        <v>2457380872.3312321</v>
      </c>
      <c r="I10" s="6">
        <f t="shared" ref="I10:AF10" si="28">I5+I6+I7</f>
        <v>2537719594.0427399</v>
      </c>
      <c r="J10" s="6">
        <f t="shared" si="28"/>
        <v>2622806539.2550344</v>
      </c>
      <c r="K10" s="6">
        <f t="shared" si="28"/>
        <v>2712720309.8741946</v>
      </c>
      <c r="L10" s="6">
        <f t="shared" si="28"/>
        <v>2807543188.1550083</v>
      </c>
      <c r="M10" s="6">
        <f t="shared" si="28"/>
        <v>2907422265.2421708</v>
      </c>
      <c r="N10" s="6">
        <f t="shared" si="28"/>
        <v>3012508794.8556275</v>
      </c>
      <c r="O10" s="6">
        <f t="shared" si="28"/>
        <v>3122958305.27071</v>
      </c>
      <c r="P10" s="6">
        <f t="shared" si="28"/>
        <v>3242244833.8513985</v>
      </c>
      <c r="Q10" s="6">
        <f t="shared" si="28"/>
        <v>3370630335.6528606</v>
      </c>
      <c r="R10" s="6">
        <f t="shared" si="28"/>
        <v>3508421629.6153698</v>
      </c>
      <c r="S10" s="6">
        <f t="shared" si="28"/>
        <v>3655934347.9027371</v>
      </c>
      <c r="T10" s="6">
        <f t="shared" si="28"/>
        <v>3813493166.9504704</v>
      </c>
      <c r="U10" s="6">
        <f t="shared" si="28"/>
        <v>3981432043.9941249</v>
      </c>
      <c r="V10" s="6">
        <f t="shared" si="28"/>
        <v>4160094459.187665</v>
      </c>
      <c r="W10" s="6">
        <f t="shared" si="28"/>
        <v>4349955922.3056917</v>
      </c>
      <c r="X10" s="6">
        <f t="shared" si="28"/>
        <v>4551510348.9339333</v>
      </c>
      <c r="Y10" s="6">
        <f t="shared" si="28"/>
        <v>4765270723.4747677</v>
      </c>
      <c r="Z10" s="6">
        <f t="shared" si="28"/>
        <v>4995565310.4322615</v>
      </c>
      <c r="AA10" s="6">
        <f t="shared" si="28"/>
        <v>5243163804.2640867</v>
      </c>
      <c r="AB10" s="6">
        <f t="shared" si="28"/>
        <v>5508866353.1985855</v>
      </c>
      <c r="AC10" s="6">
        <f t="shared" si="28"/>
        <v>5793504669.7956142</v>
      </c>
      <c r="AD10" s="6">
        <f t="shared" si="28"/>
        <v>6097943180.056057</v>
      </c>
      <c r="AE10" s="6">
        <f t="shared" si="28"/>
        <v>6423080212.3742924</v>
      </c>
      <c r="AF10" s="6">
        <f t="shared" si="28"/>
        <v>6769849227.6703548</v>
      </c>
      <c r="AG10" s="6">
        <f t="shared" ref="AG10:AP10" si="29">AG5+AG6+AG7</f>
        <v>7139220092.0822697</v>
      </c>
      <c r="AH10" s="6">
        <f t="shared" si="29"/>
        <v>7532200393.6442814</v>
      </c>
      <c r="AI10" s="6">
        <f t="shared" si="29"/>
        <v>7949836804.4233265</v>
      </c>
      <c r="AJ10" s="6">
        <f t="shared" si="29"/>
        <v>8380002307.5257425</v>
      </c>
      <c r="AK10" s="6">
        <f t="shared" si="29"/>
        <v>8823072775.7212315</v>
      </c>
      <c r="AL10" s="6">
        <f t="shared" si="29"/>
        <v>9279435357.9625835</v>
      </c>
      <c r="AM10" s="6">
        <f t="shared" si="29"/>
        <v>9749488817.6711788</v>
      </c>
      <c r="AN10" s="6">
        <f t="shared" si="29"/>
        <v>10233643881.17103</v>
      </c>
      <c r="AO10" s="6">
        <f t="shared" si="29"/>
        <v>10732323596.575878</v>
      </c>
      <c r="AP10" s="6">
        <f t="shared" si="29"/>
        <v>11245963703.442871</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169266475.32829943</v>
      </c>
      <c r="G16" s="6">
        <f>Investment!G30</f>
        <v>176579761.28561181</v>
      </c>
      <c r="H16" s="6">
        <f>Investment!H30</f>
        <v>178198019.97845197</v>
      </c>
      <c r="I16" s="6">
        <f>Investment!I30</f>
        <v>179934720.45005733</v>
      </c>
      <c r="J16" s="6">
        <f>Investment!J30</f>
        <v>181790489.35477841</v>
      </c>
      <c r="K16" s="6">
        <f>Investment!K30</f>
        <v>183766019.61144823</v>
      </c>
      <c r="L16" s="6">
        <f>Investment!L30</f>
        <v>185862069.97094962</v>
      </c>
      <c r="M16" s="6">
        <f>Investment!M30</f>
        <v>190684630.09358764</v>
      </c>
      <c r="N16" s="6">
        <f>Investment!N30</f>
        <v>195629165.03769442</v>
      </c>
      <c r="O16" s="6">
        <f>Investment!O30</f>
        <v>200698628.18288046</v>
      </c>
      <c r="P16" s="6">
        <f>Investment!P30</f>
        <v>347237460.49197263</v>
      </c>
      <c r="Q16" s="6">
        <f>Investment!Q30</f>
        <v>355824706.7233693</v>
      </c>
      <c r="R16" s="6">
        <f>Investment!R30</f>
        <v>366224224.22659606</v>
      </c>
      <c r="S16" s="6">
        <f>Investment!S30</f>
        <v>376884985.17085421</v>
      </c>
      <c r="T16" s="6">
        <f>Investment!T30</f>
        <v>387812935.0701924</v>
      </c>
      <c r="U16" s="6">
        <f>Investment!U30</f>
        <v>399014134.74646926</v>
      </c>
      <c r="V16" s="6">
        <f>Investment!V30</f>
        <v>410494761.78017926</v>
      </c>
      <c r="W16" s="6">
        <f>Investment!W30</f>
        <v>427473829.1156199</v>
      </c>
      <c r="X16" s="6">
        <f>Investment!X30</f>
        <v>445067551.19131911</v>
      </c>
      <c r="Y16" s="6">
        <f>Investment!Y30</f>
        <v>463296651.15105712</v>
      </c>
      <c r="Z16" s="6">
        <f>Investment!Z30</f>
        <v>643992644.98982215</v>
      </c>
      <c r="AA16" s="6">
        <f>Investment!AA30</f>
        <v>671692884.81712067</v>
      </c>
      <c r="AB16" s="6">
        <f>Investment!AB30</f>
        <v>700413915.34401155</v>
      </c>
      <c r="AC16" s="6">
        <f>Investment!AC30</f>
        <v>730190496.8569169</v>
      </c>
      <c r="AD16" s="6">
        <f>Investment!AD30</f>
        <v>761058517.41191268</v>
      </c>
      <c r="AE16" s="6">
        <f>Investment!AE30</f>
        <v>793055028.23862672</v>
      </c>
      <c r="AF16" s="6">
        <f>Investment!AF30</f>
        <v>826218280.22909975</v>
      </c>
      <c r="AG16" s="6">
        <f>Investment!AG30</f>
        <v>860587761.54425538</v>
      </c>
      <c r="AH16" s="6">
        <f>Investment!AH30</f>
        <v>896204236.37157238</v>
      </c>
      <c r="AI16" s="6">
        <f>Investment!AI30</f>
        <v>933109784.86856723</v>
      </c>
      <c r="AJ16" s="6">
        <f>Investment!AJ30</f>
        <v>408216974.21736908</v>
      </c>
      <c r="AK16" s="6">
        <f>Investment!AK30</f>
        <v>419753754.91708547</v>
      </c>
      <c r="AL16" s="6">
        <f>Investment!AL30</f>
        <v>431616581.12034458</v>
      </c>
      <c r="AM16" s="6">
        <f>Investment!AM30</f>
        <v>443814667.32754683</v>
      </c>
      <c r="AN16" s="6">
        <f>Investment!AN30</f>
        <v>456357488.45371854</v>
      </c>
      <c r="AO16" s="6">
        <f>Investment!AO30</f>
        <v>469254787.18819118</v>
      </c>
      <c r="AP16" s="6">
        <f>Investment!AP30</f>
        <v>482516581.56227708</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2413388710.3012652</v>
      </c>
      <c r="G17" s="6">
        <f>G16+F18</f>
        <v>2523438900.9363708</v>
      </c>
      <c r="H17" s="6">
        <f t="shared" ref="H17:AF17" si="30">H16+G18</f>
        <v>2630573322.3540611</v>
      </c>
      <c r="I17" s="6">
        <f t="shared" si="30"/>
        <v>2734842574.6571202</v>
      </c>
      <c r="J17" s="6">
        <f t="shared" si="30"/>
        <v>2836294342.3003907</v>
      </c>
      <c r="K17" s="6">
        <f t="shared" si="30"/>
        <v>2934973416.6995444</v>
      </c>
      <c r="L17" s="6">
        <f t="shared" si="30"/>
        <v>3030921716.0513339</v>
      </c>
      <c r="M17" s="6">
        <f t="shared" si="30"/>
        <v>3126783467.8641081</v>
      </c>
      <c r="N17" s="6">
        <f t="shared" si="30"/>
        <v>3222533555.81464</v>
      </c>
      <c r="O17" s="6">
        <f t="shared" si="30"/>
        <v>3318145654.3840637</v>
      </c>
      <c r="P17" s="6">
        <f t="shared" si="30"/>
        <v>3554933604.4609537</v>
      </c>
      <c r="Q17" s="6">
        <f t="shared" si="30"/>
        <v>3791471782.6036344</v>
      </c>
      <c r="R17" s="6">
        <f t="shared" si="30"/>
        <v>4029310505.0287681</v>
      </c>
      <c r="S17" s="6">
        <f t="shared" si="30"/>
        <v>4268404196.237113</v>
      </c>
      <c r="T17" s="6">
        <f t="shared" si="30"/>
        <v>4508704413.0199385</v>
      </c>
      <c r="U17" s="6">
        <f t="shared" si="30"/>
        <v>4750159728.7186756</v>
      </c>
      <c r="V17" s="6">
        <f t="shared" si="30"/>
        <v>4992715613.4552002</v>
      </c>
      <c r="W17" s="6">
        <f t="shared" si="30"/>
        <v>5241527027.3772793</v>
      </c>
      <c r="X17" s="6">
        <f t="shared" si="30"/>
        <v>5496733115.450572</v>
      </c>
      <c r="Y17" s="6">
        <f t="shared" si="30"/>
        <v>5758475339.9733877</v>
      </c>
      <c r="Z17" s="6">
        <f t="shared" si="30"/>
        <v>6188707610.4223757</v>
      </c>
      <c r="AA17" s="6">
        <f t="shared" si="30"/>
        <v>6630105908.2820024</v>
      </c>
      <c r="AB17" s="6">
        <f t="shared" si="30"/>
        <v>7082921329.7941885</v>
      </c>
      <c r="AC17" s="6">
        <f t="shared" si="30"/>
        <v>7547409277.7166061</v>
      </c>
      <c r="AD17" s="6">
        <f t="shared" si="30"/>
        <v>8023829478.5314903</v>
      </c>
      <c r="AE17" s="6">
        <f t="shared" si="30"/>
        <v>8512445996.5096741</v>
      </c>
      <c r="AF17" s="6">
        <f t="shared" si="30"/>
        <v>9013527244.4205379</v>
      </c>
      <c r="AG17" s="6">
        <f t="shared" ref="AG17:AP17" si="31">AG16+AF18</f>
        <v>9527345990.6687317</v>
      </c>
      <c r="AH17" s="6">
        <f t="shared" si="31"/>
        <v>10054179362.628389</v>
      </c>
      <c r="AI17" s="6">
        <f t="shared" si="31"/>
        <v>10594308845.934944</v>
      </c>
      <c r="AJ17" s="6">
        <f t="shared" si="31"/>
        <v>10584889409.373268</v>
      </c>
      <c r="AK17" s="6">
        <f t="shared" si="31"/>
        <v>10574477661.187939</v>
      </c>
      <c r="AL17" s="6">
        <f t="shared" si="31"/>
        <v>10563023774.112795</v>
      </c>
      <c r="AM17" s="6">
        <f t="shared" si="31"/>
        <v>10550475859.19899</v>
      </c>
      <c r="AN17" s="6">
        <f t="shared" si="31"/>
        <v>10536779887.944113</v>
      </c>
      <c r="AO17" s="6">
        <f t="shared" si="31"/>
        <v>10521879611.632452</v>
      </c>
      <c r="AP17" s="6">
        <f t="shared" si="31"/>
        <v>10505716477.789881</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2346859139.6507592</v>
      </c>
      <c r="G18" s="6">
        <f t="shared" ref="G18:AF18" si="32">G17-G6-G7</f>
        <v>2452375302.3756089</v>
      </c>
      <c r="H18" s="6">
        <f t="shared" si="32"/>
        <v>2554907854.2070627</v>
      </c>
      <c r="I18" s="6">
        <f t="shared" si="32"/>
        <v>2654503852.9456124</v>
      </c>
      <c r="J18" s="6">
        <f t="shared" si="32"/>
        <v>2751207397.0880961</v>
      </c>
      <c r="K18" s="6">
        <f t="shared" si="32"/>
        <v>2845059646.0803843</v>
      </c>
      <c r="L18" s="6">
        <f t="shared" si="32"/>
        <v>2936098837.7705202</v>
      </c>
      <c r="M18" s="6">
        <f t="shared" si="32"/>
        <v>3026904390.7769456</v>
      </c>
      <c r="N18" s="6">
        <f t="shared" si="32"/>
        <v>3117447026.2011833</v>
      </c>
      <c r="O18" s="6">
        <f t="shared" si="32"/>
        <v>3207696143.9689813</v>
      </c>
      <c r="P18" s="6">
        <f t="shared" si="32"/>
        <v>3435647075.8802652</v>
      </c>
      <c r="Q18" s="6">
        <f t="shared" si="32"/>
        <v>3663086280.8021722</v>
      </c>
      <c r="R18" s="6">
        <f t="shared" si="32"/>
        <v>3891519211.0662589</v>
      </c>
      <c r="S18" s="6">
        <f t="shared" si="32"/>
        <v>4120891477.9497457</v>
      </c>
      <c r="T18" s="6">
        <f t="shared" si="32"/>
        <v>4351145593.9722061</v>
      </c>
      <c r="U18" s="6">
        <f t="shared" si="32"/>
        <v>4582220851.6750212</v>
      </c>
      <c r="V18" s="6">
        <f t="shared" si="32"/>
        <v>4814053198.2616596</v>
      </c>
      <c r="W18" s="6">
        <f t="shared" si="32"/>
        <v>5051665564.2592525</v>
      </c>
      <c r="X18" s="6">
        <f t="shared" si="32"/>
        <v>5295178688.8223305</v>
      </c>
      <c r="Y18" s="6">
        <f t="shared" si="32"/>
        <v>5544714965.4325533</v>
      </c>
      <c r="Z18" s="6">
        <f t="shared" si="32"/>
        <v>5958413023.4648819</v>
      </c>
      <c r="AA18" s="6">
        <f t="shared" si="32"/>
        <v>6382507414.4501772</v>
      </c>
      <c r="AB18" s="6">
        <f t="shared" si="32"/>
        <v>6817218780.8596897</v>
      </c>
      <c r="AC18" s="6">
        <f t="shared" si="32"/>
        <v>7262770961.1195774</v>
      </c>
      <c r="AD18" s="6">
        <f t="shared" si="32"/>
        <v>7719390968.2710476</v>
      </c>
      <c r="AE18" s="6">
        <f t="shared" si="32"/>
        <v>8187308964.1914387</v>
      </c>
      <c r="AF18" s="6">
        <f t="shared" si="32"/>
        <v>8666758229.1244755</v>
      </c>
      <c r="AG18" s="6">
        <f t="shared" ref="AG18:AP18" si="33">AG17-AG6-AG7</f>
        <v>9157975126.2568169</v>
      </c>
      <c r="AH18" s="6">
        <f t="shared" si="33"/>
        <v>9661199061.0663776</v>
      </c>
      <c r="AI18" s="6">
        <f t="shared" si="33"/>
        <v>10176672435.155899</v>
      </c>
      <c r="AJ18" s="6">
        <f t="shared" si="33"/>
        <v>10154723906.270853</v>
      </c>
      <c r="AK18" s="6">
        <f t="shared" si="33"/>
        <v>10131407192.992451</v>
      </c>
      <c r="AL18" s="6">
        <f t="shared" si="33"/>
        <v>10106661191.871443</v>
      </c>
      <c r="AM18" s="6">
        <f t="shared" si="33"/>
        <v>10080422399.490395</v>
      </c>
      <c r="AN18" s="6">
        <f t="shared" si="33"/>
        <v>10052624824.444262</v>
      </c>
      <c r="AO18" s="6">
        <f t="shared" si="33"/>
        <v>10023199896.227604</v>
      </c>
      <c r="AP18" s="6">
        <f t="shared" si="33"/>
        <v>9992076370.9228878</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525882083.15468639</v>
      </c>
      <c r="G20" s="6">
        <f ca="1">'Balance Sheet'!F9</f>
        <v>612670172.49382663</v>
      </c>
      <c r="H20" s="6">
        <f ca="1">'Balance Sheet'!G9</f>
        <v>688501382.20808792</v>
      </c>
      <c r="I20" s="6">
        <f ca="1">'Balance Sheet'!H9</f>
        <v>757237625.47642612</v>
      </c>
      <c r="J20" s="6">
        <f ca="1">'Balance Sheet'!I9</f>
        <v>819147807.67540622</v>
      </c>
      <c r="K20" s="6">
        <f ca="1">'Balance Sheet'!J9</f>
        <v>873945677.61180472</v>
      </c>
      <c r="L20" s="6">
        <f ca="1">'Balance Sheet'!K9</f>
        <v>924571781.82456231</v>
      </c>
      <c r="M20" s="6">
        <f ca="1">'Balance Sheet'!L9</f>
        <v>973778827.35454202</v>
      </c>
      <c r="N20" s="6">
        <f ca="1">'Balance Sheet'!M9</f>
        <v>1021190008.8200923</v>
      </c>
      <c r="O20" s="6">
        <f ca="1">'Balance Sheet'!N9</f>
        <v>1066399208.2577801</v>
      </c>
      <c r="P20" s="6">
        <f ca="1">'Balance Sheet'!O9</f>
        <v>1234637530.9247072</v>
      </c>
      <c r="Q20" s="6">
        <f ca="1">'Balance Sheet'!P9</f>
        <v>1386641126.3137121</v>
      </c>
      <c r="R20" s="6">
        <f ca="1">'Balance Sheet'!Q9</f>
        <v>1527963338.6397119</v>
      </c>
      <c r="S20" s="6">
        <f ca="1">'Balance Sheet'!R9</f>
        <v>1659844720.0091448</v>
      </c>
      <c r="T20" s="6">
        <f ca="1">'Balance Sheet'!S9</f>
        <v>1784326708.9701858</v>
      </c>
      <c r="U20" s="6">
        <f ca="1">'Balance Sheet'!T9</f>
        <v>1904282684.859082</v>
      </c>
      <c r="V20" s="6">
        <f ca="1">'Balance Sheet'!U9</f>
        <v>2018420239.5658736</v>
      </c>
      <c r="W20" s="6">
        <f ca="1">'Balance Sheet'!V9</f>
        <v>2135122057.5274448</v>
      </c>
      <c r="X20" s="6">
        <f ca="1">'Balance Sheet'!W9</f>
        <v>2251295634.9777746</v>
      </c>
      <c r="Y20" s="6">
        <f ca="1">'Balance Sheet'!X9</f>
        <v>2366154615.9680514</v>
      </c>
      <c r="Z20" s="6">
        <f ca="1">'Balance Sheet'!Y9</f>
        <v>2624561371.0812254</v>
      </c>
      <c r="AA20" s="6">
        <f ca="1">'Balance Sheet'!Z9</f>
        <v>2874621041.8728352</v>
      </c>
      <c r="AB20" s="6">
        <f ca="1">'Balance Sheet'!AA9</f>
        <v>3119811768.6063242</v>
      </c>
      <c r="AC20" s="6">
        <f ca="1">'Balance Sheet'!AB9</f>
        <v>3357285931.9580154</v>
      </c>
      <c r="AD20" s="6">
        <f ca="1">'Balance Sheet'!AC9</f>
        <v>3592217802.7192607</v>
      </c>
      <c r="AE20" s="6">
        <f ca="1">'Balance Sheet'!AD9</f>
        <v>3822505267.8830328</v>
      </c>
      <c r="AF20" s="6">
        <f ca="1">'Balance Sheet'!AE9</f>
        <v>4055287809.938086</v>
      </c>
      <c r="AG20" s="6">
        <f ca="1">'Balance Sheet'!AF9</f>
        <v>4319509571.1684875</v>
      </c>
      <c r="AH20" s="6">
        <f ca="1">'Balance Sheet'!AG9</f>
        <v>4586825257.3959751</v>
      </c>
      <c r="AI20" s="6">
        <f ca="1">'Balance Sheet'!AH9</f>
        <v>4845233008.3345528</v>
      </c>
      <c r="AJ20" s="6">
        <f ca="1">'Balance Sheet'!AI9</f>
        <v>4556817658.6298609</v>
      </c>
      <c r="AK20" s="6">
        <f ca="1">'Balance Sheet'!AJ9</f>
        <v>4257481261.9936996</v>
      </c>
      <c r="AL20" s="6">
        <f ca="1">'Balance Sheet'!AK9</f>
        <v>3947014590.107832</v>
      </c>
      <c r="AM20" s="6">
        <f ca="1">'Balance Sheet'!AL9</f>
        <v>3625210040.4530249</v>
      </c>
      <c r="AN20" s="6">
        <f ca="1">'Balance Sheet'!AM9</f>
        <v>3291862065.5240951</v>
      </c>
      <c r="AO20" s="6">
        <f ca="1">'Balance Sheet'!AN9</f>
        <v>2946767632.1098638</v>
      </c>
      <c r="AP20" s="6">
        <f ca="1">'Balance Sheet'!AO9</f>
        <v>2589726712.3067441</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1820977056.4960728</v>
      </c>
      <c r="G21" s="6">
        <f t="shared" ref="G21:AF21" ca="1" si="34">G18-G20</f>
        <v>1839705129.8817823</v>
      </c>
      <c r="H21" s="6">
        <f t="shared" ca="1" si="34"/>
        <v>1866406471.9989748</v>
      </c>
      <c r="I21" s="6">
        <f t="shared" ca="1" si="34"/>
        <v>1897266227.4691863</v>
      </c>
      <c r="J21" s="6">
        <f ca="1">J18-J20</f>
        <v>1932059589.4126899</v>
      </c>
      <c r="K21" s="6">
        <f t="shared" ca="1" si="34"/>
        <v>1971113968.4685795</v>
      </c>
      <c r="L21" s="6">
        <f t="shared" ca="1" si="34"/>
        <v>2011527055.9459579</v>
      </c>
      <c r="M21" s="6">
        <f t="shared" ca="1" si="34"/>
        <v>2053125563.4224036</v>
      </c>
      <c r="N21" s="6">
        <f t="shared" ca="1" si="34"/>
        <v>2096257017.3810911</v>
      </c>
      <c r="O21" s="6">
        <f t="shared" ca="1" si="34"/>
        <v>2141296935.7112012</v>
      </c>
      <c r="P21" s="6">
        <f t="shared" ca="1" si="34"/>
        <v>2201009544.9555578</v>
      </c>
      <c r="Q21" s="6">
        <f t="shared" ca="1" si="34"/>
        <v>2276445154.4884601</v>
      </c>
      <c r="R21" s="6">
        <f t="shared" ca="1" si="34"/>
        <v>2363555872.4265471</v>
      </c>
      <c r="S21" s="6">
        <f t="shared" ca="1" si="34"/>
        <v>2461046757.9406009</v>
      </c>
      <c r="T21" s="6">
        <f t="shared" ca="1" si="34"/>
        <v>2566818885.0020204</v>
      </c>
      <c r="U21" s="6">
        <f t="shared" ca="1" si="34"/>
        <v>2677938166.8159389</v>
      </c>
      <c r="V21" s="6">
        <f t="shared" ca="1" si="34"/>
        <v>2795632958.695786</v>
      </c>
      <c r="W21" s="6">
        <f t="shared" ca="1" si="34"/>
        <v>2916543506.7318077</v>
      </c>
      <c r="X21" s="6">
        <f t="shared" ca="1" si="34"/>
        <v>3043883053.8445559</v>
      </c>
      <c r="Y21" s="6">
        <f t="shared" ca="1" si="34"/>
        <v>3178560349.4645019</v>
      </c>
      <c r="Z21" s="6">
        <f t="shared" ca="1" si="34"/>
        <v>3333851652.3836565</v>
      </c>
      <c r="AA21" s="6">
        <f t="shared" ca="1" si="34"/>
        <v>3507886372.577342</v>
      </c>
      <c r="AB21" s="6">
        <f t="shared" ca="1" si="34"/>
        <v>3697407012.2533655</v>
      </c>
      <c r="AC21" s="6">
        <f t="shared" ca="1" si="34"/>
        <v>3905485029.161562</v>
      </c>
      <c r="AD21" s="6">
        <f t="shared" ca="1" si="34"/>
        <v>4127173165.5517869</v>
      </c>
      <c r="AE21" s="6">
        <f t="shared" ca="1" si="34"/>
        <v>4364803696.3084059</v>
      </c>
      <c r="AF21" s="6">
        <f t="shared" ca="1" si="34"/>
        <v>4611470419.1863899</v>
      </c>
      <c r="AG21" s="6">
        <f t="shared" ref="AG21:AP21" ca="1" si="35">AG18-AG20</f>
        <v>4838465555.0883293</v>
      </c>
      <c r="AH21" s="6">
        <f t="shared" ca="1" si="35"/>
        <v>5074373803.6704025</v>
      </c>
      <c r="AI21" s="6">
        <f t="shared" ca="1" si="35"/>
        <v>5331439426.8213463</v>
      </c>
      <c r="AJ21" s="6">
        <f t="shared" ca="1" si="35"/>
        <v>5597906247.6409922</v>
      </c>
      <c r="AK21" s="6">
        <f t="shared" ca="1" si="35"/>
        <v>5873925930.9987507</v>
      </c>
      <c r="AL21" s="6">
        <f t="shared" ca="1" si="35"/>
        <v>6159646601.7636108</v>
      </c>
      <c r="AM21" s="6">
        <f t="shared" ca="1" si="35"/>
        <v>6455212359.0373697</v>
      </c>
      <c r="AN21" s="6">
        <f t="shared" ca="1" si="35"/>
        <v>6760762758.920166</v>
      </c>
      <c r="AO21" s="6">
        <f t="shared" ca="1" si="35"/>
        <v>7076432264.1177406</v>
      </c>
      <c r="AP21" s="6">
        <f t="shared" ca="1" si="35"/>
        <v>7402349658.6161442</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350237093.69204926</v>
      </c>
      <c r="G3" s="306">
        <f t="shared" ca="1" si="1"/>
        <v>525882083.15468639</v>
      </c>
      <c r="H3" s="306">
        <f t="shared" ca="1" si="1"/>
        <v>612670172.49382663</v>
      </c>
      <c r="I3" s="306">
        <f t="shared" ca="1" si="1"/>
        <v>688501382.20808792</v>
      </c>
      <c r="J3" s="306">
        <f t="shared" ca="1" si="1"/>
        <v>757237625.47642612</v>
      </c>
      <c r="K3" s="306">
        <f t="shared" ca="1" si="1"/>
        <v>819147807.67540622</v>
      </c>
      <c r="L3" s="306">
        <f t="shared" ca="1" si="1"/>
        <v>873945677.61180472</v>
      </c>
      <c r="M3" s="306">
        <f t="shared" ca="1" si="1"/>
        <v>924571781.82456231</v>
      </c>
      <c r="N3" s="306">
        <f t="shared" ca="1" si="1"/>
        <v>973778827.35454202</v>
      </c>
      <c r="O3" s="306">
        <f t="shared" ca="1" si="1"/>
        <v>1021190008.8200923</v>
      </c>
      <c r="P3" s="306">
        <f t="shared" ca="1" si="1"/>
        <v>1066399208.2577801</v>
      </c>
      <c r="Q3" s="306">
        <f t="shared" ca="1" si="1"/>
        <v>1234637530.9247072</v>
      </c>
      <c r="R3" s="306">
        <f t="shared" ca="1" si="1"/>
        <v>1386641126.3137121</v>
      </c>
      <c r="S3" s="306">
        <f t="shared" ca="1" si="1"/>
        <v>1527963338.6397119</v>
      </c>
      <c r="T3" s="306">
        <f t="shared" ca="1" si="1"/>
        <v>1659844720.0091448</v>
      </c>
      <c r="U3" s="306">
        <f t="shared" ca="1" si="1"/>
        <v>1784326708.9701858</v>
      </c>
      <c r="V3" s="306">
        <f t="shared" ca="1" si="1"/>
        <v>1904282684.859082</v>
      </c>
      <c r="W3" s="306">
        <f t="shared" ca="1" si="1"/>
        <v>2018420239.5658736</v>
      </c>
      <c r="X3" s="306">
        <f t="shared" ca="1" si="1"/>
        <v>2135122057.5274448</v>
      </c>
      <c r="Y3" s="306">
        <f t="shared" ca="1" si="1"/>
        <v>2251295634.9777746</v>
      </c>
      <c r="Z3" s="306">
        <f t="shared" ca="1" si="1"/>
        <v>2366154615.9680514</v>
      </c>
      <c r="AA3" s="306">
        <f t="shared" ca="1" si="1"/>
        <v>2624561371.0812254</v>
      </c>
      <c r="AB3" s="306">
        <f t="shared" ca="1" si="1"/>
        <v>2874621041.8728352</v>
      </c>
      <c r="AC3" s="306">
        <f t="shared" ca="1" si="1"/>
        <v>3119811768.6063242</v>
      </c>
      <c r="AD3" s="306">
        <f t="shared" ca="1" si="1"/>
        <v>3357285931.9580154</v>
      </c>
      <c r="AE3" s="306">
        <f t="shared" ca="1" si="1"/>
        <v>3592217802.7192607</v>
      </c>
      <c r="AF3" s="306">
        <f t="shared" ca="1" si="1"/>
        <v>3822505267.8830328</v>
      </c>
      <c r="AG3" s="306">
        <f t="shared" ca="1" si="1"/>
        <v>4055287809.938086</v>
      </c>
      <c r="AH3" s="306">
        <f t="shared" ca="1" si="1"/>
        <v>4319509571.1684875</v>
      </c>
      <c r="AI3" s="306">
        <f t="shared" ca="1" si="1"/>
        <v>4586825257.3959751</v>
      </c>
      <c r="AJ3" s="306">
        <f t="shared" ca="1" si="1"/>
        <v>4845233008.3345528</v>
      </c>
      <c r="AK3" s="306">
        <f t="shared" ca="1" si="1"/>
        <v>4556817658.6298609</v>
      </c>
      <c r="AL3" s="306">
        <f t="shared" ca="1" si="1"/>
        <v>4257481261.9936996</v>
      </c>
      <c r="AM3" s="306">
        <f t="shared" ca="1" si="1"/>
        <v>3947014590.107832</v>
      </c>
      <c r="AN3" s="306">
        <f t="shared" ca="1" si="1"/>
        <v>3625210040.4530249</v>
      </c>
      <c r="AO3" s="306">
        <f t="shared" ca="1" si="1"/>
        <v>3291862065.5240951</v>
      </c>
      <c r="AP3" s="306">
        <f t="shared" ca="1" si="1"/>
        <v>2946767632.1098638</v>
      </c>
    </row>
    <row r="4" spans="1:42" x14ac:dyDescent="0.35">
      <c r="A4" s="303" t="s">
        <v>436</v>
      </c>
      <c r="C4" s="305"/>
      <c r="D4" s="305"/>
      <c r="E4" s="305"/>
      <c r="F4" s="306">
        <f>+Assumptions!F80</f>
        <v>83821074.757914901</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-2794035.8252638299</v>
      </c>
      <c r="G6" s="306">
        <f>-'Cash Flow'!G7</f>
        <v>-2794035.8252638299</v>
      </c>
      <c r="H6" s="306">
        <f>-'Cash Flow'!H7</f>
        <v>-2794035.8252638299</v>
      </c>
      <c r="I6" s="306">
        <f>-'Cash Flow'!I7</f>
        <v>-2794035.8252638299</v>
      </c>
      <c r="J6" s="306">
        <f>-'Cash Flow'!J7</f>
        <v>-2794035.8252638299</v>
      </c>
      <c r="K6" s="306">
        <f>-'Cash Flow'!K7</f>
        <v>-2794035.8252638299</v>
      </c>
      <c r="L6" s="306">
        <f>-'Cash Flow'!L7</f>
        <v>-2794035.8252638299</v>
      </c>
      <c r="M6" s="306">
        <f>-'Cash Flow'!M7</f>
        <v>-2794035.8252638299</v>
      </c>
      <c r="N6" s="306">
        <f>-'Cash Flow'!N7</f>
        <v>-2794035.8252638299</v>
      </c>
      <c r="O6" s="306">
        <f>-'Cash Flow'!O7</f>
        <v>-2794035.8252638299</v>
      </c>
      <c r="P6" s="306">
        <f>-'Cash Flow'!P7</f>
        <v>-2794035.8252638299</v>
      </c>
      <c r="Q6" s="306">
        <f>-'Cash Flow'!Q7</f>
        <v>-2794035.8252638299</v>
      </c>
      <c r="R6" s="306">
        <f>-'Cash Flow'!R7</f>
        <v>-2794035.8252638299</v>
      </c>
      <c r="S6" s="306">
        <f>-'Cash Flow'!S7</f>
        <v>-2794035.8252638299</v>
      </c>
      <c r="T6" s="306">
        <f>-'Cash Flow'!T7</f>
        <v>-2794035.8252638299</v>
      </c>
      <c r="U6" s="306">
        <f>-'Cash Flow'!U7</f>
        <v>-2794035.8252638299</v>
      </c>
      <c r="V6" s="306">
        <f>-'Cash Flow'!V7</f>
        <v>-2794035.8252638299</v>
      </c>
      <c r="W6" s="306">
        <f>-'Cash Flow'!W7</f>
        <v>-2794035.8252638299</v>
      </c>
      <c r="X6" s="306">
        <f>-'Cash Flow'!X7</f>
        <v>-2794035.8252638299</v>
      </c>
      <c r="Y6" s="306">
        <f>-'Cash Flow'!Y7</f>
        <v>-2794035.8252638299</v>
      </c>
      <c r="Z6" s="306">
        <f>-'Cash Flow'!Z7</f>
        <v>-2794035.8252638299</v>
      </c>
      <c r="AA6" s="306">
        <f>-'Cash Flow'!AA7</f>
        <v>-2794035.8252638299</v>
      </c>
      <c r="AB6" s="306">
        <f>-'Cash Flow'!AB7</f>
        <v>-2794035.8252638299</v>
      </c>
      <c r="AC6" s="306">
        <f>-'Cash Flow'!AC7</f>
        <v>-2794035.8252638299</v>
      </c>
      <c r="AD6" s="306">
        <f>-'Cash Flow'!AD7</f>
        <v>-2794035.8252638299</v>
      </c>
      <c r="AE6" s="306">
        <f>-'Cash Flow'!AE7</f>
        <v>-2794035.8252638299</v>
      </c>
      <c r="AF6" s="306">
        <f>-'Cash Flow'!AF7</f>
        <v>-2794035.8252638299</v>
      </c>
      <c r="AG6" s="306">
        <f>-'Cash Flow'!AG7</f>
        <v>-2794035.8252638299</v>
      </c>
      <c r="AH6" s="306">
        <f>-'Cash Flow'!AH7</f>
        <v>-2794035.8252638299</v>
      </c>
      <c r="AI6" s="306">
        <f>-'Cash Flow'!AI7</f>
        <v>-2794035.8252638299</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94617950.529986069</v>
      </c>
      <c r="G7" s="306">
        <f ca="1">-'Cash Flow'!G11</f>
        <v>89582125.164404094</v>
      </c>
      <c r="H7" s="306">
        <f ca="1">-'Cash Flow'!H11</f>
        <v>78625245.539525151</v>
      </c>
      <c r="I7" s="306">
        <f ca="1">-'Cash Flow'!I11</f>
        <v>71530279.093602121</v>
      </c>
      <c r="J7" s="306">
        <f ca="1">-'Cash Flow'!J11</f>
        <v>64704218.024243936</v>
      </c>
      <c r="K7" s="306">
        <f ca="1">-'Cash Flow'!K11</f>
        <v>57591905.761662364</v>
      </c>
      <c r="L7" s="306">
        <f ca="1">-'Cash Flow'!L11</f>
        <v>53420140.038021445</v>
      </c>
      <c r="M7" s="306">
        <f ca="1">-'Cash Flow'!M11</f>
        <v>52001081.355243623</v>
      </c>
      <c r="N7" s="306">
        <f ca="1">-'Cash Flow'!N11</f>
        <v>50205217.290814131</v>
      </c>
      <c r="O7" s="306">
        <f ca="1">-'Cash Flow'!O11</f>
        <v>48003235.262951642</v>
      </c>
      <c r="P7" s="306">
        <f ca="1">-'Cash Flow'!P11</f>
        <v>171032358.4921909</v>
      </c>
      <c r="Q7" s="306">
        <f ca="1">-'Cash Flow'!Q11</f>
        <v>154797631.21426865</v>
      </c>
      <c r="R7" s="306">
        <f ca="1">-'Cash Flow'!R11</f>
        <v>144116248.15126345</v>
      </c>
      <c r="S7" s="306">
        <f ca="1">-'Cash Flow'!S11</f>
        <v>134675417.19469675</v>
      </c>
      <c r="T7" s="306">
        <f ca="1">-'Cash Flow'!T11</f>
        <v>127276024.78630474</v>
      </c>
      <c r="U7" s="306">
        <f ca="1">-'Cash Flow'!U11</f>
        <v>122750011.71416003</v>
      </c>
      <c r="V7" s="306">
        <f ca="1">-'Cash Flow'!V11</f>
        <v>116931590.5320555</v>
      </c>
      <c r="W7" s="306">
        <f ca="1">-'Cash Flow'!W11</f>
        <v>119495853.78683484</v>
      </c>
      <c r="X7" s="306">
        <f ca="1">-'Cash Flow'!X11</f>
        <v>118967613.27559364</v>
      </c>
      <c r="Y7" s="306">
        <f ca="1">-'Cash Flow'!Y11</f>
        <v>117653016.81554067</v>
      </c>
      <c r="Z7" s="306">
        <f ca="1">-'Cash Flow'!Z11</f>
        <v>261200790.9384377</v>
      </c>
      <c r="AA7" s="306">
        <f ca="1">-'Cash Flow'!AA11</f>
        <v>252853706.61687362</v>
      </c>
      <c r="AB7" s="306">
        <f ca="1">-'Cash Flow'!AB11</f>
        <v>247984762.55875295</v>
      </c>
      <c r="AC7" s="306">
        <f ca="1">-'Cash Flow'!AC11</f>
        <v>240268199.17695522</v>
      </c>
      <c r="AD7" s="306">
        <f ca="1">-'Cash Flow'!AD11</f>
        <v>237725906.58650935</v>
      </c>
      <c r="AE7" s="306">
        <f ca="1">-'Cash Flow'!AE11</f>
        <v>233081500.98903596</v>
      </c>
      <c r="AF7" s="306">
        <f ca="1">-'Cash Flow'!AF11</f>
        <v>235576577.88031721</v>
      </c>
      <c r="AG7" s="306">
        <f ca="1">-'Cash Flow'!AG11</f>
        <v>267015797.05566502</v>
      </c>
      <c r="AH7" s="306">
        <f ca="1">-'Cash Flow'!AH11</f>
        <v>270109722.05275202</v>
      </c>
      <c r="AI7" s="306">
        <f ca="1">-'Cash Flow'!AI11</f>
        <v>261201786.76384127</v>
      </c>
      <c r="AJ7" s="306">
        <f ca="1">-'Cash Flow'!AJ11</f>
        <v>-288415349.70469213</v>
      </c>
      <c r="AK7" s="306">
        <f ca="1">-'Cash Flow'!AK11</f>
        <v>-299336396.63616151</v>
      </c>
      <c r="AL7" s="306">
        <f ca="1">-'Cash Flow'!AL11</f>
        <v>-310466671.88586766</v>
      </c>
      <c r="AM7" s="306">
        <f ca="1">-'Cash Flow'!AM11</f>
        <v>-321804549.65480709</v>
      </c>
      <c r="AN7" s="306">
        <f ca="1">-'Cash Flow'!AN11</f>
        <v>-333347974.92892969</v>
      </c>
      <c r="AO7" s="306">
        <f ca="1">-'Cash Flow'!AO11</f>
        <v>-345094433.4142313</v>
      </c>
      <c r="AP7" s="306">
        <f ca="1">-'Cash Flow'!AP11</f>
        <v>-357040919.80311954</v>
      </c>
    </row>
    <row r="8" spans="1:42" x14ac:dyDescent="0.35">
      <c r="A8" s="303" t="s">
        <v>375</v>
      </c>
      <c r="C8" s="305"/>
      <c r="D8" s="305"/>
      <c r="E8" s="306">
        <f>Assumptions!E39</f>
        <v>350237093.69204926</v>
      </c>
      <c r="F8" s="306">
        <f ca="1">F3+F4+F6+F7</f>
        <v>525882083.15468639</v>
      </c>
      <c r="G8" s="306">
        <f t="shared" ref="G8:AP8" ca="1" si="2">G3+G4+G6+G7</f>
        <v>612670172.49382663</v>
      </c>
      <c r="H8" s="306">
        <f t="shared" ca="1" si="2"/>
        <v>688501382.20808792</v>
      </c>
      <c r="I8" s="306">
        <f t="shared" ca="1" si="2"/>
        <v>757237625.47642612</v>
      </c>
      <c r="J8" s="306">
        <f t="shared" ca="1" si="2"/>
        <v>819147807.67540622</v>
      </c>
      <c r="K8" s="306">
        <f t="shared" ca="1" si="2"/>
        <v>873945677.61180472</v>
      </c>
      <c r="L8" s="306">
        <f t="shared" ca="1" si="2"/>
        <v>924571781.82456231</v>
      </c>
      <c r="M8" s="306">
        <f t="shared" ca="1" si="2"/>
        <v>973778827.35454202</v>
      </c>
      <c r="N8" s="306">
        <f t="shared" ca="1" si="2"/>
        <v>1021190008.8200923</v>
      </c>
      <c r="O8" s="306">
        <f t="shared" ca="1" si="2"/>
        <v>1066399208.2577801</v>
      </c>
      <c r="P8" s="306">
        <f t="shared" ca="1" si="2"/>
        <v>1234637530.9247072</v>
      </c>
      <c r="Q8" s="306">
        <f t="shared" ca="1" si="2"/>
        <v>1386641126.3137121</v>
      </c>
      <c r="R8" s="306">
        <f t="shared" ca="1" si="2"/>
        <v>1527963338.6397119</v>
      </c>
      <c r="S8" s="306">
        <f t="shared" ca="1" si="2"/>
        <v>1659844720.0091448</v>
      </c>
      <c r="T8" s="306">
        <f t="shared" ca="1" si="2"/>
        <v>1784326708.9701858</v>
      </c>
      <c r="U8" s="306">
        <f t="shared" ca="1" si="2"/>
        <v>1904282684.859082</v>
      </c>
      <c r="V8" s="306">
        <f t="shared" ca="1" si="2"/>
        <v>2018420239.5658736</v>
      </c>
      <c r="W8" s="306">
        <f t="shared" ca="1" si="2"/>
        <v>2135122057.5274448</v>
      </c>
      <c r="X8" s="306">
        <f t="shared" ca="1" si="2"/>
        <v>2251295634.9777746</v>
      </c>
      <c r="Y8" s="306">
        <f t="shared" ca="1" si="2"/>
        <v>2366154615.9680514</v>
      </c>
      <c r="Z8" s="306">
        <f t="shared" ca="1" si="2"/>
        <v>2624561371.0812254</v>
      </c>
      <c r="AA8" s="306">
        <f t="shared" ca="1" si="2"/>
        <v>2874621041.8728352</v>
      </c>
      <c r="AB8" s="306">
        <f t="shared" ca="1" si="2"/>
        <v>3119811768.6063242</v>
      </c>
      <c r="AC8" s="306">
        <f t="shared" ca="1" si="2"/>
        <v>3357285931.9580154</v>
      </c>
      <c r="AD8" s="306">
        <f t="shared" ca="1" si="2"/>
        <v>3592217802.7192607</v>
      </c>
      <c r="AE8" s="306">
        <f t="shared" ca="1" si="2"/>
        <v>3822505267.8830328</v>
      </c>
      <c r="AF8" s="306">
        <f t="shared" ca="1" si="2"/>
        <v>4055287809.938086</v>
      </c>
      <c r="AG8" s="306">
        <f t="shared" ca="1" si="2"/>
        <v>4319509571.1684875</v>
      </c>
      <c r="AH8" s="306">
        <f t="shared" ca="1" si="2"/>
        <v>4586825257.3959751</v>
      </c>
      <c r="AI8" s="306">
        <f t="shared" ca="1" si="2"/>
        <v>4845233008.3345528</v>
      </c>
      <c r="AJ8" s="306">
        <f t="shared" ca="1" si="2"/>
        <v>4556817658.6298609</v>
      </c>
      <c r="AK8" s="306">
        <f t="shared" ca="1" si="2"/>
        <v>4257481261.9936996</v>
      </c>
      <c r="AL8" s="306">
        <f t="shared" ca="1" si="2"/>
        <v>3947014590.107832</v>
      </c>
      <c r="AM8" s="306">
        <f t="shared" ca="1" si="2"/>
        <v>3625210040.4530249</v>
      </c>
      <c r="AN8" s="306">
        <f t="shared" ca="1" si="2"/>
        <v>3291862065.5240951</v>
      </c>
      <c r="AO8" s="306">
        <f t="shared" ca="1" si="2"/>
        <v>2946767632.1098638</v>
      </c>
      <c r="AP8" s="306">
        <f t="shared" ca="1" si="2"/>
        <v>2589726712.3067441</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23115648.183675252</v>
      </c>
      <c r="F10" s="314">
        <f ca="1">E10+(F7*Assumptions!F105)</f>
        <v>29265814.968124345</v>
      </c>
      <c r="G10" s="314">
        <f ca="1">F10+(G7*Assumptions!G105)</f>
        <v>34909488.853481799</v>
      </c>
      <c r="H10" s="314">
        <f ca="1">G10+(H7*Assumptions!H105)</f>
        <v>39627003.585853308</v>
      </c>
      <c r="I10" s="314">
        <f ca="1">H10+(I7*Assumptions!I105)</f>
        <v>42702805.586878203</v>
      </c>
      <c r="J10" s="314">
        <f ca="1">I10+(J7*Assumptions!J105)</f>
        <v>45485086.961920694</v>
      </c>
      <c r="K10" s="314">
        <f ca="1">J10+(K7*Assumptions!K105)</f>
        <v>47961538.909672178</v>
      </c>
      <c r="L10" s="314">
        <f ca="1">K10+(L7*Assumptions!L105)</f>
        <v>50258604.9313071</v>
      </c>
      <c r="M10" s="314">
        <f ca="1">L10+(M7*Assumptions!M105)</f>
        <v>52494651.429582573</v>
      </c>
      <c r="N10" s="314">
        <f ca="1">M10+(N7*Assumptions!N105)</f>
        <v>54653475.773087583</v>
      </c>
      <c r="O10" s="314">
        <f ca="1">N10+(O7*Assumptions!O105)</f>
        <v>56717614.889394507</v>
      </c>
      <c r="P10" s="314">
        <f ca="1">O10+(P7*Assumptions!P105)</f>
        <v>64072006.304558717</v>
      </c>
      <c r="Q10" s="314">
        <f ca="1">P10+(Q7*Assumptions!Q105)</f>
        <v>70728304.446772262</v>
      </c>
      <c r="R10" s="314">
        <f ca="1">Q10+(R7*Assumptions!R105)</f>
        <v>76925303.117276594</v>
      </c>
      <c r="S10" s="314">
        <f ca="1">R10+(S7*Assumptions!S105)</f>
        <v>82716346.056648552</v>
      </c>
      <c r="T10" s="314">
        <f ca="1">S10+(T7*Assumptions!T105)</f>
        <v>88189215.12245965</v>
      </c>
      <c r="U10" s="314">
        <f ca="1">T10+(U7*Assumptions!U105)</f>
        <v>93467465.626168534</v>
      </c>
      <c r="V10" s="314">
        <f ca="1">U10+(V7*Assumptions!V105)</f>
        <v>98495524.019046918</v>
      </c>
      <c r="W10" s="314">
        <f ca="1">V10+(W7*Assumptions!W105)</f>
        <v>103633845.73188081</v>
      </c>
      <c r="X10" s="314">
        <f ca="1">W10+(X7*Assumptions!X105)</f>
        <v>108749453.10273135</v>
      </c>
      <c r="Y10" s="314">
        <f ca="1">X10+(Y7*Assumptions!Y105)</f>
        <v>113808532.8257996</v>
      </c>
      <c r="Z10" s="314">
        <f ca="1">Y10+(Z7*Assumptions!Z105)</f>
        <v>125040166.83615242</v>
      </c>
      <c r="AA10" s="314">
        <f ca="1">Z10+(AA7*Assumptions!AA105)</f>
        <v>135912876.22067797</v>
      </c>
      <c r="AB10" s="314">
        <f ca="1">AA10+(AB7*Assumptions!AB105)</f>
        <v>146576221.01070434</v>
      </c>
      <c r="AC10" s="314">
        <f ca="1">AB10+(AC7*Assumptions!AC105)</f>
        <v>156907753.57531342</v>
      </c>
      <c r="AD10" s="314">
        <f ca="1">AC10+(AD7*Assumptions!AD105)</f>
        <v>167129967.55853331</v>
      </c>
      <c r="AE10" s="314">
        <f ca="1">AD10+(AE7*Assumptions!AE105)</f>
        <v>177152472.10106185</v>
      </c>
      <c r="AF10" s="314">
        <f ca="1">AE10+(AF7*Assumptions!AF105)</f>
        <v>187282264.9499155</v>
      </c>
      <c r="AG10" s="314">
        <f ca="1">AF10+(AG7*Assumptions!AG105)</f>
        <v>198763944.2233091</v>
      </c>
      <c r="AH10" s="314">
        <f ca="1">AG10+(AH7*Assumptions!AH105)</f>
        <v>210378662.27157745</v>
      </c>
      <c r="AI10" s="314">
        <f ca="1">AH10+(AI7*Assumptions!AI105)</f>
        <v>221610339.10242262</v>
      </c>
      <c r="AJ10" s="314">
        <f ca="1">AI10+(AJ7*Assumptions!AJ105)</f>
        <v>209208479.06512088</v>
      </c>
      <c r="AK10" s="314">
        <f ca="1">AJ10+(AK7*Assumptions!AK105)</f>
        <v>196337014.00976592</v>
      </c>
      <c r="AL10" s="314">
        <f ca="1">AK10+(AL7*Assumptions!AL105)</f>
        <v>182986947.11867362</v>
      </c>
      <c r="AM10" s="314">
        <f ca="1">AL10+(AM7*Assumptions!AM105)</f>
        <v>169149351.48351693</v>
      </c>
      <c r="AN10" s="314">
        <f ca="1">AM10+(AN7*Assumptions!AN105)</f>
        <v>154815388.56157297</v>
      </c>
      <c r="AO10" s="314">
        <f ca="1">AN10+(AO7*Assumptions!AO105)</f>
        <v>139976327.92476103</v>
      </c>
      <c r="AP10" s="314">
        <f ca="1">AO10+(AP7*Assumptions!AP105)</f>
        <v>124623568.37322688</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vjmIde95dTXvvO612nAOzlZG/fZAAAIYq3I+lps/r/fsPOXairQ1RRcj6GQaHY++Sl5slvN0jc4MiLzDUtMVWQ==" saltValue="JV4Wv0R6YdrKHshE4EYb5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68255253.350006059</v>
      </c>
      <c r="F4" s="77">
        <f>'Profit and Loss'!F4</f>
        <v>84647091.917681396</v>
      </c>
      <c r="G4" s="77">
        <f>'Profit and Loss'!G4</f>
        <v>88581815.472732812</v>
      </c>
      <c r="H4" s="77">
        <f>'Profit and Loss'!H4</f>
        <v>89245995.110542074</v>
      </c>
      <c r="I4" s="77">
        <f>'Profit and Loss'!I4</f>
        <v>89777980.479761243</v>
      </c>
      <c r="J4" s="77">
        <f>'Profit and Loss'!J4</f>
        <v>90187941.775628954</v>
      </c>
      <c r="K4" s="77">
        <f>'Profit and Loss'!K4</f>
        <v>76834457.794332579</v>
      </c>
      <c r="L4" s="77">
        <f>'Profit and Loss'!L4</f>
        <v>76778116.119675696</v>
      </c>
      <c r="M4" s="77">
        <f>'Profit and Loss'!M4</f>
        <v>78423034.275814891</v>
      </c>
      <c r="N4" s="77">
        <f>'Profit and Loss'!N4</f>
        <v>80037082.019239545</v>
      </c>
      <c r="O4" s="77">
        <f>'Profit and Loss'!O4</f>
        <v>81620535.302196681</v>
      </c>
      <c r="P4" s="77">
        <f>'Profit and Loss'!P4</f>
        <v>84426268.734033957</v>
      </c>
      <c r="Q4" s="77">
        <f>'Profit and Loss'!Q4</f>
        <v>87157658.837003261</v>
      </c>
      <c r="R4" s="77">
        <f>'Profit and Loss'!R4</f>
        <v>90332792.160369426</v>
      </c>
      <c r="S4" s="77">
        <f>'Profit and Loss'!S4</f>
        <v>93483490.27931495</v>
      </c>
      <c r="T4" s="77">
        <f>'Profit and Loss'!T4</f>
        <v>96609654.792638257</v>
      </c>
      <c r="U4" s="77">
        <f>'Profit and Loss'!U4</f>
        <v>99711158.184696972</v>
      </c>
      <c r="V4" s="77">
        <f>'Profit and Loss'!V4</f>
        <v>102787842.97945586</v>
      </c>
      <c r="W4" s="77">
        <f>'Profit and Loss'!W4</f>
        <v>107483889.02296439</v>
      </c>
      <c r="X4" s="77">
        <f>'Profit and Loss'!X4</f>
        <v>112321172.03565577</v>
      </c>
      <c r="Y4" s="77">
        <f>'Profit and Loss'!Y4</f>
        <v>117303524.50194176</v>
      </c>
      <c r="Z4" s="77">
        <f>'Profit and Loss'!Z4</f>
        <v>123589795.7217281</v>
      </c>
      <c r="AA4" s="77">
        <f>'Profit and Loss'!AA4</f>
        <v>130065997.31786203</v>
      </c>
      <c r="AB4" s="77">
        <f>'Profit and Loss'!AB4</f>
        <v>136737150.98407802</v>
      </c>
      <c r="AC4" s="77">
        <f>'Profit and Loss'!AC4</f>
        <v>143608407.25065729</v>
      </c>
      <c r="AD4" s="77">
        <f>'Profit and Loss'!AD4</f>
        <v>150685048.83408022</v>
      </c>
      <c r="AE4" s="77">
        <f>'Profit and Loss'!AE4</f>
        <v>157972494.07652199</v>
      </c>
      <c r="AF4" s="77">
        <f>'Profit and Loss'!AF4</f>
        <v>165476300.47768417</v>
      </c>
      <c r="AG4" s="77">
        <f>'Profit and Loss'!AG4</f>
        <v>173202168.32152385</v>
      </c>
      <c r="AH4" s="77">
        <f>'Profit and Loss'!AH4</f>
        <v>181155944.40051663</v>
      </c>
      <c r="AI4" s="77">
        <f>'Profit and Loss'!AI4</f>
        <v>189343625.84016359</v>
      </c>
      <c r="AJ4" s="77">
        <f>'Profit and Loss'!AJ4</f>
        <v>194215384.50152019</v>
      </c>
      <c r="AK4" s="77">
        <f>'Profit and Loss'!AK4</f>
        <v>199220215.27296007</v>
      </c>
      <c r="AL4" s="77">
        <f>'Profit and Loss'!AL4</f>
        <v>204361912.2846038</v>
      </c>
      <c r="AM4" s="77">
        <f>'Profit and Loss'!AM4</f>
        <v>209644380.84287256</v>
      </c>
      <c r="AN4" s="77">
        <f>'Profit and Loss'!AN4</f>
        <v>215071640.73912439</v>
      </c>
      <c r="AO4" s="77">
        <f>'Profit and Loss'!AO4</f>
        <v>220647829.6574856</v>
      </c>
      <c r="AP4" s="77">
        <f>'Profit and Loss'!AP4</f>
        <v>226377206.68485871</v>
      </c>
    </row>
    <row r="5" spans="1:45" x14ac:dyDescent="0.35">
      <c r="A5" t="s">
        <v>455</v>
      </c>
      <c r="B5" t="s">
        <v>454</v>
      </c>
      <c r="C5" s="162"/>
      <c r="D5" s="162"/>
      <c r="E5" s="77"/>
      <c r="F5" s="77">
        <f>'Cash Flow'!F8</f>
        <v>169266475.32829943</v>
      </c>
      <c r="G5" s="77">
        <f>'Cash Flow'!G8</f>
        <v>176579761.28561181</v>
      </c>
      <c r="H5" s="77">
        <f>'Cash Flow'!H8</f>
        <v>178198019.97845197</v>
      </c>
      <c r="I5" s="77">
        <f>'Cash Flow'!I8</f>
        <v>179934720.45005733</v>
      </c>
      <c r="J5" s="77">
        <f>'Cash Flow'!J8</f>
        <v>181790489.35477841</v>
      </c>
      <c r="K5" s="77">
        <f>'Cash Flow'!K8</f>
        <v>183766019.61144823</v>
      </c>
      <c r="L5" s="77">
        <f>'Cash Flow'!L8</f>
        <v>185862069.97094962</v>
      </c>
      <c r="M5" s="77">
        <f>'Cash Flow'!M8</f>
        <v>190684630.09358764</v>
      </c>
      <c r="N5" s="77">
        <f>'Cash Flow'!N8</f>
        <v>195629165.03769442</v>
      </c>
      <c r="O5" s="77">
        <f>'Cash Flow'!O8</f>
        <v>200698628.18288046</v>
      </c>
      <c r="P5" s="77">
        <f>'Cash Flow'!P8</f>
        <v>347237460.49197263</v>
      </c>
      <c r="Q5" s="77">
        <f>'Cash Flow'!Q8</f>
        <v>355824706.7233693</v>
      </c>
      <c r="R5" s="77">
        <f>'Cash Flow'!R8</f>
        <v>366224224.22659606</v>
      </c>
      <c r="S5" s="77">
        <f>'Cash Flow'!S8</f>
        <v>376884985.17085421</v>
      </c>
      <c r="T5" s="77">
        <f>'Cash Flow'!T8</f>
        <v>387812935.0701924</v>
      </c>
      <c r="U5" s="77">
        <f>'Cash Flow'!U8</f>
        <v>399014134.74646926</v>
      </c>
      <c r="V5" s="77">
        <f>'Cash Flow'!V8</f>
        <v>410494761.78017926</v>
      </c>
      <c r="W5" s="77">
        <f>'Cash Flow'!W8</f>
        <v>427473829.1156199</v>
      </c>
      <c r="X5" s="77">
        <f>'Cash Flow'!X8</f>
        <v>445067551.19131911</v>
      </c>
      <c r="Y5" s="77">
        <f>'Cash Flow'!Y8</f>
        <v>463296651.15105712</v>
      </c>
      <c r="Z5" s="77">
        <f>'Cash Flow'!Z8</f>
        <v>643992644.98982215</v>
      </c>
      <c r="AA5" s="77">
        <f>'Cash Flow'!AA8</f>
        <v>671692884.81712067</v>
      </c>
      <c r="AB5" s="77">
        <f>'Cash Flow'!AB8</f>
        <v>700413915.34401155</v>
      </c>
      <c r="AC5" s="77">
        <f>'Cash Flow'!AC8</f>
        <v>730190496.8569169</v>
      </c>
      <c r="AD5" s="77">
        <f>'Cash Flow'!AD8</f>
        <v>761058517.41191268</v>
      </c>
      <c r="AE5" s="77">
        <f>'Cash Flow'!AE8</f>
        <v>793055028.23862672</v>
      </c>
      <c r="AF5" s="77">
        <f>'Cash Flow'!AF8</f>
        <v>826218280.22909975</v>
      </c>
      <c r="AG5" s="77">
        <f>'Cash Flow'!AG8</f>
        <v>860587761.54425538</v>
      </c>
      <c r="AH5" s="77">
        <f>'Cash Flow'!AH8</f>
        <v>896204236.37157238</v>
      </c>
      <c r="AI5" s="77">
        <f>'Cash Flow'!AI8</f>
        <v>933109784.86856723</v>
      </c>
      <c r="AJ5" s="77">
        <f>'Cash Flow'!AJ8</f>
        <v>408216974.21736908</v>
      </c>
      <c r="AK5" s="77">
        <f>'Cash Flow'!AK8</f>
        <v>419753754.91708547</v>
      </c>
      <c r="AL5" s="77">
        <f>'Cash Flow'!AL8</f>
        <v>431616581.12034458</v>
      </c>
      <c r="AM5" s="77">
        <f>'Cash Flow'!AM8</f>
        <v>443814667.32754683</v>
      </c>
      <c r="AN5" s="77">
        <f>'Cash Flow'!AN8</f>
        <v>456357488.45371854</v>
      </c>
      <c r="AO5" s="77">
        <f>'Cash Flow'!AO8</f>
        <v>469254787.18819118</v>
      </c>
      <c r="AP5" s="77">
        <f>'Cash Flow'!AP8</f>
        <v>482516581.56227708</v>
      </c>
    </row>
    <row r="6" spans="1:45" x14ac:dyDescent="0.35">
      <c r="A6" t="s">
        <v>421</v>
      </c>
      <c r="B6" t="s">
        <v>454</v>
      </c>
      <c r="C6" s="162"/>
      <c r="D6" s="162"/>
      <c r="E6" s="77"/>
      <c r="F6" s="77">
        <f>'Cash Flow'!F7</f>
        <v>2794035.8252638299</v>
      </c>
      <c r="G6" s="77">
        <f>'Cash Flow'!G7</f>
        <v>2794035.8252638299</v>
      </c>
      <c r="H6" s="77">
        <f>'Cash Flow'!H7</f>
        <v>2794035.8252638299</v>
      </c>
      <c r="I6" s="77">
        <f>'Cash Flow'!I7</f>
        <v>2794035.8252638299</v>
      </c>
      <c r="J6" s="77">
        <f>'Cash Flow'!J7</f>
        <v>2794035.8252638299</v>
      </c>
      <c r="K6" s="77">
        <f>'Cash Flow'!K7</f>
        <v>2794035.8252638299</v>
      </c>
      <c r="L6" s="77">
        <f>'Cash Flow'!L7</f>
        <v>2794035.8252638299</v>
      </c>
      <c r="M6" s="77">
        <f>'Cash Flow'!M7</f>
        <v>2794035.8252638299</v>
      </c>
      <c r="N6" s="77">
        <f>'Cash Flow'!N7</f>
        <v>2794035.8252638299</v>
      </c>
      <c r="O6" s="77">
        <f>'Cash Flow'!O7</f>
        <v>2794035.8252638299</v>
      </c>
      <c r="P6" s="77">
        <f>'Cash Flow'!P7</f>
        <v>2794035.8252638299</v>
      </c>
      <c r="Q6" s="77">
        <f>'Cash Flow'!Q7</f>
        <v>2794035.8252638299</v>
      </c>
      <c r="R6" s="77">
        <f>'Cash Flow'!R7</f>
        <v>2794035.8252638299</v>
      </c>
      <c r="S6" s="77">
        <f>'Cash Flow'!S7</f>
        <v>2794035.8252638299</v>
      </c>
      <c r="T6" s="77">
        <f>'Cash Flow'!T7</f>
        <v>2794035.8252638299</v>
      </c>
      <c r="U6" s="77">
        <f>'Cash Flow'!U7</f>
        <v>2794035.8252638299</v>
      </c>
      <c r="V6" s="77">
        <f>'Cash Flow'!V7</f>
        <v>2794035.8252638299</v>
      </c>
      <c r="W6" s="77">
        <f>'Cash Flow'!W7</f>
        <v>2794035.8252638299</v>
      </c>
      <c r="X6" s="77">
        <f>'Cash Flow'!X7</f>
        <v>2794035.8252638299</v>
      </c>
      <c r="Y6" s="77">
        <f>'Cash Flow'!Y7</f>
        <v>2794035.8252638299</v>
      </c>
      <c r="Z6" s="77">
        <f>'Cash Flow'!Z7</f>
        <v>2794035.8252638299</v>
      </c>
      <c r="AA6" s="77">
        <f>'Cash Flow'!AA7</f>
        <v>2794035.8252638299</v>
      </c>
      <c r="AB6" s="77">
        <f>'Cash Flow'!AB7</f>
        <v>2794035.8252638299</v>
      </c>
      <c r="AC6" s="77">
        <f>'Cash Flow'!AC7</f>
        <v>2794035.8252638299</v>
      </c>
      <c r="AD6" s="77">
        <f>'Cash Flow'!AD7</f>
        <v>2794035.8252638299</v>
      </c>
      <c r="AE6" s="77">
        <f>'Cash Flow'!AE7</f>
        <v>2794035.8252638299</v>
      </c>
      <c r="AF6" s="77">
        <f>'Cash Flow'!AF7</f>
        <v>2794035.8252638299</v>
      </c>
      <c r="AG6" s="77">
        <f>'Cash Flow'!AG7</f>
        <v>2794035.8252638299</v>
      </c>
      <c r="AH6" s="77">
        <f>'Cash Flow'!AH7</f>
        <v>2794035.8252638299</v>
      </c>
      <c r="AI6" s="77">
        <f>'Cash Flow'!AI7</f>
        <v>2794035.8252638299</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23115648.183675252</v>
      </c>
      <c r="F7" s="77">
        <f ca="1">'Debt worksheet'!F10</f>
        <v>29265814.968124345</v>
      </c>
      <c r="G7" s="77">
        <f ca="1">'Debt worksheet'!G10</f>
        <v>34909488.853481799</v>
      </c>
      <c r="H7" s="77">
        <f ca="1">'Debt worksheet'!H10</f>
        <v>39627003.585853308</v>
      </c>
      <c r="I7" s="77">
        <f ca="1">'Debt worksheet'!I10</f>
        <v>42702805.586878203</v>
      </c>
      <c r="J7" s="77">
        <f ca="1">'Debt worksheet'!J10</f>
        <v>45485086.961920694</v>
      </c>
      <c r="K7" s="77">
        <f ca="1">'Debt worksheet'!K10</f>
        <v>47961538.909672178</v>
      </c>
      <c r="L7" s="77">
        <f ca="1">'Debt worksheet'!L10</f>
        <v>50258604.9313071</v>
      </c>
      <c r="M7" s="77">
        <f ca="1">'Debt worksheet'!M10</f>
        <v>52494651.429582573</v>
      </c>
      <c r="N7" s="77">
        <f ca="1">'Debt worksheet'!N10</f>
        <v>54653475.773087583</v>
      </c>
      <c r="O7" s="77">
        <f ca="1">'Debt worksheet'!O10</f>
        <v>56717614.889394507</v>
      </c>
      <c r="P7" s="77">
        <f ca="1">'Debt worksheet'!P10</f>
        <v>64072006.304558717</v>
      </c>
      <c r="Q7" s="77">
        <f ca="1">'Debt worksheet'!Q10</f>
        <v>70728304.446772262</v>
      </c>
      <c r="R7" s="77">
        <f ca="1">'Debt worksheet'!R10</f>
        <v>76925303.117276594</v>
      </c>
      <c r="S7" s="77">
        <f ca="1">'Debt worksheet'!S10</f>
        <v>82716346.056648552</v>
      </c>
      <c r="T7" s="77">
        <f ca="1">'Debt worksheet'!T10</f>
        <v>88189215.12245965</v>
      </c>
      <c r="U7" s="77">
        <f ca="1">'Debt worksheet'!U10</f>
        <v>93467465.626168534</v>
      </c>
      <c r="V7" s="77">
        <f ca="1">'Debt worksheet'!V10</f>
        <v>98495524.019046918</v>
      </c>
      <c r="W7" s="77">
        <f ca="1">'Debt worksheet'!W10</f>
        <v>103633845.73188081</v>
      </c>
      <c r="X7" s="77">
        <f ca="1">'Debt worksheet'!X10</f>
        <v>108749453.10273135</v>
      </c>
      <c r="Y7" s="77">
        <f ca="1">'Debt worksheet'!Y10</f>
        <v>113808532.8257996</v>
      </c>
      <c r="Z7" s="77">
        <f ca="1">'Debt worksheet'!Z10</f>
        <v>125040166.83615242</v>
      </c>
      <c r="AA7" s="77">
        <f ca="1">'Debt worksheet'!AA10</f>
        <v>135912876.22067797</v>
      </c>
      <c r="AB7" s="77">
        <f ca="1">'Debt worksheet'!AB10</f>
        <v>146576221.01070434</v>
      </c>
      <c r="AC7" s="77">
        <f ca="1">'Debt worksheet'!AC10</f>
        <v>156907753.57531342</v>
      </c>
      <c r="AD7" s="77">
        <f ca="1">'Debt worksheet'!AD10</f>
        <v>167129967.55853331</v>
      </c>
      <c r="AE7" s="77">
        <f ca="1">'Debt worksheet'!AE10</f>
        <v>177152472.10106185</v>
      </c>
      <c r="AF7" s="77">
        <f ca="1">'Debt worksheet'!AF10</f>
        <v>187282264.9499155</v>
      </c>
      <c r="AG7" s="77">
        <f ca="1">'Debt worksheet'!AG10</f>
        <v>198763944.2233091</v>
      </c>
      <c r="AH7" s="77">
        <f ca="1">'Debt worksheet'!AH10</f>
        <v>210378662.27157745</v>
      </c>
      <c r="AI7" s="77">
        <f ca="1">'Debt worksheet'!AI10</f>
        <v>221610339.10242262</v>
      </c>
      <c r="AJ7" s="77">
        <f ca="1">'Debt worksheet'!AJ10</f>
        <v>209208479.06512088</v>
      </c>
      <c r="AK7" s="77">
        <f ca="1">'Debt worksheet'!AK10</f>
        <v>196337014.00976592</v>
      </c>
      <c r="AL7" s="77">
        <f ca="1">'Debt worksheet'!AL10</f>
        <v>182986947.11867362</v>
      </c>
      <c r="AM7" s="77">
        <f ca="1">'Debt worksheet'!AM10</f>
        <v>169149351.48351693</v>
      </c>
      <c r="AN7" s="77">
        <f ca="1">'Debt worksheet'!AN10</f>
        <v>154815388.56157297</v>
      </c>
      <c r="AO7" s="77">
        <f ca="1">'Debt worksheet'!AO10</f>
        <v>139976327.92476103</v>
      </c>
      <c r="AP7" s="77">
        <f ca="1">'Debt worksheet'!AP10</f>
        <v>124623568.37322688</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68255253.350006059</v>
      </c>
      <c r="F9" s="77">
        <f t="shared" ref="F9:AP9" si="1">SUM(F4:F6)</f>
        <v>256707603.07124466</v>
      </c>
      <c r="G9" s="77">
        <f t="shared" si="1"/>
        <v>267955612.58360845</v>
      </c>
      <c r="H9" s="77">
        <f t="shared" si="1"/>
        <v>270238050.91425788</v>
      </c>
      <c r="I9" s="77">
        <f t="shared" si="1"/>
        <v>272506736.75508243</v>
      </c>
      <c r="J9" s="77">
        <f t="shared" si="1"/>
        <v>274772466.95567119</v>
      </c>
      <c r="K9" s="77">
        <f t="shared" si="1"/>
        <v>263394513.23104462</v>
      </c>
      <c r="L9" s="77">
        <f t="shared" si="1"/>
        <v>265434221.91588914</v>
      </c>
      <c r="M9" s="77">
        <f t="shared" si="1"/>
        <v>271901700.19466639</v>
      </c>
      <c r="N9" s="77">
        <f t="shared" si="1"/>
        <v>278460282.88219786</v>
      </c>
      <c r="O9" s="77">
        <f t="shared" si="1"/>
        <v>285113199.310341</v>
      </c>
      <c r="P9" s="77">
        <f t="shared" si="1"/>
        <v>434457765.05127043</v>
      </c>
      <c r="Q9" s="77">
        <f t="shared" si="1"/>
        <v>445776401.38563645</v>
      </c>
      <c r="R9" s="77">
        <f t="shared" si="1"/>
        <v>459351052.21222937</v>
      </c>
      <c r="S9" s="77">
        <f t="shared" si="1"/>
        <v>473162511.275433</v>
      </c>
      <c r="T9" s="77">
        <f t="shared" si="1"/>
        <v>487216625.6880945</v>
      </c>
      <c r="U9" s="77">
        <f t="shared" si="1"/>
        <v>501519328.75643009</v>
      </c>
      <c r="V9" s="77">
        <f t="shared" si="1"/>
        <v>516076640.58489895</v>
      </c>
      <c r="W9" s="77">
        <f t="shared" si="1"/>
        <v>537751753.96384811</v>
      </c>
      <c r="X9" s="77">
        <f t="shared" si="1"/>
        <v>560182759.0522387</v>
      </c>
      <c r="Y9" s="77">
        <f t="shared" si="1"/>
        <v>583394211.47826278</v>
      </c>
      <c r="Z9" s="77">
        <f t="shared" si="1"/>
        <v>770376476.53681409</v>
      </c>
      <c r="AA9" s="77">
        <f t="shared" si="1"/>
        <v>804552917.96024656</v>
      </c>
      <c r="AB9" s="77">
        <f t="shared" si="1"/>
        <v>839945102.15335345</v>
      </c>
      <c r="AC9" s="77">
        <f t="shared" si="1"/>
        <v>876592939.93283808</v>
      </c>
      <c r="AD9" s="77">
        <f t="shared" si="1"/>
        <v>914537602.07125676</v>
      </c>
      <c r="AE9" s="77">
        <f t="shared" si="1"/>
        <v>953821558.14041257</v>
      </c>
      <c r="AF9" s="77">
        <f t="shared" si="1"/>
        <v>994488616.53204775</v>
      </c>
      <c r="AG9" s="77">
        <f t="shared" si="1"/>
        <v>1036583965.691043</v>
      </c>
      <c r="AH9" s="77">
        <f t="shared" si="1"/>
        <v>1080154216.5973527</v>
      </c>
      <c r="AI9" s="77">
        <f t="shared" si="1"/>
        <v>1125247446.5339944</v>
      </c>
      <c r="AJ9" s="77">
        <f t="shared" si="1"/>
        <v>602432358.71888924</v>
      </c>
      <c r="AK9" s="77">
        <f t="shared" si="1"/>
        <v>618973970.1900456</v>
      </c>
      <c r="AL9" s="77">
        <f t="shared" si="1"/>
        <v>635978493.40494835</v>
      </c>
      <c r="AM9" s="77">
        <f t="shared" si="1"/>
        <v>653459048.17041945</v>
      </c>
      <c r="AN9" s="77">
        <f t="shared" si="1"/>
        <v>671429129.19284296</v>
      </c>
      <c r="AO9" s="77">
        <f t="shared" si="1"/>
        <v>689902616.84567678</v>
      </c>
      <c r="AP9" s="77">
        <f t="shared" si="1"/>
        <v>708893788.24713576</v>
      </c>
    </row>
    <row r="10" spans="1:45" x14ac:dyDescent="0.35">
      <c r="A10" t="s">
        <v>457</v>
      </c>
      <c r="B10" t="s">
        <v>454</v>
      </c>
      <c r="C10" s="162"/>
      <c r="D10" s="162"/>
      <c r="E10" s="77">
        <f t="shared" ref="E10:AP10" si="2">SUM(E4:E7)</f>
        <v>91370901.533681303</v>
      </c>
      <c r="F10" s="77">
        <f t="shared" ca="1" si="2"/>
        <v>285973418.03936899</v>
      </c>
      <c r="G10" s="77">
        <f t="shared" ca="1" si="2"/>
        <v>302865101.43709028</v>
      </c>
      <c r="H10" s="77">
        <f t="shared" ca="1" si="2"/>
        <v>309865054.50011122</v>
      </c>
      <c r="I10" s="77">
        <f t="shared" ca="1" si="2"/>
        <v>315209542.34196061</v>
      </c>
      <c r="J10" s="77">
        <f t="shared" ca="1" si="2"/>
        <v>320257553.91759187</v>
      </c>
      <c r="K10" s="77">
        <f t="shared" ca="1" si="2"/>
        <v>311356052.14071679</v>
      </c>
      <c r="L10" s="77">
        <f t="shared" ca="1" si="2"/>
        <v>315692826.84719622</v>
      </c>
      <c r="M10" s="77">
        <f t="shared" ca="1" si="2"/>
        <v>324396351.62424898</v>
      </c>
      <c r="N10" s="77">
        <f t="shared" ca="1" si="2"/>
        <v>333113758.65528542</v>
      </c>
      <c r="O10" s="77">
        <f t="shared" ca="1" si="2"/>
        <v>341830814.19973552</v>
      </c>
      <c r="P10" s="77">
        <f t="shared" ca="1" si="2"/>
        <v>498529771.35582912</v>
      </c>
      <c r="Q10" s="77">
        <f t="shared" ca="1" si="2"/>
        <v>516504705.83240873</v>
      </c>
      <c r="R10" s="77">
        <f t="shared" ca="1" si="2"/>
        <v>536276355.32950598</v>
      </c>
      <c r="S10" s="77">
        <f t="shared" ca="1" si="2"/>
        <v>555878857.33208156</v>
      </c>
      <c r="T10" s="77">
        <f t="shared" ca="1" si="2"/>
        <v>575405840.81055415</v>
      </c>
      <c r="U10" s="77">
        <f t="shared" ca="1" si="2"/>
        <v>594986794.38259864</v>
      </c>
      <c r="V10" s="77">
        <f t="shared" ca="1" si="2"/>
        <v>614572164.60394585</v>
      </c>
      <c r="W10" s="77">
        <f t="shared" ca="1" si="2"/>
        <v>641385599.6957289</v>
      </c>
      <c r="X10" s="77">
        <f t="shared" ca="1" si="2"/>
        <v>668932212.15497005</v>
      </c>
      <c r="Y10" s="77">
        <f t="shared" ca="1" si="2"/>
        <v>697202744.30406237</v>
      </c>
      <c r="Z10" s="77">
        <f t="shared" ca="1" si="2"/>
        <v>895416643.37296653</v>
      </c>
      <c r="AA10" s="77">
        <f t="shared" ca="1" si="2"/>
        <v>940465794.18092453</v>
      </c>
      <c r="AB10" s="77">
        <f t="shared" ca="1" si="2"/>
        <v>986521323.16405773</v>
      </c>
      <c r="AC10" s="77">
        <f t="shared" ca="1" si="2"/>
        <v>1033500693.5081515</v>
      </c>
      <c r="AD10" s="77">
        <f t="shared" ca="1" si="2"/>
        <v>1081667569.6297901</v>
      </c>
      <c r="AE10" s="77">
        <f t="shared" ca="1" si="2"/>
        <v>1130974030.2414744</v>
      </c>
      <c r="AF10" s="77">
        <f t="shared" ca="1" si="2"/>
        <v>1181770881.4819632</v>
      </c>
      <c r="AG10" s="77">
        <f t="shared" ca="1" si="2"/>
        <v>1235347909.9143522</v>
      </c>
      <c r="AH10" s="77">
        <f t="shared" ca="1" si="2"/>
        <v>1290532878.8689301</v>
      </c>
      <c r="AI10" s="77">
        <f t="shared" ca="1" si="2"/>
        <v>1346857785.6364172</v>
      </c>
      <c r="AJ10" s="77">
        <f t="shared" ca="1" si="2"/>
        <v>811640837.78401017</v>
      </c>
      <c r="AK10" s="77">
        <f t="shared" ca="1" si="2"/>
        <v>815310984.19981146</v>
      </c>
      <c r="AL10" s="77">
        <f t="shared" ca="1" si="2"/>
        <v>818965440.52362204</v>
      </c>
      <c r="AM10" s="77">
        <f t="shared" ca="1" si="2"/>
        <v>822608399.65393639</v>
      </c>
      <c r="AN10" s="77">
        <f t="shared" ca="1" si="2"/>
        <v>826244517.75441599</v>
      </c>
      <c r="AO10" s="77">
        <f t="shared" ca="1" si="2"/>
        <v>829878944.77043784</v>
      </c>
      <c r="AP10" s="77">
        <f t="shared" ca="1" si="2"/>
        <v>833517356.62036264</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61980361.546988904</v>
      </c>
      <c r="F14" s="77">
        <f t="shared" ref="F14:AP14" si="3">F9/F$12</f>
        <v>227422216.79263967</v>
      </c>
      <c r="G14" s="77">
        <f t="shared" si="3"/>
        <v>232732397.41659024</v>
      </c>
      <c r="H14" s="77">
        <f t="shared" si="3"/>
        <v>230112554.3102949</v>
      </c>
      <c r="I14" s="77">
        <f t="shared" si="3"/>
        <v>227494491.22881979</v>
      </c>
      <c r="J14" s="77">
        <f t="shared" si="3"/>
        <v>224888207.43535963</v>
      </c>
      <c r="K14" s="77">
        <f t="shared" si="3"/>
        <v>211348914.68110937</v>
      </c>
      <c r="L14" s="77">
        <f t="shared" si="3"/>
        <v>208809397.93294519</v>
      </c>
      <c r="M14" s="77">
        <f t="shared" si="3"/>
        <v>209703113.10876659</v>
      </c>
      <c r="N14" s="77">
        <f t="shared" si="3"/>
        <v>210550386.39266109</v>
      </c>
      <c r="O14" s="77">
        <f t="shared" si="3"/>
        <v>211353738.61724705</v>
      </c>
      <c r="P14" s="77">
        <f t="shared" si="3"/>
        <v>315747559.8924576</v>
      </c>
      <c r="Q14" s="77">
        <f t="shared" si="3"/>
        <v>317621097.04668343</v>
      </c>
      <c r="R14" s="77">
        <f t="shared" si="3"/>
        <v>320875686.80059624</v>
      </c>
      <c r="S14" s="77">
        <f t="shared" si="3"/>
        <v>324042707.39101899</v>
      </c>
      <c r="T14" s="77">
        <f t="shared" si="3"/>
        <v>327125087.52722019</v>
      </c>
      <c r="U14" s="77">
        <f t="shared" si="3"/>
        <v>330125639.86847818</v>
      </c>
      <c r="V14" s="77">
        <f t="shared" si="3"/>
        <v>333047064.80745429</v>
      </c>
      <c r="W14" s="77">
        <f t="shared" si="3"/>
        <v>340230366.10688543</v>
      </c>
      <c r="X14" s="77">
        <f t="shared" si="3"/>
        <v>347472791.59770542</v>
      </c>
      <c r="Y14" s="77">
        <f t="shared" si="3"/>
        <v>354775000.2707116</v>
      </c>
      <c r="Z14" s="77">
        <f t="shared" si="3"/>
        <v>459297133.2626971</v>
      </c>
      <c r="AA14" s="77">
        <f t="shared" si="3"/>
        <v>470267714.69501305</v>
      </c>
      <c r="AB14" s="77">
        <f t="shared" si="3"/>
        <v>481328170.38452953</v>
      </c>
      <c r="AC14" s="77">
        <f t="shared" si="3"/>
        <v>492479520.00039405</v>
      </c>
      <c r="AD14" s="77">
        <f t="shared" si="3"/>
        <v>503722791.19127315</v>
      </c>
      <c r="AE14" s="77">
        <f t="shared" si="3"/>
        <v>515059019.64345735</v>
      </c>
      <c r="AF14" s="77">
        <f t="shared" si="3"/>
        <v>526489249.13949245</v>
      </c>
      <c r="AG14" s="77">
        <f t="shared" si="3"/>
        <v>538014531.61734319</v>
      </c>
      <c r="AH14" s="77">
        <f t="shared" si="3"/>
        <v>549635927.23008418</v>
      </c>
      <c r="AI14" s="77">
        <f t="shared" si="3"/>
        <v>561354504.40612471</v>
      </c>
      <c r="AJ14" s="77">
        <f t="shared" si="3"/>
        <v>294643792.078466</v>
      </c>
      <c r="AK14" s="77">
        <f t="shared" si="3"/>
        <v>296798169.55373323</v>
      </c>
      <c r="AL14" s="77">
        <f t="shared" si="3"/>
        <v>298972394.68566829</v>
      </c>
      <c r="AM14" s="77">
        <f t="shared" si="3"/>
        <v>301166640.57049143</v>
      </c>
      <c r="AN14" s="77">
        <f t="shared" si="3"/>
        <v>303381081.82298481</v>
      </c>
      <c r="AO14" s="77">
        <f t="shared" si="3"/>
        <v>305615894.58949351</v>
      </c>
      <c r="AP14" s="77">
        <f t="shared" si="3"/>
        <v>307871256.5610323</v>
      </c>
    </row>
    <row r="15" spans="1:45" x14ac:dyDescent="0.35">
      <c r="A15" t="s">
        <v>457</v>
      </c>
      <c r="B15" t="s">
        <v>458</v>
      </c>
      <c r="C15" s="162"/>
      <c r="D15" s="162"/>
      <c r="E15" s="77">
        <f>E10/E$12</f>
        <v>82970925.078712448</v>
      </c>
      <c r="F15" s="77">
        <f t="shared" ref="F15:AP15" ca="1" si="4">F10/F$12</f>
        <v>253349366.73547512</v>
      </c>
      <c r="G15" s="77">
        <f t="shared" ca="1" si="4"/>
        <v>263052975.34784558</v>
      </c>
      <c r="H15" s="77">
        <f t="shared" ca="1" si="4"/>
        <v>263855659.6352261</v>
      </c>
      <c r="I15" s="77">
        <f t="shared" ca="1" si="4"/>
        <v>263143712.77361107</v>
      </c>
      <c r="J15" s="77">
        <f t="shared" ca="1" si="4"/>
        <v>262115589.73184726</v>
      </c>
      <c r="K15" s="77">
        <f t="shared" ca="1" si="4"/>
        <v>249833464.2286672</v>
      </c>
      <c r="L15" s="77">
        <f t="shared" ca="1" si="4"/>
        <v>248346383.63474169</v>
      </c>
      <c r="M15" s="77">
        <f t="shared" ca="1" si="4"/>
        <v>250189405.83316556</v>
      </c>
      <c r="N15" s="77">
        <f t="shared" ca="1" si="4"/>
        <v>251875168.23450702</v>
      </c>
      <c r="O15" s="77">
        <f t="shared" ca="1" si="4"/>
        <v>253398372.05169773</v>
      </c>
      <c r="P15" s="77">
        <f t="shared" ca="1" si="4"/>
        <v>362312683.7674818</v>
      </c>
      <c r="Q15" s="77">
        <f t="shared" ca="1" si="4"/>
        <v>368015872.50093985</v>
      </c>
      <c r="R15" s="77">
        <f t="shared" ca="1" si="4"/>
        <v>374611188.98617941</v>
      </c>
      <c r="S15" s="77">
        <f t="shared" ca="1" si="4"/>
        <v>380690535.74377316</v>
      </c>
      <c r="T15" s="77">
        <f t="shared" ca="1" si="4"/>
        <v>386336746.5611217</v>
      </c>
      <c r="U15" s="77">
        <f t="shared" ca="1" si="4"/>
        <v>391650700.07549876</v>
      </c>
      <c r="V15" s="77">
        <f t="shared" ca="1" si="4"/>
        <v>396610579.58703709</v>
      </c>
      <c r="W15" s="77">
        <f t="shared" ca="1" si="4"/>
        <v>405798504.21990907</v>
      </c>
      <c r="X15" s="77">
        <f t="shared" ca="1" si="4"/>
        <v>414928412.89933497</v>
      </c>
      <c r="Y15" s="77">
        <f t="shared" ca="1" si="4"/>
        <v>423984501.27308273</v>
      </c>
      <c r="Z15" s="77">
        <f t="shared" ca="1" si="4"/>
        <v>533845866.14809138</v>
      </c>
      <c r="AA15" s="77">
        <f t="shared" ca="1" si="4"/>
        <v>549709894.65747821</v>
      </c>
      <c r="AB15" s="77">
        <f t="shared" ca="1" si="4"/>
        <v>565323260.18276703</v>
      </c>
      <c r="AC15" s="77">
        <f t="shared" ca="1" si="4"/>
        <v>580632015.46885049</v>
      </c>
      <c r="AD15" s="77">
        <f t="shared" ca="1" si="4"/>
        <v>595777151.29590213</v>
      </c>
      <c r="AE15" s="77">
        <f t="shared" ca="1" si="4"/>
        <v>610720496.18386889</v>
      </c>
      <c r="AF15" s="77">
        <f t="shared" ca="1" si="4"/>
        <v>625637793.84025216</v>
      </c>
      <c r="AG15" s="77">
        <f t="shared" ca="1" si="4"/>
        <v>641178282.83592272</v>
      </c>
      <c r="AH15" s="77">
        <f t="shared" ca="1" si="4"/>
        <v>656687003.20636487</v>
      </c>
      <c r="AI15" s="77">
        <f t="shared" ca="1" si="4"/>
        <v>671909709.36242008</v>
      </c>
      <c r="AJ15" s="77">
        <f t="shared" ca="1" si="4"/>
        <v>396965619.10947275</v>
      </c>
      <c r="AK15" s="77">
        <f t="shared" ca="1" si="4"/>
        <v>390941815.61990398</v>
      </c>
      <c r="AL15" s="77">
        <f t="shared" ca="1" si="4"/>
        <v>384994243.44880754</v>
      </c>
      <c r="AM15" s="77">
        <f t="shared" ca="1" si="4"/>
        <v>379124306.1405037</v>
      </c>
      <c r="AN15" s="77">
        <f t="shared" ca="1" si="4"/>
        <v>373333453.59618795</v>
      </c>
      <c r="AO15" s="77">
        <f t="shared" ca="1" si="4"/>
        <v>367623183.20606548</v>
      </c>
      <c r="AP15" s="77">
        <f t="shared" ca="1" si="4"/>
        <v>361995041.00983769</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228514.49099409085</v>
      </c>
      <c r="F17" s="38">
        <f>Assumptions!F302</f>
        <v>231545.51718954343</v>
      </c>
      <c r="G17" s="38">
        <f>Assumptions!G302</f>
        <v>234616.74704891923</v>
      </c>
      <c r="H17" s="38">
        <f>Assumptions!H302</f>
        <v>237728.71383537358</v>
      </c>
      <c r="I17" s="38">
        <f>Assumptions!I302</f>
        <v>240881.9578852877</v>
      </c>
      <c r="J17" s="38">
        <f>Assumptions!J302</f>
        <v>244077.02670208795</v>
      </c>
      <c r="K17" s="38">
        <f>Assumptions!K302</f>
        <v>247314.47505131029</v>
      </c>
      <c r="L17" s="38">
        <f>Assumptions!L302</f>
        <v>250594.86505692487</v>
      </c>
      <c r="M17" s="38">
        <f>Assumptions!M302</f>
        <v>253918.7662989388</v>
      </c>
      <c r="N17" s="38">
        <f>Assumptions!N302</f>
        <v>257286.75591229327</v>
      </c>
      <c r="O17" s="38">
        <f>Assumptions!O302</f>
        <v>260699.41868707255</v>
      </c>
      <c r="P17" s="38">
        <f>Assumptions!P302</f>
        <v>264157.34717004211</v>
      </c>
      <c r="Q17" s="38">
        <f>Assumptions!Q302</f>
        <v>267661.14176753379</v>
      </c>
      <c r="R17" s="38">
        <f>Assumptions!R302</f>
        <v>271211.41084969509</v>
      </c>
      <c r="S17" s="38">
        <f>Assumptions!S302</f>
        <v>274808.77085612167</v>
      </c>
      <c r="T17" s="38">
        <f>Assumptions!T302</f>
        <v>278453.84640289104</v>
      </c>
      <c r="U17" s="38">
        <f>Assumptions!U302</f>
        <v>282147.27039101574</v>
      </c>
      <c r="V17" s="38">
        <f>Assumptions!V302</f>
        <v>285889.68411633495</v>
      </c>
      <c r="W17" s="38">
        <f>Assumptions!W302</f>
        <v>289681.73738086369</v>
      </c>
      <c r="X17" s="38">
        <f>Assumptions!X302</f>
        <v>293524.0886056195</v>
      </c>
      <c r="Y17" s="38">
        <f>Assumptions!Y302</f>
        <v>297417.40494494513</v>
      </c>
      <c r="Z17" s="38">
        <f>Assumptions!Z302</f>
        <v>301362.3624023475</v>
      </c>
      <c r="AA17" s="38">
        <f>Assumptions!AA302</f>
        <v>305359.64594787377</v>
      </c>
      <c r="AB17" s="38">
        <f>Assumptions!AB302</f>
        <v>309409.94963704352</v>
      </c>
      <c r="AC17" s="38">
        <f>Assumptions!AC302</f>
        <v>313513.97673135938</v>
      </c>
      <c r="AD17" s="38">
        <f>Assumptions!AD302</f>
        <v>317672.43982041493</v>
      </c>
      <c r="AE17" s="38">
        <f>Assumptions!AE302</f>
        <v>321886.06094562367</v>
      </c>
      <c r="AF17" s="38">
        <f>Assumptions!AF302</f>
        <v>326155.57172558736</v>
      </c>
      <c r="AG17" s="38">
        <f>Assumptions!AG302</f>
        <v>330481.71348312974</v>
      </c>
      <c r="AH17" s="38">
        <f>Assumptions!AH302</f>
        <v>334865.23737401207</v>
      </c>
      <c r="AI17" s="38">
        <f>Assumptions!AI302</f>
        <v>339306.90451735887</v>
      </c>
      <c r="AJ17" s="38">
        <f>Assumptions!AJ302</f>
        <v>343807.48612781178</v>
      </c>
      <c r="AK17" s="38">
        <f>Assumptions!AK302</f>
        <v>348367.76364943752</v>
      </c>
      <c r="AL17" s="38">
        <f>Assumptions!AL302</f>
        <v>352988.52889141062</v>
      </c>
      <c r="AM17" s="38">
        <f>Assumptions!AM302</f>
        <v>357670.58416549739</v>
      </c>
      <c r="AN17" s="38">
        <f>Assumptions!AN302</f>
        <v>362414.74242536223</v>
      </c>
      <c r="AO17" s="38">
        <f>Assumptions!AO302</f>
        <v>367221.82740772283</v>
      </c>
      <c r="AP17" s="38">
        <f>Assumptions!AP302</f>
        <v>372092.67377537634</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282121.02695791889</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9685075598.0507469</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11409061759.711878</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322835853.26835823</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380302058.65706259</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1144.3168797074893</v>
      </c>
    </row>
    <row r="30" spans="1:42" x14ac:dyDescent="0.35">
      <c r="A30" t="s">
        <v>466</v>
      </c>
      <c r="B30" s="296">
        <f ca="1">B27/$B$21</f>
        <v>1348.0103300268659</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28"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105984574.34265193</v>
      </c>
      <c r="C7"/>
    </row>
    <row r="8" spans="1:3" ht="15.5" x14ac:dyDescent="0.35">
      <c r="A8" s="17" t="s">
        <v>360</v>
      </c>
      <c r="B8" s="207">
        <v>0.7</v>
      </c>
      <c r="C8"/>
    </row>
    <row r="9" spans="1:3" ht="15.5" x14ac:dyDescent="0.35">
      <c r="A9" s="17"/>
      <c r="B9" s="208"/>
      <c r="C9"/>
    </row>
    <row r="10" spans="1:3" ht="15.5" x14ac:dyDescent="0.35">
      <c r="A10" s="17" t="s">
        <v>577</v>
      </c>
      <c r="B10" s="209">
        <f>Assumptions!C302</f>
        <v>222570.95135412662</v>
      </c>
      <c r="C10"/>
    </row>
    <row r="11" spans="1:3" ht="15.5" x14ac:dyDescent="0.35">
      <c r="A11" s="17" t="s">
        <v>362</v>
      </c>
      <c r="B11" s="210">
        <v>2.7</v>
      </c>
      <c r="C11"/>
    </row>
    <row r="12" spans="1:3" ht="15.5" x14ac:dyDescent="0.35">
      <c r="A12" s="17" t="s">
        <v>578</v>
      </c>
      <c r="B12" s="209">
        <f>B10/B11</f>
        <v>82433.685686713565</v>
      </c>
      <c r="C12"/>
    </row>
    <row r="13" spans="1:3" ht="15.5" x14ac:dyDescent="0.35">
      <c r="A13" s="17"/>
      <c r="B13" s="270"/>
      <c r="C13"/>
    </row>
    <row r="14" spans="1:3" ht="15.5" x14ac:dyDescent="0.35">
      <c r="A14" s="16" t="s">
        <v>558</v>
      </c>
      <c r="B14" s="211">
        <f>(B7*B8)/B12</f>
        <v>899.98647302766369</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125900363.74589668</v>
      </c>
      <c r="C18"/>
    </row>
    <row r="19" spans="1:3" ht="15.5" x14ac:dyDescent="0.35">
      <c r="A19" s="17" t="s">
        <v>360</v>
      </c>
      <c r="B19" s="212">
        <f>B8</f>
        <v>0.7</v>
      </c>
      <c r="C19"/>
    </row>
    <row r="20" spans="1:3" ht="15.5" x14ac:dyDescent="0.35">
      <c r="A20" s="17"/>
      <c r="B20" s="271"/>
      <c r="C20"/>
    </row>
    <row r="21" spans="1:3" ht="15.5" x14ac:dyDescent="0.35">
      <c r="A21" s="17" t="s">
        <v>575</v>
      </c>
      <c r="B21" s="213">
        <f>Assumptions!E302</f>
        <v>228514.49099409085</v>
      </c>
      <c r="C21"/>
    </row>
    <row r="22" spans="1:3" ht="15.5" x14ac:dyDescent="0.35">
      <c r="A22" s="17" t="s">
        <v>362</v>
      </c>
      <c r="B22" s="272">
        <f>B11</f>
        <v>2.7</v>
      </c>
      <c r="C22"/>
    </row>
    <row r="23" spans="1:3" ht="15.5" x14ac:dyDescent="0.35">
      <c r="A23" s="17" t="s">
        <v>576</v>
      </c>
      <c r="B23" s="209">
        <f>B21/B22</f>
        <v>84634.996664478094</v>
      </c>
      <c r="C23"/>
    </row>
    <row r="24" spans="1:3" ht="15.5" x14ac:dyDescent="0.35">
      <c r="A24" s="17"/>
      <c r="B24" s="273"/>
      <c r="C24"/>
    </row>
    <row r="25" spans="1:3" ht="15.5" x14ac:dyDescent="0.35">
      <c r="A25" s="17" t="s">
        <v>370</v>
      </c>
      <c r="B25" s="214">
        <f>(B18*B19)/B23</f>
        <v>1041.2980220405273</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945.56865173851952</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293827578.93678385</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260699.41868707255</v>
      </c>
      <c r="C36"/>
    </row>
    <row r="37" spans="1:3" ht="15.5" x14ac:dyDescent="0.35">
      <c r="A37" s="17" t="str">
        <f>A11</f>
        <v>Assumed average occupancy rate per household</v>
      </c>
      <c r="B37" s="210">
        <f>B11</f>
        <v>2.7</v>
      </c>
      <c r="C37"/>
    </row>
    <row r="38" spans="1:3" ht="15.5" x14ac:dyDescent="0.35">
      <c r="A38" s="17" t="s">
        <v>372</v>
      </c>
      <c r="B38" s="209">
        <f>B36/B37</f>
        <v>96555.340254471303</v>
      </c>
      <c r="C38"/>
    </row>
    <row r="39" spans="1:3" ht="15.5" x14ac:dyDescent="0.35">
      <c r="A39" s="17"/>
      <c r="B39" s="270"/>
      <c r="C39"/>
    </row>
    <row r="40" spans="1:3" ht="15.5" x14ac:dyDescent="0.35">
      <c r="A40" s="17" t="s">
        <v>374</v>
      </c>
      <c r="B40" s="214">
        <f>(B33*B34)/B38</f>
        <v>2130.170166804669</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1579.0900938087932</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1085655998.872576</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339306.90451735887</v>
      </c>
      <c r="C51"/>
    </row>
    <row r="52" spans="1:3" ht="15.5" x14ac:dyDescent="0.35">
      <c r="A52" s="17" t="str">
        <f>A37</f>
        <v>Assumed average occupancy rate per household</v>
      </c>
      <c r="B52" s="275">
        <v>2.7</v>
      </c>
      <c r="C52"/>
    </row>
    <row r="53" spans="1:3" ht="15.5" x14ac:dyDescent="0.35">
      <c r="A53" s="17" t="s">
        <v>380</v>
      </c>
      <c r="B53" s="209">
        <f>B51/B52</f>
        <v>125669.22389531809</v>
      </c>
      <c r="C53"/>
    </row>
    <row r="54" spans="1:3" ht="15.5" x14ac:dyDescent="0.35">
      <c r="A54" s="17"/>
      <c r="B54" s="270"/>
      <c r="C54"/>
    </row>
    <row r="55" spans="1:3" ht="15.5" x14ac:dyDescent="0.35">
      <c r="A55" s="17" t="s">
        <v>381</v>
      </c>
      <c r="B55" s="214">
        <f>(B48*B49)/B53</f>
        <v>6047.2976251038663</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3016.827784673369</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1144.3168797074893</v>
      </c>
      <c r="C64" s="287">
        <f ca="1">NPC!B30</f>
        <v>1348.0103300268659</v>
      </c>
    </row>
    <row r="66" spans="1:5" ht="15.5" x14ac:dyDescent="0.35">
      <c r="B66" s="111">
        <v>2022</v>
      </c>
      <c r="C66" s="111">
        <v>2024</v>
      </c>
      <c r="D66" s="111">
        <v>2034</v>
      </c>
      <c r="E66" s="111">
        <v>2054</v>
      </c>
    </row>
    <row r="67" spans="1:5" ht="15.5" x14ac:dyDescent="0.35">
      <c r="A67" s="245" t="s">
        <v>373</v>
      </c>
      <c r="B67" s="276">
        <f>'Model outputs'!B14</f>
        <v>899.98647302766369</v>
      </c>
      <c r="C67" s="276">
        <f>'Model outputs'!B25</f>
        <v>1041.2980220405273</v>
      </c>
      <c r="D67" s="276">
        <f>'Model outputs'!B40</f>
        <v>2130.170166804669</v>
      </c>
      <c r="E67" s="1">
        <f>'Model outputs'!B55</f>
        <v>6047.2976251038663</v>
      </c>
    </row>
    <row r="68" spans="1:5" ht="15.5" x14ac:dyDescent="0.35">
      <c r="A68" s="245" t="s">
        <v>561</v>
      </c>
      <c r="B68" s="267">
        <f>B14</f>
        <v>899.98647302766369</v>
      </c>
      <c r="C68" s="267">
        <f>B29</f>
        <v>945.56865173851952</v>
      </c>
      <c r="D68" s="267">
        <f>B44</f>
        <v>1579.0900938087932</v>
      </c>
      <c r="E68" s="267">
        <f>B59</f>
        <v>3016.827784673369</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98650081.890000001</v>
      </c>
      <c r="AM80" s="89">
        <f t="shared" ref="AM80" si="30">SUBTOTAL(9, AM12:AM79)</f>
        <v>100249574.34265193</v>
      </c>
      <c r="AN80" s="89"/>
      <c r="AO80" s="89">
        <f>SUBTOTAL(9, AO12:AO79)</f>
        <v>105984574.34265193</v>
      </c>
      <c r="AP80" s="89">
        <f t="shared" ref="AP80" si="31">SUBTOTAL(9, AP12:AP79)</f>
        <v>101623000</v>
      </c>
      <c r="AQ80" s="89">
        <f>SUBTOTAL(9, AQ12:AQ79)</f>
        <v>119781000</v>
      </c>
      <c r="AR80" s="89"/>
      <c r="AS80" s="89"/>
      <c r="AT80" s="89"/>
      <c r="AU80" s="89"/>
      <c r="AV80" s="79">
        <f>SUBTOTAL(9, AV12:AV79)</f>
        <v>118171459.14173795</v>
      </c>
      <c r="AW80" s="79">
        <f>SUBTOTAL(9, AW12:AW79)</f>
        <v>7728904.6041587396</v>
      </c>
      <c r="AX80" s="79">
        <f>SUBTOTAL(9, AX12:AX78)</f>
        <v>125900363.74589668</v>
      </c>
      <c r="AY80" s="79">
        <f t="shared" ref="AY80:BV80" si="32">SUBTOTAL(9, AY12:AY79)</f>
        <v>88042000</v>
      </c>
      <c r="AZ80" s="79">
        <f t="shared" si="32"/>
        <v>56393787.890000001</v>
      </c>
      <c r="BA80" s="79">
        <f>SUBTOTAL(9, BA12:BA79)</f>
        <v>61320272.108843535</v>
      </c>
      <c r="BB80" s="79">
        <f t="shared" ref="BB80:BC80" si="33">SUBTOTAL(9, BB12:BB79)</f>
        <v>62275000</v>
      </c>
      <c r="BC80" s="79">
        <f t="shared" si="33"/>
        <v>66764000</v>
      </c>
      <c r="BD80" s="79"/>
      <c r="BE80" s="79"/>
      <c r="BF80" s="79">
        <f t="shared" ref="BF80" si="34">SUBTOTAL(9, BF12:BF79)</f>
        <v>63021791.736964881</v>
      </c>
      <c r="BG80" s="79"/>
      <c r="BH80" s="79">
        <f>SUBTOTAL(9, BH12:BH78)</f>
        <v>61980361.546988897</v>
      </c>
      <c r="BI80" s="24"/>
      <c r="BJ80" s="79">
        <f t="shared" si="32"/>
        <v>10538000</v>
      </c>
      <c r="BK80" s="79">
        <f t="shared" si="32"/>
        <v>8716395.3336421773</v>
      </c>
      <c r="BL80" s="79"/>
      <c r="BM80" s="79">
        <f>SUBTOTAL(9, BM12:BM79)</f>
        <v>1225877200.2882962</v>
      </c>
      <c r="BN80" s="79">
        <f t="shared" si="32"/>
        <v>6266481864.3272476</v>
      </c>
      <c r="BO80" s="79">
        <f t="shared" si="32"/>
        <v>5553692923.8462095</v>
      </c>
      <c r="BP80" s="79">
        <f t="shared" si="32"/>
        <v>2807399129.705369</v>
      </c>
      <c r="BQ80" s="79">
        <f t="shared" si="32"/>
        <v>3644572795.5461168</v>
      </c>
      <c r="BR80" s="79">
        <f t="shared" si="32"/>
        <v>3225985962.6257429</v>
      </c>
      <c r="BS80" s="79">
        <f t="shared" si="32"/>
        <v>46044840.081612803</v>
      </c>
      <c r="BT80" s="79">
        <f t="shared" si="32"/>
        <v>217402</v>
      </c>
      <c r="BU80" s="79">
        <f t="shared" si="32"/>
        <v>216162</v>
      </c>
      <c r="BV80" s="81">
        <f t="shared" si="32"/>
        <v>216782</v>
      </c>
      <c r="BW80" s="82">
        <f>((BX80/BV80)^(1/BX1))-1</f>
        <v>1.3264043703604456E-2</v>
      </c>
      <c r="BX80" s="81">
        <f>SUBTOTAL(109, BX12:BX79)</f>
        <v>321886.06094562373</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8vOMoHO8t0IxQyAPgCoUlNbCr8DIqtOrpq1PcQtmGbDFGKDBIkpQtJSpq351DYuk7udhEjene+a+TLkAfxPZ2g==" saltValue="UO3RDGW1g6Y7yQg2cAOGxQ==" spinCount="100000" sheet="1" objects="1" scenarios="1"/>
  <autoFilter ref="A9:BY78" xr:uid="{EF67D162-69F8-4B24-B62E-28ABFE5E44B1}">
    <filterColumn colId="32">
      <filters>
        <filter val="E"/>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activeCell="C19" sqref="C19"/>
      <selection pane="topRight" activeCell="C19" sqref="C19"/>
      <selection pane="bottomLeft" activeCell="C19" sqref="C19"/>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299"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299" t="s">
        <v>227</v>
      </c>
      <c r="C7" s="112" t="s">
        <v>228</v>
      </c>
      <c r="E7" s="1"/>
    </row>
    <row r="8" spans="1:42" ht="21" x14ac:dyDescent="0.5">
      <c r="A8" s="19" t="s">
        <v>548</v>
      </c>
      <c r="B8" s="260">
        <v>0.01</v>
      </c>
      <c r="C8" s="112" t="s">
        <v>523</v>
      </c>
      <c r="E8" s="1"/>
    </row>
    <row r="9" spans="1:42" ht="21" x14ac:dyDescent="0.5">
      <c r="A9" s="19" t="s">
        <v>547</v>
      </c>
      <c r="B9" s="298"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1.3264043703604456E-2</v>
      </c>
      <c r="C28" s="234">
        <f t="shared" ref="C28:AP28" si="6">(1+$B$28)^C17</f>
        <v>1.0267040222625801</v>
      </c>
      <c r="D28" s="231">
        <f t="shared" si="6"/>
        <v>1.0403222692845373</v>
      </c>
      <c r="E28" s="231">
        <f t="shared" si="6"/>
        <v>1.0541211493301605</v>
      </c>
      <c r="F28" s="231">
        <f t="shared" si="6"/>
        <v>1.0681030583237696</v>
      </c>
      <c r="G28" s="231">
        <f t="shared" si="6"/>
        <v>1.0822704239693297</v>
      </c>
      <c r="H28" s="231">
        <f t="shared" si="6"/>
        <v>1.0966257061719773</v>
      </c>
      <c r="I28" s="231">
        <f t="shared" si="6"/>
        <v>1.1111713974651387</v>
      </c>
      <c r="J28" s="231">
        <f t="shared" si="6"/>
        <v>1.1259100234433115</v>
      </c>
      <c r="K28" s="231">
        <f t="shared" si="6"/>
        <v>1.14084414320059</v>
      </c>
      <c r="L28" s="231">
        <f t="shared" si="6"/>
        <v>1.1559763497750037</v>
      </c>
      <c r="M28" s="231">
        <f t="shared" si="6"/>
        <v>1.1713092705987527</v>
      </c>
      <c r="N28" s="231">
        <f t="shared" si="6"/>
        <v>1.1868455679544117</v>
      </c>
      <c r="O28" s="231">
        <f t="shared" si="6"/>
        <v>1.2025879394371883</v>
      </c>
      <c r="P28" s="231">
        <f t="shared" si="6"/>
        <v>1.2185391184233105</v>
      </c>
      <c r="Q28" s="231">
        <f t="shared" si="6"/>
        <v>1.2347018745446292</v>
      </c>
      <c r="R28" s="231">
        <f t="shared" si="6"/>
        <v>1.2510790141695116</v>
      </c>
      <c r="S28" s="231">
        <f t="shared" si="6"/>
        <v>1.2676733808901184</v>
      </c>
      <c r="T28" s="231">
        <f t="shared" si="6"/>
        <v>1.2844878560161408</v>
      </c>
      <c r="U28" s="231">
        <f t="shared" si="6"/>
        <v>1.3015253590750882</v>
      </c>
      <c r="V28" s="231">
        <f t="shared" si="6"/>
        <v>1.3187888483192098</v>
      </c>
      <c r="W28" s="231">
        <f t="shared" si="6"/>
        <v>1.336281321239142</v>
      </c>
      <c r="X28" s="231">
        <f t="shared" si="6"/>
        <v>1.3540058150843681</v>
      </c>
      <c r="Y28" s="231">
        <f t="shared" si="6"/>
        <v>1.371965407390582</v>
      </c>
      <c r="Z28" s="231">
        <f t="shared" si="6"/>
        <v>1.3901632165140441</v>
      </c>
      <c r="AA28" s="231">
        <f t="shared" si="6"/>
        <v>1.4086024021730299</v>
      </c>
      <c r="AB28" s="231">
        <f t="shared" si="6"/>
        <v>1.4272861659964551</v>
      </c>
      <c r="AC28" s="231">
        <f t="shared" si="6"/>
        <v>1.4462177520797823</v>
      </c>
      <c r="AD28" s="231">
        <f t="shared" si="6"/>
        <v>1.4654004475482971</v>
      </c>
      <c r="AE28" s="231">
        <f t="shared" si="6"/>
        <v>1.4848375831278595</v>
      </c>
      <c r="AF28" s="231">
        <f t="shared" si="6"/>
        <v>1.5045325337232214</v>
      </c>
      <c r="AG28" s="231">
        <f t="shared" si="6"/>
        <v>1.5244887190040213</v>
      </c>
      <c r="AH28" s="231">
        <f t="shared" si="6"/>
        <v>1.5447096039985426</v>
      </c>
      <c r="AI28" s="231">
        <f t="shared" si="6"/>
        <v>1.5651986996953569</v>
      </c>
      <c r="AJ28" s="231">
        <f t="shared" si="6"/>
        <v>1.5859595636529407</v>
      </c>
      <c r="AK28" s="231">
        <f t="shared" si="6"/>
        <v>1.606995800617383</v>
      </c>
      <c r="AL28" s="231">
        <f t="shared" si="6"/>
        <v>1.6283110631482809</v>
      </c>
      <c r="AM28" s="231">
        <f t="shared" si="6"/>
        <v>1.6499090522529425</v>
      </c>
      <c r="AN28" s="231">
        <f t="shared" si="6"/>
        <v>1.671793518028998</v>
      </c>
      <c r="AO28" s="231">
        <f t="shared" si="6"/>
        <v>1.6939682603155375</v>
      </c>
      <c r="AP28" s="172">
        <f t="shared" si="6"/>
        <v>1.7164371293528815</v>
      </c>
    </row>
    <row r="29" spans="1:42" ht="15" customHeight="1" x14ac:dyDescent="0.35">
      <c r="A29" s="17" t="s">
        <v>244</v>
      </c>
      <c r="B29" s="171"/>
      <c r="C29" s="234"/>
      <c r="D29" s="231"/>
      <c r="E29" s="235">
        <v>1</v>
      </c>
      <c r="F29" s="235">
        <f t="shared" ref="F29:AP29" si="7">E29*(1+$B$28)</f>
        <v>1.0132640437036045</v>
      </c>
      <c r="G29" s="235">
        <f t="shared" si="7"/>
        <v>1.0267040222625801</v>
      </c>
      <c r="H29" s="235">
        <f t="shared" si="7"/>
        <v>1.0403222692845373</v>
      </c>
      <c r="I29" s="235">
        <f t="shared" si="7"/>
        <v>1.0541211493301603</v>
      </c>
      <c r="J29" s="235">
        <f t="shared" si="7"/>
        <v>1.0681030583237694</v>
      </c>
      <c r="K29" s="235">
        <f t="shared" si="7"/>
        <v>1.0822704239693295</v>
      </c>
      <c r="L29" s="235">
        <f t="shared" si="7"/>
        <v>1.0966257061719773</v>
      </c>
      <c r="M29" s="235">
        <f t="shared" si="7"/>
        <v>1.1111713974651385</v>
      </c>
      <c r="N29" s="235">
        <f t="shared" si="7"/>
        <v>1.1259100234433113</v>
      </c>
      <c r="O29" s="235">
        <f t="shared" si="7"/>
        <v>1.1408441432005896</v>
      </c>
      <c r="P29" s="235">
        <f t="shared" si="7"/>
        <v>1.1559763497750033</v>
      </c>
      <c r="Q29" s="235">
        <f t="shared" si="7"/>
        <v>1.171309270598752</v>
      </c>
      <c r="R29" s="235">
        <f t="shared" si="7"/>
        <v>1.186845567954411</v>
      </c>
      <c r="S29" s="235">
        <f t="shared" si="7"/>
        <v>1.2025879394371874</v>
      </c>
      <c r="T29" s="235">
        <f t="shared" si="7"/>
        <v>1.2185391184233099</v>
      </c>
      <c r="U29" s="235">
        <f t="shared" si="7"/>
        <v>1.2347018745446283</v>
      </c>
      <c r="V29" s="235">
        <f t="shared" si="7"/>
        <v>1.2510790141695105</v>
      </c>
      <c r="W29" s="235">
        <f t="shared" si="7"/>
        <v>1.2676733808901173</v>
      </c>
      <c r="X29" s="235">
        <f t="shared" si="7"/>
        <v>1.2844878560161399</v>
      </c>
      <c r="Y29" s="235">
        <f t="shared" si="7"/>
        <v>1.3015253590750873</v>
      </c>
      <c r="Z29" s="235">
        <f t="shared" si="7"/>
        <v>1.3187888483192087</v>
      </c>
      <c r="AA29" s="235">
        <f t="shared" si="7"/>
        <v>1.3362813212391409</v>
      </c>
      <c r="AB29" s="235">
        <f t="shared" si="7"/>
        <v>1.3540058150843672</v>
      </c>
      <c r="AC29" s="235">
        <f t="shared" si="7"/>
        <v>1.3719654073905809</v>
      </c>
      <c r="AD29" s="235">
        <f t="shared" si="7"/>
        <v>1.3901632165140432</v>
      </c>
      <c r="AE29" s="235">
        <f t="shared" si="7"/>
        <v>1.4086024021730288</v>
      </c>
      <c r="AF29" s="235">
        <f t="shared" si="7"/>
        <v>1.427286165996454</v>
      </c>
      <c r="AG29" s="235">
        <f t="shared" si="7"/>
        <v>1.446217752079781</v>
      </c>
      <c r="AH29" s="235">
        <f t="shared" si="7"/>
        <v>1.4654004475482958</v>
      </c>
      <c r="AI29" s="235">
        <f t="shared" si="7"/>
        <v>1.484837583127858</v>
      </c>
      <c r="AJ29" s="235">
        <f t="shared" si="7"/>
        <v>1.5045325337232203</v>
      </c>
      <c r="AK29" s="235">
        <f t="shared" si="7"/>
        <v>1.5244887190040197</v>
      </c>
      <c r="AL29" s="235">
        <f t="shared" si="7"/>
        <v>1.5447096039985411</v>
      </c>
      <c r="AM29" s="235">
        <f t="shared" si="7"/>
        <v>1.5651986996953553</v>
      </c>
      <c r="AN29" s="235">
        <f t="shared" si="7"/>
        <v>1.5859595636529393</v>
      </c>
      <c r="AO29" s="235">
        <f t="shared" si="7"/>
        <v>1.6069958006173815</v>
      </c>
      <c r="AP29" s="236">
        <f t="shared" si="7"/>
        <v>1.6283110631482793</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3225985962.6257429</v>
      </c>
      <c r="C35" s="196">
        <f>B35*(1+Inflation!Z19)*(1+Inflation!AD19)</f>
        <v>3791878497.1444025</v>
      </c>
      <c r="D35" s="29">
        <f>$C35*D$26</f>
        <v>4110396290.9045324</v>
      </c>
      <c r="E35" s="29">
        <f>$C35*E$26</f>
        <v>4336468086.9042816</v>
      </c>
      <c r="F35" s="29">
        <f>$C35*F$26</f>
        <v>4488244469.9459314</v>
      </c>
      <c r="AP35" s="30"/>
    </row>
    <row r="36" spans="1:42" ht="15" customHeight="1" x14ac:dyDescent="0.35">
      <c r="A36" s="17" t="s">
        <v>249</v>
      </c>
      <c r="B36" s="253">
        <f>B35</f>
        <v>3225985962.6257429</v>
      </c>
      <c r="C36" s="196">
        <f>C35</f>
        <v>3791878497.1444025</v>
      </c>
      <c r="D36" s="29">
        <f t="shared" ref="D36:F37" si="8">$C36*D$26</f>
        <v>4110396290.9045324</v>
      </c>
      <c r="E36" s="29">
        <f t="shared" si="8"/>
        <v>4336468086.9042816</v>
      </c>
      <c r="F36" s="29">
        <f t="shared" si="8"/>
        <v>4488244469.9459314</v>
      </c>
      <c r="AP36" s="30"/>
    </row>
    <row r="37" spans="1:42" ht="15" customHeight="1" x14ac:dyDescent="0.35">
      <c r="A37" s="17" t="s">
        <v>250</v>
      </c>
      <c r="B37" s="253">
        <f>B36/2</f>
        <v>1612992981.3128715</v>
      </c>
      <c r="C37" s="196">
        <f>C36/2</f>
        <v>1895939248.5722013</v>
      </c>
      <c r="D37" s="29">
        <f t="shared" si="8"/>
        <v>2055198145.4522662</v>
      </c>
      <c r="E37" s="29">
        <f>$C37*E$26</f>
        <v>2168234043.4521408</v>
      </c>
      <c r="F37" s="29">
        <f>$C37*F$26</f>
        <v>2244122234.9729657</v>
      </c>
      <c r="AP37" s="30"/>
    </row>
    <row r="38" spans="1:42" ht="15" customHeight="1" x14ac:dyDescent="0.35">
      <c r="A38" s="17"/>
      <c r="B38" s="174"/>
      <c r="C38" s="196"/>
      <c r="AP38" s="30"/>
    </row>
    <row r="39" spans="1:42" ht="15" customHeight="1" x14ac:dyDescent="0.35">
      <c r="A39" s="17" t="s">
        <v>251</v>
      </c>
      <c r="B39" s="301">
        <v>236995564.82999998</v>
      </c>
      <c r="C39" s="295" t="s">
        <v>552</v>
      </c>
      <c r="E39" s="1">
        <v>350237093.69204926</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216782</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4.9892682101986018E-2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7.981764565886515E-2</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8.2769249599477013E-2</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8.2769249599477013E-2</v>
      </c>
      <c r="C56" s="177"/>
      <c r="E56" s="1"/>
      <c r="AP56" s="30"/>
    </row>
    <row r="57" spans="1:42" ht="15" customHeight="1" x14ac:dyDescent="0.35">
      <c r="A57" s="221" t="s">
        <v>533</v>
      </c>
      <c r="B57" s="68">
        <v>0</v>
      </c>
      <c r="C57" s="177"/>
      <c r="E57" s="1"/>
      <c r="AP57" s="30"/>
    </row>
    <row r="58" spans="1:42" ht="15" customHeight="1" x14ac:dyDescent="0.35">
      <c r="A58" s="221" t="s">
        <v>534</v>
      </c>
      <c r="B58" s="68">
        <f>B52</f>
        <v>8.2769249599477013E-2</v>
      </c>
      <c r="C58" s="177"/>
      <c r="E58" s="1"/>
      <c r="AP58" s="30"/>
    </row>
    <row r="59" spans="1:42" ht="15" customHeight="1" x14ac:dyDescent="0.35">
      <c r="A59" s="221" t="s">
        <v>535</v>
      </c>
      <c r="B59" s="68">
        <v>0</v>
      </c>
      <c r="C59" s="177"/>
      <c r="E59" s="1"/>
      <c r="AP59" s="30"/>
    </row>
    <row r="60" spans="1:42" ht="15" customHeight="1" x14ac:dyDescent="0.35">
      <c r="A60" s="221" t="s">
        <v>536</v>
      </c>
      <c r="B60" s="68">
        <f>B52</f>
        <v>8.2769249599477013E-2</v>
      </c>
      <c r="C60" s="177"/>
      <c r="E60" s="1"/>
      <c r="AP60" s="30"/>
    </row>
    <row r="61" spans="1:42" ht="15" customHeight="1" x14ac:dyDescent="0.35">
      <c r="A61" s="221" t="s">
        <v>537</v>
      </c>
      <c r="B61" s="68">
        <v>0</v>
      </c>
      <c r="C61" s="177"/>
      <c r="E61" s="1"/>
      <c r="AP61" s="30"/>
    </row>
    <row r="62" spans="1:42" ht="15" customHeight="1" x14ac:dyDescent="0.35">
      <c r="A62" s="222" t="s">
        <v>538</v>
      </c>
      <c r="B62" s="68">
        <f>B49</f>
        <v>7.981764565886515E-2</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21513005.21600733</v>
      </c>
      <c r="C66" s="294" t="s">
        <v>552</v>
      </c>
      <c r="E66" s="1"/>
      <c r="AP66" s="30"/>
    </row>
    <row r="67" spans="1:42" ht="15" customHeight="1" x14ac:dyDescent="0.35">
      <c r="A67" s="178" t="s">
        <v>259</v>
      </c>
      <c r="B67" s="174">
        <v>49892682.101986021</v>
      </c>
      <c r="C67" s="294" t="s">
        <v>552</v>
      </c>
      <c r="E67" s="1"/>
      <c r="AP67" s="30"/>
    </row>
    <row r="68" spans="1:42" ht="15" customHeight="1" x14ac:dyDescent="0.35">
      <c r="A68" s="178" t="s">
        <v>260</v>
      </c>
      <c r="B68" s="174">
        <f>B66+B67</f>
        <v>71405687.317993343</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12415387.439921552</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83821074.757914901</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83821074.757914901</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216782</v>
      </c>
      <c r="C88" s="196"/>
      <c r="AP88" s="30"/>
    </row>
    <row r="89" spans="1:42" ht="15" customHeight="1" x14ac:dyDescent="0.35">
      <c r="A89" s="17" t="s">
        <v>255</v>
      </c>
      <c r="B89" s="46">
        <v>4344965.8520436771</v>
      </c>
      <c r="C89" s="196"/>
      <c r="AP89" s="30"/>
    </row>
    <row r="90" spans="1:42" ht="15" customHeight="1" x14ac:dyDescent="0.35">
      <c r="A90" s="17" t="s">
        <v>256</v>
      </c>
      <c r="B90" s="68">
        <f>B88/B89</f>
        <v>4.9892682101986018E-2</v>
      </c>
      <c r="C90" s="196"/>
      <c r="AP90" s="30"/>
    </row>
    <row r="91" spans="1:42" ht="15" customHeight="1" x14ac:dyDescent="0.35">
      <c r="A91" s="17"/>
      <c r="B91" s="174"/>
      <c r="C91" s="196"/>
      <c r="AP91" s="30"/>
    </row>
    <row r="92" spans="1:42" ht="15" customHeight="1" x14ac:dyDescent="0.35">
      <c r="A92" s="17" t="s">
        <v>266</v>
      </c>
      <c r="B92" s="254">
        <f>B86*B90</f>
        <v>49892682.101986021</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9978536.4203972034</v>
      </c>
      <c r="G94" s="1">
        <f>$B$92/$B$93</f>
        <v>9978536.4203972034</v>
      </c>
      <c r="H94" s="1">
        <f>$B$92/$B$93</f>
        <v>9978536.4203972034</v>
      </c>
      <c r="I94" s="1">
        <f t="shared" ref="I94:J94" si="10">$B$92/$B$93</f>
        <v>9978536.4203972034</v>
      </c>
      <c r="J94" s="1">
        <f t="shared" si="10"/>
        <v>9978536.4203972034</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t="s">
        <v>585</v>
      </c>
      <c r="B99" s="302">
        <v>0.5</v>
      </c>
      <c r="C99" s="295" t="s">
        <v>552</v>
      </c>
      <c r="AP99" s="30"/>
    </row>
    <row r="100" spans="1:42" ht="15" customHeight="1" thickBot="1" x14ac:dyDescent="0.4">
      <c r="A100" s="17" t="s">
        <v>273</v>
      </c>
      <c r="B100" s="253">
        <f>Data!AL80</f>
        <v>98650081.890000001</v>
      </c>
      <c r="C100" s="1">
        <f>Data!AO80</f>
        <v>105984574.34265193</v>
      </c>
      <c r="E100" s="6">
        <f>Data!AX80</f>
        <v>125900363.74589668</v>
      </c>
      <c r="AP100" s="30"/>
    </row>
    <row r="101" spans="1:42" ht="15" customHeight="1" x14ac:dyDescent="0.35">
      <c r="A101" t="s">
        <v>586</v>
      </c>
      <c r="B101" s="174"/>
      <c r="E101" s="6">
        <f>(1+B99)*E100</f>
        <v>188850545.61884502</v>
      </c>
      <c r="G101" s="403" t="s">
        <v>274</v>
      </c>
      <c r="H101" s="404"/>
      <c r="AP101" s="30"/>
    </row>
    <row r="102" spans="1:42" ht="15" customHeight="1" x14ac:dyDescent="0.35">
      <c r="A102" s="17" t="s">
        <v>275</v>
      </c>
      <c r="B102" s="253">
        <f>Data!AZ80</f>
        <v>56393787.890000001</v>
      </c>
      <c r="C102" s="1">
        <f>Data!BA80</f>
        <v>61320272.108843535</v>
      </c>
      <c r="E102" s="6">
        <f>Data!BH80*E22</f>
        <v>68255253.350006059</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-0.56025482595033838</v>
      </c>
      <c r="C121" s="180" t="s">
        <v>552</v>
      </c>
      <c r="AP121" s="30"/>
    </row>
    <row r="122" spans="1:42" ht="15" customHeight="1" x14ac:dyDescent="0.35">
      <c r="A122" s="17" t="s">
        <v>283</v>
      </c>
      <c r="B122" s="171">
        <v>-0.27838322571674723</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-0.33475754576346545</v>
      </c>
      <c r="AP124" s="30"/>
    </row>
    <row r="125" spans="1:42" ht="15" customHeight="1" x14ac:dyDescent="0.35">
      <c r="A125" s="179" t="str">
        <f>$B$321</f>
        <v>1 CSE - Best case</v>
      </c>
      <c r="B125" s="171">
        <f t="shared" ref="B125:B126" si="16">$B$122+($B$121-$B$122)*B130</f>
        <v>-0.39113186581018367</v>
      </c>
      <c r="AP125" s="30"/>
    </row>
    <row r="126" spans="1:42" ht="15" customHeight="1" x14ac:dyDescent="0.35">
      <c r="A126" s="179" t="str">
        <f>$B$322</f>
        <v>4 CSE - Base case</v>
      </c>
      <c r="B126" s="171">
        <f t="shared" si="16"/>
        <v>-0.4193190258335428</v>
      </c>
      <c r="AP126" s="30"/>
    </row>
    <row r="127" spans="1:42" ht="15" customHeight="1" x14ac:dyDescent="0.35">
      <c r="A127" s="179" t="str">
        <f>$B$323</f>
        <v>4 CSE - Best case</v>
      </c>
      <c r="B127" s="171">
        <f>$B$122+($B$121-$B$122)*B132</f>
        <v>-0.50388050590362021</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-0.31801966847529217</v>
      </c>
      <c r="C134" s="180"/>
      <c r="AP134" s="30"/>
    </row>
    <row r="135" spans="1:42" ht="15" customHeight="1" x14ac:dyDescent="0.35">
      <c r="A135" s="179" t="str">
        <f>B319</f>
        <v>No centralised services entity (CSE)</v>
      </c>
      <c r="B135" s="187">
        <f>B122</f>
        <v>-0.27838322571674723</v>
      </c>
      <c r="AP135" s="30"/>
    </row>
    <row r="136" spans="1:42" ht="15" customHeight="1" x14ac:dyDescent="0.35">
      <c r="A136" s="179" t="str">
        <f>$B$320</f>
        <v>1 CSE - Base case</v>
      </c>
      <c r="B136" s="187">
        <f>B124*B116</f>
        <v>-0.31801966847529217</v>
      </c>
      <c r="AP136" s="30"/>
    </row>
    <row r="137" spans="1:42" ht="15" customHeight="1" x14ac:dyDescent="0.35">
      <c r="A137" s="179" t="str">
        <f>$B$321</f>
        <v>1 CSE - Best case</v>
      </c>
      <c r="B137" s="185">
        <f>B125*B117</f>
        <v>-0.38135356916492907</v>
      </c>
      <c r="AP137" s="30"/>
    </row>
    <row r="138" spans="1:42" ht="15" customHeight="1" x14ac:dyDescent="0.35">
      <c r="A138" s="179" t="str">
        <f>$B$322</f>
        <v>4 CSE - Base case</v>
      </c>
      <c r="B138" s="185">
        <f t="shared" ref="B138:B139" si="17">B126*B118</f>
        <v>-0.37738712325018853</v>
      </c>
      <c r="AP138" s="30"/>
    </row>
    <row r="139" spans="1:42" ht="15" customHeight="1" thickBot="1" x14ac:dyDescent="0.4">
      <c r="A139" s="179" t="str">
        <f>$B$323</f>
        <v>4 CSE - Best case</v>
      </c>
      <c r="B139" s="185">
        <f t="shared" si="17"/>
        <v>-0.47868648060843916</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-0.28381698268805433</v>
      </c>
      <c r="C141" s="180"/>
      <c r="F141" t="s">
        <v>550</v>
      </c>
      <c r="AP141" s="30"/>
    </row>
    <row r="142" spans="1:42" ht="15" customHeight="1" x14ac:dyDescent="0.35">
      <c r="A142" s="179" t="str">
        <f>B319</f>
        <v>No centralised services entity (CSE)</v>
      </c>
      <c r="B142" s="187">
        <v>-0.24844339827375572</v>
      </c>
      <c r="C142" s="180" t="s">
        <v>552</v>
      </c>
      <c r="AP142" s="30"/>
    </row>
    <row r="143" spans="1:42" ht="15" customHeight="1" x14ac:dyDescent="0.35">
      <c r="A143" s="179" t="str">
        <f>$B$320</f>
        <v>1 CSE - Base case</v>
      </c>
      <c r="B143" s="187">
        <f>($B$142+($D$140-$B$142)*B148)*B116</f>
        <v>-0.28381698268805433</v>
      </c>
      <c r="C143" s="180"/>
      <c r="D143" s="181"/>
      <c r="AP143" s="30"/>
    </row>
    <row r="144" spans="1:42" ht="15" customHeight="1" x14ac:dyDescent="0.35">
      <c r="A144" s="179" t="str">
        <f>$B$321</f>
        <v>1 CSE - Best case</v>
      </c>
      <c r="B144" s="187">
        <f>($B$142+($D$140-$B$142)*B149)*B117</f>
        <v>-0.34033938799014707</v>
      </c>
      <c r="C144" s="180"/>
      <c r="AP144" s="30"/>
    </row>
    <row r="145" spans="1:42" ht="15" customHeight="1" x14ac:dyDescent="0.35">
      <c r="A145" s="179" t="str">
        <f>$B$322</f>
        <v>4 CSE - Base case</v>
      </c>
      <c r="B145" s="187">
        <f>($B$142+($D$140-$B$142)*B150)*B118</f>
        <v>-0.33679952922319006</v>
      </c>
      <c r="C145" s="180"/>
      <c r="AP145" s="30"/>
    </row>
    <row r="146" spans="1:42" ht="15" customHeight="1" x14ac:dyDescent="0.35">
      <c r="A146" s="179" t="str">
        <f>$B$323</f>
        <v>4 CSE - Best case</v>
      </c>
      <c r="B146" s="187">
        <f>($B$142+($D$140-$B$142)*B151)*B119</f>
        <v>-0.42720424567201354</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-0.42720424567201354</v>
      </c>
      <c r="C153" s="180"/>
      <c r="AP153" s="30"/>
    </row>
    <row r="154" spans="1:42" ht="15" customHeight="1" x14ac:dyDescent="0.35">
      <c r="A154" s="179" t="str">
        <f>B319</f>
        <v>No centralised services entity (CSE)</v>
      </c>
      <c r="B154" s="187">
        <v>-0.24844339827375572</v>
      </c>
      <c r="C154" s="180" t="s">
        <v>552</v>
      </c>
      <c r="AP154" s="30"/>
    </row>
    <row r="155" spans="1:42" ht="15" customHeight="1" x14ac:dyDescent="0.35">
      <c r="A155" s="179" t="str">
        <f>$B$320</f>
        <v>1 CSE - Base case</v>
      </c>
      <c r="B155" s="187">
        <f>($B$154+($D$140-$B$154)*B160)*B116</f>
        <v>-0.42720424567201354</v>
      </c>
      <c r="C155" s="180"/>
      <c r="D155" s="20"/>
      <c r="AP155" s="30"/>
    </row>
    <row r="156" spans="1:42" ht="15" customHeight="1" x14ac:dyDescent="0.35">
      <c r="A156" s="179" t="str">
        <f>$B$321</f>
        <v>1 CSE - Best case</v>
      </c>
      <c r="B156" s="187">
        <f>($B$154+($D$140-$B$154)*B161)*B117</f>
        <v>-0.46297323133169122</v>
      </c>
      <c r="C156" s="180"/>
      <c r="AP156" s="30"/>
    </row>
    <row r="157" spans="1:42" ht="15" customHeight="1" x14ac:dyDescent="0.35">
      <c r="A157" s="179" t="str">
        <f>$B$322</f>
        <v>4 CSE - Base case</v>
      </c>
      <c r="B157" s="187">
        <f>($B$154+($D$140-$B$154)*B162)*B118</f>
        <v>-0.40471981168927601</v>
      </c>
      <c r="C157" s="180"/>
      <c r="AP157" s="30"/>
    </row>
    <row r="158" spans="1:42" ht="15" customHeight="1" x14ac:dyDescent="0.35">
      <c r="A158" s="179" t="str">
        <f>$B$323</f>
        <v>4 CSE - Best case</v>
      </c>
      <c r="B158" s="187">
        <f>($B$154+($D$140-$B$154)*B163)*B119</f>
        <v>-0.45110212283600681</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216782</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0.27097749999999998</v>
      </c>
      <c r="AP171" s="30"/>
    </row>
    <row r="172" spans="1:42" ht="15" customHeight="1" x14ac:dyDescent="0.35">
      <c r="A172" s="51" t="s">
        <v>291</v>
      </c>
      <c r="B172" s="190">
        <f>B165*B167</f>
        <v>-4.0499999999999998E-3</v>
      </c>
      <c r="AP172" s="30"/>
    </row>
    <row r="173" spans="1:42" ht="15" customHeight="1" x14ac:dyDescent="0.35">
      <c r="A173" s="51" t="s">
        <v>292</v>
      </c>
      <c r="B173" s="190">
        <f>B172*B171</f>
        <v>-1.0974588749999999E-3</v>
      </c>
      <c r="AP173" s="30"/>
    </row>
    <row r="174" spans="1:42" ht="15" customHeight="1" x14ac:dyDescent="0.35">
      <c r="A174" s="51"/>
      <c r="B174" s="28"/>
      <c r="AP174" s="30"/>
    </row>
    <row r="175" spans="1:42" ht="15" customHeight="1" x14ac:dyDescent="0.35">
      <c r="A175" s="262" t="s">
        <v>293</v>
      </c>
      <c r="B175" s="191">
        <f>INDEX(A176:B180,MATCH(B3,A176:A180,0),2)</f>
        <v>-1.6879670999999999E-3</v>
      </c>
      <c r="AP175" s="30"/>
    </row>
    <row r="176" spans="1:42" ht="15" customHeight="1" x14ac:dyDescent="0.35">
      <c r="A176" s="263" t="str">
        <f>B319</f>
        <v>No centralised services entity (CSE)</v>
      </c>
      <c r="B176" s="192">
        <f>B173</f>
        <v>-1.0974588749999999E-3</v>
      </c>
      <c r="C176" s="113"/>
      <c r="AP176" s="30"/>
    </row>
    <row r="177" spans="1:42" ht="15" customHeight="1" x14ac:dyDescent="0.35">
      <c r="A177" s="179" t="str">
        <f>$B$320</f>
        <v>1 CSE - Base case</v>
      </c>
      <c r="B177" s="192">
        <f>($B$173+($B$172-$B$173)*B182)</f>
        <v>-1.6879670999999999E-3</v>
      </c>
      <c r="C177" s="113"/>
      <c r="AP177" s="30"/>
    </row>
    <row r="178" spans="1:42" ht="15" customHeight="1" x14ac:dyDescent="0.35">
      <c r="A178" s="179" t="str">
        <f>$B$321</f>
        <v>1 CSE - Best case</v>
      </c>
      <c r="B178" s="192">
        <f>($B$173+($B$172-$B$173)*B183)</f>
        <v>-2.2784753249999999E-3</v>
      </c>
      <c r="C178" s="113"/>
      <c r="AP178" s="30"/>
    </row>
    <row r="179" spans="1:42" ht="15" customHeight="1" x14ac:dyDescent="0.35">
      <c r="A179" s="179" t="str">
        <f>$B$322</f>
        <v>4 CSE - Base case</v>
      </c>
      <c r="B179" s="192">
        <f>($B$173+($B$172-$B$173)*B184)</f>
        <v>-2.5737294375000001E-3</v>
      </c>
      <c r="C179" s="113"/>
      <c r="AP179" s="30"/>
    </row>
    <row r="180" spans="1:42" ht="15" customHeight="1" x14ac:dyDescent="0.35">
      <c r="A180" s="179" t="str">
        <f>$B$323</f>
        <v>4 CSE - Best case</v>
      </c>
      <c r="B180" s="192">
        <f>($B$173+($B$172-$B$173)*B185)</f>
        <v>-3.4594917749999998E-3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0.68198033152470783</v>
      </c>
      <c r="AP188" s="30"/>
    </row>
    <row r="189" spans="1:42" ht="15" hidden="1" customHeight="1" outlineLevel="1" x14ac:dyDescent="0.35">
      <c r="A189" s="51" t="s">
        <v>111</v>
      </c>
      <c r="B189" s="195">
        <f>B188/B187-1</f>
        <v>-0.31801966847529217</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-0.19081180108517529</v>
      </c>
      <c r="AP192" s="30"/>
    </row>
    <row r="193" spans="1:42" ht="15" hidden="1" customHeight="1" outlineLevel="1" x14ac:dyDescent="0.35">
      <c r="A193" s="51"/>
      <c r="B193" s="195"/>
      <c r="AP193" s="30"/>
    </row>
    <row r="194" spans="1:42" ht="15" hidden="1" customHeight="1" outlineLevel="1" x14ac:dyDescent="0.35">
      <c r="A194" s="51" t="s">
        <v>298</v>
      </c>
      <c r="B194" s="195">
        <f>1+B192</f>
        <v>0.80918819891482474</v>
      </c>
      <c r="AP194" s="30"/>
    </row>
    <row r="195" spans="1:42" ht="15" hidden="1" customHeight="1" outlineLevel="1" x14ac:dyDescent="0.35">
      <c r="A195" s="51" t="s">
        <v>295</v>
      </c>
      <c r="B195" s="195">
        <f>B188</f>
        <v>0.68198033152470783</v>
      </c>
      <c r="C195" s="196"/>
      <c r="AP195" s="30"/>
    </row>
    <row r="196" spans="1:42" ht="15" hidden="1" customHeight="1" outlineLevel="1" x14ac:dyDescent="0.35">
      <c r="A196" s="51" t="s">
        <v>111</v>
      </c>
      <c r="B196" s="195">
        <f>B195/B194-1</f>
        <v>-0.15720430372157079</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-9.4322582232942473E-2</v>
      </c>
      <c r="AP199" s="30"/>
    </row>
    <row r="200" spans="1:42" ht="15" hidden="1" customHeight="1" outlineLevel="1" x14ac:dyDescent="0.35">
      <c r="A200" s="51"/>
      <c r="B200" s="195"/>
      <c r="AP200" s="30"/>
    </row>
    <row r="201" spans="1:42" ht="15" hidden="1" customHeight="1" outlineLevel="1" x14ac:dyDescent="0.35">
      <c r="A201" s="51" t="s">
        <v>300</v>
      </c>
      <c r="B201" s="195">
        <f>(1+B192)*(1+B199)</f>
        <v>0.73286347848075462</v>
      </c>
      <c r="AP201" s="30"/>
    </row>
    <row r="202" spans="1:42" ht="15" hidden="1" customHeight="1" outlineLevel="1" x14ac:dyDescent="0.35">
      <c r="A202" s="51" t="s">
        <v>295</v>
      </c>
      <c r="B202" s="195">
        <f>B195</f>
        <v>0.68198033152470783</v>
      </c>
      <c r="AP202" s="30"/>
    </row>
    <row r="203" spans="1:42" ht="15" hidden="1" customHeight="1" outlineLevel="1" x14ac:dyDescent="0.35">
      <c r="A203" s="51" t="s">
        <v>301</v>
      </c>
      <c r="B203" s="195">
        <f>B202/B201-1</f>
        <v>-6.943059444240407E-2</v>
      </c>
      <c r="AP203" s="30"/>
    </row>
    <row r="204" spans="1:42" ht="15" hidden="1" customHeight="1" outlineLevel="1" x14ac:dyDescent="0.35">
      <c r="A204" s="51"/>
      <c r="B204" s="195"/>
      <c r="AP204" s="30"/>
    </row>
    <row r="205" spans="1:42" ht="15" customHeight="1" collapsed="1" x14ac:dyDescent="0.35">
      <c r="A205" s="51" t="s">
        <v>302</v>
      </c>
      <c r="B205" s="171">
        <f>((1+B192)^(1/5))-1</f>
        <v>-4.1460734235050367E-2</v>
      </c>
      <c r="AP205" s="30"/>
    </row>
    <row r="206" spans="1:42" ht="15" customHeight="1" x14ac:dyDescent="0.35">
      <c r="A206" s="51" t="s">
        <v>303</v>
      </c>
      <c r="B206" s="171">
        <f>((1+B199)^(1/5))-1</f>
        <v>-1.9619402066999081E-2</v>
      </c>
      <c r="AP206" s="30"/>
    </row>
    <row r="207" spans="1:42" ht="15" customHeight="1" x14ac:dyDescent="0.35">
      <c r="A207" s="51" t="s">
        <v>304</v>
      </c>
      <c r="B207" s="171">
        <f>((1+B203)^(1/5))-1</f>
        <v>-1.4288657405559735E-2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0.71618301731194567</v>
      </c>
      <c r="C211" s="198">
        <f>1+B153</f>
        <v>0.57279575432798646</v>
      </c>
      <c r="AP211" s="30"/>
    </row>
    <row r="212" spans="1:42" ht="15" hidden="1" customHeight="1" outlineLevel="1" x14ac:dyDescent="0.35">
      <c r="A212" s="51" t="s">
        <v>111</v>
      </c>
      <c r="B212" s="171">
        <f>B211/B210-1</f>
        <v>-0.28381698268805433</v>
      </c>
      <c r="C212" s="198">
        <f>C211/C210-1</f>
        <v>-0.42720424567201354</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-0.1702901896128326</v>
      </c>
      <c r="C215" s="198">
        <f>C212*C214</f>
        <v>-0.25632254740320809</v>
      </c>
      <c r="AP215" s="30"/>
    </row>
    <row r="216" spans="1:42" ht="15" hidden="1" customHeight="1" outlineLevel="1" x14ac:dyDescent="0.35">
      <c r="A216" s="51"/>
      <c r="B216" s="171"/>
      <c r="C216" s="198"/>
      <c r="AP216" s="30"/>
    </row>
    <row r="217" spans="1:42" ht="15" hidden="1" customHeight="1" outlineLevel="1" x14ac:dyDescent="0.35">
      <c r="A217" s="51" t="s">
        <v>309</v>
      </c>
      <c r="B217" s="171">
        <f>1+B215</f>
        <v>0.8297098103871674</v>
      </c>
      <c r="C217" s="198">
        <f>1+C215</f>
        <v>0.74367745259679197</v>
      </c>
      <c r="AP217" s="30"/>
    </row>
    <row r="218" spans="1:42" ht="15" hidden="1" customHeight="1" outlineLevel="1" x14ac:dyDescent="0.35">
      <c r="A218" s="51" t="s">
        <v>308</v>
      </c>
      <c r="B218" s="171">
        <f>B211</f>
        <v>0.71618301731194567</v>
      </c>
      <c r="C218" s="198">
        <f>C211</f>
        <v>0.57279575432798646</v>
      </c>
      <c r="AP218" s="30"/>
    </row>
    <row r="219" spans="1:42" ht="15" hidden="1" customHeight="1" outlineLevel="1" x14ac:dyDescent="0.35">
      <c r="A219" s="51" t="s">
        <v>111</v>
      </c>
      <c r="B219" s="171">
        <f>B218/B217-1</f>
        <v>-0.13682710708488155</v>
      </c>
      <c r="C219" s="198">
        <f>C218/C217-1</f>
        <v>-0.22977931853670752</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-8.2096264250928933E-2</v>
      </c>
      <c r="C222" s="198">
        <f>C219*C221</f>
        <v>-0.13786759112202451</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0.76159373454203438</v>
      </c>
      <c r="C224" s="198">
        <f>(1+C215)*(1+C222)</f>
        <v>0.64114843363550866</v>
      </c>
      <c r="AP224" s="30"/>
    </row>
    <row r="225" spans="1:42" ht="15" hidden="1" customHeight="1" outlineLevel="1" x14ac:dyDescent="0.35">
      <c r="A225" s="51" t="s">
        <v>308</v>
      </c>
      <c r="B225" s="171">
        <f>B218</f>
        <v>0.71618301731194567</v>
      </c>
      <c r="C225" s="198">
        <f>C218</f>
        <v>0.57279575432798646</v>
      </c>
      <c r="AP225" s="30"/>
    </row>
    <row r="226" spans="1:42" ht="15" hidden="1" customHeight="1" outlineLevel="1" x14ac:dyDescent="0.35">
      <c r="A226" s="51" t="s">
        <v>301</v>
      </c>
      <c r="B226" s="171">
        <f>B225/B224-1</f>
        <v>-5.9625907055807503E-2</v>
      </c>
      <c r="C226" s="198">
        <f>C225/C224-1</f>
        <v>-0.10660975793068928</v>
      </c>
      <c r="AP226" s="30"/>
    </row>
    <row r="227" spans="1:42" ht="15" hidden="1" customHeight="1" outlineLevel="1" x14ac:dyDescent="0.35">
      <c r="A227" s="51"/>
      <c r="B227" s="171"/>
      <c r="C227" s="198"/>
      <c r="AP227" s="30"/>
    </row>
    <row r="228" spans="1:42" ht="15" customHeight="1" collapsed="1" x14ac:dyDescent="0.35">
      <c r="A228" s="51" t="s">
        <v>311</v>
      </c>
      <c r="B228" s="171">
        <f>((1+B215)^(1/5))-1</f>
        <v>-3.6647463898338284E-2</v>
      </c>
      <c r="C228" s="198">
        <f>((1+C215)^(1/5))-1</f>
        <v>-5.7509626892212062E-2</v>
      </c>
      <c r="AP228" s="30"/>
    </row>
    <row r="229" spans="1:42" ht="15" customHeight="1" x14ac:dyDescent="0.35">
      <c r="A229" s="51" t="s">
        <v>312</v>
      </c>
      <c r="B229" s="171">
        <f>((1+B222)^(1/5))-1</f>
        <v>-1.6986623776548471E-2</v>
      </c>
      <c r="C229" s="198">
        <f>((1+C222)^(1/5))-1</f>
        <v>-2.9233470253654081E-2</v>
      </c>
      <c r="AP229" s="30"/>
    </row>
    <row r="230" spans="1:42" ht="15" customHeight="1" thickBot="1" x14ac:dyDescent="0.4">
      <c r="A230" s="51" t="s">
        <v>313</v>
      </c>
      <c r="B230" s="199">
        <f>((1+B226)^(1/5))-1</f>
        <v>-1.2220221499692041E-2</v>
      </c>
      <c r="C230" s="200">
        <f>((1+C226)^(1/5))-1</f>
        <v>-2.2294088810444812E-2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0.95853926576494963</v>
      </c>
      <c r="I232" s="4">
        <f>H232*(1+$B$205)</f>
        <v>0.91879752401320869</v>
      </c>
      <c r="J232" s="4">
        <f>I232*(1+$B$205)</f>
        <v>0.88070350405427478</v>
      </c>
      <c r="K232" s="4">
        <f>J232*(1+$B$205)</f>
        <v>0.84418889013280285</v>
      </c>
      <c r="L232" s="4">
        <f>K232*(1+$B$205)</f>
        <v>0.80918819891482463</v>
      </c>
      <c r="M232" s="4">
        <f>L232*(1+$B$206)</f>
        <v>0.79331241029244381</v>
      </c>
      <c r="N232" s="4">
        <f>M232*(1+$B$206)</f>
        <v>0.77774809515017618</v>
      </c>
      <c r="O232" s="4">
        <f>N232*(1+$B$206)</f>
        <v>0.76248914256458222</v>
      </c>
      <c r="P232" s="4">
        <f>O232*(1+$B$206)</f>
        <v>0.74752956150488625</v>
      </c>
      <c r="Q232" s="4">
        <f>P232*(1+$B$206)</f>
        <v>0.73286347848075439</v>
      </c>
      <c r="R232" s="4">
        <f>Q232*(1+$B$207)</f>
        <v>0.72239184331169615</v>
      </c>
      <c r="S232" s="4">
        <f>R232*(1+$B$207)</f>
        <v>0.71206983375004451</v>
      </c>
      <c r="T232" s="4">
        <f>S232*(1+$B$207)</f>
        <v>0.70189531184675624</v>
      </c>
      <c r="U232" s="4">
        <f>T232*(1+$B$207)</f>
        <v>0.69186617020120944</v>
      </c>
      <c r="V232" s="4">
        <f>U232*(1+$B$207)</f>
        <v>0.68198033152470772</v>
      </c>
      <c r="W232" s="4">
        <f t="shared" ref="W232:AP232" si="18">V232</f>
        <v>0.68198033152470772</v>
      </c>
      <c r="X232" s="4">
        <f t="shared" si="18"/>
        <v>0.68198033152470772</v>
      </c>
      <c r="Y232" s="4">
        <f t="shared" si="18"/>
        <v>0.68198033152470772</v>
      </c>
      <c r="Z232" s="4">
        <f t="shared" si="18"/>
        <v>0.68198033152470772</v>
      </c>
      <c r="AA232" s="4">
        <f t="shared" si="18"/>
        <v>0.68198033152470772</v>
      </c>
      <c r="AB232" s="4">
        <f t="shared" si="18"/>
        <v>0.68198033152470772</v>
      </c>
      <c r="AC232" s="4">
        <f t="shared" si="18"/>
        <v>0.68198033152470772</v>
      </c>
      <c r="AD232" s="4">
        <f t="shared" si="18"/>
        <v>0.68198033152470772</v>
      </c>
      <c r="AE232" s="4">
        <f t="shared" si="18"/>
        <v>0.68198033152470772</v>
      </c>
      <c r="AF232" s="4">
        <f t="shared" si="18"/>
        <v>0.68198033152470772</v>
      </c>
      <c r="AG232" s="4">
        <f t="shared" si="18"/>
        <v>0.68198033152470772</v>
      </c>
      <c r="AH232" s="4">
        <f t="shared" si="18"/>
        <v>0.68198033152470772</v>
      </c>
      <c r="AI232" s="4">
        <f t="shared" si="18"/>
        <v>0.68198033152470772</v>
      </c>
      <c r="AJ232" s="4">
        <f t="shared" si="18"/>
        <v>0.68198033152470772</v>
      </c>
      <c r="AK232" s="4">
        <f t="shared" si="18"/>
        <v>0.68198033152470772</v>
      </c>
      <c r="AL232" s="4">
        <f t="shared" si="18"/>
        <v>0.68198033152470772</v>
      </c>
      <c r="AM232" s="4">
        <f t="shared" si="18"/>
        <v>0.68198033152470772</v>
      </c>
      <c r="AN232" s="4">
        <f t="shared" si="18"/>
        <v>0.68198033152470772</v>
      </c>
      <c r="AO232" s="4">
        <f t="shared" si="18"/>
        <v>0.68198033152470772</v>
      </c>
      <c r="AP232" s="202">
        <f t="shared" si="18"/>
        <v>0.68198033152470772</v>
      </c>
    </row>
    <row r="233" spans="1:42" ht="15" customHeight="1" x14ac:dyDescent="0.35">
      <c r="A233" s="51" t="s">
        <v>315</v>
      </c>
      <c r="B233" s="28">
        <v>1</v>
      </c>
      <c r="C233" s="43">
        <v>1</v>
      </c>
      <c r="D233" s="4">
        <v>1</v>
      </c>
      <c r="E233" s="4">
        <v>1</v>
      </c>
      <c r="F233" s="4">
        <v>1</v>
      </c>
      <c r="G233" s="4">
        <v>1</v>
      </c>
      <c r="H233" s="4">
        <f>G233*(1+$B$228)</f>
        <v>0.96335253610166172</v>
      </c>
      <c r="I233" s="4">
        <f>H233*(1+$B$228)</f>
        <v>0.92804810881350341</v>
      </c>
      <c r="J233" s="4">
        <f>I233*(1+$B$228)</f>
        <v>0.89403749924983944</v>
      </c>
      <c r="K233" s="4">
        <f>J233*(1+$B$228)</f>
        <v>0.8612732922723203</v>
      </c>
      <c r="L233" s="4">
        <f>K233*(1+$B$228)</f>
        <v>0.82970981038716751</v>
      </c>
      <c r="M233" s="4">
        <f>L233*(1+$B$229)</f>
        <v>0.81561584199440929</v>
      </c>
      <c r="N233" s="4">
        <f>M233*(1+$B$229)</f>
        <v>0.80176128254025747</v>
      </c>
      <c r="O233" s="4">
        <f>N233*(1+$B$229)</f>
        <v>0.78814206527514319</v>
      </c>
      <c r="P233" s="4">
        <f>O233*(1+$B$229)</f>
        <v>0.77475419252984246</v>
      </c>
      <c r="Q233" s="4">
        <f>P233*(1+$B$229)</f>
        <v>0.76159373454203438</v>
      </c>
      <c r="R233" s="4">
        <f>Q233*(1+$B$230)</f>
        <v>0.75228689041315311</v>
      </c>
      <c r="S233" s="4">
        <f>R233*(1+$B$230)</f>
        <v>0.74309377798098986</v>
      </c>
      <c r="T233" s="4">
        <f>S233*(1+$B$230)</f>
        <v>0.7340130074190192</v>
      </c>
      <c r="U233" s="4">
        <f>T233*(1+$B$230)</f>
        <v>0.72504320588470372</v>
      </c>
      <c r="V233" s="4">
        <f>U233*(1+$B$230)</f>
        <v>0.71618301731194578</v>
      </c>
      <c r="W233" s="4">
        <f t="shared" ref="W233:AP233" si="19">V233</f>
        <v>0.71618301731194578</v>
      </c>
      <c r="X233" s="4">
        <f t="shared" si="19"/>
        <v>0.71618301731194578</v>
      </c>
      <c r="Y233" s="4">
        <f t="shared" si="19"/>
        <v>0.71618301731194578</v>
      </c>
      <c r="Z233" s="4">
        <f t="shared" si="19"/>
        <v>0.71618301731194578</v>
      </c>
      <c r="AA233" s="4">
        <f t="shared" si="19"/>
        <v>0.71618301731194578</v>
      </c>
      <c r="AB233" s="4">
        <f t="shared" si="19"/>
        <v>0.71618301731194578</v>
      </c>
      <c r="AC233" s="4">
        <f t="shared" si="19"/>
        <v>0.71618301731194578</v>
      </c>
      <c r="AD233" s="4">
        <f t="shared" si="19"/>
        <v>0.71618301731194578</v>
      </c>
      <c r="AE233" s="4">
        <f t="shared" si="19"/>
        <v>0.71618301731194578</v>
      </c>
      <c r="AF233" s="4">
        <f t="shared" si="19"/>
        <v>0.71618301731194578</v>
      </c>
      <c r="AG233" s="4">
        <f t="shared" si="19"/>
        <v>0.71618301731194578</v>
      </c>
      <c r="AH233" s="4">
        <f t="shared" si="19"/>
        <v>0.71618301731194578</v>
      </c>
      <c r="AI233" s="4">
        <f t="shared" si="19"/>
        <v>0.71618301731194578</v>
      </c>
      <c r="AJ233" s="4">
        <f t="shared" si="19"/>
        <v>0.71618301731194578</v>
      </c>
      <c r="AK233" s="4">
        <f t="shared" si="19"/>
        <v>0.71618301731194578</v>
      </c>
      <c r="AL233" s="4">
        <f t="shared" si="19"/>
        <v>0.71618301731194578</v>
      </c>
      <c r="AM233" s="4">
        <f t="shared" si="19"/>
        <v>0.71618301731194578</v>
      </c>
      <c r="AN233" s="4">
        <f t="shared" si="19"/>
        <v>0.71618301731194578</v>
      </c>
      <c r="AO233" s="4">
        <f t="shared" si="19"/>
        <v>0.71618301731194578</v>
      </c>
      <c r="AP233" s="202">
        <f t="shared" si="19"/>
        <v>0.71618301731194578</v>
      </c>
    </row>
    <row r="234" spans="1:42" ht="15" customHeight="1" x14ac:dyDescent="0.35">
      <c r="A234" s="51" t="s">
        <v>316</v>
      </c>
      <c r="B234" s="28">
        <v>1</v>
      </c>
      <c r="C234" s="43">
        <v>1</v>
      </c>
      <c r="D234" s="4">
        <v>1</v>
      </c>
      <c r="E234" s="4">
        <v>1</v>
      </c>
      <c r="F234" s="4">
        <v>1</v>
      </c>
      <c r="G234" s="4">
        <v>1</v>
      </c>
      <c r="H234" s="4">
        <f>G234*(1+$C$228)</f>
        <v>0.94249037310778794</v>
      </c>
      <c r="I234" s="4">
        <f>H234*(1+$C$228)</f>
        <v>0.88828810340085729</v>
      </c>
      <c r="J234" s="4">
        <f>I234*(1+$C$228)</f>
        <v>0.83720298600148335</v>
      </c>
      <c r="K234" s="4">
        <f>J234*(1+$C$228)</f>
        <v>0.7890557546434922</v>
      </c>
      <c r="L234" s="4">
        <f>K234*(1+$C$228)</f>
        <v>0.74367745259679219</v>
      </c>
      <c r="M234" s="4">
        <f>L234*(1+$C$229)</f>
        <v>0.72193717990799067</v>
      </c>
      <c r="N234" s="4">
        <f>M234*(1+$C$229)</f>
        <v>0.70083245083414347</v>
      </c>
      <c r="O234" s="4">
        <f>N234*(1+$C$229)</f>
        <v>0.68034468622988808</v>
      </c>
      <c r="P234" s="4">
        <f>O234*(1+$C$229)</f>
        <v>0.66045585008275498</v>
      </c>
      <c r="Q234" s="4">
        <f>P234*(1+$C$229)</f>
        <v>0.641148433635509</v>
      </c>
      <c r="R234" s="4">
        <f>Q234*(1+$C$230)</f>
        <v>0.62685461351536143</v>
      </c>
      <c r="S234" s="4">
        <f>R234*(1+$C$230)</f>
        <v>0.61287946109041291</v>
      </c>
      <c r="T234" s="4">
        <f>S234*(1+$C$230)</f>
        <v>0.59921587195476567</v>
      </c>
      <c r="U234" s="4">
        <f>T234*(1+$C$230)</f>
        <v>0.585856900088778</v>
      </c>
      <c r="V234" s="4">
        <f>U234*(1+$C$230)</f>
        <v>0.57279575432798691</v>
      </c>
      <c r="W234" s="4">
        <f t="shared" ref="W234:AP234" si="20">V234</f>
        <v>0.57279575432798691</v>
      </c>
      <c r="X234" s="4">
        <f t="shared" si="20"/>
        <v>0.57279575432798691</v>
      </c>
      <c r="Y234" s="4">
        <f t="shared" si="20"/>
        <v>0.57279575432798691</v>
      </c>
      <c r="Z234" s="4">
        <f t="shared" si="20"/>
        <v>0.57279575432798691</v>
      </c>
      <c r="AA234" s="4">
        <f t="shared" si="20"/>
        <v>0.57279575432798691</v>
      </c>
      <c r="AB234" s="4">
        <f t="shared" si="20"/>
        <v>0.57279575432798691</v>
      </c>
      <c r="AC234" s="4">
        <f t="shared" si="20"/>
        <v>0.57279575432798691</v>
      </c>
      <c r="AD234" s="4">
        <f t="shared" si="20"/>
        <v>0.57279575432798691</v>
      </c>
      <c r="AE234" s="4">
        <f t="shared" si="20"/>
        <v>0.57279575432798691</v>
      </c>
      <c r="AF234" s="4">
        <f t="shared" si="20"/>
        <v>0.57279575432798691</v>
      </c>
      <c r="AG234" s="4">
        <f t="shared" si="20"/>
        <v>0.57279575432798691</v>
      </c>
      <c r="AH234" s="4">
        <f t="shared" si="20"/>
        <v>0.57279575432798691</v>
      </c>
      <c r="AI234" s="4">
        <f t="shared" si="20"/>
        <v>0.57279575432798691</v>
      </c>
      <c r="AJ234" s="4">
        <f t="shared" si="20"/>
        <v>0.57279575432798691</v>
      </c>
      <c r="AK234" s="4">
        <f t="shared" si="20"/>
        <v>0.57279575432798691</v>
      </c>
      <c r="AL234" s="4">
        <f t="shared" si="20"/>
        <v>0.57279575432798691</v>
      </c>
      <c r="AM234" s="4">
        <f t="shared" si="20"/>
        <v>0.57279575432798691</v>
      </c>
      <c r="AN234" s="4">
        <f t="shared" si="20"/>
        <v>0.57279575432798691</v>
      </c>
      <c r="AO234" s="4">
        <f t="shared" si="20"/>
        <v>0.57279575432798691</v>
      </c>
      <c r="AP234" s="202">
        <f t="shared" si="20"/>
        <v>0.57279575432798691</v>
      </c>
    </row>
    <row r="235" spans="1:42" ht="15" customHeight="1" x14ac:dyDescent="0.35">
      <c r="A235" s="51" t="s">
        <v>317</v>
      </c>
      <c r="B235" s="28">
        <v>1</v>
      </c>
      <c r="C235" s="43">
        <v>1</v>
      </c>
      <c r="D235" s="43">
        <v>1</v>
      </c>
      <c r="E235" s="43">
        <v>1</v>
      </c>
      <c r="F235" s="203">
        <f>E235*(1+$B$175)</f>
        <v>0.99831203290000003</v>
      </c>
      <c r="G235" s="4">
        <f t="shared" ref="G235:AP235" si="21">F235*(1+$B$175)</f>
        <v>0.99662691503293077</v>
      </c>
      <c r="H235" s="4">
        <f t="shared" si="21"/>
        <v>0.99494464158938067</v>
      </c>
      <c r="I235" s="4">
        <f t="shared" si="21"/>
        <v>0.99326520776805649</v>
      </c>
      <c r="J235" s="4">
        <f t="shared" si="21"/>
        <v>0.99158860877576938</v>
      </c>
      <c r="K235" s="4">
        <f t="shared" si="21"/>
        <v>0.98991483982742112</v>
      </c>
      <c r="L235" s="4">
        <f t="shared" si="21"/>
        <v>0.98824389614599073</v>
      </c>
      <c r="M235" s="4">
        <f t="shared" si="21"/>
        <v>0.98657577296252053</v>
      </c>
      <c r="N235" s="4">
        <f t="shared" si="21"/>
        <v>0.98491046551610273</v>
      </c>
      <c r="O235" s="4">
        <f t="shared" si="21"/>
        <v>0.98324796905386591</v>
      </c>
      <c r="P235" s="4">
        <f t="shared" si="21"/>
        <v>0.98158827883096123</v>
      </c>
      <c r="Q235" s="4">
        <f t="shared" si="21"/>
        <v>0.97993139011054897</v>
      </c>
      <c r="R235" s="4">
        <f t="shared" si="21"/>
        <v>0.97827729816378517</v>
      </c>
      <c r="S235" s="4">
        <f t="shared" si="21"/>
        <v>0.97662599826980789</v>
      </c>
      <c r="T235" s="4">
        <f t="shared" si="21"/>
        <v>0.97497748571572385</v>
      </c>
      <c r="U235" s="4">
        <f t="shared" si="21"/>
        <v>0.97333175579659503</v>
      </c>
      <c r="V235" s="4">
        <f t="shared" si="21"/>
        <v>0.97168880381542522</v>
      </c>
      <c r="W235" s="4">
        <f t="shared" si="21"/>
        <v>0.97004862508314649</v>
      </c>
      <c r="X235" s="4">
        <f t="shared" si="21"/>
        <v>0.96841121491860593</v>
      </c>
      <c r="Y235" s="4">
        <f t="shared" si="21"/>
        <v>0.96677656864855233</v>
      </c>
      <c r="Z235" s="4">
        <f t="shared" si="21"/>
        <v>0.96514468160762268</v>
      </c>
      <c r="AA235" s="4">
        <f t="shared" si="21"/>
        <v>0.96351554913832904</v>
      </c>
      <c r="AB235" s="4">
        <f t="shared" si="21"/>
        <v>0.96188916659104517</v>
      </c>
      <c r="AC235" s="4">
        <f t="shared" si="21"/>
        <v>0.96026552932399312</v>
      </c>
      <c r="AD235" s="4">
        <f t="shared" si="21"/>
        <v>0.95864463270323019</v>
      </c>
      <c r="AE235" s="4">
        <f t="shared" si="21"/>
        <v>0.95702647210263558</v>
      </c>
      <c r="AF235" s="4">
        <f t="shared" si="21"/>
        <v>0.95541104290389733</v>
      </c>
      <c r="AG235" s="4">
        <f t="shared" si="21"/>
        <v>0.95379834049649892</v>
      </c>
      <c r="AH235" s="4">
        <f t="shared" si="21"/>
        <v>0.95218836027770626</v>
      </c>
      <c r="AI235" s="4">
        <f t="shared" si="21"/>
        <v>0.95058109765255461</v>
      </c>
      <c r="AJ235" s="4">
        <f t="shared" si="21"/>
        <v>0.94897654803383524</v>
      </c>
      <c r="AK235" s="4">
        <f t="shared" si="21"/>
        <v>0.94737470684208258</v>
      </c>
      <c r="AL235" s="4">
        <f t="shared" si="21"/>
        <v>0.94577556950556108</v>
      </c>
      <c r="AM235" s="4">
        <f t="shared" si="21"/>
        <v>0.94417913146025201</v>
      </c>
      <c r="AN235" s="4">
        <f t="shared" si="21"/>
        <v>0.94258538814984061</v>
      </c>
      <c r="AO235" s="4">
        <f t="shared" si="21"/>
        <v>0.94099433502570295</v>
      </c>
      <c r="AP235" s="202">
        <f t="shared" si="21"/>
        <v>0.93940596754689321</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46044840.081612803</v>
      </c>
      <c r="C239" s="1">
        <f>B239*(1+Inflation!Z19)*(1+Inflation!AD19)</f>
        <v>54121884.296052597</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5553692923.8462095</v>
      </c>
      <c r="C241" s="1">
        <f>B241*(1+Inflation!Z19)*(1+Inflation!AD19)</f>
        <v>6527904653.5388107</v>
      </c>
      <c r="E241" s="29"/>
      <c r="G241" s="37"/>
      <c r="AP241" s="30"/>
    </row>
    <row r="242" spans="1:42" ht="15" customHeight="1" x14ac:dyDescent="0.35">
      <c r="A242" s="179" t="str">
        <f t="shared" ref="A242:A244" si="22">B305</f>
        <v>Method 1: RFI G tables</v>
      </c>
      <c r="B242" s="254">
        <f>Data!BM80</f>
        <v>1225877200.2882962</v>
      </c>
      <c r="E242" s="29"/>
      <c r="G242" s="37"/>
      <c r="AP242" s="30"/>
    </row>
    <row r="243" spans="1:42" ht="15" customHeight="1" x14ac:dyDescent="0.35">
      <c r="A243" s="179" t="str">
        <f t="shared" si="22"/>
        <v>Method 2: Original NZ$185bn</v>
      </c>
      <c r="B243" s="254">
        <f>Data!BN80</f>
        <v>6266481864.3272476</v>
      </c>
      <c r="E243" s="29"/>
      <c r="G243" s="37"/>
      <c r="AP243" s="30"/>
    </row>
    <row r="244" spans="1:42" ht="15" customHeight="1" x14ac:dyDescent="0.35">
      <c r="A244" s="179" t="str">
        <f t="shared" si="22"/>
        <v>Method 3: Revised NZ$185bn</v>
      </c>
      <c r="B244" s="254">
        <f>Data!BO80</f>
        <v>5553692923.8462095</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5553692923.8462095</v>
      </c>
      <c r="C248" s="1">
        <f>C241*B246</f>
        <v>6527904653.5388107</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185123097.46154031</v>
      </c>
      <c r="C252" s="1">
        <f>C248/C250</f>
        <v>217596821.78462702</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74049238.984616131</v>
      </c>
      <c r="C256" s="1">
        <f>$C$252*C254</f>
        <v>87038728.713850811</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185123097.46154031</v>
      </c>
      <c r="C260" s="1">
        <f>$C$252*C258</f>
        <v>217596821.78462702</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1.6000000000000003</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296196955.93846452</v>
      </c>
      <c r="C264" s="1">
        <f>$C$252*C262</f>
        <v>348154914.8554033</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0.43236603462389134</v>
      </c>
      <c r="E273" s="29"/>
      <c r="G273" s="37"/>
      <c r="AP273" s="30"/>
    </row>
    <row r="274" spans="1:42" ht="15" customHeight="1" x14ac:dyDescent="0.35">
      <c r="A274" s="51"/>
      <c r="B274" s="28"/>
      <c r="E274" s="29"/>
      <c r="G274" s="37"/>
      <c r="AP274" s="30"/>
    </row>
    <row r="275" spans="1:42" ht="15" customHeight="1" x14ac:dyDescent="0.35">
      <c r="A275" s="51" t="s">
        <v>333</v>
      </c>
      <c r="B275" s="258">
        <f>B271*B273</f>
        <v>1.2970981038716739E-2</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54121884.296052597</v>
      </c>
      <c r="G277" s="6">
        <f t="shared" si="23"/>
        <v>54121884.296052597</v>
      </c>
      <c r="H277" s="6">
        <f t="shared" si="23"/>
        <v>54121884.296052597</v>
      </c>
      <c r="I277" s="6">
        <f t="shared" si="23"/>
        <v>54121884.296052597</v>
      </c>
      <c r="J277" s="6">
        <f t="shared" si="23"/>
        <v>54121884.296052597</v>
      </c>
      <c r="K277" s="6">
        <f t="shared" si="23"/>
        <v>54121884.296052597</v>
      </c>
      <c r="L277" s="6">
        <f t="shared" si="23"/>
        <v>54121884.296052597</v>
      </c>
      <c r="M277" s="6">
        <f t="shared" si="23"/>
        <v>54121884.296052597</v>
      </c>
      <c r="N277" s="6">
        <f t="shared" si="23"/>
        <v>54121884.296052597</v>
      </c>
      <c r="O277" s="6">
        <f t="shared" si="23"/>
        <v>54121884.296052597</v>
      </c>
      <c r="P277" s="6">
        <f t="shared" si="23"/>
        <v>54121884.296052597</v>
      </c>
      <c r="Q277" s="6">
        <f t="shared" si="23"/>
        <v>54121884.296052597</v>
      </c>
      <c r="R277" s="6">
        <f t="shared" si="23"/>
        <v>54121884.296052597</v>
      </c>
      <c r="S277" s="6">
        <f t="shared" si="23"/>
        <v>54121884.296052597</v>
      </c>
      <c r="T277" s="6">
        <f t="shared" si="23"/>
        <v>54121884.296052597</v>
      </c>
      <c r="U277" s="6">
        <f t="shared" si="23"/>
        <v>54121884.296052597</v>
      </c>
      <c r="V277" s="6">
        <f t="shared" si="23"/>
        <v>54121884.296052597</v>
      </c>
      <c r="W277" s="6">
        <f t="shared" si="23"/>
        <v>54121884.296052597</v>
      </c>
      <c r="X277" s="6">
        <f t="shared" si="23"/>
        <v>54121884.296052597</v>
      </c>
      <c r="Y277" s="6">
        <f t="shared" si="23"/>
        <v>54121884.296052597</v>
      </c>
      <c r="Z277" s="6">
        <f t="shared" si="23"/>
        <v>54121884.296052597</v>
      </c>
      <c r="AA277" s="6">
        <f t="shared" si="23"/>
        <v>54121884.296052597</v>
      </c>
      <c r="AB277" s="6">
        <f t="shared" si="23"/>
        <v>54121884.296052597</v>
      </c>
      <c r="AC277" s="6">
        <f t="shared" si="23"/>
        <v>54121884.296052597</v>
      </c>
      <c r="AD277" s="6">
        <f t="shared" si="23"/>
        <v>54121884.296052597</v>
      </c>
      <c r="AE277" s="6">
        <f t="shared" si="23"/>
        <v>54121884.296052597</v>
      </c>
      <c r="AF277" s="6">
        <f t="shared" si="23"/>
        <v>54121884.296052597</v>
      </c>
      <c r="AG277" s="6">
        <f t="shared" si="23"/>
        <v>54121884.296052597</v>
      </c>
      <c r="AH277" s="6">
        <f t="shared" si="23"/>
        <v>54121884.296052597</v>
      </c>
      <c r="AI277" s="6">
        <f t="shared" si="23"/>
        <v>54121884.296052597</v>
      </c>
      <c r="AJ277" s="6">
        <f t="shared" si="23"/>
        <v>54121884.296052597</v>
      </c>
      <c r="AK277" s="6">
        <f t="shared" si="23"/>
        <v>54121884.296052597</v>
      </c>
      <c r="AL277" s="6">
        <f t="shared" si="23"/>
        <v>54121884.296052597</v>
      </c>
      <c r="AM277" s="6">
        <f t="shared" si="23"/>
        <v>54121884.296052597</v>
      </c>
      <c r="AN277" s="6">
        <f t="shared" si="23"/>
        <v>54121884.296052597</v>
      </c>
      <c r="AO277" s="6">
        <f t="shared" si="23"/>
        <v>54121884.296052597</v>
      </c>
      <c r="AP277" s="64">
        <f t="shared" si="23"/>
        <v>54121884.296052597</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87038728.713850811</v>
      </c>
      <c r="G279" s="6">
        <f t="shared" ref="G279:AE279" si="24">IF(G$276&lt;=$C$255,$C$256,IF(G$276&lt;=$C$259,$C$260,IF(G$276&lt;=$C$263,$C$264,0)))</f>
        <v>87038728.713850811</v>
      </c>
      <c r="H279" s="6">
        <f t="shared" si="24"/>
        <v>87038728.713850811</v>
      </c>
      <c r="I279" s="6">
        <f t="shared" si="24"/>
        <v>87038728.713850811</v>
      </c>
      <c r="J279" s="6">
        <f t="shared" si="24"/>
        <v>87038728.713850811</v>
      </c>
      <c r="K279" s="6">
        <f t="shared" si="24"/>
        <v>87038728.713850811</v>
      </c>
      <c r="L279" s="6">
        <f t="shared" si="24"/>
        <v>87038728.713850811</v>
      </c>
      <c r="M279" s="6">
        <f t="shared" si="24"/>
        <v>87038728.713850811</v>
      </c>
      <c r="N279" s="6">
        <f t="shared" si="24"/>
        <v>87038728.713850811</v>
      </c>
      <c r="O279" s="6">
        <f t="shared" si="24"/>
        <v>87038728.713850811</v>
      </c>
      <c r="P279" s="6">
        <f t="shared" si="24"/>
        <v>217596821.78462702</v>
      </c>
      <c r="Q279" s="6">
        <f t="shared" si="24"/>
        <v>217596821.78462702</v>
      </c>
      <c r="R279" s="6">
        <f t="shared" si="24"/>
        <v>217596821.78462702</v>
      </c>
      <c r="S279" s="6">
        <f t="shared" si="24"/>
        <v>217596821.78462702</v>
      </c>
      <c r="T279" s="6">
        <f t="shared" si="24"/>
        <v>217596821.78462702</v>
      </c>
      <c r="U279" s="6">
        <f t="shared" si="24"/>
        <v>217596821.78462702</v>
      </c>
      <c r="V279" s="6">
        <f t="shared" si="24"/>
        <v>217596821.78462702</v>
      </c>
      <c r="W279" s="6">
        <f t="shared" si="24"/>
        <v>217596821.78462702</v>
      </c>
      <c r="X279" s="6">
        <f t="shared" si="24"/>
        <v>217596821.78462702</v>
      </c>
      <c r="Y279" s="6">
        <f t="shared" si="24"/>
        <v>217596821.78462702</v>
      </c>
      <c r="Z279" s="6">
        <f t="shared" si="24"/>
        <v>348154914.8554033</v>
      </c>
      <c r="AA279" s="6">
        <f t="shared" si="24"/>
        <v>348154914.8554033</v>
      </c>
      <c r="AB279" s="6">
        <f t="shared" si="24"/>
        <v>348154914.8554033</v>
      </c>
      <c r="AC279" s="6">
        <f t="shared" si="24"/>
        <v>348154914.8554033</v>
      </c>
      <c r="AD279" s="6">
        <f t="shared" si="24"/>
        <v>348154914.8554033</v>
      </c>
      <c r="AE279" s="6">
        <f t="shared" si="24"/>
        <v>348154914.8554033</v>
      </c>
      <c r="AF279" s="6">
        <f>IF(AF$276&lt;=$C$255,$C$256,IF(AF$276&lt;=$C$259,$C$260,IF(AF$276&lt;=$C$263,$C$264,0)))</f>
        <v>348154914.8554033</v>
      </c>
      <c r="AG279" s="6">
        <f t="shared" ref="AG279:AI279" si="25">IF(AG$276&lt;=$C$255,$C$256,IF(AG$276&lt;=$C$259,$C$260,IF(AG$276&lt;=$C$263,$C$264,0)))</f>
        <v>348154914.8554033</v>
      </c>
      <c r="AH279" s="6">
        <f t="shared" si="25"/>
        <v>348154914.8554033</v>
      </c>
      <c r="AI279" s="6">
        <f t="shared" si="25"/>
        <v>348154914.8554033</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6527904653.5388088</v>
      </c>
      <c r="C281" s="161"/>
      <c r="D281" s="161"/>
      <c r="E281" s="161"/>
      <c r="F281" s="6">
        <f t="shared" ref="F281:AP281" si="27">F279+F280</f>
        <v>87038728.713850811</v>
      </c>
      <c r="G281" s="6">
        <f t="shared" si="27"/>
        <v>87038728.713850811</v>
      </c>
      <c r="H281" s="6">
        <f t="shared" si="27"/>
        <v>87038728.713850811</v>
      </c>
      <c r="I281" s="6">
        <f t="shared" si="27"/>
        <v>87038728.713850811</v>
      </c>
      <c r="J281" s="6">
        <f t="shared" si="27"/>
        <v>87038728.713850811</v>
      </c>
      <c r="K281" s="6">
        <f t="shared" si="27"/>
        <v>87038728.713850811</v>
      </c>
      <c r="L281" s="6">
        <f t="shared" si="27"/>
        <v>87038728.713850811</v>
      </c>
      <c r="M281" s="6">
        <f t="shared" si="27"/>
        <v>87038728.713850811</v>
      </c>
      <c r="N281" s="6">
        <f t="shared" si="27"/>
        <v>87038728.713850811</v>
      </c>
      <c r="O281" s="6">
        <f t="shared" si="27"/>
        <v>87038728.713850811</v>
      </c>
      <c r="P281" s="6">
        <f t="shared" si="27"/>
        <v>217596821.78462702</v>
      </c>
      <c r="Q281" s="6">
        <f t="shared" si="27"/>
        <v>217596821.78462702</v>
      </c>
      <c r="R281" s="6">
        <f t="shared" si="27"/>
        <v>217596821.78462702</v>
      </c>
      <c r="S281" s="6">
        <f t="shared" si="27"/>
        <v>217596821.78462702</v>
      </c>
      <c r="T281" s="6">
        <f t="shared" si="27"/>
        <v>217596821.78462702</v>
      </c>
      <c r="U281" s="6">
        <f t="shared" si="27"/>
        <v>217596821.78462702</v>
      </c>
      <c r="V281" s="6">
        <f t="shared" si="27"/>
        <v>217596821.78462702</v>
      </c>
      <c r="W281" s="6">
        <f t="shared" si="27"/>
        <v>217596821.78462702</v>
      </c>
      <c r="X281" s="6">
        <f t="shared" si="27"/>
        <v>217596821.78462702</v>
      </c>
      <c r="Y281" s="6">
        <f t="shared" si="27"/>
        <v>217596821.78462702</v>
      </c>
      <c r="Z281" s="6">
        <f t="shared" si="27"/>
        <v>348154914.8554033</v>
      </c>
      <c r="AA281" s="6">
        <f t="shared" si="27"/>
        <v>348154914.8554033</v>
      </c>
      <c r="AB281" s="6">
        <f t="shared" si="27"/>
        <v>348154914.8554033</v>
      </c>
      <c r="AC281" s="6">
        <f t="shared" si="27"/>
        <v>348154914.8554033</v>
      </c>
      <c r="AD281" s="6">
        <f t="shared" si="27"/>
        <v>348154914.8554033</v>
      </c>
      <c r="AE281" s="6">
        <f t="shared" si="27"/>
        <v>348154914.8554033</v>
      </c>
      <c r="AF281" s="6">
        <f t="shared" si="27"/>
        <v>348154914.8554033</v>
      </c>
      <c r="AG281" s="6">
        <f t="shared" si="27"/>
        <v>348154914.8554033</v>
      </c>
      <c r="AH281" s="6">
        <f t="shared" si="27"/>
        <v>348154914.8554033</v>
      </c>
      <c r="AI281" s="6">
        <f t="shared" si="27"/>
        <v>348154914.8554033</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17407745.742770161</v>
      </c>
      <c r="G282" s="6">
        <f>$B282*G$281</f>
        <v>17407745.742770161</v>
      </c>
      <c r="H282" s="6">
        <f t="shared" si="28"/>
        <v>17407745.742770161</v>
      </c>
      <c r="I282" s="6">
        <f t="shared" si="28"/>
        <v>17407745.742770161</v>
      </c>
      <c r="J282" s="6">
        <f t="shared" si="28"/>
        <v>17407745.742770161</v>
      </c>
      <c r="K282" s="6">
        <f t="shared" si="28"/>
        <v>17407745.742770161</v>
      </c>
      <c r="L282" s="6">
        <f t="shared" si="28"/>
        <v>17407745.742770161</v>
      </c>
      <c r="M282" s="6">
        <f t="shared" ref="M282:V283" si="29">$B282*M$281</f>
        <v>17407745.742770161</v>
      </c>
      <c r="N282" s="6">
        <f t="shared" si="29"/>
        <v>17407745.742770161</v>
      </c>
      <c r="O282" s="6">
        <f t="shared" si="29"/>
        <v>17407745.742770161</v>
      </c>
      <c r="P282" s="6">
        <f t="shared" si="29"/>
        <v>43519364.356925406</v>
      </c>
      <c r="Q282" s="6">
        <f t="shared" si="29"/>
        <v>43519364.356925406</v>
      </c>
      <c r="R282" s="6">
        <f t="shared" si="29"/>
        <v>43519364.356925406</v>
      </c>
      <c r="S282" s="6">
        <f t="shared" si="29"/>
        <v>43519364.356925406</v>
      </c>
      <c r="T282" s="6">
        <f t="shared" si="29"/>
        <v>43519364.356925406</v>
      </c>
      <c r="U282" s="6">
        <f t="shared" si="29"/>
        <v>43519364.356925406</v>
      </c>
      <c r="V282" s="6">
        <f t="shared" si="29"/>
        <v>43519364.356925406</v>
      </c>
      <c r="W282" s="6">
        <f t="shared" ref="W282:AF283" si="30">$B282*W$281</f>
        <v>43519364.356925406</v>
      </c>
      <c r="X282" s="6">
        <f t="shared" si="30"/>
        <v>43519364.356925406</v>
      </c>
      <c r="Y282" s="6">
        <f t="shared" si="30"/>
        <v>43519364.356925406</v>
      </c>
      <c r="Z282" s="6">
        <f t="shared" si="30"/>
        <v>69630982.971080661</v>
      </c>
      <c r="AA282" s="6">
        <f t="shared" si="30"/>
        <v>69630982.971080661</v>
      </c>
      <c r="AB282" s="6">
        <f t="shared" si="30"/>
        <v>69630982.971080661</v>
      </c>
      <c r="AC282" s="6">
        <f t="shared" si="30"/>
        <v>69630982.971080661</v>
      </c>
      <c r="AD282" s="6">
        <f t="shared" si="30"/>
        <v>69630982.971080661</v>
      </c>
      <c r="AE282" s="6">
        <f t="shared" si="30"/>
        <v>69630982.971080661</v>
      </c>
      <c r="AF282" s="6">
        <f t="shared" si="30"/>
        <v>69630982.971080661</v>
      </c>
      <c r="AG282" s="6">
        <f t="shared" ref="AG282:AP283" si="31">$B282*AG$281</f>
        <v>69630982.971080661</v>
      </c>
      <c r="AH282" s="6">
        <f t="shared" si="31"/>
        <v>69630982.971080661</v>
      </c>
      <c r="AI282" s="6">
        <f t="shared" si="31"/>
        <v>69630982.971080661</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69630982.971080646</v>
      </c>
      <c r="G283" s="6">
        <f t="shared" si="28"/>
        <v>69630982.971080646</v>
      </c>
      <c r="H283" s="6">
        <f t="shared" si="28"/>
        <v>69630982.971080646</v>
      </c>
      <c r="I283" s="6">
        <f t="shared" si="28"/>
        <v>69630982.971080646</v>
      </c>
      <c r="J283" s="6">
        <f t="shared" si="28"/>
        <v>69630982.971080646</v>
      </c>
      <c r="K283" s="6">
        <f t="shared" si="28"/>
        <v>69630982.971080646</v>
      </c>
      <c r="L283" s="6">
        <f t="shared" si="28"/>
        <v>69630982.971080646</v>
      </c>
      <c r="M283" s="6">
        <f t="shared" si="29"/>
        <v>69630982.971080646</v>
      </c>
      <c r="N283" s="6">
        <f t="shared" si="29"/>
        <v>69630982.971080646</v>
      </c>
      <c r="O283" s="6">
        <f t="shared" si="29"/>
        <v>69630982.971080646</v>
      </c>
      <c r="P283" s="6">
        <f t="shared" si="29"/>
        <v>174077457.42770162</v>
      </c>
      <c r="Q283" s="6">
        <f t="shared" si="29"/>
        <v>174077457.42770162</v>
      </c>
      <c r="R283" s="6">
        <f t="shared" si="29"/>
        <v>174077457.42770162</v>
      </c>
      <c r="S283" s="6">
        <f t="shared" si="29"/>
        <v>174077457.42770162</v>
      </c>
      <c r="T283" s="6">
        <f t="shared" si="29"/>
        <v>174077457.42770162</v>
      </c>
      <c r="U283" s="6">
        <f t="shared" si="29"/>
        <v>174077457.42770162</v>
      </c>
      <c r="V283" s="6">
        <f t="shared" si="29"/>
        <v>174077457.42770162</v>
      </c>
      <c r="W283" s="6">
        <f t="shared" si="30"/>
        <v>174077457.42770162</v>
      </c>
      <c r="X283" s="6">
        <f t="shared" si="30"/>
        <v>174077457.42770162</v>
      </c>
      <c r="Y283" s="6">
        <f t="shared" si="30"/>
        <v>174077457.42770162</v>
      </c>
      <c r="Z283" s="6">
        <f t="shared" si="30"/>
        <v>278523931.88432264</v>
      </c>
      <c r="AA283" s="6">
        <f t="shared" si="30"/>
        <v>278523931.88432264</v>
      </c>
      <c r="AB283" s="6">
        <f t="shared" si="30"/>
        <v>278523931.88432264</v>
      </c>
      <c r="AC283" s="6">
        <f t="shared" si="30"/>
        <v>278523931.88432264</v>
      </c>
      <c r="AD283" s="6">
        <f t="shared" si="30"/>
        <v>278523931.88432264</v>
      </c>
      <c r="AE283" s="6">
        <f t="shared" si="30"/>
        <v>278523931.88432264</v>
      </c>
      <c r="AF283" s="6">
        <f t="shared" si="30"/>
        <v>278523931.88432264</v>
      </c>
      <c r="AG283" s="6">
        <f t="shared" si="31"/>
        <v>278523931.88432264</v>
      </c>
      <c r="AH283" s="6">
        <f t="shared" si="31"/>
        <v>278523931.88432264</v>
      </c>
      <c r="AI283" s="6">
        <f t="shared" si="31"/>
        <v>278523931.88432264</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-637949.73365962133</v>
      </c>
      <c r="I285" s="6">
        <f t="shared" si="32"/>
        <v>-1252520.2274859976</v>
      </c>
      <c r="J285" s="6">
        <f t="shared" si="32"/>
        <v>-1844568.2713268884</v>
      </c>
      <c r="K285" s="6">
        <f t="shared" si="32"/>
        <v>-2414919.2558550369</v>
      </c>
      <c r="L285" s="6">
        <f t="shared" si="32"/>
        <v>-2964368.3232683092</v>
      </c>
      <c r="M285" s="6">
        <f t="shared" si="32"/>
        <v>-3209712.5415560827</v>
      </c>
      <c r="N285" s="6">
        <f t="shared" si="32"/>
        <v>-3450889.1899120491</v>
      </c>
      <c r="O285" s="6">
        <f t="shared" si="32"/>
        <v>-3687969.0612787046</v>
      </c>
      <c r="P285" s="6">
        <f t="shared" si="32"/>
        <v>-9802554.3651636541</v>
      </c>
      <c r="Q285" s="6">
        <f t="shared" si="32"/>
        <v>-10375289.131439086</v>
      </c>
      <c r="R285" s="6">
        <f t="shared" si="32"/>
        <v>-10780317.072096981</v>
      </c>
      <c r="S285" s="6">
        <f t="shared" si="32"/>
        <v>-11180395.481606476</v>
      </c>
      <c r="T285" s="6">
        <f t="shared" si="32"/>
        <v>-11575584.844334517</v>
      </c>
      <c r="U285" s="6">
        <f t="shared" si="32"/>
        <v>-11965944.905515701</v>
      </c>
      <c r="V285" s="6">
        <f t="shared" si="32"/>
        <v>-12351534.680284623</v>
      </c>
      <c r="W285" s="6">
        <f t="shared" si="32"/>
        <v>-12351534.680284623</v>
      </c>
      <c r="X285" s="6">
        <f t="shared" si="32"/>
        <v>-12351534.680284623</v>
      </c>
      <c r="Y285" s="6">
        <f t="shared" si="32"/>
        <v>-12351534.680284623</v>
      </c>
      <c r="Z285" s="6">
        <f t="shared" si="32"/>
        <v>-19762455.4884554</v>
      </c>
      <c r="AA285" s="6">
        <f t="shared" si="32"/>
        <v>-19762455.4884554</v>
      </c>
      <c r="AB285" s="6">
        <f t="shared" si="32"/>
        <v>-19762455.4884554</v>
      </c>
      <c r="AC285" s="6">
        <f t="shared" si="32"/>
        <v>-19762455.4884554</v>
      </c>
      <c r="AD285" s="6">
        <f t="shared" si="32"/>
        <v>-19762455.4884554</v>
      </c>
      <c r="AE285" s="6">
        <f t="shared" si="32"/>
        <v>-19762455.4884554</v>
      </c>
      <c r="AF285" s="6">
        <f t="shared" si="32"/>
        <v>-19762455.4884554</v>
      </c>
      <c r="AG285" s="6">
        <f t="shared" si="32"/>
        <v>-19762455.4884554</v>
      </c>
      <c r="AH285" s="6">
        <f t="shared" si="32"/>
        <v>-19762455.4884554</v>
      </c>
      <c r="AI285" s="6">
        <f t="shared" si="32"/>
        <v>-19762455.4884554</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-4004451.8508048207</v>
      </c>
      <c r="I286" s="6">
        <f t="shared" si="33"/>
        <v>-7778609.1697620302</v>
      </c>
      <c r="J286" s="6">
        <f t="shared" si="33"/>
        <v>-11335716.109473489</v>
      </c>
      <c r="K286" s="6">
        <f t="shared" si="33"/>
        <v>-14688255.156266451</v>
      </c>
      <c r="L286" s="6">
        <f t="shared" si="33"/>
        <v>-17847990.933336772</v>
      </c>
      <c r="M286" s="6">
        <f t="shared" si="33"/>
        <v>-19361787.490717366</v>
      </c>
      <c r="N286" s="6">
        <f t="shared" si="33"/>
        <v>-20831330.521467686</v>
      </c>
      <c r="O286" s="6">
        <f t="shared" si="33"/>
        <v>-22257913.709742106</v>
      </c>
      <c r="P286" s="6">
        <f t="shared" si="33"/>
        <v>-59106982.302044362</v>
      </c>
      <c r="Q286" s="6">
        <f t="shared" si="33"/>
        <v>-62467968.266678721</v>
      </c>
      <c r="R286" s="6">
        <f t="shared" si="33"/>
        <v>-64956200.130122945</v>
      </c>
      <c r="S286" s="6">
        <f t="shared" si="33"/>
        <v>-67388959.131422549</v>
      </c>
      <c r="T286" s="6">
        <f t="shared" si="33"/>
        <v>-69767481.9874928</v>
      </c>
      <c r="U286" s="6">
        <f t="shared" si="33"/>
        <v>-72092977.843772128</v>
      </c>
      <c r="V286" s="6">
        <f t="shared" si="33"/>
        <v>-74366628.888903245</v>
      </c>
      <c r="W286" s="6">
        <f t="shared" si="33"/>
        <v>-74366628.888903245</v>
      </c>
      <c r="X286" s="6">
        <f t="shared" si="33"/>
        <v>-74366628.888903245</v>
      </c>
      <c r="Y286" s="6">
        <f t="shared" si="33"/>
        <v>-74366628.888903245</v>
      </c>
      <c r="Z286" s="6">
        <f t="shared" si="33"/>
        <v>-118986606.22224522</v>
      </c>
      <c r="AA286" s="6">
        <f t="shared" si="33"/>
        <v>-118986606.22224522</v>
      </c>
      <c r="AB286" s="6">
        <f t="shared" si="33"/>
        <v>-118986606.22224522</v>
      </c>
      <c r="AC286" s="6">
        <f t="shared" si="33"/>
        <v>-118986606.22224522</v>
      </c>
      <c r="AD286" s="6">
        <f t="shared" si="33"/>
        <v>-118986606.22224522</v>
      </c>
      <c r="AE286" s="6">
        <f t="shared" si="33"/>
        <v>-118986606.22224522</v>
      </c>
      <c r="AF286" s="6">
        <f t="shared" si="33"/>
        <v>-118986606.22224522</v>
      </c>
      <c r="AG286" s="6">
        <f t="shared" si="33"/>
        <v>-118986606.22224522</v>
      </c>
      <c r="AH286" s="6">
        <f t="shared" si="33"/>
        <v>-118986606.22224522</v>
      </c>
      <c r="AI286" s="6">
        <f t="shared" si="33"/>
        <v>-118986606.22224522</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-146918.51049479842</v>
      </c>
      <c r="G287" s="6">
        <f>(G281*G$235)-G281</f>
        <v>-293589.02737750113</v>
      </c>
      <c r="H287" s="6">
        <f t="shared" si="34"/>
        <v>-440011.96925318241</v>
      </c>
      <c r="I287" s="6">
        <f t="shared" si="34"/>
        <v>-586187.75402027369</v>
      </c>
      <c r="J287" s="6">
        <f t="shared" si="34"/>
        <v>-732116.79887187481</v>
      </c>
      <c r="K287" s="6">
        <f t="shared" si="34"/>
        <v>-877799.52029682696</v>
      </c>
      <c r="L287" s="6">
        <f t="shared" si="34"/>
        <v>-1023236.3340809643</v>
      </c>
      <c r="M287" s="6">
        <f t="shared" si="34"/>
        <v>-1168427.6553083211</v>
      </c>
      <c r="N287" s="6">
        <f t="shared" si="34"/>
        <v>-1313373.8983622342</v>
      </c>
      <c r="O287" s="6">
        <f t="shared" si="34"/>
        <v>-1458075.476926595</v>
      </c>
      <c r="P287" s="6">
        <f t="shared" si="34"/>
        <v>-4006332.0099675655</v>
      </c>
      <c r="Q287" s="6">
        <f t="shared" si="34"/>
        <v>-4366865.7295800745</v>
      </c>
      <c r="R287" s="6">
        <f t="shared" si="34"/>
        <v>-4726790.880135417</v>
      </c>
      <c r="S287" s="6">
        <f t="shared" si="34"/>
        <v>-5086108.4888781607</v>
      </c>
      <c r="T287" s="6">
        <f t="shared" si="34"/>
        <v>-5444819.5813189149</v>
      </c>
      <c r="U287" s="6">
        <f t="shared" si="34"/>
        <v>-5802925.1812372208</v>
      </c>
      <c r="V287" s="6">
        <f t="shared" si="34"/>
        <v>-6160426.3106845319</v>
      </c>
      <c r="W287" s="6">
        <f t="shared" si="34"/>
        <v>-6517323.9899871349</v>
      </c>
      <c r="X287" s="6">
        <f t="shared" si="34"/>
        <v>-6873619.2377489805</v>
      </c>
      <c r="Y287" s="6">
        <f t="shared" si="34"/>
        <v>-7229313.0708547533</v>
      </c>
      <c r="Z287" s="6">
        <f t="shared" si="34"/>
        <v>-12135050.40715611</v>
      </c>
      <c r="AA287" s="6">
        <f t="shared" si="34"/>
        <v>-12702240.883291185</v>
      </c>
      <c r="AB287" s="6">
        <f t="shared" si="34"/>
        <v>-13268473.960563123</v>
      </c>
      <c r="AC287" s="6">
        <f t="shared" si="34"/>
        <v>-13833751.255029678</v>
      </c>
      <c r="AD287" s="6">
        <f t="shared" si="34"/>
        <v>-14398074.380020797</v>
      </c>
      <c r="AE287" s="6">
        <f t="shared" si="34"/>
        <v>-14961444.94614321</v>
      </c>
      <c r="AF287" s="6">
        <f t="shared" si="34"/>
        <v>-15523864.56128484</v>
      </c>
      <c r="AG287" s="6">
        <f t="shared" ref="AG287:AP287" si="35">(AG281*AG$235)-AG281</f>
        <v>-16085334.830619752</v>
      </c>
      <c r="AH287" s="6">
        <f t="shared" si="35"/>
        <v>-16645857.356612384</v>
      </c>
      <c r="AI287" s="6">
        <f t="shared" si="35"/>
        <v>-17205433.739022315</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86891810.203356013</v>
      </c>
      <c r="G289" s="6">
        <f>G281+G285+G286+G287</f>
        <v>86745139.68647331</v>
      </c>
      <c r="H289" s="6">
        <f t="shared" si="36"/>
        <v>81956315.160133183</v>
      </c>
      <c r="I289" s="6">
        <f t="shared" si="36"/>
        <v>77421411.562582508</v>
      </c>
      <c r="J289" s="6">
        <f t="shared" si="36"/>
        <v>73126327.534178555</v>
      </c>
      <c r="K289" s="6">
        <f t="shared" si="36"/>
        <v>69057754.781432495</v>
      </c>
      <c r="L289" s="6">
        <f t="shared" si="36"/>
        <v>65203133.123164766</v>
      </c>
      <c r="M289" s="6">
        <f t="shared" si="36"/>
        <v>63298801.026269048</v>
      </c>
      <c r="N289" s="6">
        <f t="shared" si="36"/>
        <v>61443135.10410884</v>
      </c>
      <c r="O289" s="6">
        <f t="shared" si="36"/>
        <v>59634770.465903409</v>
      </c>
      <c r="P289" s="6">
        <f t="shared" si="36"/>
        <v>144680953.10745144</v>
      </c>
      <c r="Q289" s="6">
        <f t="shared" si="36"/>
        <v>140386698.65692914</v>
      </c>
      <c r="R289" s="6">
        <f t="shared" si="36"/>
        <v>137133513.7022717</v>
      </c>
      <c r="S289" s="6">
        <f t="shared" si="36"/>
        <v>133941358.68271983</v>
      </c>
      <c r="T289" s="6">
        <f t="shared" si="36"/>
        <v>130808935.37148079</v>
      </c>
      <c r="U289" s="6">
        <f t="shared" si="36"/>
        <v>127734973.85410197</v>
      </c>
      <c r="V289" s="6">
        <f t="shared" si="36"/>
        <v>124718231.90475462</v>
      </c>
      <c r="W289" s="6">
        <f t="shared" si="36"/>
        <v>124361334.22545202</v>
      </c>
      <c r="X289" s="6">
        <f t="shared" si="36"/>
        <v>124005038.97769018</v>
      </c>
      <c r="Y289" s="6">
        <f t="shared" si="36"/>
        <v>123649345.1445844</v>
      </c>
      <c r="Z289" s="6">
        <f t="shared" si="36"/>
        <v>197270802.73754656</v>
      </c>
      <c r="AA289" s="6">
        <f t="shared" si="36"/>
        <v>196703612.26141149</v>
      </c>
      <c r="AB289" s="6">
        <f t="shared" si="36"/>
        <v>196137379.18413955</v>
      </c>
      <c r="AC289" s="6">
        <f t="shared" si="36"/>
        <v>195572101.88967299</v>
      </c>
      <c r="AD289" s="6">
        <f t="shared" si="36"/>
        <v>195007778.76468188</v>
      </c>
      <c r="AE289" s="6">
        <f t="shared" si="36"/>
        <v>194444408.19855946</v>
      </c>
      <c r="AF289" s="6">
        <f t="shared" si="36"/>
        <v>193881988.58341783</v>
      </c>
      <c r="AG289" s="6">
        <f t="shared" si="36"/>
        <v>193320518.31408292</v>
      </c>
      <c r="AH289" s="6">
        <f t="shared" si="36"/>
        <v>192759995.78809029</v>
      </c>
      <c r="AI289" s="6">
        <f t="shared" si="36"/>
        <v>192200419.40568036</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2085403.4448805442</v>
      </c>
      <c r="G291" s="6">
        <f>(SUM($C$289:G289)*$B$266/$B$268)+(SUM($C$289:G289)*$B$267/$B$269)</f>
        <v>4167286.7973559042</v>
      </c>
      <c r="H291" s="6">
        <f>(SUM($C$289:H289)*$B$266/$B$268)+(SUM($C$289:H289)*$B$267/$B$269)</f>
        <v>6134238.3611991005</v>
      </c>
      <c r="I291" s="6">
        <f>(SUM($C$289:I289)*$B$266/$B$268)+(SUM($C$289:I289)*$B$267/$B$269)</f>
        <v>7992352.23870108</v>
      </c>
      <c r="J291" s="6">
        <f>(SUM($C$289:J289)*$B$266/$B$268)+(SUM($C$289:J289)*$B$267/$B$269)</f>
        <v>9747384.099521365</v>
      </c>
      <c r="K291" s="6">
        <f>(SUM($C$289:K289)*$B$266/$B$268)+(SUM($C$289:K289)*$B$267/$B$269)</f>
        <v>11404770.214275746</v>
      </c>
      <c r="L291" s="6">
        <f>(SUM($C$289:L289)*$B$266/$B$268)+(SUM($C$289:L289)*$B$267/$B$269)</f>
        <v>12969645.4092317</v>
      </c>
      <c r="M291" s="6">
        <f>(SUM($C$289:M289)*$B$266/$B$268)+(SUM($C$289:M289)*$B$267/$B$269)</f>
        <v>14488816.633862156</v>
      </c>
      <c r="N291" s="6">
        <f>(SUM($C$289:N289)*$B$266/$B$268)+(SUM($C$289:N289)*$B$267/$B$269)</f>
        <v>15963451.876360767</v>
      </c>
      <c r="O291" s="6">
        <f>(SUM($C$289:O289)*$B$266/$B$268)+(SUM($C$289:O289)*$B$267/$B$269)</f>
        <v>17394686.367542449</v>
      </c>
      <c r="P291" s="6">
        <f>(SUM($C$289:P289)*$B$266/$B$268)+(SUM($C$289:P289)*$B$267/$B$269)</f>
        <v>20867029.242121287</v>
      </c>
      <c r="Q291" s="6">
        <f>(SUM($C$289:Q289)*$B$266/$B$268)+(SUM($C$289:Q289)*$B$267/$B$269)</f>
        <v>24236310.00988758</v>
      </c>
      <c r="R291" s="6">
        <f>(SUM($C$289:R289)*$B$266/$B$268)+(SUM($C$289:R289)*$B$267/$B$269)</f>
        <v>27527514.338742107</v>
      </c>
      <c r="S291" s="6">
        <f>(SUM($C$289:S289)*$B$266/$B$268)+(SUM($C$289:S289)*$B$267/$B$269)</f>
        <v>30742106.947127379</v>
      </c>
      <c r="T291" s="6">
        <f>(SUM($C$289:T289)*$B$266/$B$268)+(SUM($C$289:T289)*$B$267/$B$269)</f>
        <v>33881521.396042913</v>
      </c>
      <c r="U291" s="6">
        <f>(SUM($C$289:U289)*$B$266/$B$268)+(SUM($C$289:U289)*$B$267/$B$269)</f>
        <v>36947160.768541358</v>
      </c>
      <c r="V291" s="6">
        <f>(SUM($C$289:V289)*$B$266/$B$268)+(SUM($C$289:V289)*$B$267/$B$269)</f>
        <v>39940398.334255472</v>
      </c>
      <c r="W291" s="6">
        <f>(SUM($C$289:W289)*$B$266/$B$268)+(SUM($C$289:W289)*$B$267/$B$269)</f>
        <v>42925070.355666324</v>
      </c>
      <c r="X291" s="6">
        <f>(SUM($C$289:X289)*$B$266/$B$268)+(SUM($C$289:X289)*$B$267/$B$269)</f>
        <v>45901191.291130885</v>
      </c>
      <c r="Y291" s="6">
        <f>(SUM($C$289:Y289)*$B$266/$B$268)+(SUM($C$289:Y289)*$B$267/$B$269)</f>
        <v>48868775.574600905</v>
      </c>
      <c r="Z291" s="6">
        <f>(SUM($C$289:Z289)*$B$266/$B$268)+(SUM($C$289:Z289)*$B$267/$B$269)</f>
        <v>53603274.840302035</v>
      </c>
      <c r="AA291" s="6">
        <f>(SUM($C$289:AA289)*$B$266/$B$268)+(SUM($C$289:AA289)*$B$267/$B$269)</f>
        <v>58324161.534575909</v>
      </c>
      <c r="AB291" s="6">
        <f>(SUM($C$289:AB289)*$B$266/$B$268)+(SUM($C$289:AB289)*$B$267/$B$269)</f>
        <v>63031458.634995267</v>
      </c>
      <c r="AC291" s="6">
        <f>(SUM($C$289:AC289)*$B$266/$B$268)+(SUM($C$289:AC289)*$B$267/$B$269)</f>
        <v>67725189.080347419</v>
      </c>
      <c r="AD291" s="6">
        <f>(SUM($C$289:AD289)*$B$266/$B$268)+(SUM($C$289:AD289)*$B$267/$B$269)</f>
        <v>72405375.770699769</v>
      </c>
      <c r="AE291" s="6">
        <f>(SUM($C$289:AE289)*$B$266/$B$268)+(SUM($C$289:AE289)*$B$267/$B$269)</f>
        <v>77072041.567465201</v>
      </c>
      <c r="AF291" s="6">
        <f>(SUM($C$289:AF289)*$B$266/$B$268)+(SUM($C$289:AF289)*$B$267/$B$269)</f>
        <v>81725209.293467224</v>
      </c>
      <c r="AG291" s="6">
        <f>(SUM($C$289:AG289)*$B$266/$B$268)+(SUM($C$289:AG289)*$B$267/$B$269)</f>
        <v>86364901.733005211</v>
      </c>
      <c r="AH291" s="6">
        <f>(SUM($C$289:AH289)*$B$266/$B$268)+(SUM($C$289:AH289)*$B$267/$B$269)</f>
        <v>90991141.631919384</v>
      </c>
      <c r="AI291" s="6">
        <f>(SUM($C$289:AI289)*$B$266/$B$268)+(SUM($C$289:AI289)*$B$267/$B$269)</f>
        <v>95603951.697655708</v>
      </c>
      <c r="AJ291" s="6">
        <f>(SUM($C$289:AJ289)*$B$266/$B$268)+(SUM($C$289:AJ289)*$B$267/$B$269)</f>
        <v>95603951.697655708</v>
      </c>
      <c r="AK291" s="6">
        <f>(SUM($C$289:AK289)*$B$266/$B$268)+(SUM($C$289:AK289)*$B$267/$B$269)</f>
        <v>95603951.697655708</v>
      </c>
      <c r="AL291" s="6">
        <f>(SUM($C$289:AL289)*$B$266/$B$268)+(SUM($C$289:AL289)*$B$267/$B$269)</f>
        <v>95603951.697655708</v>
      </c>
      <c r="AM291" s="6">
        <f>(SUM($C$289:AM289)*$B$266/$B$268)+(SUM($C$289:AM289)*$B$267/$B$269)</f>
        <v>95603951.697655708</v>
      </c>
      <c r="AN291" s="6">
        <f>(SUM($C$289:AN289)*$B$266/$B$268)+(SUM($C$289:AN289)*$B$267/$B$269)</f>
        <v>95603951.697655708</v>
      </c>
      <c r="AO291" s="6">
        <f>(SUM($C$289:AO289)*$B$266/$B$268)+(SUM($C$289:AO289)*$B$267/$B$269)</f>
        <v>95603951.697655708</v>
      </c>
      <c r="AP291" s="64">
        <f>(SUM($C$289:AP289)*$B$266/$B$268)+(SUM($C$289:AP289)*$B$267/$B$269)</f>
        <v>95603951.697655708</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1127072.0225675046</v>
      </c>
      <c r="G293" s="1">
        <f>(SUM($C$289:G289)*$B$275)</f>
        <v>2252241.5846415851</v>
      </c>
      <c r="H293" s="1">
        <f>(SUM($C$289:H289)*$B$275)</f>
        <v>3315295.3945867657</v>
      </c>
      <c r="I293" s="1">
        <f>(SUM($C$289:I289)*$B$275)</f>
        <v>4319527.055955708</v>
      </c>
      <c r="J293" s="1">
        <f>(SUM($C$289:J289)*$B$275)</f>
        <v>5268047.2638325281</v>
      </c>
      <c r="K293" s="1">
        <f>(SUM($C$289:K289)*$B$275)</f>
        <v>6163794.0916788392</v>
      </c>
      <c r="L293" s="1">
        <f>(SUM($C$289:L289)*$B$275)</f>
        <v>7009542.6950843325</v>
      </c>
      <c r="M293" s="1">
        <f>(SUM($C$289:M289)*$B$275)</f>
        <v>7830590.2429695725</v>
      </c>
      <c r="N293" s="1">
        <f>(SUM($C$289:N289)*$B$275)</f>
        <v>8627567.9833642785</v>
      </c>
      <c r="O293" s="1">
        <f>(SUM($C$289:O289)*$B$275)</f>
        <v>9401089.4603257366</v>
      </c>
      <c r="P293" s="1">
        <f>(SUM($C$289:P289)*$B$275)</f>
        <v>11277743.359745955</v>
      </c>
      <c r="Q293" s="1">
        <f>(SUM($C$289:Q289)*$B$275)</f>
        <v>13098696.566113023</v>
      </c>
      <c r="R293" s="1">
        <f>(SUM($C$289:R289)*$B$275)</f>
        <v>14877452.772117794</v>
      </c>
      <c r="S293" s="1">
        <f>(SUM($C$289:S289)*$B$275)</f>
        <v>16614803.595891308</v>
      </c>
      <c r="T293" s="1">
        <f>(SUM($C$289:T289)*$B$275)</f>
        <v>18311523.816289507</v>
      </c>
      <c r="U293" s="1">
        <f>(SUM($C$289:U289)*$B$275)</f>
        <v>19968371.740132041</v>
      </c>
      <c r="V293" s="1">
        <f>(SUM($C$289:V289)*$B$275)</f>
        <v>21586089.561350893</v>
      </c>
      <c r="W293" s="1">
        <f>(SUM($C$289:W289)*$B$275)</f>
        <v>23199178.069538742</v>
      </c>
      <c r="X293" s="1">
        <f>(SUM($C$289:X289)*$B$275)</f>
        <v>24807645.078823693</v>
      </c>
      <c r="Y293" s="1">
        <f>(SUM($C$289:Y289)*$B$275)</f>
        <v>26411498.390143842</v>
      </c>
      <c r="Z293" s="1">
        <f>(SUM($C$289:Z289)*$B$275)</f>
        <v>28970294.231944989</v>
      </c>
      <c r="AA293" s="1">
        <f>(SUM($C$289:AA289)*$B$275)</f>
        <v>31521733.056834847</v>
      </c>
      <c r="AB293" s="1">
        <f>(SUM($C$289:AB289)*$B$275)</f>
        <v>34065827.283215918</v>
      </c>
      <c r="AC293" s="1">
        <f>(SUM($C$289:AC289)*$B$275)</f>
        <v>36602589.308528841</v>
      </c>
      <c r="AD293" s="1">
        <f>(SUM($C$289:AD289)*$B$275)</f>
        <v>39132031.509287797</v>
      </c>
      <c r="AE293" s="1">
        <f>(SUM($C$289:AE289)*$B$275)</f>
        <v>41654166.241115808</v>
      </c>
      <c r="AF293" s="1">
        <f>(SUM($C$289:AF289)*$B$275)</f>
        <v>44169005.838780016</v>
      </c>
      <c r="AG293" s="1">
        <f>(SUM($C$289:AG289)*$B$275)</f>
        <v>46676562.616226882</v>
      </c>
      <c r="AH293" s="1">
        <f>(SUM($C$289:AH289)*$B$275)</f>
        <v>49176848.866617322</v>
      </c>
      <c r="AI293" s="1">
        <f>(SUM($C$289:AI289)*$B$275)</f>
        <v>51669876.862361804</v>
      </c>
      <c r="AJ293" s="1">
        <f>(SUM($C$289:AJ289)*$B$275)</f>
        <v>51669876.862361804</v>
      </c>
      <c r="AK293" s="1">
        <f>(SUM($C$289:AK289)*$B$275)</f>
        <v>51669876.862361804</v>
      </c>
      <c r="AL293" s="1">
        <f>(SUM($C$289:AL289)*$B$275)</f>
        <v>51669876.862361804</v>
      </c>
      <c r="AM293" s="1">
        <f>(SUM($C$289:AM289)*$B$275)</f>
        <v>51669876.862361804</v>
      </c>
      <c r="AN293" s="1">
        <f>(SUM($C$289:AN289)*$B$275)</f>
        <v>51669876.862361804</v>
      </c>
      <c r="AO293" s="1">
        <f>(SUM($C$289:AO289)*$B$275)</f>
        <v>51669876.862361804</v>
      </c>
      <c r="AP293" s="65">
        <f>(SUM($C$289:AP289)*$B$275)</f>
        <v>51669876.862361804</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216782</v>
      </c>
      <c r="C302" s="99">
        <f t="shared" ref="C302:AP302" si="37">$B$302*C28</f>
        <v>222570.95135412662</v>
      </c>
      <c r="D302" s="69">
        <f t="shared" si="37"/>
        <v>225523.14218004057</v>
      </c>
      <c r="E302" s="69">
        <f t="shared" si="37"/>
        <v>228514.49099409085</v>
      </c>
      <c r="F302" s="69">
        <f t="shared" si="37"/>
        <v>231545.51718954343</v>
      </c>
      <c r="G302" s="69">
        <f t="shared" si="37"/>
        <v>234616.74704891923</v>
      </c>
      <c r="H302" s="69">
        <f t="shared" si="37"/>
        <v>237728.71383537358</v>
      </c>
      <c r="I302" s="69">
        <f t="shared" si="37"/>
        <v>240881.9578852877</v>
      </c>
      <c r="J302" s="69">
        <f t="shared" si="37"/>
        <v>244077.02670208795</v>
      </c>
      <c r="K302" s="69">
        <f t="shared" si="37"/>
        <v>247314.47505131029</v>
      </c>
      <c r="L302" s="69">
        <f t="shared" si="37"/>
        <v>250594.86505692487</v>
      </c>
      <c r="M302" s="69">
        <f t="shared" si="37"/>
        <v>253918.7662989388</v>
      </c>
      <c r="N302" s="69">
        <f t="shared" si="37"/>
        <v>257286.75591229327</v>
      </c>
      <c r="O302" s="69">
        <f t="shared" si="37"/>
        <v>260699.41868707255</v>
      </c>
      <c r="P302" s="69">
        <f t="shared" si="37"/>
        <v>264157.34717004211</v>
      </c>
      <c r="Q302" s="69">
        <f t="shared" si="37"/>
        <v>267661.14176753379</v>
      </c>
      <c r="R302" s="69">
        <f t="shared" si="37"/>
        <v>271211.41084969509</v>
      </c>
      <c r="S302" s="69">
        <f t="shared" si="37"/>
        <v>274808.77085612167</v>
      </c>
      <c r="T302" s="69">
        <f t="shared" si="37"/>
        <v>278453.84640289104</v>
      </c>
      <c r="U302" s="69">
        <f t="shared" si="37"/>
        <v>282147.27039101574</v>
      </c>
      <c r="V302" s="69">
        <f t="shared" si="37"/>
        <v>285889.68411633495</v>
      </c>
      <c r="W302" s="69">
        <f t="shared" si="37"/>
        <v>289681.73738086369</v>
      </c>
      <c r="X302" s="69">
        <f t="shared" si="37"/>
        <v>293524.0886056195</v>
      </c>
      <c r="Y302" s="69">
        <f t="shared" si="37"/>
        <v>297417.40494494513</v>
      </c>
      <c r="Z302" s="69">
        <f t="shared" si="37"/>
        <v>301362.3624023475</v>
      </c>
      <c r="AA302" s="69">
        <f t="shared" si="37"/>
        <v>305359.64594787377</v>
      </c>
      <c r="AB302" s="69">
        <f t="shared" si="37"/>
        <v>309409.94963704352</v>
      </c>
      <c r="AC302" s="69">
        <f t="shared" si="37"/>
        <v>313513.97673135938</v>
      </c>
      <c r="AD302" s="69">
        <f t="shared" si="37"/>
        <v>317672.43982041493</v>
      </c>
      <c r="AE302" s="69">
        <f t="shared" si="37"/>
        <v>321886.06094562367</v>
      </c>
      <c r="AF302" s="69">
        <f t="shared" si="37"/>
        <v>326155.57172558736</v>
      </c>
      <c r="AG302" s="69">
        <f t="shared" si="37"/>
        <v>330481.71348312974</v>
      </c>
      <c r="AH302" s="69">
        <f t="shared" si="37"/>
        <v>334865.23737401207</v>
      </c>
      <c r="AI302" s="69">
        <f t="shared" si="37"/>
        <v>339306.90451735887</v>
      </c>
      <c r="AJ302" s="69">
        <f t="shared" si="37"/>
        <v>343807.48612781178</v>
      </c>
      <c r="AK302" s="69">
        <f t="shared" si="37"/>
        <v>348367.76364943752</v>
      </c>
      <c r="AL302" s="69">
        <f t="shared" si="37"/>
        <v>352988.52889141062</v>
      </c>
      <c r="AM302" s="69">
        <f t="shared" si="37"/>
        <v>357670.58416549739</v>
      </c>
      <c r="AN302" s="69">
        <f t="shared" si="37"/>
        <v>362414.74242536223</v>
      </c>
      <c r="AO302" s="69">
        <f t="shared" si="37"/>
        <v>367221.82740772283</v>
      </c>
      <c r="AP302" s="76">
        <f t="shared" si="37"/>
        <v>372092.67377537634</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Lv6N4AOL9RpnPTmffzju/k4bkrjUg2gqmHHG/gDxsapCbSEFcxvD8aW+zo3+c4B7ljgBWRB6OGLRs/gtbsaxFw==" saltValue="U/c/A8n1S6IiVsupg7YQuw=="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0.1</v>
      </c>
      <c r="J4" s="333">
        <v>7.0000000000000007E-2</v>
      </c>
      <c r="K4" s="333">
        <v>0.04</v>
      </c>
      <c r="L4" s="333">
        <v>3.5000000000000003E-2</v>
      </c>
      <c r="M4" s="333">
        <v>-0.02</v>
      </c>
      <c r="N4" s="333">
        <v>0.02</v>
      </c>
      <c r="O4" s="333">
        <v>2.5000000000000001E-2</v>
      </c>
      <c r="P4" s="333">
        <v>2.5000000000000001E-2</v>
      </c>
      <c r="Q4" s="333">
        <v>2.5000000000000001E-2</v>
      </c>
      <c r="R4" s="333">
        <v>0.1</v>
      </c>
      <c r="S4" s="333">
        <v>0.09</v>
      </c>
      <c r="T4" s="333">
        <v>7.0000000000000007E-2</v>
      </c>
      <c r="U4" s="333">
        <v>0.06</v>
      </c>
      <c r="V4" s="333">
        <v>0.05</v>
      </c>
      <c r="W4" s="333">
        <v>0.04</v>
      </c>
      <c r="X4" s="333">
        <v>0.04</v>
      </c>
      <c r="Y4" s="333">
        <v>3.5000000000000003E-2</v>
      </c>
      <c r="Z4" s="333">
        <v>0.04</v>
      </c>
      <c r="AA4" s="333">
        <v>0.04</v>
      </c>
      <c r="AB4" s="333">
        <v>0.08</v>
      </c>
      <c r="AC4" s="333">
        <v>7.0000000000000007E-2</v>
      </c>
      <c r="AD4" s="333">
        <v>0.06</v>
      </c>
      <c r="AE4" s="333">
        <v>0.06</v>
      </c>
      <c r="AF4" s="333">
        <v>0.05</v>
      </c>
      <c r="AG4" s="333">
        <v>0.05</v>
      </c>
      <c r="AH4" s="333">
        <v>0.04</v>
      </c>
      <c r="AI4" s="333">
        <v>0.01</v>
      </c>
      <c r="AJ4" s="333">
        <v>0.04</v>
      </c>
      <c r="AK4" s="333">
        <v>0.05</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2.4656542793285885</v>
      </c>
      <c r="J6" s="348">
        <f ca="1">'Debt worksheet'!H3/'Profit and Loss'!H3</f>
        <v>2.649501291528285</v>
      </c>
      <c r="K6" s="348">
        <f ca="1">'Debt worksheet'!I3/'Profit and Loss'!I3</f>
        <v>2.8254410040068354</v>
      </c>
      <c r="L6" s="348">
        <f ca="1">'Debt worksheet'!J3/'Profit and Loss'!J3</f>
        <v>2.9631294885246575</v>
      </c>
      <c r="M6" s="348">
        <f ca="1">'Debt worksheet'!K3/'Profit and Loss'!K3</f>
        <v>3.2279887421599058</v>
      </c>
      <c r="N6" s="348">
        <f ca="1">'Debt worksheet'!L3/'Profit and Loss'!L3</f>
        <v>3.332202404467961</v>
      </c>
      <c r="O6" s="348">
        <f ca="1">'Debt worksheet'!M3/'Profit and Loss'!M3</f>
        <v>3.3942284714103033</v>
      </c>
      <c r="P6" s="348">
        <f ca="1">'Debt worksheet'!N3/'Profit and Loss'!N3</f>
        <v>3.4420269626996598</v>
      </c>
      <c r="Q6" s="348">
        <f ca="1">'Debt worksheet'!O3/'Profit and Loss'!O3</f>
        <v>3.4754736519807707</v>
      </c>
      <c r="R6" s="348">
        <f ca="1">'Debt worksheet'!P3/'Profit and Loss'!P3</f>
        <v>3.2562065114749537</v>
      </c>
      <c r="S6" s="348">
        <f ca="1">'Debt worksheet'!Q3/'Profit and Loss'!Q3</f>
        <v>3.4133629601470576</v>
      </c>
      <c r="T6" s="348">
        <f ca="1">'Debt worksheet'!R3/'Profit and Loss'!R3</f>
        <v>3.5359056184760367</v>
      </c>
      <c r="U6" s="348">
        <f ca="1">'Debt worksheet'!S3/'Profit and Loss'!S3</f>
        <v>3.627613625713344</v>
      </c>
      <c r="V6" s="348">
        <f ca="1">'Debt worksheet'!T3/'Profit and Loss'!T3</f>
        <v>3.7039372535732515</v>
      </c>
      <c r="W6" s="348">
        <f ca="1">'Debt worksheet'!U3/'Profit and Loss'!U3</f>
        <v>3.7784577026965231</v>
      </c>
      <c r="X6" s="348">
        <f ca="1">'Debt worksheet'!V3/'Profit and Loss'!V3</f>
        <v>3.8266226350425852</v>
      </c>
      <c r="Y6" s="348">
        <f ca="1">'Debt worksheet'!W3/'Profit and Loss'!W3</f>
        <v>3.8675223174785809</v>
      </c>
      <c r="Z6" s="348">
        <f ca="1">'Debt worksheet'!X3/'Profit and Loss'!X3</f>
        <v>3.8822899908067368</v>
      </c>
      <c r="AA6" s="348">
        <f ca="1">'Debt worksheet'!Y3/'Profit and Loss'!Y3</f>
        <v>3.8845599060735694</v>
      </c>
      <c r="AB6" s="348">
        <f ca="1">'Debt worksheet'!Z3/'Profit and Loss'!Z3</f>
        <v>3.7308348677902425</v>
      </c>
      <c r="AC6" s="348">
        <f ca="1">'Debt worksheet'!AA3/'Profit and Loss'!AA3</f>
        <v>3.8169215151220683</v>
      </c>
      <c r="AD6" s="348">
        <f ca="1">'Debt worksheet'!AB3/'Profit and Loss'!AB3</f>
        <v>3.892320563679061</v>
      </c>
      <c r="AE6" s="348">
        <f ca="1">'Debt worksheet'!AC3/'Profit and Loss'!AC3</f>
        <v>3.9330357630353419</v>
      </c>
      <c r="AF6" s="348">
        <f ca="1">'Debt worksheet'!AD3/'Profit and Loss'!AD3</f>
        <v>3.9781018984790188</v>
      </c>
      <c r="AG6" s="348">
        <f ca="1">'Debt worksheet'!AE3/'Profit and Loss'!AE3</f>
        <v>4.0007213399025003</v>
      </c>
      <c r="AH6" s="348">
        <f ca="1">'Debt worksheet'!AF3/'Profit and Loss'!AF3</f>
        <v>4.0398734734851374</v>
      </c>
      <c r="AI6" s="348">
        <f ca="1">'Debt worksheet'!AG3/'Profit and Loss'!AG3</f>
        <v>4.1879100735037715</v>
      </c>
      <c r="AJ6" s="348">
        <f ca="1">'Debt worksheet'!AH3/'Profit and Loss'!AH3</f>
        <v>4.2330571805580997</v>
      </c>
      <c r="AK6" s="348">
        <f ca="1">'Debt worksheet'!AI3/'Profit and Loss'!AI3</f>
        <v>4.2249342905665035</v>
      </c>
      <c r="AL6" s="348">
        <f ca="1">'Debt worksheet'!AJ3/'Profit and Loss'!AJ3</f>
        <v>4.4045322988416116</v>
      </c>
      <c r="AM6" s="348">
        <f ca="1">'Debt worksheet'!AK3/'Profit and Loss'!AK3</f>
        <v>4.0881248518363709</v>
      </c>
      <c r="AN6" s="348">
        <f ca="1">'Debt worksheet'!AL3/'Profit and Loss'!AL3</f>
        <v>3.7695769539533837</v>
      </c>
      <c r="AO6" s="348">
        <f ca="1">'Debt worksheet'!AM3/'Profit and Loss'!AM3</f>
        <v>3.4489426150690936</v>
      </c>
      <c r="AP6" s="348">
        <f ca="1">'Debt worksheet'!AN3/'Profit and Loss'!AN3</f>
        <v>3.1262793294428262</v>
      </c>
      <c r="AQ6" s="348">
        <f ca="1">'Debt worksheet'!AO3/'Profit and Loss'!AO3</f>
        <v>2.8016482131791052</v>
      </c>
      <c r="AR6" s="349">
        <f ca="1">'Debt worksheet'!AP3/'Profit and Loss'!AP3</f>
        <v>2.4751141464172202</v>
      </c>
      <c r="AS6" s="350"/>
    </row>
    <row r="7" spans="1:45" ht="21" x14ac:dyDescent="0.5">
      <c r="A7" s="351" t="s">
        <v>356</v>
      </c>
      <c r="B7" s="352">
        <f ca="1">MIN('Price and Financial Ratios'!H7:AK7)</f>
        <v>0.14559258169995468</v>
      </c>
      <c r="C7" s="352"/>
      <c r="D7" s="352"/>
      <c r="E7" s="353"/>
      <c r="F7" s="354"/>
      <c r="G7" s="355"/>
      <c r="H7" s="355"/>
      <c r="I7" s="356">
        <f ca="1">'Cash Flow'!G5/'Debt worksheet'!G3</f>
        <v>0.17074487764980506</v>
      </c>
      <c r="J7" s="356">
        <f ca="1">'Cash Flow'!H5/'Debt worksheet'!H3</f>
        <v>0.1670830650160664</v>
      </c>
      <c r="K7" s="356">
        <f ca="1">'Cash Flow'!I5/'Debt worksheet'!I3</f>
        <v>0.16150799410902442</v>
      </c>
      <c r="L7" s="356">
        <f ca="1">'Cash Flow'!J5/'Debt worksheet'!J3</f>
        <v>0.15831266582979683</v>
      </c>
      <c r="M7" s="356">
        <f ca="1">'Cash Flow'!K5/'Debt worksheet'!K3</f>
        <v>0.15744185416431505</v>
      </c>
      <c r="N7" s="356">
        <f ca="1">'Cash Flow'!L5/'Debt worksheet'!L3</f>
        <v>0.15474184405573782</v>
      </c>
      <c r="O7" s="356">
        <f ca="1">'Cash Flow'!M5/'Debt worksheet'!M3</f>
        <v>0.15301957873342628</v>
      </c>
      <c r="P7" s="356">
        <f ca="1">'Cash Flow'!N5/'Debt worksheet'!N3</f>
        <v>0.15220908424842924</v>
      </c>
      <c r="Q7" s="356">
        <f ca="1">'Cash Flow'!O5/'Debt worksheet'!O3</f>
        <v>0.15226297496275831</v>
      </c>
      <c r="R7" s="356">
        <f ca="1">'Cash Flow'!P5/'Debt worksheet'!P3</f>
        <v>0.16785377974678334</v>
      </c>
      <c r="S7" s="356">
        <f ca="1">'Cash Flow'!Q5/'Debt worksheet'!Q3</f>
        <v>0.16508578933422546</v>
      </c>
      <c r="T7" s="356">
        <f ca="1">'Cash Flow'!R5/'Debt worksheet'!R3</f>
        <v>0.16219193822592196</v>
      </c>
      <c r="U7" s="356">
        <f ca="1">'Cash Flow'!S5/'Debt worksheet'!S3</f>
        <v>0.16034651984486667</v>
      </c>
      <c r="V7" s="356">
        <f ca="1">'Cash Flow'!T5/'Debt worksheet'!T3</f>
        <v>0.15864794033727486</v>
      </c>
      <c r="W7" s="356">
        <f ca="1">'Cash Flow'!U5/'Debt worksheet'!U3</f>
        <v>0.15639409389249684</v>
      </c>
      <c r="X7" s="356">
        <f ca="1">'Cash Flow'!V5/'Debt worksheet'!V3</f>
        <v>0.15562668790181131</v>
      </c>
      <c r="Y7" s="356">
        <f ca="1">'Cash Flow'!W5/'Debt worksheet'!W3</f>
        <v>0.15396794238492698</v>
      </c>
      <c r="Z7" s="356">
        <f ca="1">'Cash Flow'!X5/'Debt worksheet'!X3</f>
        <v>0.15403989321428371</v>
      </c>
      <c r="AA7" s="356">
        <f ca="1">'Cash Flow'!Y5/'Debt worksheet'!Y3</f>
        <v>0.15477206313875352</v>
      </c>
      <c r="AB7" s="356">
        <f ca="1">'Cash Flow'!Z5/'Debt worksheet'!Z3</f>
        <v>0.1629588731330204</v>
      </c>
      <c r="AC7" s="356">
        <f ca="1">'Cash Flow'!AA5/'Debt worksheet'!AA3</f>
        <v>0.160649020697814</v>
      </c>
      <c r="AD7" s="356">
        <f ca="1">'Cash Flow'!AB5/'Debt worksheet'!AB3</f>
        <v>0.15835937397645342</v>
      </c>
      <c r="AE7" s="356">
        <f ca="1">'Cash Flow'!AC5/'Debt worksheet'!AC3</f>
        <v>0.15793142985845288</v>
      </c>
      <c r="AF7" s="356">
        <f ca="1">'Cash Flow'!AD5/'Debt worksheet'!AD3</f>
        <v>0.15671189684574255</v>
      </c>
      <c r="AG7" s="356">
        <f ca="1">'Cash Flow'!AE5/'Debt worksheet'!AE3</f>
        <v>0.15666298481368449</v>
      </c>
      <c r="AH7" s="356">
        <f ca="1">'Cash Flow'!AF5/'Debt worksheet'!AF3</f>
        <v>0.15524785358966975</v>
      </c>
      <c r="AI7" s="356">
        <f ca="1">'Cash Flow'!AG5/'Debt worksheet'!AG3</f>
        <v>0.14705885950988992</v>
      </c>
      <c r="AJ7" s="356">
        <f ca="1">'Cash Flow'!AH5/'Debt worksheet'!AH3</f>
        <v>0.14559258169995468</v>
      </c>
      <c r="AK7" s="356">
        <f ca="1">'Cash Flow'!AI5/'Debt worksheet'!AI3</f>
        <v>0.1470956480938693</v>
      </c>
      <c r="AL7" s="357">
        <f ca="1">'Cash Flow'!AJ5/'Debt worksheet'!AJ3</f>
        <v>0.14377684679431216</v>
      </c>
      <c r="AM7" s="357">
        <f ca="1">'Cash Flow'!AK5/'Debt worksheet'!AK3</f>
        <v>0.15780533815993467</v>
      </c>
      <c r="AN7" s="357">
        <f ca="1">'Cash Flow'!AL5/'Debt worksheet'!AL3</f>
        <v>0.17430100271509086</v>
      </c>
      <c r="AO7" s="357">
        <f ca="1">'Cash Flow'!AM5/'Debt worksheet'!AM3</f>
        <v>0.19397425560604206</v>
      </c>
      <c r="AP7" s="357">
        <f ca="1">'Cash Flow'!AN5/'Debt worksheet'!AN3</f>
        <v>0.21783716103907805</v>
      </c>
      <c r="AQ7" s="357">
        <f ca="1">'Cash Flow'!AO5/'Debt worksheet'!AO3</f>
        <v>0.24738254653229844</v>
      </c>
      <c r="AR7" s="358">
        <f ca="1">'Cash Flow'!AP5/'Debt worksheet'!AP3</f>
        <v>0.28490794191474123</v>
      </c>
      <c r="AS7" s="359"/>
    </row>
    <row r="8" spans="1:45" ht="21" x14ac:dyDescent="0.5">
      <c r="A8" s="351" t="s">
        <v>357</v>
      </c>
      <c r="B8" s="352">
        <f ca="1">MAX('Price and Financial Ratios'!H8:AK8)</f>
        <v>0.52417376196221732</v>
      </c>
      <c r="C8" s="352"/>
      <c r="D8" s="352"/>
      <c r="E8" s="353"/>
      <c r="F8" s="354"/>
      <c r="G8" s="355"/>
      <c r="H8" s="355"/>
      <c r="I8" s="357">
        <f ca="1">'Balance Sheet'!F9/'Balance Sheet'!F6</f>
        <v>0.26921143021503019</v>
      </c>
      <c r="J8" s="357">
        <f ca="1">'Balance Sheet'!G9/'Balance Sheet'!G6</f>
        <v>0.28968676457366077</v>
      </c>
      <c r="K8" s="357">
        <f ca="1">'Balance Sheet'!H9/'Balance Sheet'!H6</f>
        <v>0.30600786841334543</v>
      </c>
      <c r="L8" s="357">
        <f ca="1">'Balance Sheet'!I9/'Balance Sheet'!I6</f>
        <v>0.31880688774560928</v>
      </c>
      <c r="M8" s="357">
        <f ca="1">'Balance Sheet'!J9/'Balance Sheet'!J6</f>
        <v>0.32839130147821216</v>
      </c>
      <c r="N8" s="357">
        <f ca="1">'Balance Sheet'!K9/'Balance Sheet'!K6</f>
        <v>0.33617897653382789</v>
      </c>
      <c r="O8" s="357">
        <f ca="1">'Balance Sheet'!L9/'Balance Sheet'!L6</f>
        <v>0.34333687426249382</v>
      </c>
      <c r="P8" s="357">
        <f ca="1">'Balance Sheet'!M9/'Balance Sheet'!M6</f>
        <v>0.34950501959538555</v>
      </c>
      <c r="Q8" s="357">
        <f ca="1">'Balance Sheet'!N9/'Balance Sheet'!N6</f>
        <v>0.35463920494094536</v>
      </c>
      <c r="R8" s="357">
        <f ca="1">'Balance Sheet'!O9/'Balance Sheet'!O6</f>
        <v>0.39976482548591014</v>
      </c>
      <c r="S8" s="357">
        <f ca="1">'Balance Sheet'!P9/'Balance Sheet'!P6</f>
        <v>0.4192716830086064</v>
      </c>
      <c r="T8" s="357">
        <f ca="1">'Balance Sheet'!Q9/'Balance Sheet'!Q6</f>
        <v>0.43342850579704034</v>
      </c>
      <c r="U8" s="357">
        <f ca="1">'Balance Sheet'!R9/'Balance Sheet'!R6</f>
        <v>0.44333382519782127</v>
      </c>
      <c r="V8" s="357">
        <f ca="1">'Balance Sheet'!S9/'Balance Sheet'!S6</f>
        <v>0.45020866592220632</v>
      </c>
      <c r="W8" s="357">
        <f ca="1">'Balance Sheet'!T9/'Balance Sheet'!T6</f>
        <v>0.45522079440943092</v>
      </c>
      <c r="X8" s="357">
        <f ca="1">'Balance Sheet'!U9/'Balance Sheet'!U6</f>
        <v>0.45836117964148709</v>
      </c>
      <c r="Y8" s="357">
        <f ca="1">'Balance Sheet'!V9/'Balance Sheet'!V6</f>
        <v>0.46172870413236139</v>
      </c>
      <c r="Z8" s="357">
        <f ca="1">'Balance Sheet'!W9/'Balance Sheet'!W6</f>
        <v>0.46417403046920658</v>
      </c>
      <c r="AA8" s="357">
        <f ca="1">'Balance Sheet'!X9/'Balance Sheet'!X6</f>
        <v>0.46564846065081783</v>
      </c>
      <c r="AB8" s="357">
        <f ca="1">'Balance Sheet'!Y9/'Balance Sheet'!Y6</f>
        <v>0.49385656086060858</v>
      </c>
      <c r="AC8" s="357">
        <f ca="1">'Balance Sheet'!Z9/'Balance Sheet'!Z6</f>
        <v>0.50336445474749869</v>
      </c>
      <c r="AD8" s="357">
        <f ca="1">'Balance Sheet'!AA9/'Balance Sheet'!AA6</f>
        <v>0.51003944660629763</v>
      </c>
      <c r="AE8" s="357">
        <f ca="1">'Balance Sheet'!AB9/'Balance Sheet'!AB6</f>
        <v>0.51392951840769352</v>
      </c>
      <c r="AF8" s="357">
        <f ca="1">'Balance Sheet'!AC9/'Balance Sheet'!AC6</f>
        <v>0.51624693532366883</v>
      </c>
      <c r="AG8" s="357">
        <f ca="1">'Balance Sheet'!AD9/'Balance Sheet'!AD6</f>
        <v>0.51695617989220055</v>
      </c>
      <c r="AH8" s="357">
        <f ca="1">'Balance Sheet'!AE9/'Balance Sheet'!AE6</f>
        <v>0.51722047669809035</v>
      </c>
      <c r="AI8" s="357">
        <f ca="1">'Balance Sheet'!AF9/'Balance Sheet'!AF6</f>
        <v>0.52058670775558347</v>
      </c>
      <c r="AJ8" s="357">
        <f ca="1">'Balance Sheet'!AG9/'Balance Sheet'!AG6</f>
        <v>0.52331180441463498</v>
      </c>
      <c r="AK8" s="357">
        <f ca="1">'Balance Sheet'!AH9/'Balance Sheet'!AH6</f>
        <v>0.52417376196221732</v>
      </c>
      <c r="AL8" s="357">
        <f ca="1">'Balance Sheet'!AI9/'Balance Sheet'!AI6</f>
        <v>0.46753341380631319</v>
      </c>
      <c r="AM8" s="357">
        <f ca="1">'Balance Sheet'!AJ9/'Balance Sheet'!AJ6</f>
        <v>0.43838891998574447</v>
      </c>
      <c r="AN8" s="357">
        <f ca="1">'Balance Sheet'!AK9/'Balance Sheet'!AK6</f>
        <v>0.40795828328500261</v>
      </c>
      <c r="AO8" s="357">
        <f ca="1">'Balance Sheet'!AL9/'Balance Sheet'!AL6</f>
        <v>0.37619151274090323</v>
      </c>
      <c r="AP8" s="357">
        <f ca="1">'Balance Sheet'!AM9/'Balance Sheet'!AM6</f>
        <v>0.34303567733863111</v>
      </c>
      <c r="AQ8" s="357">
        <f ca="1">'Balance Sheet'!AN9/'Balance Sheet'!AN6</f>
        <v>0.30843464123755504</v>
      </c>
      <c r="AR8" s="358">
        <f ca="1">'Balance Sheet'!AO9/'Balance Sheet'!AO6</f>
        <v>0.2723287691196975</v>
      </c>
      <c r="AS8" s="359"/>
    </row>
    <row r="9" spans="1:45" ht="21.5" thickBot="1" x14ac:dyDescent="0.55000000000000004">
      <c r="A9" s="360" t="s">
        <v>358</v>
      </c>
      <c r="B9" s="361">
        <f ca="1">MIN('Price and Financial Ratios'!H9:AK9)</f>
        <v>3.5721279484593746</v>
      </c>
      <c r="C9" s="361"/>
      <c r="D9" s="361"/>
      <c r="E9" s="362"/>
      <c r="F9" s="363"/>
      <c r="G9" s="363"/>
      <c r="H9" s="363"/>
      <c r="I9" s="361">
        <f ca="1">('Cash Flow'!G5+'Profit and Loss'!G6)/('Profit and Loss'!G6)</f>
        <v>3.5721279484593746</v>
      </c>
      <c r="J9" s="361">
        <f ca="1">('Cash Flow'!H5+'Profit and Loss'!H6)/('Profit and Loss'!H6)</f>
        <v>3.5832589144018754</v>
      </c>
      <c r="K9" s="361">
        <f ca="1">('Cash Flow'!I5+'Profit and Loss'!I6)/('Profit and Loss'!I6)</f>
        <v>3.6040086981050332</v>
      </c>
      <c r="L9" s="361">
        <f ca="1">('Cash Flow'!J5+'Profit and Loss'!J6)/('Profit and Loss'!J6)</f>
        <v>3.6355958658748957</v>
      </c>
      <c r="M9" s="361">
        <f ca="1">('Cash Flow'!K5+'Profit and Loss'!K6)/('Profit and Loss'!K6)</f>
        <v>3.6889910667366279</v>
      </c>
      <c r="N9" s="361">
        <f ca="1">('Cash Flow'!L5+'Profit and Loss'!L6)/('Profit and Loss'!L6)</f>
        <v>3.6908022206949638</v>
      </c>
      <c r="O9" s="361">
        <f ca="1">('Cash Flow'!M5+'Profit and Loss'!M6)/('Profit and Loss'!M6)</f>
        <v>3.6950857032242386</v>
      </c>
      <c r="P9" s="361">
        <f ca="1">('Cash Flow'!N5+'Profit and Loss'!N6)/('Profit and Loss'!N6)</f>
        <v>3.7119589646506892</v>
      </c>
      <c r="Q9" s="361">
        <f ca="1">('Cash Flow'!O5+'Profit and Loss'!O6)/('Profit and Loss'!O6)</f>
        <v>3.7414662807738637</v>
      </c>
      <c r="R9" s="361">
        <f ca="1">('Cash Flow'!P5+'Profit and Loss'!P6)/('Profit and Loss'!P6)</f>
        <v>3.7937183202004681</v>
      </c>
      <c r="S9" s="361">
        <f ca="1">('Cash Flow'!Q5+'Profit and Loss'!Q6)/('Profit and Loss'!Q6)</f>
        <v>3.881747454977567</v>
      </c>
      <c r="T9" s="361">
        <f ca="1">('Cash Flow'!R5+'Profit and Loss'!R6)/('Profit and Loss'!R6)</f>
        <v>3.9236415429877698</v>
      </c>
      <c r="U9" s="361">
        <f ca="1">('Cash Flow'!S5+'Profit and Loss'!S6)/('Profit and Loss'!S6)</f>
        <v>3.9619732432768462</v>
      </c>
      <c r="V9" s="361">
        <f ca="1">('Cash Flow'!T5+'Profit and Loss'!T6)/('Profit and Loss'!T6)</f>
        <v>3.9859767517319415</v>
      </c>
      <c r="W9" s="361">
        <f ca="1">('Cash Flow'!U5+'Profit and Loss'!U6)/('Profit and Loss'!U6)</f>
        <v>3.9856181184337562</v>
      </c>
      <c r="X9" s="361">
        <f ca="1">('Cash Flow'!V5+'Profit and Loss'!V6)/('Profit and Loss'!V6)</f>
        <v>4.0088393358471652</v>
      </c>
      <c r="Y9" s="361">
        <f ca="1">('Cash Flow'!W5+'Profit and Loss'!W6)/('Profit and Loss'!W6)</f>
        <v>3.9987501569523083</v>
      </c>
      <c r="Z9" s="361">
        <f ca="1">('Cash Flow'!X5+'Profit and Loss'!X6)/('Profit and Loss'!X6)</f>
        <v>4.0243276113793058</v>
      </c>
      <c r="AA9" s="361">
        <f ca="1">('Cash Flow'!Y5+'Profit and Loss'!Y6)/('Profit and Loss'!Y6)</f>
        <v>4.061612881822442</v>
      </c>
      <c r="AB9" s="361">
        <f ca="1">('Cash Flow'!Z5+'Profit and Loss'!Z6)/('Profit and Loss'!Z6)</f>
        <v>4.0836962204465426</v>
      </c>
      <c r="AC9" s="361">
        <f ca="1">('Cash Flow'!AA5+'Profit and Loss'!AA6)/('Profit and Loss'!AA6)</f>
        <v>4.1022315600246495</v>
      </c>
      <c r="AD9" s="361">
        <f ca="1">('Cash Flow'!AB5+'Profit and Loss'!AB6)/('Profit and Loss'!AB6)</f>
        <v>4.1057096810899356</v>
      </c>
      <c r="AE9" s="361">
        <f ca="1">('Cash Flow'!AC5+'Profit and Loss'!AC6)/('Profit and Loss'!AC6)</f>
        <v>4.1401656213803921</v>
      </c>
      <c r="AF9" s="361">
        <f ca="1">('Cash Flow'!AD5+'Profit and Loss'!AD6)/('Profit and Loss'!AD6)</f>
        <v>4.1480090275635568</v>
      </c>
      <c r="AG9" s="361">
        <f ca="1">('Cash Flow'!AE5+'Profit and Loss'!AE6)/('Profit and Loss'!AE6)</f>
        <v>4.1767412353907609</v>
      </c>
      <c r="AH9" s="361">
        <f ca="1">('Cash Flow'!AF5+'Profit and Loss'!AF6)/('Profit and Loss'!AF6)</f>
        <v>4.1686702333119889</v>
      </c>
      <c r="AI9" s="361">
        <f ca="1">('Cash Flow'!AG5+'Profit and Loss'!AG6)/('Profit and Loss'!AG6)</f>
        <v>4.0003731443558168</v>
      </c>
      <c r="AJ9" s="361">
        <f ca="1">('Cash Flow'!AH5+'Profit and Loss'!AH6)/('Profit and Loss'!AH6)</f>
        <v>3.9893171833760075</v>
      </c>
      <c r="AK9" s="361">
        <f ca="1">('Cash Flow'!AI5+'Profit and Loss'!AI6)/('Profit and Loss'!AI6)</f>
        <v>4.0445422206504533</v>
      </c>
      <c r="AL9" s="361">
        <f ca="1">('Cash Flow'!AJ5+'Profit and Loss'!AJ6)/('Profit and Loss'!AJ6)</f>
        <v>4.3298474661976707</v>
      </c>
      <c r="AM9" s="361">
        <f ca="1">('Cash Flow'!AK5+'Profit and Loss'!AK6)/('Profit and Loss'!AK6)</f>
        <v>4.6625297332752496</v>
      </c>
      <c r="AN9" s="361">
        <f ca="1">('Cash Flow'!AL5+'Profit and Loss'!AL6)/('Profit and Loss'!AL6)</f>
        <v>5.0553890028284068</v>
      </c>
      <c r="AO9" s="361">
        <f ca="1">('Cash Flow'!AM5+'Profit and Loss'!AM6)/('Profit and Loss'!AM6)</f>
        <v>5.5262911756239346</v>
      </c>
      <c r="AP9" s="361">
        <f ca="1">('Cash Flow'!AN5+'Profit and Loss'!AN6)/('Profit and Loss'!AN6)</f>
        <v>6.1009493999271767</v>
      </c>
      <c r="AQ9" s="361">
        <f ca="1">('Cash Flow'!AO5+'Profit and Loss'!AO6)/('Profit and Loss'!AO6)</f>
        <v>6.8177638510430496</v>
      </c>
      <c r="AR9" s="364">
        <f ca="1">('Cash Flow'!AP5+'Profit and Loss'!AP6)/('Profit and Loss'!AP6)</f>
        <v>7.7367474092144546</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1.1000000000000001</v>
      </c>
      <c r="J12" s="370">
        <f t="shared" ref="J12:AI12" si="1">(1+J4)</f>
        <v>1.07</v>
      </c>
      <c r="K12" s="370">
        <f t="shared" si="1"/>
        <v>1.04</v>
      </c>
      <c r="L12" s="370">
        <f t="shared" si="1"/>
        <v>1.0349999999999999</v>
      </c>
      <c r="M12" s="370">
        <f t="shared" si="1"/>
        <v>0.98</v>
      </c>
      <c r="N12" s="370">
        <f t="shared" si="1"/>
        <v>1.02</v>
      </c>
      <c r="O12" s="370">
        <f t="shared" si="1"/>
        <v>1.0249999999999999</v>
      </c>
      <c r="P12" s="370">
        <f t="shared" si="1"/>
        <v>1.0249999999999999</v>
      </c>
      <c r="Q12" s="370">
        <f t="shared" si="1"/>
        <v>1.0249999999999999</v>
      </c>
      <c r="R12" s="370">
        <f t="shared" si="1"/>
        <v>1.1000000000000001</v>
      </c>
      <c r="S12" s="370">
        <f t="shared" si="1"/>
        <v>1.0900000000000001</v>
      </c>
      <c r="T12" s="370">
        <f t="shared" si="1"/>
        <v>1.07</v>
      </c>
      <c r="U12" s="370">
        <f t="shared" si="1"/>
        <v>1.06</v>
      </c>
      <c r="V12" s="370">
        <f t="shared" si="1"/>
        <v>1.05</v>
      </c>
      <c r="W12" s="370">
        <f t="shared" si="1"/>
        <v>1.04</v>
      </c>
      <c r="X12" s="370">
        <f t="shared" si="1"/>
        <v>1.04</v>
      </c>
      <c r="Y12" s="370">
        <f t="shared" si="1"/>
        <v>1.0349999999999999</v>
      </c>
      <c r="Z12" s="370">
        <f t="shared" si="1"/>
        <v>1.04</v>
      </c>
      <c r="AA12" s="370">
        <f t="shared" si="1"/>
        <v>1.04</v>
      </c>
      <c r="AB12" s="370">
        <f t="shared" si="1"/>
        <v>1.08</v>
      </c>
      <c r="AC12" s="370">
        <f t="shared" si="1"/>
        <v>1.07</v>
      </c>
      <c r="AD12" s="370">
        <f t="shared" si="1"/>
        <v>1.06</v>
      </c>
      <c r="AE12" s="370">
        <f t="shared" si="1"/>
        <v>1.06</v>
      </c>
      <c r="AF12" s="370">
        <f t="shared" si="1"/>
        <v>1.05</v>
      </c>
      <c r="AG12" s="370">
        <f t="shared" si="1"/>
        <v>1.05</v>
      </c>
      <c r="AH12" s="370">
        <f t="shared" si="1"/>
        <v>1.04</v>
      </c>
      <c r="AI12" s="370">
        <f t="shared" si="1"/>
        <v>1.01</v>
      </c>
      <c r="AJ12" s="370">
        <f>(1+AJ4)</f>
        <v>1.04</v>
      </c>
      <c r="AK12" s="370">
        <f>(1+AK4)</f>
        <v>1.05</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216782</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YES</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lDQc3bXnOryBpNPXFwsTPOZOSIapYGCz+GL/0C5NYaHXvXkNV7z9qrUxWk9lJyseafAmp0wSNhE/QXmudqKvGA==" saltValue="FJfap8G9DD+eMH/qgvXz6g=="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54121884.296052597</v>
      </c>
      <c r="G3" s="306">
        <f>Assumptions!G277</f>
        <v>54121884.296052597</v>
      </c>
      <c r="H3" s="306">
        <f>Assumptions!H277</f>
        <v>54121884.296052597</v>
      </c>
      <c r="I3" s="306">
        <f>Assumptions!I277</f>
        <v>54121884.296052597</v>
      </c>
      <c r="J3" s="306">
        <f>Assumptions!J277</f>
        <v>54121884.296052597</v>
      </c>
      <c r="K3" s="306">
        <f>Assumptions!K277</f>
        <v>54121884.296052597</v>
      </c>
      <c r="L3" s="306">
        <f>Assumptions!L277</f>
        <v>54121884.296052597</v>
      </c>
      <c r="M3" s="306">
        <f>Assumptions!M277</f>
        <v>54121884.296052597</v>
      </c>
      <c r="N3" s="306">
        <f>Assumptions!N277</f>
        <v>54121884.296052597</v>
      </c>
      <c r="O3" s="306">
        <f>Assumptions!O277</f>
        <v>54121884.296052597</v>
      </c>
      <c r="P3" s="306">
        <f>Assumptions!P277</f>
        <v>54121884.296052597</v>
      </c>
      <c r="Q3" s="306">
        <f>Assumptions!Q277</f>
        <v>54121884.296052597</v>
      </c>
      <c r="R3" s="306">
        <f>Assumptions!R277</f>
        <v>54121884.296052597</v>
      </c>
      <c r="S3" s="306">
        <f>Assumptions!S277</f>
        <v>54121884.296052597</v>
      </c>
      <c r="T3" s="306">
        <f>Assumptions!T277</f>
        <v>54121884.296052597</v>
      </c>
      <c r="U3" s="306">
        <f>Assumptions!U277</f>
        <v>54121884.296052597</v>
      </c>
      <c r="V3" s="306">
        <f>Assumptions!V277</f>
        <v>54121884.296052597</v>
      </c>
      <c r="W3" s="306">
        <f>Assumptions!W277</f>
        <v>54121884.296052597</v>
      </c>
      <c r="X3" s="306">
        <f>Assumptions!X277</f>
        <v>54121884.296052597</v>
      </c>
      <c r="Y3" s="306">
        <f>Assumptions!Y277</f>
        <v>54121884.296052597</v>
      </c>
      <c r="Z3" s="306">
        <f>Assumptions!Z277</f>
        <v>54121884.296052597</v>
      </c>
      <c r="AA3" s="306">
        <f>Assumptions!AA277</f>
        <v>54121884.296052597</v>
      </c>
      <c r="AB3" s="306">
        <f>Assumptions!AB277</f>
        <v>54121884.296052597</v>
      </c>
      <c r="AC3" s="306">
        <f>Assumptions!AC277</f>
        <v>54121884.296052597</v>
      </c>
      <c r="AD3" s="306">
        <f>Assumptions!AD277</f>
        <v>54121884.296052597</v>
      </c>
      <c r="AE3" s="306">
        <f>Assumptions!AE277</f>
        <v>54121884.296052597</v>
      </c>
      <c r="AF3" s="306">
        <f>Assumptions!AF277</f>
        <v>54121884.296052597</v>
      </c>
      <c r="AG3" s="306">
        <f>Assumptions!AG277</f>
        <v>54121884.296052597</v>
      </c>
      <c r="AH3" s="306">
        <f>Assumptions!AH277</f>
        <v>54121884.296052597</v>
      </c>
      <c r="AI3" s="306">
        <f>Assumptions!AI277</f>
        <v>54121884.296052597</v>
      </c>
      <c r="AJ3" s="306">
        <f>Assumptions!AJ277</f>
        <v>54121884.296052597</v>
      </c>
      <c r="AK3" s="306">
        <f>Assumptions!AK277</f>
        <v>54121884.296052597</v>
      </c>
      <c r="AL3" s="306">
        <f>Assumptions!AL277</f>
        <v>54121884.296052597</v>
      </c>
      <c r="AM3" s="306">
        <f>Assumptions!AM277</f>
        <v>54121884.296052597</v>
      </c>
      <c r="AN3" s="306">
        <f>Assumptions!AN277</f>
        <v>54121884.296052597</v>
      </c>
      <c r="AO3" s="306">
        <f>Assumptions!AO277</f>
        <v>54121884.296052597</v>
      </c>
      <c r="AP3" s="306">
        <f>Assumptions!AP277</f>
        <v>54121884.296052597</v>
      </c>
    </row>
    <row r="4" spans="1:42" x14ac:dyDescent="0.35">
      <c r="A4" s="304" t="s">
        <v>383</v>
      </c>
      <c r="C4" s="305"/>
      <c r="D4" s="305"/>
      <c r="E4" s="305"/>
      <c r="F4" s="306">
        <f>Assumptions!F281</f>
        <v>87038728.713850811</v>
      </c>
      <c r="G4" s="306">
        <f>Assumptions!G281</f>
        <v>87038728.713850811</v>
      </c>
      <c r="H4" s="306">
        <f>Assumptions!H281</f>
        <v>87038728.713850811</v>
      </c>
      <c r="I4" s="306">
        <f>Assumptions!I281</f>
        <v>87038728.713850811</v>
      </c>
      <c r="J4" s="306">
        <f>Assumptions!J281</f>
        <v>87038728.713850811</v>
      </c>
      <c r="K4" s="306">
        <f>Assumptions!K281</f>
        <v>87038728.713850811</v>
      </c>
      <c r="L4" s="306">
        <f>Assumptions!L281</f>
        <v>87038728.713850811</v>
      </c>
      <c r="M4" s="306">
        <f>Assumptions!M281</f>
        <v>87038728.713850811</v>
      </c>
      <c r="N4" s="306">
        <f>Assumptions!N281</f>
        <v>87038728.713850811</v>
      </c>
      <c r="O4" s="306">
        <f>Assumptions!O281</f>
        <v>87038728.713850811</v>
      </c>
      <c r="P4" s="306">
        <f>Assumptions!P281</f>
        <v>217596821.78462702</v>
      </c>
      <c r="Q4" s="306">
        <f>Assumptions!Q281</f>
        <v>217596821.78462702</v>
      </c>
      <c r="R4" s="306">
        <f>Assumptions!R281</f>
        <v>217596821.78462702</v>
      </c>
      <c r="S4" s="306">
        <f>Assumptions!S281</f>
        <v>217596821.78462702</v>
      </c>
      <c r="T4" s="306">
        <f>Assumptions!T281</f>
        <v>217596821.78462702</v>
      </c>
      <c r="U4" s="306">
        <f>Assumptions!U281</f>
        <v>217596821.78462702</v>
      </c>
      <c r="V4" s="306">
        <f>Assumptions!V281</f>
        <v>217596821.78462702</v>
      </c>
      <c r="W4" s="306">
        <f>Assumptions!W281</f>
        <v>217596821.78462702</v>
      </c>
      <c r="X4" s="306">
        <f>Assumptions!X281</f>
        <v>217596821.78462702</v>
      </c>
      <c r="Y4" s="306">
        <f>Assumptions!Y281</f>
        <v>217596821.78462702</v>
      </c>
      <c r="Z4" s="306">
        <f>Assumptions!Z281</f>
        <v>348154914.8554033</v>
      </c>
      <c r="AA4" s="306">
        <f>Assumptions!AA281</f>
        <v>348154914.8554033</v>
      </c>
      <c r="AB4" s="306">
        <f>Assumptions!AB281</f>
        <v>348154914.8554033</v>
      </c>
      <c r="AC4" s="306">
        <f>Assumptions!AC281</f>
        <v>348154914.8554033</v>
      </c>
      <c r="AD4" s="306">
        <f>Assumptions!AD281</f>
        <v>348154914.8554033</v>
      </c>
      <c r="AE4" s="306">
        <f>Assumptions!AE281</f>
        <v>348154914.8554033</v>
      </c>
      <c r="AF4" s="306">
        <f>Assumptions!AF281</f>
        <v>348154914.8554033</v>
      </c>
      <c r="AG4" s="306">
        <f>Assumptions!AG281</f>
        <v>348154914.8554033</v>
      </c>
      <c r="AH4" s="306">
        <f>Assumptions!AH281</f>
        <v>348154914.8554033</v>
      </c>
      <c r="AI4" s="306">
        <f>Assumptions!AI281</f>
        <v>348154914.8554033</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17407745.742770161</v>
      </c>
      <c r="G5" s="306">
        <f t="shared" si="1"/>
        <v>17407745.742770161</v>
      </c>
      <c r="H5" s="306">
        <f t="shared" si="1"/>
        <v>17407745.742770161</v>
      </c>
      <c r="I5" s="306">
        <f t="shared" si="1"/>
        <v>17407745.742770161</v>
      </c>
      <c r="J5" s="306">
        <f t="shared" si="1"/>
        <v>17407745.742770161</v>
      </c>
      <c r="K5" s="306">
        <f t="shared" si="1"/>
        <v>17407745.742770161</v>
      </c>
      <c r="L5" s="306">
        <f t="shared" si="1"/>
        <v>17407745.742770161</v>
      </c>
      <c r="M5" s="306">
        <f t="shared" ref="M5:V6" si="2">$B5*M$4</f>
        <v>17407745.742770161</v>
      </c>
      <c r="N5" s="306">
        <f t="shared" si="2"/>
        <v>17407745.742770161</v>
      </c>
      <c r="O5" s="306">
        <f t="shared" si="2"/>
        <v>17407745.742770161</v>
      </c>
      <c r="P5" s="306">
        <f t="shared" si="2"/>
        <v>43519364.356925406</v>
      </c>
      <c r="Q5" s="306">
        <f t="shared" si="2"/>
        <v>43519364.356925406</v>
      </c>
      <c r="R5" s="306">
        <f t="shared" si="2"/>
        <v>43519364.356925406</v>
      </c>
      <c r="S5" s="306">
        <f t="shared" si="2"/>
        <v>43519364.356925406</v>
      </c>
      <c r="T5" s="306">
        <f t="shared" si="2"/>
        <v>43519364.356925406</v>
      </c>
      <c r="U5" s="306">
        <f t="shared" si="2"/>
        <v>43519364.356925406</v>
      </c>
      <c r="V5" s="306">
        <f t="shared" si="2"/>
        <v>43519364.356925406</v>
      </c>
      <c r="W5" s="306">
        <f t="shared" ref="W5:AF6" si="3">$B5*W$4</f>
        <v>43519364.356925406</v>
      </c>
      <c r="X5" s="306">
        <f t="shared" si="3"/>
        <v>43519364.356925406</v>
      </c>
      <c r="Y5" s="306">
        <f t="shared" si="3"/>
        <v>43519364.356925406</v>
      </c>
      <c r="Z5" s="306">
        <f t="shared" si="3"/>
        <v>69630982.971080661</v>
      </c>
      <c r="AA5" s="306">
        <f t="shared" si="3"/>
        <v>69630982.971080661</v>
      </c>
      <c r="AB5" s="306">
        <f t="shared" si="3"/>
        <v>69630982.971080661</v>
      </c>
      <c r="AC5" s="306">
        <f t="shared" si="3"/>
        <v>69630982.971080661</v>
      </c>
      <c r="AD5" s="306">
        <f t="shared" si="3"/>
        <v>69630982.971080661</v>
      </c>
      <c r="AE5" s="306">
        <f t="shared" si="3"/>
        <v>69630982.971080661</v>
      </c>
      <c r="AF5" s="306">
        <f t="shared" si="3"/>
        <v>69630982.971080661</v>
      </c>
      <c r="AG5" s="306">
        <f t="shared" ref="AG5:AP6" si="4">$B5*AG$4</f>
        <v>69630982.971080661</v>
      </c>
      <c r="AH5" s="306">
        <f t="shared" si="4"/>
        <v>69630982.971080661</v>
      </c>
      <c r="AI5" s="306">
        <f t="shared" si="4"/>
        <v>69630982.971080661</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69630982.971080646</v>
      </c>
      <c r="G6" s="306">
        <f t="shared" si="1"/>
        <v>69630982.971080646</v>
      </c>
      <c r="H6" s="306">
        <f t="shared" si="1"/>
        <v>69630982.971080646</v>
      </c>
      <c r="I6" s="306">
        <f t="shared" si="1"/>
        <v>69630982.971080646</v>
      </c>
      <c r="J6" s="306">
        <f t="shared" si="1"/>
        <v>69630982.971080646</v>
      </c>
      <c r="K6" s="306">
        <f t="shared" si="1"/>
        <v>69630982.971080646</v>
      </c>
      <c r="L6" s="306">
        <f t="shared" si="1"/>
        <v>69630982.971080646</v>
      </c>
      <c r="M6" s="306">
        <f t="shared" si="2"/>
        <v>69630982.971080646</v>
      </c>
      <c r="N6" s="306">
        <f t="shared" si="2"/>
        <v>69630982.971080646</v>
      </c>
      <c r="O6" s="306">
        <f t="shared" si="2"/>
        <v>69630982.971080646</v>
      </c>
      <c r="P6" s="306">
        <f t="shared" si="2"/>
        <v>174077457.42770162</v>
      </c>
      <c r="Q6" s="306">
        <f t="shared" si="2"/>
        <v>174077457.42770162</v>
      </c>
      <c r="R6" s="306">
        <f t="shared" si="2"/>
        <v>174077457.42770162</v>
      </c>
      <c r="S6" s="306">
        <f t="shared" si="2"/>
        <v>174077457.42770162</v>
      </c>
      <c r="T6" s="306">
        <f t="shared" si="2"/>
        <v>174077457.42770162</v>
      </c>
      <c r="U6" s="306">
        <f t="shared" si="2"/>
        <v>174077457.42770162</v>
      </c>
      <c r="V6" s="306">
        <f t="shared" si="2"/>
        <v>174077457.42770162</v>
      </c>
      <c r="W6" s="306">
        <f t="shared" si="3"/>
        <v>174077457.42770162</v>
      </c>
      <c r="X6" s="306">
        <f t="shared" si="3"/>
        <v>174077457.42770162</v>
      </c>
      <c r="Y6" s="306">
        <f t="shared" si="3"/>
        <v>174077457.42770162</v>
      </c>
      <c r="Z6" s="306">
        <f t="shared" si="3"/>
        <v>278523931.88432264</v>
      </c>
      <c r="AA6" s="306">
        <f t="shared" si="3"/>
        <v>278523931.88432264</v>
      </c>
      <c r="AB6" s="306">
        <f t="shared" si="3"/>
        <v>278523931.88432264</v>
      </c>
      <c r="AC6" s="306">
        <f t="shared" si="3"/>
        <v>278523931.88432264</v>
      </c>
      <c r="AD6" s="306">
        <f t="shared" si="3"/>
        <v>278523931.88432264</v>
      </c>
      <c r="AE6" s="306">
        <f t="shared" si="3"/>
        <v>278523931.88432264</v>
      </c>
      <c r="AF6" s="306">
        <f t="shared" si="3"/>
        <v>278523931.88432264</v>
      </c>
      <c r="AG6" s="306">
        <f t="shared" si="4"/>
        <v>278523931.88432264</v>
      </c>
      <c r="AH6" s="306">
        <f t="shared" si="4"/>
        <v>278523931.88432264</v>
      </c>
      <c r="AI6" s="306">
        <f t="shared" si="4"/>
        <v>278523931.88432264</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2085403.4448805442</v>
      </c>
      <c r="G7" s="306">
        <f>Assumptions!G291</f>
        <v>4167286.7973559042</v>
      </c>
      <c r="H7" s="306">
        <f>Assumptions!H291</f>
        <v>6134238.3611991005</v>
      </c>
      <c r="I7" s="306">
        <f>Assumptions!I291</f>
        <v>7992352.23870108</v>
      </c>
      <c r="J7" s="306">
        <f>Assumptions!J291</f>
        <v>9747384.099521365</v>
      </c>
      <c r="K7" s="306">
        <f>Assumptions!K291</f>
        <v>11404770.214275746</v>
      </c>
      <c r="L7" s="306">
        <f>Assumptions!L291</f>
        <v>12969645.4092317</v>
      </c>
      <c r="M7" s="306">
        <f>Assumptions!M291</f>
        <v>14488816.633862156</v>
      </c>
      <c r="N7" s="306">
        <f>Assumptions!N291</f>
        <v>15963451.876360767</v>
      </c>
      <c r="O7" s="306">
        <f>Assumptions!O291</f>
        <v>17394686.367542449</v>
      </c>
      <c r="P7" s="306">
        <f>Assumptions!P291</f>
        <v>20867029.242121287</v>
      </c>
      <c r="Q7" s="306">
        <f>Assumptions!Q291</f>
        <v>24236310.00988758</v>
      </c>
      <c r="R7" s="306">
        <f>Assumptions!R291</f>
        <v>27527514.338742107</v>
      </c>
      <c r="S7" s="306">
        <f>Assumptions!S291</f>
        <v>30742106.947127379</v>
      </c>
      <c r="T7" s="306">
        <f>Assumptions!T291</f>
        <v>33881521.396042913</v>
      </c>
      <c r="U7" s="306">
        <f>Assumptions!U291</f>
        <v>36947160.768541358</v>
      </c>
      <c r="V7" s="306">
        <f>Assumptions!V291</f>
        <v>39940398.334255472</v>
      </c>
      <c r="W7" s="306">
        <f>Assumptions!W291</f>
        <v>42925070.355666324</v>
      </c>
      <c r="X7" s="306">
        <f>Assumptions!X291</f>
        <v>45901191.291130885</v>
      </c>
      <c r="Y7" s="306">
        <f>Assumptions!Y291</f>
        <v>48868775.574600905</v>
      </c>
      <c r="Z7" s="306">
        <f>Assumptions!Z291</f>
        <v>53603274.840302035</v>
      </c>
      <c r="AA7" s="306">
        <f>Assumptions!AA291</f>
        <v>58324161.534575909</v>
      </c>
      <c r="AB7" s="306">
        <f>Assumptions!AB291</f>
        <v>63031458.634995267</v>
      </c>
      <c r="AC7" s="306">
        <f>Assumptions!AC291</f>
        <v>67725189.080347419</v>
      </c>
      <c r="AD7" s="306">
        <f>Assumptions!AD291</f>
        <v>72405375.770699769</v>
      </c>
      <c r="AE7" s="306">
        <f>Assumptions!AE291</f>
        <v>77072041.567465201</v>
      </c>
      <c r="AF7" s="306">
        <f>Assumptions!AF291</f>
        <v>81725209.293467224</v>
      </c>
      <c r="AG7" s="306">
        <f>Assumptions!AG291</f>
        <v>86364901.733005211</v>
      </c>
      <c r="AH7" s="306">
        <f>Assumptions!AH291</f>
        <v>90991141.631919384</v>
      </c>
      <c r="AI7" s="306">
        <f>Assumptions!AI291</f>
        <v>95603951.697655708</v>
      </c>
      <c r="AJ7" s="306">
        <f>Assumptions!AJ291</f>
        <v>95603951.697655708</v>
      </c>
      <c r="AK7" s="306">
        <f>Assumptions!AK291</f>
        <v>95603951.697655708</v>
      </c>
      <c r="AL7" s="306">
        <f>Assumptions!AL291</f>
        <v>95603951.697655708</v>
      </c>
      <c r="AM7" s="306">
        <f>Assumptions!AM291</f>
        <v>95603951.697655708</v>
      </c>
      <c r="AN7" s="306">
        <f>Assumptions!AN291</f>
        <v>95603951.697655708</v>
      </c>
      <c r="AO7" s="306">
        <f>Assumptions!AO291</f>
        <v>95603951.697655708</v>
      </c>
      <c r="AP7" s="306">
        <f>Assumptions!AP291</f>
        <v>95603951.697655708</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64061189.744804479</v>
      </c>
      <c r="G11" s="306">
        <f t="shared" ref="G11:AP11" si="5">G3*G$9</f>
        <v>65983025.437148616</v>
      </c>
      <c r="H11" s="306">
        <f t="shared" si="5"/>
        <v>67962516.200263068</v>
      </c>
      <c r="I11" s="306">
        <f t="shared" si="5"/>
        <v>70001391.686270967</v>
      </c>
      <c r="J11" s="306">
        <f t="shared" si="5"/>
        <v>72101433.436859101</v>
      </c>
      <c r="K11" s="306">
        <f t="shared" si="5"/>
        <v>74264476.439964876</v>
      </c>
      <c r="L11" s="306">
        <f t="shared" si="5"/>
        <v>76492410.733163819</v>
      </c>
      <c r="M11" s="306">
        <f t="shared" si="5"/>
        <v>78787183.055158734</v>
      </c>
      <c r="N11" s="306">
        <f t="shared" si="5"/>
        <v>81150798.546813503</v>
      </c>
      <c r="O11" s="306">
        <f t="shared" si="5"/>
        <v>83585322.503217906</v>
      </c>
      <c r="P11" s="306">
        <f t="shared" si="5"/>
        <v>86092882.178314447</v>
      </c>
      <c r="Q11" s="306">
        <f t="shared" si="5"/>
        <v>88675668.643663883</v>
      </c>
      <c r="R11" s="306">
        <f t="shared" si="5"/>
        <v>91335938.702973813</v>
      </c>
      <c r="S11" s="306">
        <f t="shared" si="5"/>
        <v>94076016.864063025</v>
      </c>
      <c r="T11" s="306">
        <f t="shared" si="5"/>
        <v>96898297.369984925</v>
      </c>
      <c r="U11" s="306">
        <f t="shared" si="5"/>
        <v>99805246.291084468</v>
      </c>
      <c r="V11" s="306">
        <f t="shared" si="5"/>
        <v>102799403.67981701</v>
      </c>
      <c r="W11" s="306">
        <f t="shared" si="5"/>
        <v>105883385.79021151</v>
      </c>
      <c r="X11" s="306">
        <f t="shared" si="5"/>
        <v>109059887.36391786</v>
      </c>
      <c r="Y11" s="306">
        <f t="shared" si="5"/>
        <v>112331683.98483539</v>
      </c>
      <c r="Z11" s="306">
        <f t="shared" si="5"/>
        <v>115701634.50438045</v>
      </c>
      <c r="AA11" s="306">
        <f t="shared" si="5"/>
        <v>119172683.53951187</v>
      </c>
      <c r="AB11" s="306">
        <f t="shared" si="5"/>
        <v>122747864.04569723</v>
      </c>
      <c r="AC11" s="306">
        <f t="shared" si="5"/>
        <v>126430299.96706815</v>
      </c>
      <c r="AD11" s="306">
        <f t="shared" si="5"/>
        <v>130223208.9660802</v>
      </c>
      <c r="AE11" s="306">
        <f t="shared" si="5"/>
        <v>134129905.23506261</v>
      </c>
      <c r="AF11" s="306">
        <f t="shared" si="5"/>
        <v>138153802.39211449</v>
      </c>
      <c r="AG11" s="306">
        <f t="shared" si="5"/>
        <v>142298416.46387795</v>
      </c>
      <c r="AH11" s="306">
        <f t="shared" si="5"/>
        <v>146567368.95779428</v>
      </c>
      <c r="AI11" s="306">
        <f t="shared" si="5"/>
        <v>150964390.02652812</v>
      </c>
      <c r="AJ11" s="306">
        <f t="shared" si="5"/>
        <v>155493321.72732395</v>
      </c>
      <c r="AK11" s="306">
        <f t="shared" si="5"/>
        <v>160158121.37914369</v>
      </c>
      <c r="AL11" s="306">
        <f t="shared" si="5"/>
        <v>164962865.020518</v>
      </c>
      <c r="AM11" s="306">
        <f t="shared" si="5"/>
        <v>169911750.97113353</v>
      </c>
      <c r="AN11" s="306">
        <f t="shared" si="5"/>
        <v>175009103.50026754</v>
      </c>
      <c r="AO11" s="306">
        <f t="shared" si="5"/>
        <v>180259376.60527557</v>
      </c>
      <c r="AP11" s="306">
        <f t="shared" si="5"/>
        <v>185667157.90343386</v>
      </c>
    </row>
    <row r="12" spans="1:42" x14ac:dyDescent="0.35">
      <c r="A12" s="303" t="s">
        <v>389</v>
      </c>
      <c r="C12" s="305"/>
      <c r="D12" s="305"/>
      <c r="E12" s="305"/>
      <c r="F12" s="306">
        <f t="shared" ref="F12:AP12" si="6">F4*F$9</f>
        <v>103023104.01434475</v>
      </c>
      <c r="G12" s="306">
        <f t="shared" si="6"/>
        <v>106113797.1347751</v>
      </c>
      <c r="H12" s="306">
        <f t="shared" si="6"/>
        <v>109297211.04881835</v>
      </c>
      <c r="I12" s="306">
        <f t="shared" si="6"/>
        <v>112576127.38028291</v>
      </c>
      <c r="J12" s="306">
        <f t="shared" si="6"/>
        <v>115953411.2016914</v>
      </c>
      <c r="K12" s="306">
        <f t="shared" si="6"/>
        <v>119432013.53774214</v>
      </c>
      <c r="L12" s="306">
        <f t="shared" si="6"/>
        <v>123014973.9438744</v>
      </c>
      <c r="M12" s="306">
        <f t="shared" si="6"/>
        <v>126705423.16219065</v>
      </c>
      <c r="N12" s="306">
        <f t="shared" si="6"/>
        <v>130506585.85705636</v>
      </c>
      <c r="O12" s="306">
        <f t="shared" si="6"/>
        <v>134421783.43276805</v>
      </c>
      <c r="P12" s="306">
        <f t="shared" si="6"/>
        <v>346136092.33937776</v>
      </c>
      <c r="Q12" s="306">
        <f t="shared" si="6"/>
        <v>356520175.10955912</v>
      </c>
      <c r="R12" s="306">
        <f t="shared" si="6"/>
        <v>367215780.3628459</v>
      </c>
      <c r="S12" s="306">
        <f t="shared" si="6"/>
        <v>378232253.77373129</v>
      </c>
      <c r="T12" s="306">
        <f t="shared" si="6"/>
        <v>389579221.38694328</v>
      </c>
      <c r="U12" s="306">
        <f t="shared" si="6"/>
        <v>401266598.02855152</v>
      </c>
      <c r="V12" s="306">
        <f t="shared" si="6"/>
        <v>413304595.96940809</v>
      </c>
      <c r="W12" s="306">
        <f t="shared" si="6"/>
        <v>425703733.84849036</v>
      </c>
      <c r="X12" s="306">
        <f t="shared" si="6"/>
        <v>438474845.86394501</v>
      </c>
      <c r="Y12" s="306">
        <f t="shared" si="6"/>
        <v>451629091.23986334</v>
      </c>
      <c r="Z12" s="306">
        <f t="shared" si="6"/>
        <v>744284742.36329496</v>
      </c>
      <c r="AA12" s="306">
        <f t="shared" si="6"/>
        <v>766613284.6341939</v>
      </c>
      <c r="AB12" s="306">
        <f t="shared" si="6"/>
        <v>789611683.1732198</v>
      </c>
      <c r="AC12" s="306">
        <f t="shared" si="6"/>
        <v>813300033.66841638</v>
      </c>
      <c r="AD12" s="306">
        <f t="shared" si="6"/>
        <v>837699034.67846882</v>
      </c>
      <c r="AE12" s="306">
        <f t="shared" si="6"/>
        <v>862830005.71882296</v>
      </c>
      <c r="AF12" s="306">
        <f t="shared" si="6"/>
        <v>888714905.89038765</v>
      </c>
      <c r="AG12" s="306">
        <f t="shared" si="6"/>
        <v>915376353.06709933</v>
      </c>
      <c r="AH12" s="306">
        <f t="shared" si="6"/>
        <v>942837643.65911233</v>
      </c>
      <c r="AI12" s="306">
        <f t="shared" si="6"/>
        <v>971122772.96888578</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20604620.802868951</v>
      </c>
      <c r="G13" s="306">
        <f t="shared" si="7"/>
        <v>21222759.426955018</v>
      </c>
      <c r="H13" s="306">
        <f t="shared" si="7"/>
        <v>21859442.209763672</v>
      </c>
      <c r="I13" s="306">
        <f t="shared" si="7"/>
        <v>22515225.47605658</v>
      </c>
      <c r="J13" s="306">
        <f t="shared" si="7"/>
        <v>23190682.240338277</v>
      </c>
      <c r="K13" s="306">
        <f t="shared" si="7"/>
        <v>23886402.707548425</v>
      </c>
      <c r="L13" s="306">
        <f t="shared" si="7"/>
        <v>24602994.788774882</v>
      </c>
      <c r="M13" s="306">
        <f t="shared" si="7"/>
        <v>25341084.632438127</v>
      </c>
      <c r="N13" s="306">
        <f t="shared" si="7"/>
        <v>26101317.171411272</v>
      </c>
      <c r="O13" s="306">
        <f t="shared" si="7"/>
        <v>26884356.686553612</v>
      </c>
      <c r="P13" s="306">
        <f t="shared" si="7"/>
        <v>69227218.467875555</v>
      </c>
      <c r="Q13" s="306">
        <f t="shared" si="7"/>
        <v>71304035.02191183</v>
      </c>
      <c r="R13" s="306">
        <f t="shared" si="7"/>
        <v>73443156.072569177</v>
      </c>
      <c r="S13" s="306">
        <f t="shared" si="7"/>
        <v>75646450.754746258</v>
      </c>
      <c r="T13" s="306">
        <f t="shared" si="7"/>
        <v>77915844.277388647</v>
      </c>
      <c r="U13" s="306">
        <f t="shared" si="7"/>
        <v>80253319.605710313</v>
      </c>
      <c r="V13" s="306">
        <f t="shared" si="7"/>
        <v>82660919.193881631</v>
      </c>
      <c r="W13" s="306">
        <f t="shared" si="7"/>
        <v>85140746.769698068</v>
      </c>
      <c r="X13" s="306">
        <f t="shared" si="7"/>
        <v>87694969.172789007</v>
      </c>
      <c r="Y13" s="306">
        <f t="shared" si="7"/>
        <v>90325818.247972682</v>
      </c>
      <c r="Z13" s="306">
        <f t="shared" si="7"/>
        <v>148856948.47265899</v>
      </c>
      <c r="AA13" s="306">
        <f t="shared" si="7"/>
        <v>153322656.92683879</v>
      </c>
      <c r="AB13" s="306">
        <f t="shared" si="7"/>
        <v>157922336.63464394</v>
      </c>
      <c r="AC13" s="306">
        <f t="shared" si="7"/>
        <v>162660006.73368326</v>
      </c>
      <c r="AD13" s="306">
        <f t="shared" si="7"/>
        <v>167539806.93569377</v>
      </c>
      <c r="AE13" s="306">
        <f t="shared" si="7"/>
        <v>172566001.14376459</v>
      </c>
      <c r="AF13" s="306">
        <f t="shared" si="7"/>
        <v>177742981.17807755</v>
      </c>
      <c r="AG13" s="306">
        <f t="shared" si="7"/>
        <v>183075270.61341986</v>
      </c>
      <c r="AH13" s="306">
        <f t="shared" si="7"/>
        <v>188567528.73182246</v>
      </c>
      <c r="AI13" s="306">
        <f t="shared" si="7"/>
        <v>194224554.59377715</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82418483.211475804</v>
      </c>
      <c r="G14" s="306">
        <f t="shared" si="8"/>
        <v>84891037.707820073</v>
      </c>
      <c r="H14" s="306">
        <f t="shared" si="8"/>
        <v>87437768.839054689</v>
      </c>
      <c r="I14" s="306">
        <f t="shared" si="8"/>
        <v>90060901.904226318</v>
      </c>
      <c r="J14" s="306">
        <f t="shared" si="8"/>
        <v>92762728.961353108</v>
      </c>
      <c r="K14" s="306">
        <f t="shared" si="8"/>
        <v>95545610.830193698</v>
      </c>
      <c r="L14" s="306">
        <f t="shared" si="8"/>
        <v>98411979.155099526</v>
      </c>
      <c r="M14" s="306">
        <f t="shared" si="8"/>
        <v>101364338.52975251</v>
      </c>
      <c r="N14" s="306">
        <f t="shared" si="8"/>
        <v>104405268.68564509</v>
      </c>
      <c r="O14" s="306">
        <f t="shared" si="8"/>
        <v>107537426.74621445</v>
      </c>
      <c r="P14" s="306">
        <f t="shared" si="8"/>
        <v>276908873.87150222</v>
      </c>
      <c r="Q14" s="306">
        <f t="shared" si="8"/>
        <v>285216140.08764732</v>
      </c>
      <c r="R14" s="306">
        <f t="shared" si="8"/>
        <v>293772624.29027671</v>
      </c>
      <c r="S14" s="306">
        <f t="shared" si="8"/>
        <v>302585803.01898503</v>
      </c>
      <c r="T14" s="306">
        <f t="shared" si="8"/>
        <v>311663377.10955459</v>
      </c>
      <c r="U14" s="306">
        <f t="shared" si="8"/>
        <v>321013278.42284125</v>
      </c>
      <c r="V14" s="306">
        <f t="shared" si="8"/>
        <v>330643676.77552652</v>
      </c>
      <c r="W14" s="306">
        <f t="shared" si="8"/>
        <v>340562987.07879227</v>
      </c>
      <c r="X14" s="306">
        <f t="shared" si="8"/>
        <v>350779876.69115603</v>
      </c>
      <c r="Y14" s="306">
        <f t="shared" si="8"/>
        <v>361303272.99189073</v>
      </c>
      <c r="Z14" s="306">
        <f t="shared" si="8"/>
        <v>595427793.89063597</v>
      </c>
      <c r="AA14" s="306">
        <f t="shared" si="8"/>
        <v>613290627.70735514</v>
      </c>
      <c r="AB14" s="306">
        <f t="shared" si="8"/>
        <v>631689346.53857577</v>
      </c>
      <c r="AC14" s="306">
        <f t="shared" si="8"/>
        <v>650640026.93473303</v>
      </c>
      <c r="AD14" s="306">
        <f t="shared" si="8"/>
        <v>670159227.74277508</v>
      </c>
      <c r="AE14" s="306">
        <f t="shared" si="8"/>
        <v>690264004.57505834</v>
      </c>
      <c r="AF14" s="306">
        <f t="shared" si="8"/>
        <v>710971924.71231019</v>
      </c>
      <c r="AG14" s="306">
        <f t="shared" si="8"/>
        <v>732301082.45367944</v>
      </c>
      <c r="AH14" s="306">
        <f t="shared" si="8"/>
        <v>754270114.92728984</v>
      </c>
      <c r="AI14" s="306">
        <f t="shared" si="8"/>
        <v>776898218.3751086</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2468380.9057014878</v>
      </c>
      <c r="G15" s="306">
        <f t="shared" si="9"/>
        <v>5080573.1236132011</v>
      </c>
      <c r="H15" s="306">
        <f t="shared" si="9"/>
        <v>7702951.9467354491</v>
      </c>
      <c r="I15" s="306">
        <f t="shared" si="9"/>
        <v>10337330.025236474</v>
      </c>
      <c r="J15" s="306">
        <f t="shared" si="9"/>
        <v>12985511.775435312</v>
      </c>
      <c r="K15" s="306">
        <f t="shared" si="9"/>
        <v>15649294.17919524</v>
      </c>
      <c r="L15" s="306">
        <f t="shared" si="9"/>
        <v>18330467.547649693</v>
      </c>
      <c r="M15" s="306">
        <f t="shared" si="9"/>
        <v>21091894.03200407</v>
      </c>
      <c r="N15" s="306">
        <f t="shared" si="9"/>
        <v>23935731.066643376</v>
      </c>
      <c r="O15" s="306">
        <f t="shared" si="9"/>
        <v>26864187.911864839</v>
      </c>
      <c r="P15" s="306">
        <f t="shared" si="9"/>
        <v>33193646.402374405</v>
      </c>
      <c r="Q15" s="306">
        <f t="shared" si="9"/>
        <v>39709833.157798164</v>
      </c>
      <c r="R15" s="306">
        <f t="shared" si="9"/>
        <v>46455355.259535186</v>
      </c>
      <c r="S15" s="306">
        <f t="shared" si="9"/>
        <v>53436701.423304297</v>
      </c>
      <c r="T15" s="306">
        <f t="shared" si="9"/>
        <v>60660521.677748099</v>
      </c>
      <c r="U15" s="306">
        <f t="shared" si="9"/>
        <v>68133630.752569988</v>
      </c>
      <c r="V15" s="306">
        <f t="shared" si="9"/>
        <v>75863011.513722941</v>
      </c>
      <c r="W15" s="306">
        <f t="shared" si="9"/>
        <v>83978077.327815518</v>
      </c>
      <c r="X15" s="306">
        <f t="shared" si="9"/>
        <v>92494539.264322966</v>
      </c>
      <c r="Y15" s="306">
        <f t="shared" si="9"/>
        <v>101428690.55599919</v>
      </c>
      <c r="Z15" s="306">
        <f t="shared" si="9"/>
        <v>114592952.45311373</v>
      </c>
      <c r="AA15" s="306">
        <f t="shared" si="9"/>
        <v>128425810.29231338</v>
      </c>
      <c r="AB15" s="306">
        <f t="shared" si="9"/>
        <v>142954684.88880178</v>
      </c>
      <c r="AC15" s="306">
        <f t="shared" si="9"/>
        <v>158208016.62996134</v>
      </c>
      <c r="AD15" s="306">
        <f t="shared" si="9"/>
        <v>174215301.29436189</v>
      </c>
      <c r="AE15" s="306">
        <f t="shared" si="9"/>
        <v>191007127.08317319</v>
      </c>
      <c r="AF15" s="306">
        <f t="shared" si="9"/>
        <v>208615212.90394831</v>
      </c>
      <c r="AG15" s="306">
        <f t="shared" si="9"/>
        <v>227072447.9480367</v>
      </c>
      <c r="AH15" s="306">
        <f t="shared" si="9"/>
        <v>246412932.60421708</v>
      </c>
      <c r="AI15" s="306">
        <f t="shared" si="9"/>
        <v>266672020.75251678</v>
      </c>
      <c r="AJ15" s="306">
        <f t="shared" si="9"/>
        <v>274672181.37509233</v>
      </c>
      <c r="AK15" s="306">
        <f t="shared" si="9"/>
        <v>282912346.8163451</v>
      </c>
      <c r="AL15" s="306">
        <f t="shared" si="9"/>
        <v>291399717.22083545</v>
      </c>
      <c r="AM15" s="306">
        <f t="shared" si="9"/>
        <v>300141708.73746049</v>
      </c>
      <c r="AN15" s="306">
        <f t="shared" si="9"/>
        <v>309145959.99958432</v>
      </c>
      <c r="AO15" s="306">
        <f t="shared" si="9"/>
        <v>318420338.79957187</v>
      </c>
      <c r="AP15" s="306">
        <f t="shared" si="9"/>
        <v>327972948.96355903</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0.96335253610166172</v>
      </c>
      <c r="I17" s="311">
        <f>Assumptions!I233</f>
        <v>0.92804810881350341</v>
      </c>
      <c r="J17" s="311">
        <f>Assumptions!J233</f>
        <v>0.89403749924983944</v>
      </c>
      <c r="K17" s="311">
        <f>Assumptions!K233</f>
        <v>0.8612732922723203</v>
      </c>
      <c r="L17" s="311">
        <f>Assumptions!L233</f>
        <v>0.82970981038716751</v>
      </c>
      <c r="M17" s="311">
        <f>Assumptions!M233</f>
        <v>0.81561584199440929</v>
      </c>
      <c r="N17" s="311">
        <f>Assumptions!N233</f>
        <v>0.80176128254025747</v>
      </c>
      <c r="O17" s="311">
        <f>Assumptions!O233</f>
        <v>0.78814206527514319</v>
      </c>
      <c r="P17" s="311">
        <f>Assumptions!P233</f>
        <v>0.77475419252984246</v>
      </c>
      <c r="Q17" s="311">
        <f>Assumptions!Q233</f>
        <v>0.76159373454203438</v>
      </c>
      <c r="R17" s="311">
        <f>Assumptions!R233</f>
        <v>0.75228689041315311</v>
      </c>
      <c r="S17" s="311">
        <f>Assumptions!S233</f>
        <v>0.74309377798098986</v>
      </c>
      <c r="T17" s="311">
        <f>Assumptions!T233</f>
        <v>0.7340130074190192</v>
      </c>
      <c r="U17" s="311">
        <f>Assumptions!U233</f>
        <v>0.72504320588470372</v>
      </c>
      <c r="V17" s="311">
        <f>Assumptions!V233</f>
        <v>0.71618301731194578</v>
      </c>
      <c r="W17" s="311">
        <f>Assumptions!W233</f>
        <v>0.71618301731194578</v>
      </c>
      <c r="X17" s="311">
        <f>Assumptions!X233</f>
        <v>0.71618301731194578</v>
      </c>
      <c r="Y17" s="311">
        <f>Assumptions!Y233</f>
        <v>0.71618301731194578</v>
      </c>
      <c r="Z17" s="311">
        <f>Assumptions!Z233</f>
        <v>0.71618301731194578</v>
      </c>
      <c r="AA17" s="311">
        <f>Assumptions!AA233</f>
        <v>0.71618301731194578</v>
      </c>
      <c r="AB17" s="311">
        <f>Assumptions!AB233</f>
        <v>0.71618301731194578</v>
      </c>
      <c r="AC17" s="311">
        <f>Assumptions!AC233</f>
        <v>0.71618301731194578</v>
      </c>
      <c r="AD17" s="311">
        <f>Assumptions!AD233</f>
        <v>0.71618301731194578</v>
      </c>
      <c r="AE17" s="311">
        <f>Assumptions!AE233</f>
        <v>0.71618301731194578</v>
      </c>
      <c r="AF17" s="311">
        <f>Assumptions!AF233</f>
        <v>0.71618301731194578</v>
      </c>
      <c r="AG17" s="311">
        <f>Assumptions!AG233</f>
        <v>0.71618301731194578</v>
      </c>
      <c r="AH17" s="311">
        <f>Assumptions!AH233</f>
        <v>0.71618301731194578</v>
      </c>
      <c r="AI17" s="311">
        <f>Assumptions!AI233</f>
        <v>0.71618301731194578</v>
      </c>
      <c r="AJ17" s="311">
        <f>Assumptions!AJ233</f>
        <v>0.71618301731194578</v>
      </c>
      <c r="AK17" s="311">
        <f>Assumptions!AK233</f>
        <v>0.71618301731194578</v>
      </c>
      <c r="AL17" s="311">
        <f>Assumptions!AL233</f>
        <v>0.71618301731194578</v>
      </c>
      <c r="AM17" s="311">
        <f>Assumptions!AM233</f>
        <v>0.71618301731194578</v>
      </c>
      <c r="AN17" s="311">
        <f>Assumptions!AN233</f>
        <v>0.71618301731194578</v>
      </c>
      <c r="AO17" s="311">
        <f>Assumptions!AO233</f>
        <v>0.71618301731194578</v>
      </c>
      <c r="AP17" s="311">
        <f>Assumptions!AP233</f>
        <v>0.71618301731194578</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0.94249037310778794</v>
      </c>
      <c r="I18" s="311">
        <f>Assumptions!I234</f>
        <v>0.88828810340085729</v>
      </c>
      <c r="J18" s="311">
        <f>Assumptions!J234</f>
        <v>0.83720298600148335</v>
      </c>
      <c r="K18" s="311">
        <f>Assumptions!K234</f>
        <v>0.7890557546434922</v>
      </c>
      <c r="L18" s="311">
        <f>Assumptions!L234</f>
        <v>0.74367745259679219</v>
      </c>
      <c r="M18" s="311">
        <f>Assumptions!M234</f>
        <v>0.72193717990799067</v>
      </c>
      <c r="N18" s="311">
        <f>Assumptions!N234</f>
        <v>0.70083245083414347</v>
      </c>
      <c r="O18" s="311">
        <f>Assumptions!O234</f>
        <v>0.68034468622988808</v>
      </c>
      <c r="P18" s="311">
        <f>Assumptions!P234</f>
        <v>0.66045585008275498</v>
      </c>
      <c r="Q18" s="311">
        <f>Assumptions!Q234</f>
        <v>0.641148433635509</v>
      </c>
      <c r="R18" s="311">
        <f>Assumptions!R234</f>
        <v>0.62685461351536143</v>
      </c>
      <c r="S18" s="311">
        <f>Assumptions!S234</f>
        <v>0.61287946109041291</v>
      </c>
      <c r="T18" s="311">
        <f>Assumptions!T234</f>
        <v>0.59921587195476567</v>
      </c>
      <c r="U18" s="311">
        <f>Assumptions!U234</f>
        <v>0.585856900088778</v>
      </c>
      <c r="V18" s="311">
        <f>Assumptions!V234</f>
        <v>0.57279575432798691</v>
      </c>
      <c r="W18" s="311">
        <f>Assumptions!W234</f>
        <v>0.57279575432798691</v>
      </c>
      <c r="X18" s="311">
        <f>Assumptions!X234</f>
        <v>0.57279575432798691</v>
      </c>
      <c r="Y18" s="311">
        <f>Assumptions!Y234</f>
        <v>0.57279575432798691</v>
      </c>
      <c r="Z18" s="311">
        <f>Assumptions!Z234</f>
        <v>0.57279575432798691</v>
      </c>
      <c r="AA18" s="311">
        <f>Assumptions!AA234</f>
        <v>0.57279575432798691</v>
      </c>
      <c r="AB18" s="311">
        <f>Assumptions!AB234</f>
        <v>0.57279575432798691</v>
      </c>
      <c r="AC18" s="311">
        <f>Assumptions!AC234</f>
        <v>0.57279575432798691</v>
      </c>
      <c r="AD18" s="311">
        <f>Assumptions!AD234</f>
        <v>0.57279575432798691</v>
      </c>
      <c r="AE18" s="311">
        <f>Assumptions!AE234</f>
        <v>0.57279575432798691</v>
      </c>
      <c r="AF18" s="311">
        <f>Assumptions!AF234</f>
        <v>0.57279575432798691</v>
      </c>
      <c r="AG18" s="311">
        <f>Assumptions!AG234</f>
        <v>0.57279575432798691</v>
      </c>
      <c r="AH18" s="311">
        <f>Assumptions!AH234</f>
        <v>0.57279575432798691</v>
      </c>
      <c r="AI18" s="311">
        <f>Assumptions!AI234</f>
        <v>0.57279575432798691</v>
      </c>
      <c r="AJ18" s="311">
        <f>Assumptions!AJ234</f>
        <v>0.57279575432798691</v>
      </c>
      <c r="AK18" s="311">
        <f>Assumptions!AK234</f>
        <v>0.57279575432798691</v>
      </c>
      <c r="AL18" s="311">
        <f>Assumptions!AL234</f>
        <v>0.57279575432798691</v>
      </c>
      <c r="AM18" s="311">
        <f>Assumptions!AM234</f>
        <v>0.57279575432798691</v>
      </c>
      <c r="AN18" s="311">
        <f>Assumptions!AN234</f>
        <v>0.57279575432798691</v>
      </c>
      <c r="AO18" s="311">
        <f>Assumptions!AO234</f>
        <v>0.57279575432798691</v>
      </c>
      <c r="AP18" s="311">
        <f>Assumptions!AP234</f>
        <v>0.57279575432798691</v>
      </c>
    </row>
    <row r="19" spans="1:42" x14ac:dyDescent="0.35">
      <c r="A19" s="303" t="s">
        <v>393</v>
      </c>
      <c r="C19" s="312">
        <f>Assumptions!C235</f>
        <v>1</v>
      </c>
      <c r="D19" s="312">
        <f>Assumptions!D235</f>
        <v>1</v>
      </c>
      <c r="E19" s="312">
        <f>Assumptions!E235</f>
        <v>1</v>
      </c>
      <c r="F19" s="312">
        <f>Assumptions!F235</f>
        <v>0.99831203290000003</v>
      </c>
      <c r="G19" s="312">
        <f>Assumptions!G235</f>
        <v>0.99662691503293077</v>
      </c>
      <c r="H19" s="312">
        <f>Assumptions!H235</f>
        <v>0.99494464158938067</v>
      </c>
      <c r="I19" s="312">
        <f>Assumptions!I235</f>
        <v>0.99326520776805649</v>
      </c>
      <c r="J19" s="312">
        <f>Assumptions!J235</f>
        <v>0.99158860877576938</v>
      </c>
      <c r="K19" s="312">
        <f>Assumptions!K235</f>
        <v>0.98991483982742112</v>
      </c>
      <c r="L19" s="312">
        <f>Assumptions!L235</f>
        <v>0.98824389614599073</v>
      </c>
      <c r="M19" s="312">
        <f>Assumptions!M235</f>
        <v>0.98657577296252053</v>
      </c>
      <c r="N19" s="312">
        <f>Assumptions!N235</f>
        <v>0.98491046551610273</v>
      </c>
      <c r="O19" s="312">
        <f>Assumptions!O235</f>
        <v>0.98324796905386591</v>
      </c>
      <c r="P19" s="312">
        <f>Assumptions!P235</f>
        <v>0.98158827883096123</v>
      </c>
      <c r="Q19" s="312">
        <f>Assumptions!Q235</f>
        <v>0.97993139011054897</v>
      </c>
      <c r="R19" s="312">
        <f>Assumptions!R235</f>
        <v>0.97827729816378517</v>
      </c>
      <c r="S19" s="312">
        <f>Assumptions!S235</f>
        <v>0.97662599826980789</v>
      </c>
      <c r="T19" s="312">
        <f>Assumptions!T235</f>
        <v>0.97497748571572385</v>
      </c>
      <c r="U19" s="312">
        <f>Assumptions!U235</f>
        <v>0.97333175579659503</v>
      </c>
      <c r="V19" s="312">
        <f>Assumptions!V235</f>
        <v>0.97168880381542522</v>
      </c>
      <c r="W19" s="312">
        <f>Assumptions!W235</f>
        <v>0.97004862508314649</v>
      </c>
      <c r="X19" s="312">
        <f>Assumptions!X235</f>
        <v>0.96841121491860593</v>
      </c>
      <c r="Y19" s="312">
        <f>Assumptions!Y235</f>
        <v>0.96677656864855233</v>
      </c>
      <c r="Z19" s="312">
        <f>Assumptions!Z235</f>
        <v>0.96514468160762268</v>
      </c>
      <c r="AA19" s="312">
        <f>Assumptions!AA235</f>
        <v>0.96351554913832904</v>
      </c>
      <c r="AB19" s="312">
        <f>Assumptions!AB235</f>
        <v>0.96188916659104517</v>
      </c>
      <c r="AC19" s="312">
        <f>Assumptions!AC235</f>
        <v>0.96026552932399312</v>
      </c>
      <c r="AD19" s="312">
        <f>Assumptions!AD235</f>
        <v>0.95864463270323019</v>
      </c>
      <c r="AE19" s="312">
        <f>Assumptions!AE235</f>
        <v>0.95702647210263558</v>
      </c>
      <c r="AF19" s="312">
        <f>Assumptions!AF235</f>
        <v>0.95541104290389733</v>
      </c>
      <c r="AG19" s="312">
        <f>Assumptions!AG235</f>
        <v>0.95379834049649892</v>
      </c>
      <c r="AH19" s="312">
        <f>Assumptions!AH235</f>
        <v>0.95218836027770626</v>
      </c>
      <c r="AI19" s="312">
        <f>Assumptions!AI235</f>
        <v>0.95058109765255461</v>
      </c>
      <c r="AJ19" s="312">
        <f>Assumptions!AJ235</f>
        <v>0.94897654803383524</v>
      </c>
      <c r="AK19" s="312">
        <f>Assumptions!AK235</f>
        <v>0.94737470684208258</v>
      </c>
      <c r="AL19" s="312">
        <f>Assumptions!AL235</f>
        <v>0.94577556950556108</v>
      </c>
      <c r="AM19" s="312">
        <f>Assumptions!AM235</f>
        <v>0.94417913146025201</v>
      </c>
      <c r="AN19" s="312">
        <f>Assumptions!AN235</f>
        <v>0.94258538814984061</v>
      </c>
      <c r="AO19" s="312">
        <f>Assumptions!AO235</f>
        <v>0.94099433502570295</v>
      </c>
      <c r="AP19" s="312">
        <f>Assumptions!AP235</f>
        <v>0.93940596754689321</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-108133.18067608774</v>
      </c>
      <c r="G21" s="306">
        <f t="shared" si="10"/>
        <v>-222566.35118379444</v>
      </c>
      <c r="H21" s="306">
        <f t="shared" si="10"/>
        <v>-343574.87787985802</v>
      </c>
      <c r="I21" s="306">
        <f t="shared" si="10"/>
        <v>-471444.8289539367</v>
      </c>
      <c r="J21" s="306">
        <f t="shared" si="10"/>
        <v>-606473.36446525156</v>
      </c>
      <c r="K21" s="306">
        <f t="shared" si="10"/>
        <v>-748969.14002975821</v>
      </c>
      <c r="L21" s="306">
        <f t="shared" si="10"/>
        <v>-899252.72462260723</v>
      </c>
      <c r="M21" s="306">
        <f t="shared" si="10"/>
        <v>-1057657.0329759121</v>
      </c>
      <c r="N21" s="306">
        <f t="shared" si="10"/>
        <v>-1224527.7730679363</v>
      </c>
      <c r="O21" s="306">
        <f t="shared" si="10"/>
        <v>-1400223.9092165083</v>
      </c>
      <c r="P21" s="306">
        <f t="shared" si="10"/>
        <v>-1585118.1413060278</v>
      </c>
      <c r="Q21" s="306">
        <f t="shared" si="10"/>
        <v>-1779597.40069592</v>
      </c>
      <c r="R21" s="306">
        <f t="shared" si="10"/>
        <v>-1984063.3633754998</v>
      </c>
      <c r="S21" s="306">
        <f t="shared" si="10"/>
        <v>-2198932.9809501916</v>
      </c>
      <c r="T21" s="306">
        <f t="shared" si="10"/>
        <v>-2424639.0300624818</v>
      </c>
      <c r="U21" s="306">
        <f t="shared" si="10"/>
        <v>-2661630.6808716208</v>
      </c>
      <c r="V21" s="306">
        <f t="shared" si="10"/>
        <v>-2910374.0852365941</v>
      </c>
      <c r="W21" s="306">
        <f t="shared" si="10"/>
        <v>-3171352.9852684587</v>
      </c>
      <c r="X21" s="306">
        <f t="shared" si="10"/>
        <v>-3445069.3429398388</v>
      </c>
      <c r="Y21" s="306">
        <f t="shared" si="10"/>
        <v>-3732043.9914626926</v>
      </c>
      <c r="Z21" s="306">
        <f t="shared" si="10"/>
        <v>-4032817.3091686517</v>
      </c>
      <c r="AA21" s="306">
        <f t="shared" si="10"/>
        <v>-4347949.916650787</v>
      </c>
      <c r="AB21" s="306">
        <f t="shared" si="10"/>
        <v>-4678023.3979506046</v>
      </c>
      <c r="AC21" s="306">
        <f t="shared" si="10"/>
        <v>-5023641.0466002226</v>
      </c>
      <c r="AD21" s="306">
        <f t="shared" si="10"/>
        <v>-5385428.6373562515</v>
      </c>
      <c r="AE21" s="306">
        <f t="shared" si="10"/>
        <v>-5764035.2244898081</v>
      </c>
      <c r="AF21" s="306">
        <f t="shared" si="10"/>
        <v>-6160133.9675254375</v>
      </c>
      <c r="AG21" s="306">
        <f t="shared" si="10"/>
        <v>-6574422.9853514731</v>
      </c>
      <c r="AH21" s="306">
        <f t="shared" si="10"/>
        <v>-7007626.2396545708</v>
      </c>
      <c r="AI21" s="306">
        <f t="shared" si="10"/>
        <v>-7460494.4486626387</v>
      </c>
      <c r="AJ21" s="306">
        <f t="shared" si="10"/>
        <v>-7933806.0322135091</v>
      </c>
      <c r="AK21" s="306">
        <f t="shared" si="10"/>
        <v>-8428368.0891987681</v>
      </c>
      <c r="AL21" s="306">
        <f t="shared" si="10"/>
        <v>-8945017.4084685743</v>
      </c>
      <c r="AM21" s="306">
        <f t="shared" si="10"/>
        <v>-9484621.514318049</v>
      </c>
      <c r="AN21" s="306">
        <f t="shared" si="10"/>
        <v>-10048079.747712225</v>
      </c>
      <c r="AO21" s="306">
        <f t="shared" si="10"/>
        <v>-10636324.384446532</v>
      </c>
      <c r="AP21" s="306">
        <f t="shared" si="10"/>
        <v>-11250321.791476786</v>
      </c>
    </row>
    <row r="23" spans="1:42" x14ac:dyDescent="0.35">
      <c r="A23" s="303" t="s">
        <v>395</v>
      </c>
      <c r="C23" s="305"/>
      <c r="D23" s="305"/>
      <c r="E23" s="305"/>
      <c r="F23" s="306">
        <f t="shared" ref="F23:AP23" si="11">(F13*F17)-F13</f>
        <v>0</v>
      </c>
      <c r="G23" s="306">
        <f t="shared" si="11"/>
        <v>0</v>
      </c>
      <c r="H23" s="306">
        <f>(H13*H17)-H13</f>
        <v>-801093.11922012642</v>
      </c>
      <c r="I23" s="306">
        <f t="shared" si="11"/>
        <v>-1620013.0534926578</v>
      </c>
      <c r="J23" s="306">
        <f t="shared" si="11"/>
        <v>-2457342.68428858</v>
      </c>
      <c r="K23" s="306">
        <f t="shared" si="11"/>
        <v>-3313682.007075727</v>
      </c>
      <c r="L23" s="306">
        <f t="shared" si="11"/>
        <v>-4189648.6476240046</v>
      </c>
      <c r="M23" s="306">
        <f t="shared" si="11"/>
        <v>-4672494.5529005192</v>
      </c>
      <c r="N23" s="306">
        <f t="shared" si="11"/>
        <v>-5174291.6400705241</v>
      </c>
      <c r="O23" s="306">
        <f t="shared" si="11"/>
        <v>-5695664.2840196416</v>
      </c>
      <c r="P23" s="306">
        <f t="shared" si="11"/>
        <v>-15593140.722709633</v>
      </c>
      <c r="Q23" s="306">
        <f t="shared" si="11"/>
        <v>-16999328.701657988</v>
      </c>
      <c r="R23" s="306">
        <f t="shared" si="11"/>
        <v>-18192832.568608232</v>
      </c>
      <c r="S23" s="306">
        <f t="shared" si="11"/>
        <v>-19434043.87254896</v>
      </c>
      <c r="T23" s="306">
        <f t="shared" si="11"/>
        <v>-20724601.093750626</v>
      </c>
      <c r="U23" s="306">
        <f t="shared" si="11"/>
        <v>-22066195.475896358</v>
      </c>
      <c r="V23" s="306">
        <f t="shared" si="11"/>
        <v>-23460572.671828553</v>
      </c>
      <c r="W23" s="306">
        <f t="shared" si="11"/>
        <v>-24164389.851983406</v>
      </c>
      <c r="X23" s="306">
        <f t="shared" si="11"/>
        <v>-24889321.547542907</v>
      </c>
      <c r="Y23" s="306">
        <f t="shared" si="11"/>
        <v>-25636001.193969198</v>
      </c>
      <c r="Z23" s="306">
        <f t="shared" si="11"/>
        <v>-42248129.967661232</v>
      </c>
      <c r="AA23" s="306">
        <f t="shared" si="11"/>
        <v>-43515573.866691083</v>
      </c>
      <c r="AB23" s="306">
        <f t="shared" si="11"/>
        <v>-44821041.082691804</v>
      </c>
      <c r="AC23" s="306">
        <f t="shared" si="11"/>
        <v>-46165672.315172568</v>
      </c>
      <c r="AD23" s="306">
        <f t="shared" si="11"/>
        <v>-47550642.484627739</v>
      </c>
      <c r="AE23" s="306">
        <f t="shared" si="11"/>
        <v>-48977161.759166583</v>
      </c>
      <c r="AF23" s="306">
        <f t="shared" si="11"/>
        <v>-50446476.611941576</v>
      </c>
      <c r="AG23" s="306">
        <f t="shared" si="11"/>
        <v>-51959870.910299823</v>
      </c>
      <c r="AH23" s="306">
        <f t="shared" si="11"/>
        <v>-53518667.037608832</v>
      </c>
      <c r="AI23" s="306">
        <f t="shared" si="11"/>
        <v>-55124227.048737079</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-5028513.4622215182</v>
      </c>
      <c r="I24" s="306">
        <f t="shared" ref="I24:AP24" si="12">(I14*I18)-I14</f>
        <v>-10060874.16115047</v>
      </c>
      <c r="J24" s="306">
        <f t="shared" si="12"/>
        <v>-15101495.285262004</v>
      </c>
      <c r="K24" s="306">
        <f t="shared" si="12"/>
        <v>-20154796.773701787</v>
      </c>
      <c r="L24" s="306">
        <f t="shared" si="12"/>
        <v>-25225209.192026496</v>
      </c>
      <c r="M24" s="306">
        <f t="shared" si="12"/>
        <v>-28185653.828344107</v>
      </c>
      <c r="N24" s="306">
        <f t="shared" si="12"/>
        <v>-31234668.352687195</v>
      </c>
      <c r="O24" s="306">
        <f t="shared" si="12"/>
        <v>-34374909.888591602</v>
      </c>
      <c r="P24" s="306">
        <f t="shared" si="12"/>
        <v>-94022788.183240831</v>
      </c>
      <c r="Q24" s="306">
        <f t="shared" si="12"/>
        <v>-102350258.62288633</v>
      </c>
      <c r="R24" s="306">
        <f t="shared" si="12"/>
        <v>-109619899.42940181</v>
      </c>
      <c r="S24" s="306">
        <f t="shared" si="12"/>
        <v>-117137179.13109964</v>
      </c>
      <c r="T24" s="306">
        <f t="shared" si="12"/>
        <v>-124909734.83848587</v>
      </c>
      <c r="U24" s="306">
        <f t="shared" si="12"/>
        <v>-132945434.23869967</v>
      </c>
      <c r="V24" s="306">
        <f t="shared" si="12"/>
        <v>-141252382.52310973</v>
      </c>
      <c r="W24" s="306">
        <f t="shared" si="12"/>
        <v>-145489953.99880299</v>
      </c>
      <c r="X24" s="306">
        <f t="shared" si="12"/>
        <v>-149854652.61876708</v>
      </c>
      <c r="Y24" s="306">
        <f t="shared" si="12"/>
        <v>-154350292.19733009</v>
      </c>
      <c r="Z24" s="306">
        <f t="shared" si="12"/>
        <v>-254369281.54120004</v>
      </c>
      <c r="AA24" s="306">
        <f t="shared" si="12"/>
        <v>-262000359.98743606</v>
      </c>
      <c r="AB24" s="306">
        <f t="shared" si="12"/>
        <v>-269860370.78705913</v>
      </c>
      <c r="AC24" s="306">
        <f t="shared" si="12"/>
        <v>-277956181.91067094</v>
      </c>
      <c r="AD24" s="306">
        <f t="shared" si="12"/>
        <v>-286294867.36799103</v>
      </c>
      <c r="AE24" s="306">
        <f t="shared" si="12"/>
        <v>-294883713.38903081</v>
      </c>
      <c r="AF24" s="306">
        <f t="shared" si="12"/>
        <v>-303730224.79070175</v>
      </c>
      <c r="AG24" s="306">
        <f t="shared" si="12"/>
        <v>-312842131.53442281</v>
      </c>
      <c r="AH24" s="306">
        <f t="shared" si="12"/>
        <v>-322227395.48045546</v>
      </c>
      <c r="AI24" s="306">
        <f t="shared" si="12"/>
        <v>-331894217.3448692</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-173899.61011609435</v>
      </c>
      <c r="G26" s="306">
        <f t="shared" si="13"/>
        <v>-357930.85391394794</v>
      </c>
      <c r="H26" s="306">
        <f t="shared" si="13"/>
        <v>-552536.57513287663</v>
      </c>
      <c r="I26" s="306">
        <f t="shared" si="13"/>
        <v>-758176.82818301022</v>
      </c>
      <c r="J26" s="306">
        <f t="shared" si="13"/>
        <v>-975329.50540150702</v>
      </c>
      <c r="K26" s="306">
        <f t="shared" si="13"/>
        <v>-1204490.9862617403</v>
      </c>
      <c r="L26" s="306">
        <f t="shared" si="13"/>
        <v>-1446176.809282437</v>
      </c>
      <c r="M26" s="306">
        <f t="shared" si="13"/>
        <v>-1700922.3674091548</v>
      </c>
      <c r="N26" s="306">
        <f t="shared" si="13"/>
        <v>-1969283.6276657581</v>
      </c>
      <c r="O26" s="306">
        <f t="shared" si="13"/>
        <v>-2251837.8759002686</v>
      </c>
      <c r="P26" s="306">
        <f t="shared" si="13"/>
        <v>-6372961.2186932564</v>
      </c>
      <c r="Q26" s="306">
        <f t="shared" si="13"/>
        <v>-7154864.3119925261</v>
      </c>
      <c r="R26" s="306">
        <f t="shared" si="13"/>
        <v>-7976918.9063750505</v>
      </c>
      <c r="S26" s="306">
        <f t="shared" si="13"/>
        <v>-8840801.3541216254</v>
      </c>
      <c r="T26" s="306">
        <f t="shared" si="13"/>
        <v>-9748251.63201195</v>
      </c>
      <c r="U26" s="306">
        <f t="shared" si="13"/>
        <v>-10701075.626894951</v>
      </c>
      <c r="V26" s="306">
        <f t="shared" si="13"/>
        <v>-11701147.500476301</v>
      </c>
      <c r="W26" s="306">
        <f t="shared" si="13"/>
        <v>-12750412.136000574</v>
      </c>
      <c r="X26" s="306">
        <f t="shared" si="13"/>
        <v>-13850887.669593573</v>
      </c>
      <c r="Y26" s="306">
        <f t="shared" si="13"/>
        <v>-15004668.109124303</v>
      </c>
      <c r="Z26" s="306">
        <f t="shared" si="13"/>
        <v>-25942281.669661164</v>
      </c>
      <c r="AA26" s="306">
        <f t="shared" si="13"/>
        <v>-27969464.713140368</v>
      </c>
      <c r="AB26" s="306">
        <f t="shared" si="13"/>
        <v>-30092759.31517899</v>
      </c>
      <c r="AC26" s="306">
        <f t="shared" si="13"/>
        <v>-32316046.338593125</v>
      </c>
      <c r="AD26" s="306">
        <f t="shared" si="13"/>
        <v>-34643351.263277531</v>
      </c>
      <c r="AE26" s="306">
        <f t="shared" si="13"/>
        <v>-37078849.321440935</v>
      </c>
      <c r="AF26" s="306">
        <f t="shared" si="13"/>
        <v>-39626870.809413433</v>
      </c>
      <c r="AG26" s="306">
        <f t="shared" si="13"/>
        <v>-42291906.581962705</v>
      </c>
      <c r="AH26" s="306">
        <f t="shared" si="13"/>
        <v>-45078613.735245824</v>
      </c>
      <c r="AI26" s="306">
        <f t="shared" si="13"/>
        <v>-47991821.484729767</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-4166.5457590920851</v>
      </c>
      <c r="G28" s="306">
        <f t="shared" si="14"/>
        <v>-17137.204827355221</v>
      </c>
      <c r="H28" s="306">
        <f t="shared" si="14"/>
        <v>-38941.18291052524</v>
      </c>
      <c r="I28" s="306">
        <f t="shared" si="14"/>
        <v>-69619.769952999428</v>
      </c>
      <c r="J28" s="306">
        <f t="shared" si="14"/>
        <v>-109226.21979003958</v>
      </c>
      <c r="K28" s="306">
        <f t="shared" si="14"/>
        <v>-157825.63838499039</v>
      </c>
      <c r="L28" s="306">
        <f t="shared" si="14"/>
        <v>-215494.880182717</v>
      </c>
      <c r="M28" s="306">
        <f t="shared" si="14"/>
        <v>-283142.37413608283</v>
      </c>
      <c r="N28" s="306">
        <f t="shared" si="14"/>
        <v>-361179.03932740539</v>
      </c>
      <c r="O28" s="306">
        <f t="shared" si="14"/>
        <v>-450029.70724232122</v>
      </c>
      <c r="P28" s="306">
        <f t="shared" si="14"/>
        <v>-611152.16214418411</v>
      </c>
      <c r="Q28" s="306">
        <f t="shared" si="14"/>
        <v>-796921.15041904151</v>
      </c>
      <c r="R28" s="306">
        <f t="shared" si="14"/>
        <v>-1009135.8309983164</v>
      </c>
      <c r="S28" s="306">
        <f t="shared" si="14"/>
        <v>-1249029.5515240729</v>
      </c>
      <c r="T28" s="306">
        <f t="shared" si="14"/>
        <v>-1517878.7701730952</v>
      </c>
      <c r="U28" s="306">
        <f t="shared" si="14"/>
        <v>-1817004.3033741564</v>
      </c>
      <c r="V28" s="306">
        <f t="shared" si="14"/>
        <v>-2147772.6021176726</v>
      </c>
      <c r="W28" s="306">
        <f t="shared" si="14"/>
        <v>-2515258.8788419217</v>
      </c>
      <c r="X28" s="306">
        <f t="shared" si="14"/>
        <v>-2921790.1220232695</v>
      </c>
      <c r="Y28" s="306">
        <f t="shared" si="14"/>
        <v>-3369809.1377544701</v>
      </c>
      <c r="Z28" s="306">
        <f t="shared" si="14"/>
        <v>-3994173.8432758301</v>
      </c>
      <c r="AA28" s="306">
        <f t="shared" si="14"/>
        <v>-4685545.164980188</v>
      </c>
      <c r="AB28" s="306">
        <f t="shared" si="14"/>
        <v>-5448122.1808267534</v>
      </c>
      <c r="AC28" s="306">
        <f t="shared" si="14"/>
        <v>-6286311.7974924147</v>
      </c>
      <c r="AD28" s="306">
        <f t="shared" si="14"/>
        <v>-7204737.7737457454</v>
      </c>
      <c r="AE28" s="306">
        <f t="shared" si="14"/>
        <v>-8208250.1043041646</v>
      </c>
      <c r="AF28" s="306">
        <f t="shared" si="14"/>
        <v>-9301934.7777684629</v>
      </c>
      <c r="AG28" s="306">
        <f t="shared" si="14"/>
        <v>-10491123.922721654</v>
      </c>
      <c r="AH28" s="306">
        <f t="shared" si="14"/>
        <v>-11781406.356586665</v>
      </c>
      <c r="AI28" s="306">
        <f t="shared" si="14"/>
        <v>-13178638.552364558</v>
      </c>
      <c r="AJ28" s="306">
        <f t="shared" si="14"/>
        <v>-14014722.852833718</v>
      </c>
      <c r="AK28" s="306">
        <f t="shared" si="14"/>
        <v>-14888345.189204574</v>
      </c>
      <c r="AL28" s="306">
        <f t="shared" si="14"/>
        <v>-15800983.712540329</v>
      </c>
      <c r="AM28" s="306">
        <f t="shared" si="14"/>
        <v>-16754170.86672914</v>
      </c>
      <c r="AN28" s="306">
        <f t="shared" si="14"/>
        <v>-17749495.298421025</v>
      </c>
      <c r="AO28" s="306">
        <f t="shared" si="14"/>
        <v>-18788603.832209706</v>
      </c>
      <c r="AP28" s="306">
        <f t="shared" si="14"/>
        <v>-19873203.513239026</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169266475.32829943</v>
      </c>
      <c r="G30" s="306">
        <f t="shared" si="15"/>
        <v>176579761.28561181</v>
      </c>
      <c r="H30" s="306">
        <f t="shared" si="15"/>
        <v>178198019.97845197</v>
      </c>
      <c r="I30" s="306">
        <f t="shared" si="15"/>
        <v>179934720.45005733</v>
      </c>
      <c r="J30" s="306">
        <f t="shared" si="15"/>
        <v>181790489.35477841</v>
      </c>
      <c r="K30" s="306">
        <f t="shared" si="15"/>
        <v>183766019.61144823</v>
      </c>
      <c r="L30" s="306">
        <f t="shared" si="15"/>
        <v>185862069.97094962</v>
      </c>
      <c r="M30" s="306">
        <f t="shared" si="15"/>
        <v>190684630.09358764</v>
      </c>
      <c r="N30" s="306">
        <f t="shared" si="15"/>
        <v>195629165.03769442</v>
      </c>
      <c r="O30" s="306">
        <f t="shared" si="15"/>
        <v>200698628.18288046</v>
      </c>
      <c r="P30" s="306">
        <f t="shared" si="15"/>
        <v>347237460.49197263</v>
      </c>
      <c r="Q30" s="306">
        <f t="shared" si="15"/>
        <v>355824706.7233693</v>
      </c>
      <c r="R30" s="306">
        <f t="shared" si="15"/>
        <v>366224224.22659606</v>
      </c>
      <c r="S30" s="306">
        <f t="shared" si="15"/>
        <v>376884985.17085421</v>
      </c>
      <c r="T30" s="306">
        <f t="shared" si="15"/>
        <v>387812935.0701924</v>
      </c>
      <c r="U30" s="306">
        <f t="shared" si="15"/>
        <v>399014134.74646926</v>
      </c>
      <c r="V30" s="306">
        <f t="shared" si="15"/>
        <v>410494761.78017926</v>
      </c>
      <c r="W30" s="306">
        <f t="shared" si="15"/>
        <v>427473829.1156199</v>
      </c>
      <c r="X30" s="306">
        <f t="shared" si="15"/>
        <v>445067551.19131911</v>
      </c>
      <c r="Y30" s="306">
        <f t="shared" si="15"/>
        <v>463296651.15105712</v>
      </c>
      <c r="Z30" s="306">
        <f t="shared" si="15"/>
        <v>643992644.98982215</v>
      </c>
      <c r="AA30" s="306">
        <f t="shared" si="15"/>
        <v>671692884.81712067</v>
      </c>
      <c r="AB30" s="306">
        <f t="shared" si="15"/>
        <v>700413915.34401155</v>
      </c>
      <c r="AC30" s="306">
        <f t="shared" si="15"/>
        <v>730190496.8569169</v>
      </c>
      <c r="AD30" s="306">
        <f t="shared" si="15"/>
        <v>761058517.41191268</v>
      </c>
      <c r="AE30" s="306">
        <f t="shared" si="15"/>
        <v>793055028.23862672</v>
      </c>
      <c r="AF30" s="306">
        <f t="shared" si="15"/>
        <v>826218280.22909975</v>
      </c>
      <c r="AG30" s="306">
        <f t="shared" si="15"/>
        <v>860587761.54425538</v>
      </c>
      <c r="AH30" s="306">
        <f t="shared" si="15"/>
        <v>896204236.37157238</v>
      </c>
      <c r="AI30" s="306">
        <f t="shared" si="15"/>
        <v>933109784.86856723</v>
      </c>
      <c r="AJ30" s="306">
        <f t="shared" si="15"/>
        <v>408216974.21736908</v>
      </c>
      <c r="AK30" s="306">
        <f t="shared" si="15"/>
        <v>419753754.91708547</v>
      </c>
      <c r="AL30" s="306">
        <f t="shared" si="15"/>
        <v>431616581.12034458</v>
      </c>
      <c r="AM30" s="306">
        <f t="shared" si="15"/>
        <v>443814667.32754683</v>
      </c>
      <c r="AN30" s="306">
        <f t="shared" si="15"/>
        <v>456357488.45371854</v>
      </c>
      <c r="AO30" s="306">
        <f t="shared" si="15"/>
        <v>469254787.18819118</v>
      </c>
      <c r="AP30" s="306">
        <f t="shared" si="15"/>
        <v>482516581.56227708</v>
      </c>
    </row>
  </sheetData>
  <sheetProtection algorithmName="SHA-512" hashValue="kI9S1iJ/aCbkzLT6UQ1Dt6QOF8MWMK8eMl3U6WRIofbzlcf0rRf+pWgysbVmIC2kqpOuZPY7KrlPOnR/UXoXyw==" saltValue="dfdbSsWlF8+r4+qnRWYt8g=="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191355467.50938293</v>
      </c>
      <c r="G3" s="77">
        <f>F3*('Price and Financial Ratios'!I4+1)*(1+Assumptions!$B$28)</f>
        <v>213282976.27268615</v>
      </c>
      <c r="H3" s="77">
        <f>G3*('Price and Financial Ratios'!J4+1)*(1+Assumptions!$B$28)</f>
        <v>231239808.96058604</v>
      </c>
      <c r="I3" s="77">
        <f>H3*('Price and Financial Ratios'!K4+1)*(1+Assumptions!$B$28)</f>
        <v>243679263.24835849</v>
      </c>
      <c r="J3" s="77">
        <f>I3*('Price and Financial Ratios'!L4+1)*(1+Assumptions!$B$28)</f>
        <v>255553335.89334795</v>
      </c>
      <c r="K3" s="77">
        <f>J3*('Price and Financial Ratios'!M4+1)*(1+Assumptions!$B$28)</f>
        <v>253764146.37905446</v>
      </c>
      <c r="L3" s="77">
        <f>K3*('Price and Financial Ratios'!N4+1)*(1+Assumptions!$B$28)</f>
        <v>262272686.80917481</v>
      </c>
      <c r="M3" s="77">
        <f>L3*('Price and Financial Ratios'!O4+1)*(1+Assumptions!$B$28)</f>
        <v>272395270.2690053</v>
      </c>
      <c r="N3" s="77">
        <f>M3*('Price and Financial Ratios'!P4+1)*(1+Assumptions!$B$28)</f>
        <v>282908541.36447126</v>
      </c>
      <c r="O3" s="77">
        <f>N3*('Price and Financial Ratios'!Q4+1)*(1+Assumptions!$B$28)</f>
        <v>293827578.93678385</v>
      </c>
      <c r="P3" s="77">
        <f>O3*('Price and Financial Ratios'!R4+1)*(1+Assumptions!$B$28)</f>
        <v>327497412.86363822</v>
      </c>
      <c r="Q3" s="77">
        <f>P3*('Price and Financial Ratios'!S4+1)*(1+Assumptions!$B$28)</f>
        <v>361707074.61814004</v>
      </c>
      <c r="R3" s="77">
        <f>Q3*('Price and Financial Ratios'!T4+1)*(1+Assumptions!$B$28)</f>
        <v>392160107.17824244</v>
      </c>
      <c r="S3" s="77">
        <f>R3*('Price and Financial Ratios'!U4+1)*(1+Assumptions!$B$28)</f>
        <v>421203440.13738477</v>
      </c>
      <c r="T3" s="77">
        <f>S3*('Price and Financial Ratios'!V4+1)*(1+Assumptions!$B$28)</f>
        <v>448129816.02424937</v>
      </c>
      <c r="U3" s="77">
        <f>T3*('Price and Financial Ratios'!W4+1)*(1+Assumptions!$B$28)</f>
        <v>472236782.66843861</v>
      </c>
      <c r="V3" s="77">
        <f>U3*('Price and Financial Ratios'!X4+1)*(1+Assumptions!$B$28)</f>
        <v>497640574.07189041</v>
      </c>
      <c r="W3" s="77">
        <f>V3*('Price and Financial Ratios'!Y4+1)*(1+Assumptions!$B$28)</f>
        <v>521889745.90889406</v>
      </c>
      <c r="X3" s="77">
        <f>W3*('Price and Financial Ratios'!Z4+1)*(1+Assumptions!$B$28)</f>
        <v>549964598.87937641</v>
      </c>
      <c r="Y3" s="77">
        <f>X3*('Price and Financial Ratios'!AA4+1)*(1+Assumptions!$B$28)</f>
        <v>579549727.4885217</v>
      </c>
      <c r="Z3" s="77">
        <f>Y3*('Price and Financial Ratios'!AB4+1)*(1+Assumptions!$B$28)</f>
        <v>634215852.43452883</v>
      </c>
      <c r="AA3" s="77">
        <f>Z3*('Price and Financial Ratios'!AC4+1)*(1+Assumptions!$B$28)</f>
        <v>687612087.56405091</v>
      </c>
      <c r="AB3" s="77">
        <f>AA3*('Price and Financial Ratios'!AD4+1)*(1+Assumptions!$B$28)</f>
        <v>738536560.60530484</v>
      </c>
      <c r="AC3" s="77">
        <f>AB3*('Price and Financial Ratios'!AE4+1)*(1+Assumptions!$B$28)</f>
        <v>793232494.33119631</v>
      </c>
      <c r="AD3" s="77">
        <f>AC3*('Price and Financial Ratios'!AF4+1)*(1+Assumptions!$B$28)</f>
        <v>843941663.04328072</v>
      </c>
      <c r="AE3" s="77">
        <f>AD3*('Price and Financial Ratios'!AG4+1)*(1+Assumptions!$B$28)</f>
        <v>897892529.25243843</v>
      </c>
      <c r="AF3" s="77">
        <f>AE3*('Price and Financial Ratios'!AH4+1)*(1+Assumptions!$B$28)</f>
        <v>946194303.60164607</v>
      </c>
      <c r="AG3" s="77">
        <f>AF3*('Price and Financial Ratios'!AI4+1)*(1+Assumptions!$B$28)</f>
        <v>968332112.85868704</v>
      </c>
      <c r="AH3" s="77">
        <f>AG3*('Price and Financial Ratios'!AJ4+1)*(1+Assumptions!$B$28)</f>
        <v>1020423156.8161783</v>
      </c>
      <c r="AI3" s="77">
        <f>AH3*('Price and Financial Ratios'!AK4+1)*(1+Assumptions!$B$28)</f>
        <v>1085655998.872576</v>
      </c>
      <c r="AJ3" s="77">
        <f>AI3*('Price and Financial Ratios'!AL4+1)*(1+Assumptions!$B$28)</f>
        <v>1100056187.4887023</v>
      </c>
      <c r="AK3" s="77">
        <f>AJ3*('Price and Financial Ratios'!AM4+1)*(1+Assumptions!$B$28)</f>
        <v>1114647380.835973</v>
      </c>
      <c r="AL3" s="77">
        <f>AK3*('Price and Financial Ratios'!AN4+1)*(1+Assumptions!$B$28)</f>
        <v>1129432112.4094896</v>
      </c>
      <c r="AM3" s="77">
        <f>AL3*('Price and Financial Ratios'!AO4+1)*(1+Assumptions!$B$28)</f>
        <v>1144412949.3087435</v>
      </c>
      <c r="AN3" s="77">
        <f>AM3*('Price and Financial Ratios'!AP4+1)*(1+Assumptions!$B$28)</f>
        <v>1159592492.6833456</v>
      </c>
      <c r="AO3" s="77">
        <f>AN3*('Price and Financial Ratios'!AQ4+1)*(1+Assumptions!$B$28)</f>
        <v>1174973378.184669</v>
      </c>
      <c r="AP3" s="77">
        <f>AO3*('Price and Financial Ratios'!AR4+1)*(1+Assumptions!$B$28)</f>
        <v>1190558276.4234822</v>
      </c>
      <c r="AQ3" s="77"/>
      <c r="AR3" s="77"/>
      <c r="AS3" s="77"/>
    </row>
    <row r="4" spans="1:45" x14ac:dyDescent="0.35">
      <c r="A4" t="s">
        <v>400</v>
      </c>
      <c r="C4" s="162"/>
      <c r="D4" s="162"/>
      <c r="E4" s="162"/>
      <c r="F4" s="77">
        <f>F25</f>
        <v>84647091.917681396</v>
      </c>
      <c r="G4" s="77">
        <f t="shared" ref="G4:AF4" si="1">G25</f>
        <v>88581815.472732812</v>
      </c>
      <c r="H4" s="77">
        <f t="shared" si="1"/>
        <v>89245995.110542074</v>
      </c>
      <c r="I4" s="77">
        <f t="shared" si="1"/>
        <v>89777980.479761243</v>
      </c>
      <c r="J4" s="77">
        <f t="shared" si="1"/>
        <v>90187941.775628954</v>
      </c>
      <c r="K4" s="77">
        <f t="shared" si="1"/>
        <v>76834457.794332579</v>
      </c>
      <c r="L4" s="77">
        <f t="shared" si="1"/>
        <v>76778116.119675696</v>
      </c>
      <c r="M4" s="77">
        <f t="shared" si="1"/>
        <v>78423034.275814891</v>
      </c>
      <c r="N4" s="77">
        <f t="shared" si="1"/>
        <v>80037082.019239545</v>
      </c>
      <c r="O4" s="77">
        <f t="shared" si="1"/>
        <v>81620535.302196681</v>
      </c>
      <c r="P4" s="77">
        <f t="shared" si="1"/>
        <v>84426268.734033957</v>
      </c>
      <c r="Q4" s="77">
        <f t="shared" si="1"/>
        <v>87157658.837003261</v>
      </c>
      <c r="R4" s="77">
        <f t="shared" si="1"/>
        <v>90332792.160369426</v>
      </c>
      <c r="S4" s="77">
        <f t="shared" si="1"/>
        <v>93483490.27931495</v>
      </c>
      <c r="T4" s="77">
        <f t="shared" si="1"/>
        <v>96609654.792638257</v>
      </c>
      <c r="U4" s="77">
        <f t="shared" si="1"/>
        <v>99711158.184696972</v>
      </c>
      <c r="V4" s="77">
        <f t="shared" si="1"/>
        <v>102787842.97945586</v>
      </c>
      <c r="W4" s="77">
        <f t="shared" si="1"/>
        <v>107483889.02296439</v>
      </c>
      <c r="X4" s="77">
        <f t="shared" si="1"/>
        <v>112321172.03565577</v>
      </c>
      <c r="Y4" s="77">
        <f t="shared" si="1"/>
        <v>117303524.50194176</v>
      </c>
      <c r="Z4" s="77">
        <f t="shared" si="1"/>
        <v>123589795.7217281</v>
      </c>
      <c r="AA4" s="77">
        <f t="shared" si="1"/>
        <v>130065997.31786203</v>
      </c>
      <c r="AB4" s="77">
        <f t="shared" si="1"/>
        <v>136737150.98407802</v>
      </c>
      <c r="AC4" s="77">
        <f t="shared" si="1"/>
        <v>143608407.25065729</v>
      </c>
      <c r="AD4" s="77">
        <f t="shared" si="1"/>
        <v>150685048.83408022</v>
      </c>
      <c r="AE4" s="77">
        <f t="shared" si="1"/>
        <v>157972494.07652199</v>
      </c>
      <c r="AF4" s="77">
        <f t="shared" si="1"/>
        <v>165476300.47768417</v>
      </c>
      <c r="AG4" s="77">
        <f t="shared" ref="AG4:AP4" si="2">AG25</f>
        <v>173202168.32152385</v>
      </c>
      <c r="AH4" s="77">
        <f t="shared" si="2"/>
        <v>181155944.40051663</v>
      </c>
      <c r="AI4" s="77">
        <f t="shared" si="2"/>
        <v>189343625.84016359</v>
      </c>
      <c r="AJ4" s="77">
        <f t="shared" si="2"/>
        <v>194215384.50152019</v>
      </c>
      <c r="AK4" s="77">
        <f t="shared" si="2"/>
        <v>199220215.27296007</v>
      </c>
      <c r="AL4" s="77">
        <f t="shared" si="2"/>
        <v>204361912.2846038</v>
      </c>
      <c r="AM4" s="77">
        <f t="shared" si="2"/>
        <v>209644380.84287256</v>
      </c>
      <c r="AN4" s="77">
        <f t="shared" si="2"/>
        <v>215071640.73912439</v>
      </c>
      <c r="AO4" s="77">
        <f t="shared" si="2"/>
        <v>220647829.6574856</v>
      </c>
      <c r="AP4" s="77">
        <f t="shared" si="2"/>
        <v>226377206.68485871</v>
      </c>
    </row>
    <row r="5" spans="1:45" x14ac:dyDescent="0.35">
      <c r="A5" t="s">
        <v>401</v>
      </c>
      <c r="C5" s="162"/>
      <c r="D5" s="162"/>
      <c r="E5" s="162"/>
      <c r="F5" s="77">
        <f>Depreciation!F6+Depreciation!F7</f>
        <v>66529570.650505967</v>
      </c>
      <c r="G5" s="77">
        <f>Depreciation!G6+Depreciation!G7</f>
        <v>71063598.560761809</v>
      </c>
      <c r="H5" s="77">
        <f>Depreciation!H6+Depreciation!H7</f>
        <v>75665468.146998525</v>
      </c>
      <c r="I5" s="77">
        <f>Depreciation!I6+Depreciation!I7</f>
        <v>80338721.71150744</v>
      </c>
      <c r="J5" s="77">
        <f>Depreciation!J6+Depreciation!J7</f>
        <v>85086945.212294415</v>
      </c>
      <c r="K5" s="77">
        <f>Depreciation!K6+Depreciation!K7</f>
        <v>89913770.619160116</v>
      </c>
      <c r="L5" s="77">
        <f>Depreciation!L6+Depreciation!L7</f>
        <v>94822878.280813515</v>
      </c>
      <c r="M5" s="77">
        <f>Depreciation!M6+Depreciation!M7</f>
        <v>99879077.087162808</v>
      </c>
      <c r="N5" s="77">
        <f>Depreciation!N6+Depreciation!N7</f>
        <v>105086529.61345688</v>
      </c>
      <c r="O5" s="77">
        <f>Depreciation!O6+Depreciation!O7</f>
        <v>110449510.41508275</v>
      </c>
      <c r="P5" s="77">
        <f>Depreciation!P6+Depreciation!P7</f>
        <v>119286528.58068885</v>
      </c>
      <c r="Q5" s="77">
        <f>Depreciation!Q6+Depreciation!Q7</f>
        <v>128385501.80146205</v>
      </c>
      <c r="R5" s="77">
        <f>Depreciation!R6+Depreciation!R7</f>
        <v>137791293.96250901</v>
      </c>
      <c r="S5" s="77">
        <f>Depreciation!S6+Depreciation!S7</f>
        <v>147512718.28736731</v>
      </c>
      <c r="T5" s="77">
        <f>Depreciation!T6+Depreciation!T7</f>
        <v>157558819.04773301</v>
      </c>
      <c r="U5" s="77">
        <f>Depreciation!U6+Depreciation!U7</f>
        <v>167938877.04365444</v>
      </c>
      <c r="V5" s="77">
        <f>Depreciation!V6+Depreciation!V7</f>
        <v>178662415.19353995</v>
      </c>
      <c r="W5" s="77">
        <f>Depreciation!W6+Depreciation!W7</f>
        <v>189861463.11802703</v>
      </c>
      <c r="X5" s="77">
        <f>Depreciation!X6+Depreciation!X7</f>
        <v>201554426.62824082</v>
      </c>
      <c r="Y5" s="77">
        <f>Depreciation!Y6+Depreciation!Y7</f>
        <v>213760374.54083458</v>
      </c>
      <c r="Z5" s="77">
        <f>Depreciation!Z6+Depreciation!Z7</f>
        <v>230294586.9574942</v>
      </c>
      <c r="AA5" s="77">
        <f>Depreciation!AA6+Depreciation!AA7</f>
        <v>247598493.83182526</v>
      </c>
      <c r="AB5" s="77">
        <f>Depreciation!AB6+Depreciation!AB7</f>
        <v>265702548.93449903</v>
      </c>
      <c r="AC5" s="77">
        <f>Depreciation!AC6+Depreciation!AC7</f>
        <v>284638316.59702951</v>
      </c>
      <c r="AD5" s="77">
        <f>Depreciation!AD6+Depreciation!AD7</f>
        <v>304438510.26044208</v>
      </c>
      <c r="AE5" s="77">
        <f>Depreciation!AE6+Depreciation!AE7</f>
        <v>325137032.31823581</v>
      </c>
      <c r="AF5" s="77">
        <f>Depreciation!AF6+Depreciation!AF7</f>
        <v>346769015.29606283</v>
      </c>
      <c r="AG5" s="77">
        <f>Depreciation!AG6+Depreciation!AG7</f>
        <v>369370864.41191465</v>
      </c>
      <c r="AH5" s="77">
        <f>Depreciation!AH6+Depreciation!AH7</f>
        <v>392980301.56201136</v>
      </c>
      <c r="AI5" s="77">
        <f>Depreciation!AI6+Depreciation!AI7</f>
        <v>417636410.77904487</v>
      </c>
      <c r="AJ5" s="77">
        <f>Depreciation!AJ6+Depreciation!AJ7</f>
        <v>430165503.10241628</v>
      </c>
      <c r="AK5" s="77">
        <f>Depreciation!AK6+Depreciation!AK7</f>
        <v>443070468.19548881</v>
      </c>
      <c r="AL5" s="77">
        <f>Depreciation!AL6+Depreciation!AL7</f>
        <v>456362582.24135345</v>
      </c>
      <c r="AM5" s="77">
        <f>Depreciation!AM6+Depreciation!AM7</f>
        <v>470053459.70859402</v>
      </c>
      <c r="AN5" s="77">
        <f>Depreciation!AN6+Depreciation!AN7</f>
        <v>484155063.49985182</v>
      </c>
      <c r="AO5" s="77">
        <f>Depreciation!AO6+Depreciation!AO7</f>
        <v>498679715.40484744</v>
      </c>
      <c r="AP5" s="77">
        <f>Depreciation!AP6+Depreciation!AP7</f>
        <v>513640106.86699289</v>
      </c>
    </row>
    <row r="6" spans="1:45" x14ac:dyDescent="0.35">
      <c r="A6" t="s">
        <v>402</v>
      </c>
      <c r="C6" s="162"/>
      <c r="D6" s="162"/>
      <c r="E6" s="162"/>
      <c r="F6" s="77">
        <f ca="1">'Debt worksheet'!F10</f>
        <v>29265814.968124345</v>
      </c>
      <c r="G6" s="77">
        <f ca="1">'Debt worksheet'!G10</f>
        <v>34909488.853481799</v>
      </c>
      <c r="H6" s="77">
        <f ca="1">'Debt worksheet'!H10</f>
        <v>39627003.585853308</v>
      </c>
      <c r="I6" s="77">
        <f ca="1">'Debt worksheet'!I10</f>
        <v>42702805.586878203</v>
      </c>
      <c r="J6" s="77">
        <f ca="1">'Debt worksheet'!J10</f>
        <v>45485086.961920694</v>
      </c>
      <c r="K6" s="77">
        <f ca="1">'Debt worksheet'!K10</f>
        <v>47961538.909672178</v>
      </c>
      <c r="L6" s="77">
        <f ca="1">'Debt worksheet'!L10</f>
        <v>50258604.9313071</v>
      </c>
      <c r="M6" s="77">
        <f ca="1">'Debt worksheet'!M10</f>
        <v>52494651.429582573</v>
      </c>
      <c r="N6" s="77">
        <f ca="1">'Debt worksheet'!N10</f>
        <v>54653475.773087583</v>
      </c>
      <c r="O6" s="77">
        <f ca="1">'Debt worksheet'!O10</f>
        <v>56717614.889394507</v>
      </c>
      <c r="P6" s="77">
        <f ca="1">'Debt worksheet'!P10</f>
        <v>64072006.304558717</v>
      </c>
      <c r="Q6" s="77">
        <f ca="1">'Debt worksheet'!Q10</f>
        <v>70728304.446772262</v>
      </c>
      <c r="R6" s="77">
        <f ca="1">'Debt worksheet'!R10</f>
        <v>76925303.117276594</v>
      </c>
      <c r="S6" s="77">
        <f ca="1">'Debt worksheet'!S10</f>
        <v>82716346.056648552</v>
      </c>
      <c r="T6" s="77">
        <f ca="1">'Debt worksheet'!T10</f>
        <v>88189215.12245965</v>
      </c>
      <c r="U6" s="77">
        <f ca="1">'Debt worksheet'!U10</f>
        <v>93467465.626168534</v>
      </c>
      <c r="V6" s="77">
        <f ca="1">'Debt worksheet'!V10</f>
        <v>98495524.019046918</v>
      </c>
      <c r="W6" s="77">
        <f ca="1">'Debt worksheet'!W10</f>
        <v>103633845.73188081</v>
      </c>
      <c r="X6" s="77">
        <f ca="1">'Debt worksheet'!X10</f>
        <v>108749453.10273135</v>
      </c>
      <c r="Y6" s="77">
        <f ca="1">'Debt worksheet'!Y10</f>
        <v>113808532.8257996</v>
      </c>
      <c r="Z6" s="77">
        <f ca="1">'Debt worksheet'!Z10</f>
        <v>125040166.83615242</v>
      </c>
      <c r="AA6" s="77">
        <f ca="1">'Debt worksheet'!AA10</f>
        <v>135912876.22067797</v>
      </c>
      <c r="AB6" s="77">
        <f ca="1">'Debt worksheet'!AB10</f>
        <v>146576221.01070434</v>
      </c>
      <c r="AC6" s="77">
        <f ca="1">'Debt worksheet'!AC10</f>
        <v>156907753.57531342</v>
      </c>
      <c r="AD6" s="77">
        <f ca="1">'Debt worksheet'!AD10</f>
        <v>167129967.55853331</v>
      </c>
      <c r="AE6" s="77">
        <f ca="1">'Debt worksheet'!AE10</f>
        <v>177152472.10106185</v>
      </c>
      <c r="AF6" s="77">
        <f ca="1">'Debt worksheet'!AF10</f>
        <v>187282264.9499155</v>
      </c>
      <c r="AG6" s="77">
        <f ca="1">'Debt worksheet'!AG10</f>
        <v>198763944.2233091</v>
      </c>
      <c r="AH6" s="77">
        <f ca="1">'Debt worksheet'!AH10</f>
        <v>210378662.27157745</v>
      </c>
      <c r="AI6" s="77">
        <f ca="1">'Debt worksheet'!AI10</f>
        <v>221610339.10242262</v>
      </c>
      <c r="AJ6" s="77">
        <f ca="1">'Debt worksheet'!AJ10</f>
        <v>209208479.06512088</v>
      </c>
      <c r="AK6" s="77">
        <f ca="1">'Debt worksheet'!AK10</f>
        <v>196337014.00976592</v>
      </c>
      <c r="AL6" s="77">
        <f ca="1">'Debt worksheet'!AL10</f>
        <v>182986947.11867362</v>
      </c>
      <c r="AM6" s="77">
        <f ca="1">'Debt worksheet'!AM10</f>
        <v>169149351.48351693</v>
      </c>
      <c r="AN6" s="77">
        <f ca="1">'Debt worksheet'!AN10</f>
        <v>154815388.56157297</v>
      </c>
      <c r="AO6" s="77">
        <f ca="1">'Debt worksheet'!AO10</f>
        <v>139976327.92476103</v>
      </c>
      <c r="AP6" s="77">
        <f ca="1">'Debt worksheet'!AP10</f>
        <v>124623568.37322688</v>
      </c>
    </row>
    <row r="7" spans="1:45" x14ac:dyDescent="0.35">
      <c r="A7" t="s">
        <v>403</v>
      </c>
      <c r="C7" s="162"/>
      <c r="D7" s="162"/>
      <c r="E7" s="162"/>
      <c r="F7" s="77">
        <f t="shared" ref="F7:AP7" ca="1" si="3">F3-F4-F5-F6</f>
        <v>10912989.973071225</v>
      </c>
      <c r="G7" s="77">
        <f t="shared" ca="1" si="3"/>
        <v>18728073.385709733</v>
      </c>
      <c r="H7" s="77">
        <f t="shared" ca="1" si="3"/>
        <v>26701342.117192119</v>
      </c>
      <c r="I7" s="77">
        <f t="shared" ca="1" si="3"/>
        <v>30859755.470211603</v>
      </c>
      <c r="J7" s="77">
        <f t="shared" ca="1" si="3"/>
        <v>34793361.943503886</v>
      </c>
      <c r="K7" s="77">
        <f t="shared" ca="1" si="3"/>
        <v>39054379.055889569</v>
      </c>
      <c r="L7" s="77">
        <f t="shared" ca="1" si="3"/>
        <v>40413087.477378495</v>
      </c>
      <c r="M7" s="77">
        <f t="shared" ca="1" si="3"/>
        <v>41598507.476445027</v>
      </c>
      <c r="N7" s="77">
        <f t="shared" ca="1" si="3"/>
        <v>43131453.958687253</v>
      </c>
      <c r="O7" s="77">
        <f t="shared" ca="1" si="3"/>
        <v>45039918.330109909</v>
      </c>
      <c r="P7" s="77">
        <f t="shared" ca="1" si="3"/>
        <v>59712609.244356714</v>
      </c>
      <c r="Q7" s="77">
        <f t="shared" ca="1" si="3"/>
        <v>75435609.532902434</v>
      </c>
      <c r="R7" s="77">
        <f t="shared" ca="1" si="3"/>
        <v>87110717.938087448</v>
      </c>
      <c r="S7" s="77">
        <f t="shared" ca="1" si="3"/>
        <v>97490885.514053971</v>
      </c>
      <c r="T7" s="77">
        <f t="shared" ca="1" si="3"/>
        <v>105772127.06141847</v>
      </c>
      <c r="U7" s="77">
        <f t="shared" ca="1" si="3"/>
        <v>111119281.81391867</v>
      </c>
      <c r="V7" s="77">
        <f t="shared" ca="1" si="3"/>
        <v>117694791.87984766</v>
      </c>
      <c r="W7" s="77">
        <f t="shared" ca="1" si="3"/>
        <v>120910548.03602186</v>
      </c>
      <c r="X7" s="77">
        <f t="shared" ca="1" si="3"/>
        <v>127339547.1127485</v>
      </c>
      <c r="Y7" s="77">
        <f t="shared" ca="1" si="3"/>
        <v>134677295.61994576</v>
      </c>
      <c r="Z7" s="77">
        <f t="shared" ca="1" si="3"/>
        <v>155291302.91915411</v>
      </c>
      <c r="AA7" s="77">
        <f t="shared" ca="1" si="3"/>
        <v>174034720.19368565</v>
      </c>
      <c r="AB7" s="77">
        <f t="shared" ca="1" si="3"/>
        <v>189520639.67602342</v>
      </c>
      <c r="AC7" s="77">
        <f t="shared" ca="1" si="3"/>
        <v>208078016.90819606</v>
      </c>
      <c r="AD7" s="77">
        <f t="shared" ca="1" si="3"/>
        <v>221688136.39022511</v>
      </c>
      <c r="AE7" s="77">
        <f t="shared" ca="1" si="3"/>
        <v>237630530.75661877</v>
      </c>
      <c r="AF7" s="77">
        <f t="shared" ca="1" si="3"/>
        <v>246666722.8779836</v>
      </c>
      <c r="AG7" s="77">
        <f t="shared" ca="1" si="3"/>
        <v>226995135.90193951</v>
      </c>
      <c r="AH7" s="77">
        <f t="shared" ca="1" si="3"/>
        <v>235908248.58207288</v>
      </c>
      <c r="AI7" s="77">
        <f t="shared" ca="1" si="3"/>
        <v>257065623.15094492</v>
      </c>
      <c r="AJ7" s="77">
        <f t="shared" ca="1" si="3"/>
        <v>266466820.81964499</v>
      </c>
      <c r="AK7" s="77">
        <f t="shared" ca="1" si="3"/>
        <v>276019683.35775822</v>
      </c>
      <c r="AL7" s="77">
        <f t="shared" ca="1" si="3"/>
        <v>285720670.76485872</v>
      </c>
      <c r="AM7" s="77">
        <f t="shared" ca="1" si="3"/>
        <v>295565757.2737599</v>
      </c>
      <c r="AN7" s="77">
        <f t="shared" ca="1" si="3"/>
        <v>305550399.88279635</v>
      </c>
      <c r="AO7" s="77">
        <f t="shared" ca="1" si="3"/>
        <v>315669505.19757497</v>
      </c>
      <c r="AP7" s="77">
        <f t="shared" ca="1" si="3"/>
        <v>325917394.49840373</v>
      </c>
    </row>
    <row r="10" spans="1:45" x14ac:dyDescent="0.35">
      <c r="A10" t="s">
        <v>404</v>
      </c>
      <c r="C10" s="155"/>
      <c r="D10" s="155"/>
      <c r="E10" s="155"/>
      <c r="F10" s="38">
        <f>Assumptions!$E$102*Assumptions!F21*Assumptions!F29</f>
        <v>70889608.863777161</v>
      </c>
      <c r="G10" s="38">
        <f>Assumptions!$E$102*Assumptions!G21*Assumptions!G29</f>
        <v>73266489.568555281</v>
      </c>
      <c r="H10" s="38">
        <f>Assumptions!$E$102*Assumptions!H21*Assumptions!H29</f>
        <v>75723065.477966309</v>
      </c>
      <c r="I10" s="38">
        <f>Assumptions!$E$102*Assumptions!I21*Assumptions!I29</f>
        <v>78262008.718393683</v>
      </c>
      <c r="J10" s="38">
        <f>Assumptions!$E$102*Assumptions!J21*Assumptions!J29</f>
        <v>80886081.010813653</v>
      </c>
      <c r="K10" s="38">
        <f>Assumptions!$E$102*Assumptions!K21*Assumptions!K29</f>
        <v>83598136.674841478</v>
      </c>
      <c r="L10" s="38">
        <f>Assumptions!$E$102*Assumptions!L21*Assumptions!L29</f>
        <v>86401125.733501211</v>
      </c>
      <c r="M10" s="38">
        <f>Assumptions!$E$102*Assumptions!M21*Assumptions!M29</f>
        <v>89298097.122096404</v>
      </c>
      <c r="N10" s="38">
        <f>Assumptions!$E$102*Assumptions!N21*Assumptions!N29</f>
        <v>92292202.004672065</v>
      </c>
      <c r="O10" s="38">
        <f>Assumptions!$E$102*Assumptions!O21*Assumptions!O29</f>
        <v>95386697.201675206</v>
      </c>
      <c r="P10" s="38">
        <f>Assumptions!$E$102*Assumptions!P21*Assumptions!P29</f>
        <v>98584948.732542723</v>
      </c>
      <c r="Q10" s="38">
        <f>Assumptions!$E$102*Assumptions!Q21*Assumptions!Q29</f>
        <v>101890435.47706975</v>
      </c>
      <c r="R10" s="38">
        <f>Assumptions!$E$102*Assumptions!R21*Assumptions!R29</f>
        <v>105306752.95954123</v>
      </c>
      <c r="S10" s="38">
        <f>Assumptions!$E$102*Assumptions!S21*Assumptions!S29</f>
        <v>108837617.25974289</v>
      </c>
      <c r="T10" s="38">
        <f>Assumptions!$E$102*Assumptions!T21*Assumptions!T29</f>
        <v>112486869.05510572</v>
      </c>
      <c r="U10" s="38">
        <f>Assumptions!$E$102*Assumptions!U21*Assumptions!U29</f>
        <v>116258477.79838096</v>
      </c>
      <c r="V10" s="38">
        <f>Assumptions!$E$102*Assumptions!V21*Assumptions!V29</f>
        <v>120156546.03538945</v>
      </c>
      <c r="W10" s="38">
        <f>Assumptions!$E$102*Assumptions!W21*Assumptions!W29</f>
        <v>124185313.86754255</v>
      </c>
      <c r="X10" s="38">
        <f>Assumptions!$E$102*Assumptions!X21*Assumptions!X29</f>
        <v>128349163.56398804</v>
      </c>
      <c r="Y10" s="38">
        <f>Assumptions!$E$102*Assumptions!Y21*Assumptions!Y29</f>
        <v>132652624.3283983</v>
      </c>
      <c r="Z10" s="38">
        <f>Assumptions!$E$102*Assumptions!Z21*Assumptions!Z29</f>
        <v>137100377.22558576</v>
      </c>
      <c r="AA10" s="38">
        <f>Assumptions!$E$102*Assumptions!AA21*Assumptions!AA29</f>
        <v>141697260.27330434</v>
      </c>
      <c r="AB10" s="38">
        <f>Assumptions!$E$102*Assumptions!AB21*Assumptions!AB29</f>
        <v>146448273.70477548</v>
      </c>
      <c r="AC10" s="38">
        <f>Assumptions!$E$102*Assumptions!AC21*Assumptions!AC29</f>
        <v>151358585.40766332</v>
      </c>
      <c r="AD10" s="38">
        <f>Assumptions!$E$102*Assumptions!AD21*Assumptions!AD29</f>
        <v>156433536.54541484</v>
      </c>
      <c r="AE10" s="38">
        <f>Assumptions!$E$102*Assumptions!AE21*Assumptions!AE29</f>
        <v>161678647.36707988</v>
      </c>
      <c r="AF10" s="38">
        <f>Assumptions!$E$102*Assumptions!AF21*Assumptions!AF29</f>
        <v>167099623.21193042</v>
      </c>
      <c r="AG10" s="38">
        <f>Assumptions!$E$102*Assumptions!AG21*Assumptions!AG29</f>
        <v>172702360.71541068</v>
      </c>
      <c r="AH10" s="38">
        <f>Assumptions!$E$102*Assumptions!AH21*Assumptions!AH29</f>
        <v>178492954.22316867</v>
      </c>
      <c r="AI10" s="38">
        <f>Assumptions!$E$102*Assumptions!AI21*Assumptions!AI29</f>
        <v>184477702.42014566</v>
      </c>
      <c r="AJ10" s="38">
        <f>Assumptions!$E$102*Assumptions!AJ21*Assumptions!AJ29</f>
        <v>190663115.18193474</v>
      </c>
      <c r="AK10" s="38">
        <f>Assumptions!$E$102*Assumptions!AK21*Assumptions!AK29</f>
        <v>197055920.65586075</v>
      </c>
      <c r="AL10" s="38">
        <f>Assumptions!$E$102*Assumptions!AL21*Assumptions!AL29</f>
        <v>203663072.57948402</v>
      </c>
      <c r="AM10" s="38">
        <f>Assumptions!$E$102*Assumptions!AM21*Assumptions!AM29</f>
        <v>210491757.84448844</v>
      </c>
      <c r="AN10" s="38">
        <f>Assumptions!$E$102*Assumptions!AN21*Assumptions!AN29</f>
        <v>217549404.31418198</v>
      </c>
      <c r="AO10" s="38">
        <f>Assumptions!$E$102*Assumptions!AO21*Assumptions!AO29</f>
        <v>224843688.90311235</v>
      </c>
      <c r="AP10" s="38">
        <f>Assumptions!$E$102*Assumptions!AP21*Assumptions!AP29</f>
        <v>232382545.92758694</v>
      </c>
    </row>
    <row r="11" spans="1:45" x14ac:dyDescent="0.35">
      <c r="A11" t="s">
        <v>405</v>
      </c>
      <c r="C11" s="156"/>
      <c r="D11" s="156"/>
      <c r="E11" s="156"/>
      <c r="F11" s="38">
        <f>Assumptions!F94*Assumptions!F23</f>
        <v>12489878.912825277</v>
      </c>
      <c r="G11" s="38">
        <f>Assumptions!G94*Assumptions!G23</f>
        <v>12739676.491081784</v>
      </c>
      <c r="H11" s="38">
        <f>Assumptions!H94*Assumptions!H23</f>
        <v>12994470.02090342</v>
      </c>
      <c r="I11" s="38">
        <f>Assumptions!I94*Assumptions!I23</f>
        <v>13254359.421321487</v>
      </c>
      <c r="J11" s="38">
        <f>Assumptions!J94*Assumptions!J23</f>
        <v>13519446.609747918</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1410727.2344195005</v>
      </c>
      <c r="G12" s="38">
        <f>Assumptions!G293*Assumptions!G23</f>
        <v>2875454.6718338323</v>
      </c>
      <c r="H12" s="38">
        <f>Assumptions!H293*Assumptions!H23</f>
        <v>4317317.1696137423</v>
      </c>
      <c r="I12" s="38">
        <f>Assumptions!I293*Assumptions!I23</f>
        <v>5737571.2947972203</v>
      </c>
      <c r="J12" s="38">
        <f>Assumptions!J293*Assumptions!J23</f>
        <v>7137427.8471769569</v>
      </c>
      <c r="K12" s="38">
        <f>Assumptions!K293*Assumptions!K23</f>
        <v>8518053.4757487979</v>
      </c>
      <c r="L12" s="38">
        <f>Assumptions!L293*Assumptions!L23</f>
        <v>9880572.2257717829</v>
      </c>
      <c r="M12" s="38">
        <f>Assumptions!M293*Assumptions!M23</f>
        <v>11258669.808909252</v>
      </c>
      <c r="N12" s="38">
        <f>Assumptions!N293*Assumptions!N23</f>
        <v>12652639.825093804</v>
      </c>
      <c r="O12" s="38">
        <f>Assumptions!O293*Assumptions!O23</f>
        <v>14062777.727979802</v>
      </c>
      <c r="P12" s="38">
        <f>Assumptions!P293*Assumptions!P23</f>
        <v>17207402.055562247</v>
      </c>
      <c r="Q12" s="38">
        <f>Assumptions!Q293*Assumptions!Q23</f>
        <v>20385499.265913125</v>
      </c>
      <c r="R12" s="38">
        <f>Assumptions!R293*Assumptions!R23</f>
        <v>23616852.795587424</v>
      </c>
      <c r="S12" s="38">
        <f>Assumptions!S293*Assumptions!S23</f>
        <v>26902263.734077606</v>
      </c>
      <c r="T12" s="38">
        <f>Assumptions!T293*Assumptions!T23</f>
        <v>30242540.577758871</v>
      </c>
      <c r="U12" s="38">
        <f>Assumptions!U293*Assumptions!U23</f>
        <v>33638499.157957383</v>
      </c>
      <c r="V12" s="38">
        <f>Assumptions!V293*Assumptions!V23</f>
        <v>37090962.562321521</v>
      </c>
      <c r="W12" s="38">
        <f>Assumptions!W293*Assumptions!W23</f>
        <v>40659955.55445303</v>
      </c>
      <c r="X12" s="38">
        <f>Assumptions!X293*Assumptions!X23</f>
        <v>44348610.030837409</v>
      </c>
      <c r="Y12" s="38">
        <f>Assumptions!Y293*Assumptions!Y23</f>
        <v>48160133.841286071</v>
      </c>
      <c r="Z12" s="38">
        <f>Assumptions!Z293*Assumptions!Z23</f>
        <v>53882498.128755212</v>
      </c>
      <c r="AA12" s="38">
        <f>Assumptions!AA293*Assumptions!AA23</f>
        <v>59800535.78429652</v>
      </c>
      <c r="AB12" s="38">
        <f>Assumptions!AB293*Assumptions!AB23</f>
        <v>65919529.684314132</v>
      </c>
      <c r="AC12" s="38">
        <f>Assumptions!AC293*Assumptions!AC23</f>
        <v>72244891.087903112</v>
      </c>
      <c r="AD12" s="38">
        <f>Assumptions!AD293*Assumptions!AD23</f>
        <v>78782162.573774725</v>
      </c>
      <c r="AE12" s="38">
        <f>Assumptions!AE293*Assumptions!AE23</f>
        <v>85537021.041747525</v>
      </c>
      <c r="AF12" s="38">
        <f>Assumptions!AF293*Assumptions!AF23</f>
        <v>92515280.780184031</v>
      </c>
      <c r="AG12" s="38">
        <f>Assumptions!AG293*Assumptions!AG23</f>
        <v>99722896.600781024</v>
      </c>
      <c r="AH12" s="38">
        <f>Assumptions!AH293*Assumptions!AH23</f>
        <v>107165967.04215111</v>
      </c>
      <c r="AI12" s="38">
        <f>Assumptions!AI293*Assumptions!AI23</f>
        <v>114850737.64366335</v>
      </c>
      <c r="AJ12" s="38">
        <f>Assumptions!AJ293*Assumptions!AJ23</f>
        <v>117147752.39653662</v>
      </c>
      <c r="AK12" s="38">
        <f>Assumptions!AK293*Assumptions!AK23</f>
        <v>119490707.44446735</v>
      </c>
      <c r="AL12" s="38">
        <f>Assumptions!AL293*Assumptions!AL23</f>
        <v>121880521.5933567</v>
      </c>
      <c r="AM12" s="38">
        <f>Assumptions!AM293*Assumptions!AM23</f>
        <v>124318132.02522384</v>
      </c>
      <c r="AN12" s="38">
        <f>Assumptions!AN293*Assumptions!AN23</f>
        <v>126804494.66572832</v>
      </c>
      <c r="AO12" s="38">
        <f>Assumptions!AO293*Assumptions!AO23</f>
        <v>129340584.55904289</v>
      </c>
      <c r="AP12" s="38">
        <f>Assumptions!AP293*Assumptions!AP23</f>
        <v>131927396.25022376</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0.95853926576494963</v>
      </c>
      <c r="I14" s="45">
        <f>Assumptions!I232</f>
        <v>0.91879752401320869</v>
      </c>
      <c r="J14" s="45">
        <f>Assumptions!J232</f>
        <v>0.88070350405427478</v>
      </c>
      <c r="K14" s="45">
        <f>Assumptions!K232</f>
        <v>0.84418889013280285</v>
      </c>
      <c r="L14" s="45">
        <f>Assumptions!L232</f>
        <v>0.80918819891482463</v>
      </c>
      <c r="M14" s="45">
        <f>Assumptions!M232</f>
        <v>0.79331241029244381</v>
      </c>
      <c r="N14" s="45">
        <f>Assumptions!N232</f>
        <v>0.77774809515017618</v>
      </c>
      <c r="O14" s="45">
        <f>Assumptions!O232</f>
        <v>0.76248914256458222</v>
      </c>
      <c r="P14" s="45">
        <f>Assumptions!P232</f>
        <v>0.74752956150488625</v>
      </c>
      <c r="Q14" s="45">
        <f>Assumptions!Q232</f>
        <v>0.73286347848075439</v>
      </c>
      <c r="R14" s="45">
        <f>Assumptions!R232</f>
        <v>0.72239184331169615</v>
      </c>
      <c r="S14" s="45">
        <f>Assumptions!S232</f>
        <v>0.71206983375004451</v>
      </c>
      <c r="T14" s="45">
        <f>Assumptions!T232</f>
        <v>0.70189531184675624</v>
      </c>
      <c r="U14" s="45">
        <f>Assumptions!U232</f>
        <v>0.69186617020120944</v>
      </c>
      <c r="V14" s="45">
        <f>Assumptions!V232</f>
        <v>0.68198033152470772</v>
      </c>
      <c r="W14" s="45">
        <f>Assumptions!W232</f>
        <v>0.68198033152470772</v>
      </c>
      <c r="X14" s="45">
        <f>Assumptions!X232</f>
        <v>0.68198033152470772</v>
      </c>
      <c r="Y14" s="45">
        <f>Assumptions!Y232</f>
        <v>0.68198033152470772</v>
      </c>
      <c r="Z14" s="45">
        <f>Assumptions!Z232</f>
        <v>0.68198033152470772</v>
      </c>
      <c r="AA14" s="45">
        <f>Assumptions!AA232</f>
        <v>0.68198033152470772</v>
      </c>
      <c r="AB14" s="45">
        <f>Assumptions!AB232</f>
        <v>0.68198033152470772</v>
      </c>
      <c r="AC14" s="45">
        <f>Assumptions!AC232</f>
        <v>0.68198033152470772</v>
      </c>
      <c r="AD14" s="45">
        <f>Assumptions!AD232</f>
        <v>0.68198033152470772</v>
      </c>
      <c r="AE14" s="45">
        <f>Assumptions!AE232</f>
        <v>0.68198033152470772</v>
      </c>
      <c r="AF14" s="45">
        <f>Assumptions!AF232</f>
        <v>0.68198033152470772</v>
      </c>
      <c r="AG14" s="45">
        <f>Assumptions!AG232</f>
        <v>0.68198033152470772</v>
      </c>
      <c r="AH14" s="45">
        <f>Assumptions!AH232</f>
        <v>0.68198033152470772</v>
      </c>
      <c r="AI14" s="45">
        <f>Assumptions!AI232</f>
        <v>0.68198033152470772</v>
      </c>
      <c r="AJ14" s="45">
        <f>Assumptions!AJ232</f>
        <v>0.68198033152470772</v>
      </c>
      <c r="AK14" s="45">
        <f>Assumptions!AK232</f>
        <v>0.68198033152470772</v>
      </c>
      <c r="AL14" s="45">
        <f>Assumptions!AL232</f>
        <v>0.68198033152470772</v>
      </c>
      <c r="AM14" s="45">
        <f>Assumptions!AM232</f>
        <v>0.68198033152470772</v>
      </c>
      <c r="AN14" s="45">
        <f>Assumptions!AN232</f>
        <v>0.68198033152470772</v>
      </c>
      <c r="AO14" s="45">
        <f>Assumptions!AO232</f>
        <v>0.68198033152470772</v>
      </c>
      <c r="AP14" s="45">
        <f>Assumptions!AP232</f>
        <v>0.68198033152470772</v>
      </c>
    </row>
    <row r="15" spans="1:45" x14ac:dyDescent="0.35">
      <c r="A15" t="s">
        <v>393</v>
      </c>
      <c r="C15" s="45">
        <f>Assumptions!C235</f>
        <v>1</v>
      </c>
      <c r="D15" s="45">
        <f>Assumptions!D235</f>
        <v>1</v>
      </c>
      <c r="E15" s="45">
        <f>Assumptions!E235</f>
        <v>1</v>
      </c>
      <c r="F15" s="45">
        <f>Assumptions!F235</f>
        <v>0.99831203290000003</v>
      </c>
      <c r="G15" s="45">
        <f>Assumptions!G235</f>
        <v>0.99662691503293077</v>
      </c>
      <c r="H15" s="45">
        <f>Assumptions!H235</f>
        <v>0.99494464158938067</v>
      </c>
      <c r="I15" s="45">
        <f>Assumptions!I235</f>
        <v>0.99326520776805649</v>
      </c>
      <c r="J15" s="45">
        <f>Assumptions!J235</f>
        <v>0.99158860877576938</v>
      </c>
      <c r="K15" s="45">
        <f>Assumptions!K235</f>
        <v>0.98991483982742112</v>
      </c>
      <c r="L15" s="45">
        <f>Assumptions!L235</f>
        <v>0.98824389614599073</v>
      </c>
      <c r="M15" s="45">
        <f>Assumptions!M235</f>
        <v>0.98657577296252053</v>
      </c>
      <c r="N15" s="45">
        <f>Assumptions!N235</f>
        <v>0.98491046551610273</v>
      </c>
      <c r="O15" s="45">
        <f>Assumptions!O235</f>
        <v>0.98324796905386591</v>
      </c>
      <c r="P15" s="45">
        <f>Assumptions!P235</f>
        <v>0.98158827883096123</v>
      </c>
      <c r="Q15" s="45">
        <f>Assumptions!Q235</f>
        <v>0.97993139011054897</v>
      </c>
      <c r="R15" s="45">
        <f>Assumptions!R235</f>
        <v>0.97827729816378517</v>
      </c>
      <c r="S15" s="45">
        <f>Assumptions!S235</f>
        <v>0.97662599826980789</v>
      </c>
      <c r="T15" s="45">
        <f>Assumptions!T235</f>
        <v>0.97497748571572385</v>
      </c>
      <c r="U15" s="45">
        <f>Assumptions!U235</f>
        <v>0.97333175579659503</v>
      </c>
      <c r="V15" s="45">
        <f>Assumptions!V235</f>
        <v>0.97168880381542522</v>
      </c>
      <c r="W15" s="45">
        <f>Assumptions!W235</f>
        <v>0.97004862508314649</v>
      </c>
      <c r="X15" s="45">
        <f>Assumptions!X235</f>
        <v>0.96841121491860593</v>
      </c>
      <c r="Y15" s="45">
        <f>Assumptions!Y235</f>
        <v>0.96677656864855233</v>
      </c>
      <c r="Z15" s="45">
        <f>Assumptions!Z235</f>
        <v>0.96514468160762268</v>
      </c>
      <c r="AA15" s="45">
        <f>Assumptions!AA235</f>
        <v>0.96351554913832904</v>
      </c>
      <c r="AB15" s="45">
        <f>Assumptions!AB235</f>
        <v>0.96188916659104517</v>
      </c>
      <c r="AC15" s="45">
        <f>Assumptions!AC235</f>
        <v>0.96026552932399312</v>
      </c>
      <c r="AD15" s="45">
        <f>Assumptions!AD235</f>
        <v>0.95864463270323019</v>
      </c>
      <c r="AE15" s="45">
        <f>Assumptions!AE235</f>
        <v>0.95702647210263558</v>
      </c>
      <c r="AF15" s="45">
        <f>Assumptions!AF235</f>
        <v>0.95541104290389733</v>
      </c>
      <c r="AG15" s="45">
        <f>Assumptions!AG235</f>
        <v>0.95379834049649892</v>
      </c>
      <c r="AH15" s="45">
        <f>Assumptions!AH235</f>
        <v>0.95218836027770626</v>
      </c>
      <c r="AI15" s="45">
        <f>Assumptions!AI235</f>
        <v>0.95058109765255461</v>
      </c>
      <c r="AJ15" s="45">
        <f>Assumptions!AJ235</f>
        <v>0.94897654803383524</v>
      </c>
      <c r="AK15" s="45">
        <f>Assumptions!AK235</f>
        <v>0.94737470684208258</v>
      </c>
      <c r="AL15" s="45">
        <f>Assumptions!AL235</f>
        <v>0.94577556950556108</v>
      </c>
      <c r="AM15" s="45">
        <f>Assumptions!AM235</f>
        <v>0.94417913146025201</v>
      </c>
      <c r="AN15" s="45">
        <f>Assumptions!AN235</f>
        <v>0.94258538814984061</v>
      </c>
      <c r="AO15" s="45">
        <f>Assumptions!AO235</f>
        <v>0.94099433502570295</v>
      </c>
      <c r="AP15" s="45">
        <f>Assumptions!AP235</f>
        <v>0.93940596754689321</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-3139533.8932452798</v>
      </c>
      <c r="I17" s="39">
        <f t="shared" si="4"/>
        <v>-6355068.8836334199</v>
      </c>
      <c r="J17" s="39">
        <f t="shared" si="4"/>
        <v>-9649426.035372138</v>
      </c>
      <c r="K17" s="39">
        <f t="shared" si="4"/>
        <v>-13025518.458136693</v>
      </c>
      <c r="L17" s="39">
        <f t="shared" si="4"/>
        <v>-16486354.416996062</v>
      </c>
      <c r="M17" s="39">
        <f t="shared" si="4"/>
        <v>-18456808.459637359</v>
      </c>
      <c r="N17" s="39">
        <f t="shared" si="4"/>
        <v>-20512117.698323101</v>
      </c>
      <c r="O17" s="39">
        <f t="shared" si="4"/>
        <v>-22655376.240302444</v>
      </c>
      <c r="P17" s="39">
        <f t="shared" si="4"/>
        <v>-24889785.235523373</v>
      </c>
      <c r="Q17" s="39">
        <f t="shared" si="4"/>
        <v>-27218656.509425551</v>
      </c>
      <c r="R17" s="39">
        <f t="shared" si="4"/>
        <v>-29234013.575928822</v>
      </c>
      <c r="S17" s="39">
        <f t="shared" si="4"/>
        <v>-31337633.231846794</v>
      </c>
      <c r="T17" s="39">
        <f t="shared" si="4"/>
        <v>-33532863.021007061</v>
      </c>
      <c r="U17" s="39">
        <f t="shared" si="4"/>
        <v>-35823170.010592788</v>
      </c>
      <c r="V17" s="39">
        <f t="shared" si="4"/>
        <v>-38212144.935310751</v>
      </c>
      <c r="W17" s="39">
        <f t="shared" si="4"/>
        <v>-39493372.345655993</v>
      </c>
      <c r="X17" s="39">
        <f t="shared" si="4"/>
        <v>-40817558.445700541</v>
      </c>
      <c r="Y17" s="39">
        <f t="shared" si="4"/>
        <v>-42186143.611294717</v>
      </c>
      <c r="Z17" s="39">
        <f t="shared" si="4"/>
        <v>-43600616.513118297</v>
      </c>
      <c r="AA17" s="39">
        <f t="shared" si="4"/>
        <v>-45062515.735973448</v>
      </c>
      <c r="AB17" s="39">
        <f t="shared" si="4"/>
        <v>-46573431.452371567</v>
      </c>
      <c r="AC17" s="39">
        <f t="shared" si="4"/>
        <v>-48135007.152234301</v>
      </c>
      <c r="AD17" s="39">
        <f t="shared" si="4"/>
        <v>-49748941.430590346</v>
      </c>
      <c r="AE17" s="39">
        <f t="shared" si="4"/>
        <v>-51416989.835212439</v>
      </c>
      <c r="AF17" s="39">
        <f t="shared" si="4"/>
        <v>-53140966.776204363</v>
      </c>
      <c r="AG17" s="39">
        <f t="shared" si="4"/>
        <v>-54922747.499615252</v>
      </c>
      <c r="AH17" s="39">
        <f t="shared" si="4"/>
        <v>-56764270.127227619</v>
      </c>
      <c r="AI17" s="39">
        <f t="shared" si="4"/>
        <v>-58667537.764738351</v>
      </c>
      <c r="AJ17" s="39">
        <f t="shared" si="4"/>
        <v>-60634620.680625349</v>
      </c>
      <c r="AK17" s="39">
        <f t="shared" si="4"/>
        <v>-62667658.558070332</v>
      </c>
      <c r="AL17" s="39">
        <f t="shared" si="4"/>
        <v>-64768862.822386891</v>
      </c>
      <c r="AM17" s="39">
        <f t="shared" si="4"/>
        <v>-66940519.046485722</v>
      </c>
      <c r="AN17" s="39">
        <f t="shared" si="4"/>
        <v>-69184989.43699348</v>
      </c>
      <c r="AO17" s="39">
        <f t="shared" si="4"/>
        <v>-71504715.403729558</v>
      </c>
      <c r="AP17" s="39">
        <f t="shared" si="4"/>
        <v>-73902220.215335578</v>
      </c>
    </row>
    <row r="18" spans="1:42" x14ac:dyDescent="0.35">
      <c r="A18" t="s">
        <v>409</v>
      </c>
      <c r="C18" s="163"/>
      <c r="D18" s="163"/>
      <c r="E18" s="163"/>
      <c r="F18" s="39">
        <f>(F10*F15)-F10</f>
        <v>-119659.32749392092</v>
      </c>
      <c r="G18" s="39">
        <f t="shared" ref="G18:AP18" si="5">(G10*G15)-G10</f>
        <v>-247134.09455363452</v>
      </c>
      <c r="H18" s="39">
        <f t="shared" si="5"/>
        <v>-382807.2359419167</v>
      </c>
      <c r="I18" s="39">
        <f t="shared" si="5"/>
        <v>-527078.36837293208</v>
      </c>
      <c r="J18" s="39">
        <f t="shared" si="5"/>
        <v>-680364.47197677195</v>
      </c>
      <c r="K18" s="39">
        <f t="shared" si="5"/>
        <v>-843100.59849491715</v>
      </c>
      <c r="L18" s="39">
        <f t="shared" si="5"/>
        <v>-1015740.6072263569</v>
      </c>
      <c r="M18" s="39">
        <f t="shared" si="5"/>
        <v>-1198757.9297819138</v>
      </c>
      <c r="N18" s="39">
        <f t="shared" si="5"/>
        <v>-1392646.3647443056</v>
      </c>
      <c r="O18" s="39">
        <f t="shared" si="5"/>
        <v>-1597920.9033719897</v>
      </c>
      <c r="P18" s="39">
        <f t="shared" si="5"/>
        <v>-1815118.5875275582</v>
      </c>
      <c r="Q18" s="39">
        <f t="shared" si="5"/>
        <v>-2044799.4010555893</v>
      </c>
      <c r="R18" s="39">
        <f t="shared" si="5"/>
        <v>-2287547.1958800405</v>
      </c>
      <c r="S18" s="39">
        <f t="shared" si="5"/>
        <v>-2543970.6541392207</v>
      </c>
      <c r="T18" s="39">
        <f t="shared" si="5"/>
        <v>-2814704.2877248824</v>
      </c>
      <c r="U18" s="39">
        <f t="shared" si="5"/>
        <v>-3100409.4766433537</v>
      </c>
      <c r="V18" s="39">
        <f t="shared" si="5"/>
        <v>-3401775.5476687998</v>
      </c>
      <c r="W18" s="39">
        <f t="shared" si="5"/>
        <v>-3719520.8948138952</v>
      </c>
      <c r="X18" s="39">
        <f t="shared" si="5"/>
        <v>-4054394.1431995183</v>
      </c>
      <c r="Y18" s="39">
        <f t="shared" si="5"/>
        <v>-4407175.3579639196</v>
      </c>
      <c r="Z18" s="39">
        <f t="shared" si="5"/>
        <v>-4778677.2999128252</v>
      </c>
      <c r="AA18" s="39">
        <f t="shared" si="5"/>
        <v>-5169746.7296747863</v>
      </c>
      <c r="AB18" s="39">
        <f t="shared" si="5"/>
        <v>-5581265.7621917129</v>
      </c>
      <c r="AC18" s="39">
        <f t="shared" si="5"/>
        <v>-6014153.2734426856</v>
      </c>
      <c r="AD18" s="39">
        <f t="shared" si="5"/>
        <v>-6469366.3613682985</v>
      </c>
      <c r="AE18" s="39">
        <f t="shared" si="5"/>
        <v>-6947901.8630373478</v>
      </c>
      <c r="AF18" s="39">
        <f t="shared" si="5"/>
        <v>-7450797.9301716983</v>
      </c>
      <c r="AG18" s="39">
        <f t="shared" si="5"/>
        <v>-7979135.6652242243</v>
      </c>
      <c r="AH18" s="39">
        <f t="shared" si="5"/>
        <v>-8534040.8202860057</v>
      </c>
      <c r="AI18" s="39">
        <f t="shared" si="5"/>
        <v>-9116685.5611822605</v>
      </c>
      <c r="AJ18" s="39">
        <f t="shared" si="5"/>
        <v>-9728290.2992047966</v>
      </c>
      <c r="AK18" s="39">
        <f t="shared" si="5"/>
        <v>-10370125.593017995</v>
      </c>
      <c r="AL18" s="39">
        <f t="shared" si="5"/>
        <v>-11043514.123370111</v>
      </c>
      <c r="AM18" s="39">
        <f t="shared" si="5"/>
        <v>-11749832.743337661</v>
      </c>
      <c r="AN18" s="39">
        <f t="shared" si="5"/>
        <v>-12490514.606932163</v>
      </c>
      <c r="AO18" s="39">
        <f t="shared" si="5"/>
        <v>-13267051.379002124</v>
      </c>
      <c r="AP18" s="39">
        <f t="shared" si="5"/>
        <v>-14080995.529471785</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-21082.504687832668</v>
      </c>
      <c r="G20" s="39">
        <f t="shared" si="6"/>
        <v>-42972.011257393286</v>
      </c>
      <c r="H20" s="39">
        <f t="shared" si="6"/>
        <v>-65691.703311715275</v>
      </c>
      <c r="I20" s="39">
        <f t="shared" si="6"/>
        <v>-89265.356870103627</v>
      </c>
      <c r="J20" s="39">
        <f t="shared" si="6"/>
        <v>-113717.35456968844</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-178999.13977777539</v>
      </c>
      <c r="I22" s="39">
        <f t="shared" si="7"/>
        <v>-465904.99528827425</v>
      </c>
      <c r="J22" s="39">
        <f t="shared" si="7"/>
        <v>-851470.13223365229</v>
      </c>
      <c r="K22" s="39">
        <f t="shared" si="7"/>
        <v>-1327207.3659645561</v>
      </c>
      <c r="L22" s="39">
        <f t="shared" si="7"/>
        <v>-1885329.7821516739</v>
      </c>
      <c r="M22" s="39">
        <f t="shared" si="7"/>
        <v>-2327027.3261166848</v>
      </c>
      <c r="N22" s="39">
        <f t="shared" si="7"/>
        <v>-2812073.3025058396</v>
      </c>
      <c r="O22" s="39">
        <f t="shared" si="7"/>
        <v>-3340062.3960961793</v>
      </c>
      <c r="P22" s="39">
        <f t="shared" si="7"/>
        <v>-4344360.3423295226</v>
      </c>
      <c r="Q22" s="39">
        <f t="shared" si="7"/>
        <v>-5445711.3633291665</v>
      </c>
      <c r="R22" s="39">
        <f t="shared" si="7"/>
        <v>-6556230.9713620394</v>
      </c>
      <c r="S22" s="39">
        <f t="shared" si="7"/>
        <v>-7745973.269453112</v>
      </c>
      <c r="T22" s="39">
        <f t="shared" si="7"/>
        <v>-9015443.1278946288</v>
      </c>
      <c r="U22" s="39">
        <f t="shared" si="7"/>
        <v>-10365159.5742248</v>
      </c>
      <c r="V22" s="39">
        <f t="shared" si="7"/>
        <v>-11795655.617498968</v>
      </c>
      <c r="W22" s="39">
        <f t="shared" si="7"/>
        <v>-12930665.58564727</v>
      </c>
      <c r="X22" s="39">
        <f t="shared" si="7"/>
        <v>-14103730.259346936</v>
      </c>
      <c r="Y22" s="39">
        <f t="shared" si="7"/>
        <v>-15315869.7979315</v>
      </c>
      <c r="Z22" s="39">
        <f t="shared" si="7"/>
        <v>-17135694.191527292</v>
      </c>
      <c r="AA22" s="39">
        <f t="shared" si="7"/>
        <v>-19017746.564766832</v>
      </c>
      <c r="AB22" s="39">
        <f t="shared" si="7"/>
        <v>-20963706.976252772</v>
      </c>
      <c r="AC22" s="39">
        <f t="shared" si="7"/>
        <v>-22975296.312808543</v>
      </c>
      <c r="AD22" s="39">
        <f t="shared" si="7"/>
        <v>-25054277.223478414</v>
      </c>
      <c r="AE22" s="39">
        <f t="shared" si="7"/>
        <v>-27202455.074060649</v>
      </c>
      <c r="AF22" s="39">
        <f t="shared" si="7"/>
        <v>-29421678.922612704</v>
      </c>
      <c r="AG22" s="39">
        <f t="shared" si="7"/>
        <v>-31713842.516376227</v>
      </c>
      <c r="AH22" s="39">
        <f t="shared" si="7"/>
        <v>-34080885.310579002</v>
      </c>
      <c r="AI22" s="39">
        <f t="shared" si="7"/>
        <v>-36524793.509580582</v>
      </c>
      <c r="AJ22" s="39">
        <f t="shared" si="7"/>
        <v>-37255289.379772201</v>
      </c>
      <c r="AK22" s="39">
        <f t="shared" si="7"/>
        <v>-38000395.167367652</v>
      </c>
      <c r="AL22" s="39">
        <f t="shared" si="7"/>
        <v>-38760403.070714995</v>
      </c>
      <c r="AM22" s="39">
        <f t="shared" si="7"/>
        <v>-39535611.132129297</v>
      </c>
      <c r="AN22" s="39">
        <f t="shared" si="7"/>
        <v>-40326323.354771882</v>
      </c>
      <c r="AO22" s="39">
        <f t="shared" si="7"/>
        <v>-41132849.821867332</v>
      </c>
      <c r="AP22" s="39">
        <f t="shared" si="7"/>
        <v>-41955506.818304673</v>
      </c>
    </row>
    <row r="23" spans="1:42" x14ac:dyDescent="0.35">
      <c r="A23" t="s">
        <v>412</v>
      </c>
      <c r="C23" s="163"/>
      <c r="D23" s="163"/>
      <c r="E23" s="163"/>
      <c r="F23" s="39">
        <f t="shared" ref="F23:AP23" si="8">(F12*F15)-F12</f>
        <v>-2381.2611587741412</v>
      </c>
      <c r="G23" s="39">
        <f t="shared" si="8"/>
        <v>-9699.152927051764</v>
      </c>
      <c r="H23" s="39">
        <f t="shared" si="8"/>
        <v>-21825.585664718412</v>
      </c>
      <c r="I23" s="39">
        <f t="shared" si="8"/>
        <v>-38641.350586422719</v>
      </c>
      <c r="J23" s="39">
        <f t="shared" si="8"/>
        <v>-60035.697957323864</v>
      </c>
      <c r="K23" s="39">
        <f t="shared" si="8"/>
        <v>-85905.933661518618</v>
      </c>
      <c r="L23" s="39">
        <f t="shared" si="8"/>
        <v>-116157.03322321177</v>
      </c>
      <c r="M23" s="39">
        <f t="shared" si="8"/>
        <v>-151138.93965481408</v>
      </c>
      <c r="N23" s="39">
        <f t="shared" si="8"/>
        <v>-190922.44495308399</v>
      </c>
      <c r="O23" s="39">
        <f t="shared" si="8"/>
        <v>-235580.08768772334</v>
      </c>
      <c r="P23" s="39">
        <f t="shared" si="8"/>
        <v>-316817.88869055733</v>
      </c>
      <c r="Q23" s="39">
        <f t="shared" si="8"/>
        <v>-409108.63216930255</v>
      </c>
      <c r="R23" s="39">
        <f t="shared" si="8"/>
        <v>-513021.85158832371</v>
      </c>
      <c r="S23" s="39">
        <f t="shared" si="8"/>
        <v>-628813.55906641483</v>
      </c>
      <c r="T23" s="39">
        <f t="shared" si="8"/>
        <v>-756744.4035997726</v>
      </c>
      <c r="U23" s="39">
        <f t="shared" si="8"/>
        <v>-897079.71018043905</v>
      </c>
      <c r="V23" s="39">
        <f t="shared" si="8"/>
        <v>-1050089.517776601</v>
      </c>
      <c r="W23" s="39">
        <f t="shared" si="8"/>
        <v>-1217821.5729140267</v>
      </c>
      <c r="X23" s="39">
        <f t="shared" si="8"/>
        <v>-1400918.7109226808</v>
      </c>
      <c r="Y23" s="39">
        <f t="shared" si="8"/>
        <v>-1600044.9005524963</v>
      </c>
      <c r="Z23" s="39">
        <f t="shared" si="8"/>
        <v>-1878091.62805444</v>
      </c>
      <c r="AA23" s="39">
        <f t="shared" si="8"/>
        <v>-2181789.7093237638</v>
      </c>
      <c r="AB23" s="39">
        <f t="shared" si="8"/>
        <v>-2512248.2141955495</v>
      </c>
      <c r="AC23" s="39">
        <f t="shared" si="8"/>
        <v>-2870612.5064235926</v>
      </c>
      <c r="AD23" s="39">
        <f t="shared" si="8"/>
        <v>-3258065.2696722895</v>
      </c>
      <c r="AE23" s="39">
        <f t="shared" si="8"/>
        <v>-3675827.5599949807</v>
      </c>
      <c r="AF23" s="39">
        <f t="shared" si="8"/>
        <v>-4125159.8854415119</v>
      </c>
      <c r="AG23" s="39">
        <f t="shared" si="8"/>
        <v>-4607363.3134521246</v>
      </c>
      <c r="AH23" s="39">
        <f t="shared" si="8"/>
        <v>-5123780.6067105383</v>
      </c>
      <c r="AI23" s="39">
        <f t="shared" si="8"/>
        <v>-5675797.3881442696</v>
      </c>
      <c r="AJ23" s="39">
        <f t="shared" si="8"/>
        <v>-5977282.7173488438</v>
      </c>
      <c r="AK23" s="39">
        <f t="shared" si="8"/>
        <v>-6288233.5089120418</v>
      </c>
      <c r="AL23" s="39">
        <f t="shared" si="8"/>
        <v>-6608901.8717649281</v>
      </c>
      <c r="AM23" s="39">
        <f t="shared" si="8"/>
        <v>-6939546.1048870534</v>
      </c>
      <c r="AN23" s="39">
        <f t="shared" si="8"/>
        <v>-7280430.8420884013</v>
      </c>
      <c r="AO23" s="39">
        <f t="shared" si="8"/>
        <v>-7631827.2000706196</v>
      </c>
      <c r="AP23" s="39">
        <f t="shared" si="8"/>
        <v>-7994012.9298399389</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84647091.917681396</v>
      </c>
      <c r="G25" s="38">
        <f t="shared" si="9"/>
        <v>88581815.472732812</v>
      </c>
      <c r="H25" s="38">
        <f t="shared" si="9"/>
        <v>89245995.110542074</v>
      </c>
      <c r="I25" s="38">
        <f t="shared" si="9"/>
        <v>89777980.479761243</v>
      </c>
      <c r="J25" s="38">
        <f t="shared" si="9"/>
        <v>90187941.775628954</v>
      </c>
      <c r="K25" s="38">
        <f t="shared" si="9"/>
        <v>76834457.794332579</v>
      </c>
      <c r="L25" s="38">
        <f t="shared" si="9"/>
        <v>76778116.119675696</v>
      </c>
      <c r="M25" s="38">
        <f t="shared" si="9"/>
        <v>78423034.275814891</v>
      </c>
      <c r="N25" s="38">
        <f t="shared" si="9"/>
        <v>80037082.019239545</v>
      </c>
      <c r="O25" s="38">
        <f t="shared" si="9"/>
        <v>81620535.302196681</v>
      </c>
      <c r="P25" s="38">
        <f t="shared" si="9"/>
        <v>84426268.734033957</v>
      </c>
      <c r="Q25" s="38">
        <f t="shared" si="9"/>
        <v>87157658.837003261</v>
      </c>
      <c r="R25" s="38">
        <f t="shared" si="9"/>
        <v>90332792.160369426</v>
      </c>
      <c r="S25" s="38">
        <f t="shared" si="9"/>
        <v>93483490.27931495</v>
      </c>
      <c r="T25" s="38">
        <f t="shared" si="9"/>
        <v>96609654.792638257</v>
      </c>
      <c r="U25" s="38">
        <f t="shared" si="9"/>
        <v>99711158.184696972</v>
      </c>
      <c r="V25" s="38">
        <f t="shared" si="9"/>
        <v>102787842.97945586</v>
      </c>
      <c r="W25" s="38">
        <f t="shared" si="9"/>
        <v>107483889.02296439</v>
      </c>
      <c r="X25" s="38">
        <f t="shared" si="9"/>
        <v>112321172.03565577</v>
      </c>
      <c r="Y25" s="38">
        <f t="shared" si="9"/>
        <v>117303524.50194176</v>
      </c>
      <c r="Z25" s="38">
        <f t="shared" si="9"/>
        <v>123589795.7217281</v>
      </c>
      <c r="AA25" s="38">
        <f t="shared" si="9"/>
        <v>130065997.31786203</v>
      </c>
      <c r="AB25" s="38">
        <f t="shared" si="9"/>
        <v>136737150.98407802</v>
      </c>
      <c r="AC25" s="38">
        <f t="shared" si="9"/>
        <v>143608407.25065729</v>
      </c>
      <c r="AD25" s="38">
        <f t="shared" si="9"/>
        <v>150685048.83408022</v>
      </c>
      <c r="AE25" s="38">
        <f t="shared" si="9"/>
        <v>157972494.07652199</v>
      </c>
      <c r="AF25" s="38">
        <f t="shared" si="9"/>
        <v>165476300.47768417</v>
      </c>
      <c r="AG25" s="38">
        <f t="shared" si="9"/>
        <v>173202168.32152385</v>
      </c>
      <c r="AH25" s="38">
        <f t="shared" si="9"/>
        <v>181155944.40051663</v>
      </c>
      <c r="AI25" s="38">
        <f t="shared" si="9"/>
        <v>189343625.84016359</v>
      </c>
      <c r="AJ25" s="38">
        <f t="shared" si="9"/>
        <v>194215384.50152019</v>
      </c>
      <c r="AK25" s="38">
        <f t="shared" si="9"/>
        <v>199220215.27296007</v>
      </c>
      <c r="AL25" s="38">
        <f t="shared" si="9"/>
        <v>204361912.2846038</v>
      </c>
      <c r="AM25" s="38">
        <f t="shared" si="9"/>
        <v>209644380.84287256</v>
      </c>
      <c r="AN25" s="38">
        <f t="shared" si="9"/>
        <v>215071640.73912439</v>
      </c>
      <c r="AO25" s="38">
        <f t="shared" si="9"/>
        <v>220647829.6574856</v>
      </c>
      <c r="AP25" s="38">
        <f t="shared" si="9"/>
        <v>226377206.68485871</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az+M5mvK/H/I7pPk23P+vWfjgCCtrVdurTG4vdtCNz1onVrcRHP283gUSRnTEq3S4+qrAGyYDfMPwUwu2Ri06Q==" saltValue="ZcRW164pPHZFRmAaSPAJXg=="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4488244469.9459314</v>
      </c>
      <c r="F4" s="1">
        <f>E4+Depreciation!F16</f>
        <v>4657510945.274231</v>
      </c>
      <c r="G4" s="1">
        <f>F4+Depreciation!G16</f>
        <v>4834090706.5598431</v>
      </c>
      <c r="H4" s="1">
        <f>G4+Depreciation!H16</f>
        <v>5012288726.5382948</v>
      </c>
      <c r="I4" s="1">
        <f>H4+Depreciation!I16</f>
        <v>5192223446.9883518</v>
      </c>
      <c r="J4" s="1">
        <f>I4+Depreciation!J16</f>
        <v>5374013936.3431301</v>
      </c>
      <c r="K4" s="1">
        <f>J4+Depreciation!K16</f>
        <v>5557779955.9545784</v>
      </c>
      <c r="L4" s="1">
        <f>K4+Depreciation!L16</f>
        <v>5743642025.9255276</v>
      </c>
      <c r="M4" s="1">
        <f>L4+Depreciation!M16</f>
        <v>5934326656.0191154</v>
      </c>
      <c r="N4" s="1">
        <f>M4+Depreciation!N16</f>
        <v>6129955821.0568094</v>
      </c>
      <c r="O4" s="1">
        <f>N4+Depreciation!O16</f>
        <v>6330654449.2396898</v>
      </c>
      <c r="P4" s="1">
        <f>O4+Depreciation!P16</f>
        <v>6677891909.7316628</v>
      </c>
      <c r="Q4" s="1">
        <f>P4+Depreciation!Q16</f>
        <v>7033716616.4550323</v>
      </c>
      <c r="R4" s="1">
        <f>Q4+Depreciation!R16</f>
        <v>7399940840.6816282</v>
      </c>
      <c r="S4" s="1">
        <f>R4+Depreciation!S16</f>
        <v>7776825825.8524828</v>
      </c>
      <c r="T4" s="1">
        <f>S4+Depreciation!T16</f>
        <v>8164638760.9226751</v>
      </c>
      <c r="U4" s="1">
        <f>T4+Depreciation!U16</f>
        <v>8563652895.6691446</v>
      </c>
      <c r="V4" s="1">
        <f>U4+Depreciation!V16</f>
        <v>8974147657.4493237</v>
      </c>
      <c r="W4" s="1">
        <f>V4+Depreciation!W16</f>
        <v>9401621486.5649433</v>
      </c>
      <c r="X4" s="1">
        <f>W4+Depreciation!X16</f>
        <v>9846689037.7562618</v>
      </c>
      <c r="Y4" s="1">
        <f>X4+Depreciation!Y16</f>
        <v>10309985688.907318</v>
      </c>
      <c r="Z4" s="1">
        <f>Y4+Depreciation!Z16</f>
        <v>10953978333.897141</v>
      </c>
      <c r="AA4" s="1">
        <f>Z4+Depreciation!AA16</f>
        <v>11625671218.714262</v>
      </c>
      <c r="AB4" s="1">
        <f>AA4+Depreciation!AB16</f>
        <v>12326085134.058273</v>
      </c>
      <c r="AC4" s="1">
        <f>AB4+Depreciation!AC16</f>
        <v>13056275630.91519</v>
      </c>
      <c r="AD4" s="1">
        <f>AC4+Depreciation!AD16</f>
        <v>13817334148.327103</v>
      </c>
      <c r="AE4" s="1">
        <f>AD4+Depreciation!AE16</f>
        <v>14610389176.565729</v>
      </c>
      <c r="AF4" s="1">
        <f>AE4+Depreciation!AF16</f>
        <v>15436607456.794828</v>
      </c>
      <c r="AG4" s="1">
        <f>AF4+Depreciation!AG16</f>
        <v>16297195218.339085</v>
      </c>
      <c r="AH4" s="1">
        <f>AG4+Depreciation!AH16</f>
        <v>17193399454.710655</v>
      </c>
      <c r="AI4" s="1">
        <f>AH4+Depreciation!AI16</f>
        <v>18126509239.579224</v>
      </c>
      <c r="AJ4" s="1">
        <f>AI4+Depreciation!AJ16</f>
        <v>18534726213.796593</v>
      </c>
      <c r="AK4" s="1">
        <f>AJ4+Depreciation!AK16</f>
        <v>18954479968.713676</v>
      </c>
      <c r="AL4" s="1">
        <f>AK4+Depreciation!AL16</f>
        <v>19386096549.834023</v>
      </c>
      <c r="AM4" s="1">
        <f>AL4+Depreciation!AM16</f>
        <v>19829911217.161568</v>
      </c>
      <c r="AN4" s="1">
        <f>AM4+Depreciation!AN16</f>
        <v>20286268705.615288</v>
      </c>
      <c r="AO4" s="1">
        <f>AN4+Depreciation!AO16</f>
        <v>20755523492.803478</v>
      </c>
      <c r="AP4" s="1"/>
    </row>
    <row r="5" spans="1:42" x14ac:dyDescent="0.35">
      <c r="A5" t="s">
        <v>415</v>
      </c>
      <c r="B5" s="157"/>
      <c r="C5" s="157"/>
      <c r="D5" s="157"/>
      <c r="E5" s="1">
        <f>Depreciation!F10</f>
        <v>2310651805.6234717</v>
      </c>
      <c r="F5" s="1">
        <f>Depreciation!G10</f>
        <v>2381715404.1842337</v>
      </c>
      <c r="G5" s="1">
        <f>Depreciation!H10</f>
        <v>2457380872.3312321</v>
      </c>
      <c r="H5" s="1">
        <f>Depreciation!I10</f>
        <v>2537719594.0427399</v>
      </c>
      <c r="I5" s="1">
        <f>Depreciation!J10</f>
        <v>2622806539.2550344</v>
      </c>
      <c r="J5" s="1">
        <f>Depreciation!K10</f>
        <v>2712720309.8741946</v>
      </c>
      <c r="K5" s="1">
        <f>Depreciation!L10</f>
        <v>2807543188.1550083</v>
      </c>
      <c r="L5" s="1">
        <f>Depreciation!M10</f>
        <v>2907422265.2421708</v>
      </c>
      <c r="M5" s="1">
        <f>Depreciation!N10</f>
        <v>3012508794.8556275</v>
      </c>
      <c r="N5" s="1">
        <f>Depreciation!O10</f>
        <v>3122958305.27071</v>
      </c>
      <c r="O5" s="1">
        <f>Depreciation!P10</f>
        <v>3242244833.8513985</v>
      </c>
      <c r="P5" s="1">
        <f>Depreciation!Q10</f>
        <v>3370630335.6528606</v>
      </c>
      <c r="Q5" s="1">
        <f>Depreciation!R10</f>
        <v>3508421629.6153698</v>
      </c>
      <c r="R5" s="1">
        <f>Depreciation!S10</f>
        <v>3655934347.9027371</v>
      </c>
      <c r="S5" s="1">
        <f>Depreciation!T10</f>
        <v>3813493166.9504704</v>
      </c>
      <c r="T5" s="1">
        <f>Depreciation!U10</f>
        <v>3981432043.9941249</v>
      </c>
      <c r="U5" s="1">
        <f>Depreciation!V10</f>
        <v>4160094459.187665</v>
      </c>
      <c r="V5" s="1">
        <f>Depreciation!W10</f>
        <v>4349955922.3056917</v>
      </c>
      <c r="W5" s="1">
        <f>Depreciation!X10</f>
        <v>4551510348.9339333</v>
      </c>
      <c r="X5" s="1">
        <f>Depreciation!Y10</f>
        <v>4765270723.4747677</v>
      </c>
      <c r="Y5" s="1">
        <f>Depreciation!Z10</f>
        <v>4995565310.4322615</v>
      </c>
      <c r="Z5" s="1">
        <f>Depreciation!AA10</f>
        <v>5243163804.2640867</v>
      </c>
      <c r="AA5" s="1">
        <f>Depreciation!AB10</f>
        <v>5508866353.1985855</v>
      </c>
      <c r="AB5" s="1">
        <f>Depreciation!AC10</f>
        <v>5793504669.7956142</v>
      </c>
      <c r="AC5" s="1">
        <f>Depreciation!AD10</f>
        <v>6097943180.056057</v>
      </c>
      <c r="AD5" s="1">
        <f>Depreciation!AE10</f>
        <v>6423080212.3742924</v>
      </c>
      <c r="AE5" s="1">
        <f>Depreciation!AF10</f>
        <v>6769849227.6703548</v>
      </c>
      <c r="AF5" s="1">
        <f>Depreciation!AG10</f>
        <v>7139220092.0822697</v>
      </c>
      <c r="AG5" s="1">
        <f>Depreciation!AH10</f>
        <v>7532200393.6442814</v>
      </c>
      <c r="AH5" s="1">
        <f>Depreciation!AI10</f>
        <v>7949836804.4233265</v>
      </c>
      <c r="AI5" s="1">
        <f>Depreciation!AJ10</f>
        <v>8380002307.5257425</v>
      </c>
      <c r="AJ5" s="1">
        <f>Depreciation!AK10</f>
        <v>8823072775.7212315</v>
      </c>
      <c r="AK5" s="1">
        <f>Depreciation!AL10</f>
        <v>9279435357.9625835</v>
      </c>
      <c r="AL5" s="1">
        <f>Depreciation!AM10</f>
        <v>9749488817.6711788</v>
      </c>
      <c r="AM5" s="1">
        <f>Depreciation!AN10</f>
        <v>10233643881.17103</v>
      </c>
      <c r="AN5" s="1">
        <f>Depreciation!AO10</f>
        <v>10732323596.575878</v>
      </c>
      <c r="AO5" s="1">
        <f>Depreciation!AP10</f>
        <v>11245963703.442871</v>
      </c>
      <c r="AP5" s="1"/>
    </row>
    <row r="6" spans="1:42" x14ac:dyDescent="0.35">
      <c r="A6" t="s">
        <v>416</v>
      </c>
      <c r="B6" s="157"/>
      <c r="C6" s="157"/>
      <c r="D6" s="157"/>
      <c r="E6" s="1">
        <f>E4-E5</f>
        <v>2177592664.3224597</v>
      </c>
      <c r="F6" s="1">
        <f t="shared" ref="F6:AE6" si="1">F4-F5</f>
        <v>2275795541.0899973</v>
      </c>
      <c r="G6" s="1">
        <f t="shared" si="1"/>
        <v>2376709834.228611</v>
      </c>
      <c r="H6" s="1">
        <f t="shared" si="1"/>
        <v>2474569132.4955549</v>
      </c>
      <c r="I6" s="1">
        <f t="shared" si="1"/>
        <v>2569416907.7333174</v>
      </c>
      <c r="J6" s="1">
        <f t="shared" si="1"/>
        <v>2661293626.4689355</v>
      </c>
      <c r="K6" s="1">
        <f t="shared" si="1"/>
        <v>2750236767.7995701</v>
      </c>
      <c r="L6" s="1">
        <f t="shared" si="1"/>
        <v>2836219760.6833568</v>
      </c>
      <c r="M6" s="1">
        <f t="shared" si="1"/>
        <v>2921817861.1634879</v>
      </c>
      <c r="N6" s="1">
        <f t="shared" si="1"/>
        <v>3006997515.7860994</v>
      </c>
      <c r="O6" s="1">
        <f t="shared" si="1"/>
        <v>3088409615.3882914</v>
      </c>
      <c r="P6" s="1">
        <f t="shared" si="1"/>
        <v>3307261574.0788021</v>
      </c>
      <c r="Q6" s="1">
        <f t="shared" si="1"/>
        <v>3525294986.8396626</v>
      </c>
      <c r="R6" s="1">
        <f t="shared" si="1"/>
        <v>3744006492.7788911</v>
      </c>
      <c r="S6" s="1">
        <f t="shared" si="1"/>
        <v>3963332658.9020123</v>
      </c>
      <c r="T6" s="1">
        <f t="shared" si="1"/>
        <v>4183206716.9285502</v>
      </c>
      <c r="U6" s="1">
        <f t="shared" si="1"/>
        <v>4403558436.4814796</v>
      </c>
      <c r="V6" s="1">
        <f t="shared" si="1"/>
        <v>4624191735.1436319</v>
      </c>
      <c r="W6" s="1">
        <f t="shared" si="1"/>
        <v>4850111137.6310101</v>
      </c>
      <c r="X6" s="1">
        <f t="shared" si="1"/>
        <v>5081418314.2814941</v>
      </c>
      <c r="Y6" s="1">
        <f t="shared" si="1"/>
        <v>5314420378.4750566</v>
      </c>
      <c r="Z6" s="1">
        <f t="shared" si="1"/>
        <v>5710814529.6330538</v>
      </c>
      <c r="AA6" s="1">
        <f t="shared" si="1"/>
        <v>6116804865.5156765</v>
      </c>
      <c r="AB6" s="1">
        <f t="shared" si="1"/>
        <v>6532580464.2626591</v>
      </c>
      <c r="AC6" s="1">
        <f t="shared" si="1"/>
        <v>6958332450.8591328</v>
      </c>
      <c r="AD6" s="1">
        <f t="shared" si="1"/>
        <v>7394253935.9528103</v>
      </c>
      <c r="AE6" s="1">
        <f t="shared" si="1"/>
        <v>7840539948.8953743</v>
      </c>
      <c r="AF6" s="1">
        <f t="shared" ref="AF6:AO6" si="2">AF4-AF5</f>
        <v>8297387364.7125587</v>
      </c>
      <c r="AG6" s="1">
        <f t="shared" si="2"/>
        <v>8764994824.6948032</v>
      </c>
      <c r="AH6" s="1">
        <f t="shared" si="2"/>
        <v>9243562650.2873287</v>
      </c>
      <c r="AI6" s="1">
        <f t="shared" si="2"/>
        <v>9746506932.0534821</v>
      </c>
      <c r="AJ6" s="1">
        <f t="shared" si="2"/>
        <v>9711653438.0753613</v>
      </c>
      <c r="AK6" s="1">
        <f t="shared" si="2"/>
        <v>9675044610.7510929</v>
      </c>
      <c r="AL6" s="1">
        <f t="shared" si="2"/>
        <v>9636607732.1628437</v>
      </c>
      <c r="AM6" s="1">
        <f t="shared" si="2"/>
        <v>9596267335.9905376</v>
      </c>
      <c r="AN6" s="1">
        <f t="shared" si="2"/>
        <v>9553945109.0394096</v>
      </c>
      <c r="AO6" s="1">
        <f t="shared" si="2"/>
        <v>9509559789.3606071</v>
      </c>
      <c r="AP6" s="1"/>
    </row>
    <row r="8" spans="1:42" x14ac:dyDescent="0.35">
      <c r="A8" t="s">
        <v>417</v>
      </c>
      <c r="B8" s="157"/>
      <c r="C8" s="157"/>
      <c r="D8" s="157"/>
      <c r="E8" s="1">
        <f ca="1">E6-E9</f>
        <v>1651710581.1677732</v>
      </c>
      <c r="F8" s="1">
        <f t="shared" ref="F8:AE8" ca="1" si="3">F6-F9</f>
        <v>1663125368.5961707</v>
      </c>
      <c r="G8" s="1">
        <f ca="1">G6-G9</f>
        <v>1688208452.0205231</v>
      </c>
      <c r="H8" s="1">
        <f t="shared" ca="1" si="3"/>
        <v>1717331507.0191288</v>
      </c>
      <c r="I8" s="1">
        <f t="shared" ca="1" si="3"/>
        <v>1750269100.0579112</v>
      </c>
      <c r="J8" s="1">
        <f t="shared" ca="1" si="3"/>
        <v>1787347948.8571308</v>
      </c>
      <c r="K8" s="1">
        <f t="shared" ca="1" si="3"/>
        <v>1825664985.9750078</v>
      </c>
      <c r="L8" s="1">
        <f t="shared" ca="1" si="3"/>
        <v>1862440933.3288147</v>
      </c>
      <c r="M8" s="1">
        <f t="shared" ca="1" si="3"/>
        <v>1900627852.3433957</v>
      </c>
      <c r="N8" s="1">
        <f t="shared" ca="1" si="3"/>
        <v>1940598307.5283194</v>
      </c>
      <c r="O8" s="1">
        <f t="shared" ca="1" si="3"/>
        <v>1853772084.4635842</v>
      </c>
      <c r="P8" s="1">
        <f t="shared" ca="1" si="3"/>
        <v>1920620447.76509</v>
      </c>
      <c r="Q8" s="1">
        <f t="shared" ca="1" si="3"/>
        <v>1997331648.1999507</v>
      </c>
      <c r="R8" s="1">
        <f t="shared" ca="1" si="3"/>
        <v>2084161772.7697463</v>
      </c>
      <c r="S8" s="1">
        <f t="shared" ca="1" si="3"/>
        <v>2179005949.9318266</v>
      </c>
      <c r="T8" s="1">
        <f t="shared" ca="1" si="3"/>
        <v>2278924032.0694685</v>
      </c>
      <c r="U8" s="1">
        <f t="shared" ca="1" si="3"/>
        <v>2385138196.915606</v>
      </c>
      <c r="V8" s="1">
        <f t="shared" ca="1" si="3"/>
        <v>2489069677.6161871</v>
      </c>
      <c r="W8" s="1">
        <f t="shared" ca="1" si="3"/>
        <v>2598815502.6532354</v>
      </c>
      <c r="X8" s="1">
        <f t="shared" ca="1" si="3"/>
        <v>2715263698.3134427</v>
      </c>
      <c r="Y8" s="1">
        <f t="shared" ca="1" si="3"/>
        <v>2689859007.3938313</v>
      </c>
      <c r="Z8" s="1">
        <f t="shared" ca="1" si="3"/>
        <v>2836193487.7602186</v>
      </c>
      <c r="AA8" s="1">
        <f t="shared" ca="1" si="3"/>
        <v>2996993096.9093523</v>
      </c>
      <c r="AB8" s="1">
        <f t="shared" ca="1" si="3"/>
        <v>3175294532.3046436</v>
      </c>
      <c r="AC8" s="1">
        <f t="shared" ca="1" si="3"/>
        <v>3366114648.1398721</v>
      </c>
      <c r="AD8" s="1">
        <f t="shared" ca="1" si="3"/>
        <v>3571748668.0697775</v>
      </c>
      <c r="AE8" s="1">
        <f t="shared" ca="1" si="3"/>
        <v>3785252138.9572883</v>
      </c>
      <c r="AF8" s="1">
        <f t="shared" ref="AF8:AO8" ca="1" si="4">AF6-AF9</f>
        <v>3977877793.5440712</v>
      </c>
      <c r="AG8" s="1">
        <f t="shared" ca="1" si="4"/>
        <v>4178169567.2988281</v>
      </c>
      <c r="AH8" s="1">
        <f t="shared" ca="1" si="4"/>
        <v>4398329641.952776</v>
      </c>
      <c r="AI8" s="1">
        <f t="shared" ca="1" si="4"/>
        <v>5189689273.4236212</v>
      </c>
      <c r="AJ8" s="1">
        <f t="shared" ca="1" si="4"/>
        <v>5454172176.0816612</v>
      </c>
      <c r="AK8" s="1">
        <f t="shared" ca="1" si="4"/>
        <v>5728030020.643261</v>
      </c>
      <c r="AL8" s="1">
        <f t="shared" ca="1" si="4"/>
        <v>6011397691.7098188</v>
      </c>
      <c r="AM8" s="1">
        <f t="shared" ca="1" si="4"/>
        <v>6304405270.4664421</v>
      </c>
      <c r="AN8" s="1">
        <f t="shared" ca="1" si="4"/>
        <v>6607177476.9295464</v>
      </c>
      <c r="AO8" s="1">
        <f t="shared" ca="1" si="4"/>
        <v>6919833077.0538635</v>
      </c>
    </row>
    <row r="9" spans="1:42" x14ac:dyDescent="0.35">
      <c r="A9" t="s">
        <v>418</v>
      </c>
      <c r="B9" s="157"/>
      <c r="C9" s="157"/>
      <c r="D9" s="157"/>
      <c r="E9" s="1">
        <f ca="1">'Debt worksheet'!F8</f>
        <v>525882083.15468639</v>
      </c>
      <c r="F9" s="1">
        <f ca="1">'Debt worksheet'!G8</f>
        <v>612670172.49382663</v>
      </c>
      <c r="G9" s="1">
        <f ca="1">'Debt worksheet'!H8</f>
        <v>688501382.20808792</v>
      </c>
      <c r="H9" s="1">
        <f ca="1">'Debt worksheet'!I8</f>
        <v>757237625.47642612</v>
      </c>
      <c r="I9" s="1">
        <f ca="1">'Debt worksheet'!J8</f>
        <v>819147807.67540622</v>
      </c>
      <c r="J9" s="1">
        <f ca="1">'Debt worksheet'!K8</f>
        <v>873945677.61180472</v>
      </c>
      <c r="K9" s="1">
        <f ca="1">'Debt worksheet'!L8</f>
        <v>924571781.82456231</v>
      </c>
      <c r="L9" s="1">
        <f ca="1">'Debt worksheet'!M8</f>
        <v>973778827.35454202</v>
      </c>
      <c r="M9" s="1">
        <f ca="1">'Debt worksheet'!N8</f>
        <v>1021190008.8200923</v>
      </c>
      <c r="N9" s="1">
        <f ca="1">'Debt worksheet'!O8</f>
        <v>1066399208.2577801</v>
      </c>
      <c r="O9" s="1">
        <f ca="1">'Debt worksheet'!P8</f>
        <v>1234637530.9247072</v>
      </c>
      <c r="P9" s="1">
        <f ca="1">'Debt worksheet'!Q8</f>
        <v>1386641126.3137121</v>
      </c>
      <c r="Q9" s="1">
        <f ca="1">'Debt worksheet'!R8</f>
        <v>1527963338.6397119</v>
      </c>
      <c r="R9" s="1">
        <f ca="1">'Debt worksheet'!S8</f>
        <v>1659844720.0091448</v>
      </c>
      <c r="S9" s="1">
        <f ca="1">'Debt worksheet'!T8</f>
        <v>1784326708.9701858</v>
      </c>
      <c r="T9" s="1">
        <f ca="1">'Debt worksheet'!U8</f>
        <v>1904282684.859082</v>
      </c>
      <c r="U9" s="1">
        <f ca="1">'Debt worksheet'!V8</f>
        <v>2018420239.5658736</v>
      </c>
      <c r="V9" s="1">
        <f ca="1">'Debt worksheet'!W8</f>
        <v>2135122057.5274448</v>
      </c>
      <c r="W9" s="1">
        <f ca="1">'Debt worksheet'!X8</f>
        <v>2251295634.9777746</v>
      </c>
      <c r="X9" s="1">
        <f ca="1">'Debt worksheet'!Y8</f>
        <v>2366154615.9680514</v>
      </c>
      <c r="Y9" s="1">
        <f ca="1">'Debt worksheet'!Z8</f>
        <v>2624561371.0812254</v>
      </c>
      <c r="Z9" s="1">
        <f ca="1">'Debt worksheet'!AA8</f>
        <v>2874621041.8728352</v>
      </c>
      <c r="AA9" s="1">
        <f ca="1">'Debt worksheet'!AB8</f>
        <v>3119811768.6063242</v>
      </c>
      <c r="AB9" s="1">
        <f ca="1">'Debt worksheet'!AC8</f>
        <v>3357285931.9580154</v>
      </c>
      <c r="AC9" s="1">
        <f ca="1">'Debt worksheet'!AD8</f>
        <v>3592217802.7192607</v>
      </c>
      <c r="AD9" s="1">
        <f ca="1">'Debt worksheet'!AE8</f>
        <v>3822505267.8830328</v>
      </c>
      <c r="AE9" s="1">
        <f ca="1">'Debt worksheet'!AF8</f>
        <v>4055287809.938086</v>
      </c>
      <c r="AF9" s="1">
        <f ca="1">'Debt worksheet'!AG8</f>
        <v>4319509571.1684875</v>
      </c>
      <c r="AG9" s="1">
        <f ca="1">'Debt worksheet'!AH8</f>
        <v>4586825257.3959751</v>
      </c>
      <c r="AH9" s="1">
        <f ca="1">'Debt worksheet'!AI8</f>
        <v>4845233008.3345528</v>
      </c>
      <c r="AI9" s="1">
        <f ca="1">'Debt worksheet'!AJ8</f>
        <v>4556817658.6298609</v>
      </c>
      <c r="AJ9" s="1">
        <f ca="1">'Debt worksheet'!AK8</f>
        <v>4257481261.9936996</v>
      </c>
      <c r="AK9" s="1">
        <f ca="1">'Debt worksheet'!AL8</f>
        <v>3947014590.107832</v>
      </c>
      <c r="AL9" s="1">
        <f ca="1">'Debt worksheet'!AM8</f>
        <v>3625210040.4530249</v>
      </c>
      <c r="AM9" s="1">
        <f ca="1">'Debt worksheet'!AN8</f>
        <v>3291862065.5240951</v>
      </c>
      <c r="AN9" s="1">
        <f ca="1">'Debt worksheet'!AO8</f>
        <v>2946767632.1098638</v>
      </c>
      <c r="AO9" s="1">
        <f ca="1">'Debt worksheet'!AP8</f>
        <v>2589726712.3067441</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10912989.973071225</v>
      </c>
      <c r="G3" s="77">
        <f ca="1">'Profit and Loss'!G7</f>
        <v>18728073.385709733</v>
      </c>
      <c r="H3" s="77">
        <f ca="1">'Profit and Loss'!H7</f>
        <v>26701342.117192119</v>
      </c>
      <c r="I3" s="77">
        <f ca="1">'Profit and Loss'!I7</f>
        <v>30859755.470211603</v>
      </c>
      <c r="J3" s="77">
        <f ca="1">'Profit and Loss'!J7</f>
        <v>34793361.943503886</v>
      </c>
      <c r="K3" s="77">
        <f ca="1">'Profit and Loss'!K7</f>
        <v>39054379.055889569</v>
      </c>
      <c r="L3" s="77">
        <f ca="1">'Profit and Loss'!L7</f>
        <v>40413087.477378495</v>
      </c>
      <c r="M3" s="77">
        <f ca="1">'Profit and Loss'!M7</f>
        <v>41598507.476445027</v>
      </c>
      <c r="N3" s="77">
        <f ca="1">'Profit and Loss'!N7</f>
        <v>43131453.958687253</v>
      </c>
      <c r="O3" s="77">
        <f ca="1">'Profit and Loss'!O7</f>
        <v>45039918.330109909</v>
      </c>
      <c r="P3" s="77">
        <f ca="1">'Profit and Loss'!P7</f>
        <v>59712609.244356714</v>
      </c>
      <c r="Q3" s="77">
        <f ca="1">'Profit and Loss'!Q7</f>
        <v>75435609.532902434</v>
      </c>
      <c r="R3" s="77">
        <f ca="1">'Profit and Loss'!R7</f>
        <v>87110717.938087448</v>
      </c>
      <c r="S3" s="77">
        <f ca="1">'Profit and Loss'!S7</f>
        <v>97490885.514053971</v>
      </c>
      <c r="T3" s="77">
        <f ca="1">'Profit and Loss'!T7</f>
        <v>105772127.06141847</v>
      </c>
      <c r="U3" s="77">
        <f ca="1">'Profit and Loss'!U7</f>
        <v>111119281.81391867</v>
      </c>
      <c r="V3" s="77">
        <f ca="1">'Profit and Loss'!V7</f>
        <v>117694791.87984766</v>
      </c>
      <c r="W3" s="77">
        <f ca="1">'Profit and Loss'!W7</f>
        <v>120910548.03602186</v>
      </c>
      <c r="X3" s="77">
        <f ca="1">'Profit and Loss'!X7</f>
        <v>127339547.1127485</v>
      </c>
      <c r="Y3" s="77">
        <f ca="1">'Profit and Loss'!Y7</f>
        <v>134677295.61994576</v>
      </c>
      <c r="Z3" s="77">
        <f ca="1">'Profit and Loss'!Z7</f>
        <v>155291302.91915411</v>
      </c>
      <c r="AA3" s="77">
        <f ca="1">'Profit and Loss'!AA7</f>
        <v>174034720.19368565</v>
      </c>
      <c r="AB3" s="77">
        <f ca="1">'Profit and Loss'!AB7</f>
        <v>189520639.67602342</v>
      </c>
      <c r="AC3" s="77">
        <f ca="1">'Profit and Loss'!AC7</f>
        <v>208078016.90819606</v>
      </c>
      <c r="AD3" s="77">
        <f ca="1">'Profit and Loss'!AD7</f>
        <v>221688136.39022511</v>
      </c>
      <c r="AE3" s="77">
        <f ca="1">'Profit and Loss'!AE7</f>
        <v>237630530.75661877</v>
      </c>
      <c r="AF3" s="77">
        <f ca="1">'Profit and Loss'!AF7</f>
        <v>246666722.8779836</v>
      </c>
      <c r="AG3" s="77">
        <f ca="1">'Profit and Loss'!AG7</f>
        <v>226995135.90193951</v>
      </c>
      <c r="AH3" s="77">
        <f ca="1">'Profit and Loss'!AH7</f>
        <v>235908248.58207288</v>
      </c>
      <c r="AI3" s="77">
        <f ca="1">'Profit and Loss'!AI7</f>
        <v>257065623.15094492</v>
      </c>
      <c r="AJ3" s="77">
        <f ca="1">'Profit and Loss'!AJ7</f>
        <v>266466820.81964499</v>
      </c>
      <c r="AK3" s="77">
        <f ca="1">'Profit and Loss'!AK7</f>
        <v>276019683.35775822</v>
      </c>
      <c r="AL3" s="77">
        <f ca="1">'Profit and Loss'!AL7</f>
        <v>285720670.76485872</v>
      </c>
      <c r="AM3" s="77">
        <f ca="1">'Profit and Loss'!AM7</f>
        <v>295565757.2737599</v>
      </c>
      <c r="AN3" s="77">
        <f ca="1">'Profit and Loss'!AN7</f>
        <v>305550399.88279635</v>
      </c>
      <c r="AO3" s="77">
        <f ca="1">'Profit and Loss'!AO7</f>
        <v>315669505.19757497</v>
      </c>
      <c r="AP3" s="77">
        <f ca="1">'Profit and Loss'!AP7</f>
        <v>325917394.49840373</v>
      </c>
    </row>
    <row r="4" spans="1:42" x14ac:dyDescent="0.35">
      <c r="A4" t="s">
        <v>401</v>
      </c>
      <c r="C4" s="162"/>
      <c r="D4" s="162"/>
      <c r="E4" s="162"/>
      <c r="F4" s="77">
        <f>Depreciation!F6+Depreciation!F7</f>
        <v>66529570.650505967</v>
      </c>
      <c r="G4" s="77">
        <f>Depreciation!G6+Depreciation!G7</f>
        <v>71063598.560761809</v>
      </c>
      <c r="H4" s="77">
        <f>Depreciation!H6+Depreciation!H7</f>
        <v>75665468.146998525</v>
      </c>
      <c r="I4" s="77">
        <f>Depreciation!I6+Depreciation!I7</f>
        <v>80338721.71150744</v>
      </c>
      <c r="J4" s="77">
        <f>Depreciation!J6+Depreciation!J7</f>
        <v>85086945.212294415</v>
      </c>
      <c r="K4" s="77">
        <f>Depreciation!K6+Depreciation!K7</f>
        <v>89913770.619160116</v>
      </c>
      <c r="L4" s="77">
        <f>Depreciation!L6+Depreciation!L7</f>
        <v>94822878.280813515</v>
      </c>
      <c r="M4" s="77">
        <f>Depreciation!M6+Depreciation!M7</f>
        <v>99879077.087162808</v>
      </c>
      <c r="N4" s="77">
        <f>Depreciation!N6+Depreciation!N7</f>
        <v>105086529.61345688</v>
      </c>
      <c r="O4" s="77">
        <f>Depreciation!O6+Depreciation!O7</f>
        <v>110449510.41508275</v>
      </c>
      <c r="P4" s="77">
        <f>Depreciation!P6+Depreciation!P7</f>
        <v>119286528.58068885</v>
      </c>
      <c r="Q4" s="77">
        <f>Depreciation!Q6+Depreciation!Q7</f>
        <v>128385501.80146205</v>
      </c>
      <c r="R4" s="77">
        <f>Depreciation!R6+Depreciation!R7</f>
        <v>137791293.96250901</v>
      </c>
      <c r="S4" s="77">
        <f>Depreciation!S6+Depreciation!S7</f>
        <v>147512718.28736731</v>
      </c>
      <c r="T4" s="77">
        <f>Depreciation!T6+Depreciation!T7</f>
        <v>157558819.04773301</v>
      </c>
      <c r="U4" s="77">
        <f>Depreciation!U6+Depreciation!U7</f>
        <v>167938877.04365444</v>
      </c>
      <c r="V4" s="77">
        <f>Depreciation!V6+Depreciation!V7</f>
        <v>178662415.19353995</v>
      </c>
      <c r="W4" s="77">
        <f>Depreciation!W6+Depreciation!W7</f>
        <v>189861463.11802703</v>
      </c>
      <c r="X4" s="77">
        <f>Depreciation!X6+Depreciation!X7</f>
        <v>201554426.62824082</v>
      </c>
      <c r="Y4" s="77">
        <f>Depreciation!Y6+Depreciation!Y7</f>
        <v>213760374.54083458</v>
      </c>
      <c r="Z4" s="77">
        <f>Depreciation!Z6+Depreciation!Z7</f>
        <v>230294586.9574942</v>
      </c>
      <c r="AA4" s="77">
        <f>Depreciation!AA6+Depreciation!AA7</f>
        <v>247598493.83182526</v>
      </c>
      <c r="AB4" s="77">
        <f>Depreciation!AB6+Depreciation!AB7</f>
        <v>265702548.93449903</v>
      </c>
      <c r="AC4" s="77">
        <f>Depreciation!AC6+Depreciation!AC7</f>
        <v>284638316.59702951</v>
      </c>
      <c r="AD4" s="77">
        <f>Depreciation!AD6+Depreciation!AD7</f>
        <v>304438510.26044208</v>
      </c>
      <c r="AE4" s="77">
        <f>Depreciation!AE6+Depreciation!AE7</f>
        <v>325137032.31823581</v>
      </c>
      <c r="AF4" s="77">
        <f>Depreciation!AF6+Depreciation!AF7</f>
        <v>346769015.29606283</v>
      </c>
      <c r="AG4" s="77">
        <f>Depreciation!AG6+Depreciation!AG7</f>
        <v>369370864.41191465</v>
      </c>
      <c r="AH4" s="77">
        <f>Depreciation!AH6+Depreciation!AH7</f>
        <v>392980301.56201136</v>
      </c>
      <c r="AI4" s="77">
        <f>Depreciation!AI6+Depreciation!AI7</f>
        <v>417636410.77904487</v>
      </c>
      <c r="AJ4" s="77">
        <f>Depreciation!AJ6+Depreciation!AJ7</f>
        <v>430165503.10241628</v>
      </c>
      <c r="AK4" s="77">
        <f>Depreciation!AK6+Depreciation!AK7</f>
        <v>443070468.19548881</v>
      </c>
      <c r="AL4" s="77">
        <f>Depreciation!AL6+Depreciation!AL7</f>
        <v>456362582.24135345</v>
      </c>
      <c r="AM4" s="77">
        <f>Depreciation!AM6+Depreciation!AM7</f>
        <v>470053459.70859402</v>
      </c>
      <c r="AN4" s="77">
        <f>Depreciation!AN6+Depreciation!AN7</f>
        <v>484155063.49985182</v>
      </c>
      <c r="AO4" s="77">
        <f>Depreciation!AO6+Depreciation!AO7</f>
        <v>498679715.40484744</v>
      </c>
      <c r="AP4" s="77">
        <f>Depreciation!AP6+Depreciation!AP7</f>
        <v>513640106.86699289</v>
      </c>
    </row>
    <row r="5" spans="1:42" x14ac:dyDescent="0.35">
      <c r="A5" t="s">
        <v>420</v>
      </c>
      <c r="C5" s="162"/>
      <c r="D5" s="162"/>
      <c r="E5" s="162"/>
      <c r="F5" s="77">
        <f t="shared" ref="F5:AF5" ca="1" si="1">F4+F3</f>
        <v>77442560.623577192</v>
      </c>
      <c r="G5" s="77">
        <f ca="1">G4+G3</f>
        <v>89791671.946471542</v>
      </c>
      <c r="H5" s="77">
        <f t="shared" ca="1" si="1"/>
        <v>102366810.26419064</v>
      </c>
      <c r="I5" s="77">
        <f t="shared" ca="1" si="1"/>
        <v>111198477.18171903</v>
      </c>
      <c r="J5" s="77">
        <f t="shared" ca="1" si="1"/>
        <v>119880307.1557983</v>
      </c>
      <c r="K5" s="77">
        <f t="shared" ca="1" si="1"/>
        <v>128968149.67504969</v>
      </c>
      <c r="L5" s="77">
        <f t="shared" ca="1" si="1"/>
        <v>135235965.758192</v>
      </c>
      <c r="M5" s="77">
        <f t="shared" ca="1" si="1"/>
        <v>141477584.56360784</v>
      </c>
      <c r="N5" s="77">
        <f t="shared" ca="1" si="1"/>
        <v>148217983.57214412</v>
      </c>
      <c r="O5" s="77">
        <f t="shared" ca="1" si="1"/>
        <v>155489428.74519265</v>
      </c>
      <c r="P5" s="77">
        <f t="shared" ca="1" si="1"/>
        <v>178999137.82504556</v>
      </c>
      <c r="Q5" s="77">
        <f t="shared" ca="1" si="1"/>
        <v>203821111.33436447</v>
      </c>
      <c r="R5" s="77">
        <f t="shared" ca="1" si="1"/>
        <v>224902011.90059644</v>
      </c>
      <c r="S5" s="77">
        <f t="shared" ca="1" si="1"/>
        <v>245003603.80142128</v>
      </c>
      <c r="T5" s="77">
        <f t="shared" ca="1" si="1"/>
        <v>263330946.10915148</v>
      </c>
      <c r="U5" s="77">
        <f t="shared" ca="1" si="1"/>
        <v>279058158.85757309</v>
      </c>
      <c r="V5" s="77">
        <f t="shared" ca="1" si="1"/>
        <v>296357207.07338762</v>
      </c>
      <c r="W5" s="77">
        <f t="shared" ca="1" si="1"/>
        <v>310772011.15404892</v>
      </c>
      <c r="X5" s="77">
        <f t="shared" ca="1" si="1"/>
        <v>328893973.74098933</v>
      </c>
      <c r="Y5" s="77">
        <f t="shared" ca="1" si="1"/>
        <v>348437670.16078031</v>
      </c>
      <c r="Z5" s="77">
        <f t="shared" ca="1" si="1"/>
        <v>385585889.87664831</v>
      </c>
      <c r="AA5" s="77">
        <f t="shared" ca="1" si="1"/>
        <v>421633214.02551091</v>
      </c>
      <c r="AB5" s="77">
        <f t="shared" ca="1" si="1"/>
        <v>455223188.61052245</v>
      </c>
      <c r="AC5" s="77">
        <f t="shared" ca="1" si="1"/>
        <v>492716333.50522554</v>
      </c>
      <c r="AD5" s="77">
        <f t="shared" ca="1" si="1"/>
        <v>526126646.65066719</v>
      </c>
      <c r="AE5" s="77">
        <f t="shared" ca="1" si="1"/>
        <v>562767563.07485461</v>
      </c>
      <c r="AF5" s="77">
        <f t="shared" ca="1" si="1"/>
        <v>593435738.1740464</v>
      </c>
      <c r="AG5" s="77">
        <f t="shared" ref="AG5:AP5" ca="1" si="2">AG4+AG3</f>
        <v>596366000.31385422</v>
      </c>
      <c r="AH5" s="77">
        <f t="shared" ca="1" si="2"/>
        <v>628888550.14408422</v>
      </c>
      <c r="AI5" s="77">
        <f t="shared" ca="1" si="2"/>
        <v>674702033.92998981</v>
      </c>
      <c r="AJ5" s="77">
        <f t="shared" ca="1" si="2"/>
        <v>696632323.9220612</v>
      </c>
      <c r="AK5" s="77">
        <f t="shared" ca="1" si="2"/>
        <v>719090151.55324697</v>
      </c>
      <c r="AL5" s="77">
        <f t="shared" ca="1" si="2"/>
        <v>742083253.00621223</v>
      </c>
      <c r="AM5" s="77">
        <f t="shared" ca="1" si="2"/>
        <v>765619216.98235393</v>
      </c>
      <c r="AN5" s="77">
        <f t="shared" ca="1" si="2"/>
        <v>789705463.38264823</v>
      </c>
      <c r="AO5" s="77">
        <f t="shared" ca="1" si="2"/>
        <v>814349220.60242248</v>
      </c>
      <c r="AP5" s="77">
        <f t="shared" ca="1" si="2"/>
        <v>839557501.36539662</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2794035.8252638299</v>
      </c>
      <c r="G7" s="77">
        <f>IF(AND(G1&lt;Assumptions!$B$77+Assumptions!$B$82,G1&gt;=Assumptions!$B$77),Assumptions!$B$78/Assumptions!$B$82,0)</f>
        <v>2794035.8252638299</v>
      </c>
      <c r="H7" s="77">
        <f>IF(AND(H1&lt;Assumptions!$B$77+Assumptions!$B$82,H1&gt;=Assumptions!$B$77),Assumptions!$B$78/Assumptions!$B$82,0)</f>
        <v>2794035.8252638299</v>
      </c>
      <c r="I7" s="77">
        <f>IF(AND(I1&lt;Assumptions!$B$77+Assumptions!$B$82,I1&gt;=Assumptions!$B$77),Assumptions!$B$78/Assumptions!$B$82,0)</f>
        <v>2794035.8252638299</v>
      </c>
      <c r="J7" s="77">
        <f>IF(AND(J1&lt;Assumptions!$B$77+Assumptions!$B$82,J1&gt;=Assumptions!$B$77),Assumptions!$B$78/Assumptions!$B$82,0)</f>
        <v>2794035.8252638299</v>
      </c>
      <c r="K7" s="77">
        <f>IF(AND(K1&lt;Assumptions!$B$77+Assumptions!$B$82,K1&gt;=Assumptions!$B$77),Assumptions!$B$78/Assumptions!$B$82,0)</f>
        <v>2794035.8252638299</v>
      </c>
      <c r="L7" s="77">
        <f>IF(AND(L1&lt;Assumptions!$B$77+Assumptions!$B$82,L1&gt;=Assumptions!$B$77),Assumptions!$B$78/Assumptions!$B$82,0)</f>
        <v>2794035.8252638299</v>
      </c>
      <c r="M7" s="77">
        <f>IF(AND(M1&lt;Assumptions!$B$77+Assumptions!$B$82,M1&gt;=Assumptions!$B$77),Assumptions!$B$78/Assumptions!$B$82,0)</f>
        <v>2794035.8252638299</v>
      </c>
      <c r="N7" s="77">
        <f>IF(AND(N1&lt;Assumptions!$B$77+Assumptions!$B$82,N1&gt;=Assumptions!$B$77),Assumptions!$B$78/Assumptions!$B$82,0)</f>
        <v>2794035.8252638299</v>
      </c>
      <c r="O7" s="77">
        <f>IF(AND(O1&lt;Assumptions!$B$77+Assumptions!$B$82,O1&gt;=Assumptions!$B$77),Assumptions!$B$78/Assumptions!$B$82,0)</f>
        <v>2794035.8252638299</v>
      </c>
      <c r="P7" s="77">
        <f>IF(AND(P1&lt;Assumptions!$B$77+Assumptions!$B$82,P1&gt;=Assumptions!$B$77),Assumptions!$B$78/Assumptions!$B$82,0)</f>
        <v>2794035.8252638299</v>
      </c>
      <c r="Q7" s="77">
        <f>IF(AND(Q1&lt;Assumptions!$B$77+Assumptions!$B$82,Q1&gt;=Assumptions!$B$77),Assumptions!$B$78/Assumptions!$B$82,0)</f>
        <v>2794035.8252638299</v>
      </c>
      <c r="R7" s="77">
        <f>IF(AND(R1&lt;Assumptions!$B$77+Assumptions!$B$82,R1&gt;=Assumptions!$B$77),Assumptions!$B$78/Assumptions!$B$82,0)</f>
        <v>2794035.8252638299</v>
      </c>
      <c r="S7" s="77">
        <f>IF(AND(S1&lt;Assumptions!$B$77+Assumptions!$B$82,S1&gt;=Assumptions!$B$77),Assumptions!$B$78/Assumptions!$B$82,0)</f>
        <v>2794035.8252638299</v>
      </c>
      <c r="T7" s="77">
        <f>IF(AND(T1&lt;Assumptions!$B$77+Assumptions!$B$82,T1&gt;=Assumptions!$B$77),Assumptions!$B$78/Assumptions!$B$82,0)</f>
        <v>2794035.8252638299</v>
      </c>
      <c r="U7" s="77">
        <f>IF(AND(U1&lt;Assumptions!$B$77+Assumptions!$B$82,U1&gt;=Assumptions!$B$77),Assumptions!$B$78/Assumptions!$B$82,0)</f>
        <v>2794035.8252638299</v>
      </c>
      <c r="V7" s="77">
        <f>IF(AND(V1&lt;Assumptions!$B$77+Assumptions!$B$82,V1&gt;=Assumptions!$B$77),Assumptions!$B$78/Assumptions!$B$82,0)</f>
        <v>2794035.8252638299</v>
      </c>
      <c r="W7" s="77">
        <f>IF(AND(W1&lt;Assumptions!$B$77+Assumptions!$B$82,W1&gt;=Assumptions!$B$77),Assumptions!$B$78/Assumptions!$B$82,0)</f>
        <v>2794035.8252638299</v>
      </c>
      <c r="X7" s="77">
        <f>IF(AND(X1&lt;Assumptions!$B$77+Assumptions!$B$82,X1&gt;=Assumptions!$B$77),Assumptions!$B$78/Assumptions!$B$82,0)</f>
        <v>2794035.8252638299</v>
      </c>
      <c r="Y7" s="77">
        <f>IF(AND(Y1&lt;Assumptions!$B$77+Assumptions!$B$82,Y1&gt;=Assumptions!$B$77),Assumptions!$B$78/Assumptions!$B$82,0)</f>
        <v>2794035.8252638299</v>
      </c>
      <c r="Z7" s="77">
        <f>IF(AND(Z1&lt;Assumptions!$B$77+Assumptions!$B$82,Z1&gt;=Assumptions!$B$77),Assumptions!$B$78/Assumptions!$B$82,0)</f>
        <v>2794035.8252638299</v>
      </c>
      <c r="AA7" s="77">
        <f>IF(AND(AA1&lt;Assumptions!$B$77+Assumptions!$B$82,AA1&gt;=Assumptions!$B$77),Assumptions!$B$78/Assumptions!$B$82,0)</f>
        <v>2794035.8252638299</v>
      </c>
      <c r="AB7" s="77">
        <f>IF(AND(AB1&lt;Assumptions!$B$77+Assumptions!$B$82,AB1&gt;=Assumptions!$B$77),Assumptions!$B$78/Assumptions!$B$82,0)</f>
        <v>2794035.8252638299</v>
      </c>
      <c r="AC7" s="77">
        <f>IF(AND(AC1&lt;Assumptions!$B$77+Assumptions!$B$82,AC1&gt;=Assumptions!$B$77),Assumptions!$B$78/Assumptions!$B$82,0)</f>
        <v>2794035.8252638299</v>
      </c>
      <c r="AD7" s="77">
        <f>IF(AND(AD1&lt;Assumptions!$B$77+Assumptions!$B$82,AD1&gt;=Assumptions!$B$77),Assumptions!$B$78/Assumptions!$B$82,0)</f>
        <v>2794035.8252638299</v>
      </c>
      <c r="AE7" s="77">
        <f>IF(AND(AE1&lt;Assumptions!$B$77+Assumptions!$B$82,AE1&gt;=Assumptions!$B$77),Assumptions!$B$78/Assumptions!$B$82,0)</f>
        <v>2794035.8252638299</v>
      </c>
      <c r="AF7" s="77">
        <f>IF(AND(AF1&lt;Assumptions!$B$77+Assumptions!$B$82,AF1&gt;=Assumptions!$B$77),Assumptions!$B$78/Assumptions!$B$82,0)</f>
        <v>2794035.8252638299</v>
      </c>
      <c r="AG7" s="77">
        <f>IF(AND(AG1&lt;Assumptions!$B$77+Assumptions!$B$82,AG1&gt;=Assumptions!$B$77),Assumptions!$B$78/Assumptions!$B$82,0)</f>
        <v>2794035.8252638299</v>
      </c>
      <c r="AH7" s="77">
        <f>IF(AND(AH1&lt;Assumptions!$B$77+Assumptions!$B$82,AH1&gt;=Assumptions!$B$77),Assumptions!$B$78/Assumptions!$B$82,0)</f>
        <v>2794035.8252638299</v>
      </c>
      <c r="AI7" s="77">
        <f>IF(AND(AI1&lt;Assumptions!$B$77+Assumptions!$B$82,AI1&gt;=Assumptions!$B$77),Assumptions!$B$78/Assumptions!$B$82,0)</f>
        <v>2794035.8252638299</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169266475.32829943</v>
      </c>
      <c r="G8" s="6">
        <f>Investment!G30</f>
        <v>176579761.28561181</v>
      </c>
      <c r="H8" s="6">
        <f>Investment!H30</f>
        <v>178198019.97845197</v>
      </c>
      <c r="I8" s="6">
        <f>Investment!I30</f>
        <v>179934720.45005733</v>
      </c>
      <c r="J8" s="6">
        <f>Investment!J30</f>
        <v>181790489.35477841</v>
      </c>
      <c r="K8" s="6">
        <f>Investment!K30</f>
        <v>183766019.61144823</v>
      </c>
      <c r="L8" s="6">
        <f>Investment!L30</f>
        <v>185862069.97094962</v>
      </c>
      <c r="M8" s="6">
        <f>Investment!M30</f>
        <v>190684630.09358764</v>
      </c>
      <c r="N8" s="6">
        <f>Investment!N30</f>
        <v>195629165.03769442</v>
      </c>
      <c r="O8" s="6">
        <f>Investment!O30</f>
        <v>200698628.18288046</v>
      </c>
      <c r="P8" s="6">
        <f>Investment!P30</f>
        <v>347237460.49197263</v>
      </c>
      <c r="Q8" s="6">
        <f>Investment!Q30</f>
        <v>355824706.7233693</v>
      </c>
      <c r="R8" s="6">
        <f>Investment!R30</f>
        <v>366224224.22659606</v>
      </c>
      <c r="S8" s="6">
        <f>Investment!S30</f>
        <v>376884985.17085421</v>
      </c>
      <c r="T8" s="6">
        <f>Investment!T30</f>
        <v>387812935.0701924</v>
      </c>
      <c r="U8" s="6">
        <f>Investment!U30</f>
        <v>399014134.74646926</v>
      </c>
      <c r="V8" s="6">
        <f>Investment!V30</f>
        <v>410494761.78017926</v>
      </c>
      <c r="W8" s="6">
        <f>Investment!W30</f>
        <v>427473829.1156199</v>
      </c>
      <c r="X8" s="6">
        <f>Investment!X30</f>
        <v>445067551.19131911</v>
      </c>
      <c r="Y8" s="6">
        <f>Investment!Y30</f>
        <v>463296651.15105712</v>
      </c>
      <c r="Z8" s="6">
        <f>Investment!Z30</f>
        <v>643992644.98982215</v>
      </c>
      <c r="AA8" s="6">
        <f>Investment!AA30</f>
        <v>671692884.81712067</v>
      </c>
      <c r="AB8" s="6">
        <f>Investment!AB30</f>
        <v>700413915.34401155</v>
      </c>
      <c r="AC8" s="6">
        <f>Investment!AC30</f>
        <v>730190496.8569169</v>
      </c>
      <c r="AD8" s="6">
        <f>Investment!AD30</f>
        <v>761058517.41191268</v>
      </c>
      <c r="AE8" s="6">
        <f>Investment!AE30</f>
        <v>793055028.23862672</v>
      </c>
      <c r="AF8" s="6">
        <f>Investment!AF30</f>
        <v>826218280.22909975</v>
      </c>
      <c r="AG8" s="6">
        <f>Investment!AG30</f>
        <v>860587761.54425538</v>
      </c>
      <c r="AH8" s="6">
        <f>Investment!AH30</f>
        <v>896204236.37157238</v>
      </c>
      <c r="AI8" s="6">
        <f>Investment!AI30</f>
        <v>933109784.86856723</v>
      </c>
      <c r="AJ8" s="6">
        <f>Investment!AJ30</f>
        <v>408216974.21736908</v>
      </c>
      <c r="AK8" s="6">
        <f>Investment!AK30</f>
        <v>419753754.91708547</v>
      </c>
      <c r="AL8" s="6">
        <f>Investment!AL30</f>
        <v>431616581.12034458</v>
      </c>
      <c r="AM8" s="6">
        <f>Investment!AM30</f>
        <v>443814667.32754683</v>
      </c>
      <c r="AN8" s="6">
        <f>Investment!AN30</f>
        <v>456357488.45371854</v>
      </c>
      <c r="AO8" s="6">
        <f>Investment!AO30</f>
        <v>469254787.18819118</v>
      </c>
      <c r="AP8" s="6">
        <f>Investment!AP30</f>
        <v>482516581.56227708</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-94617950.529986069</v>
      </c>
      <c r="G10" s="1">
        <f ca="1">G5-G7-G8</f>
        <v>-89582125.164404094</v>
      </c>
      <c r="H10" s="1">
        <f t="shared" ca="1" si="3"/>
        <v>-78625245.539525151</v>
      </c>
      <c r="I10" s="1">
        <f t="shared" ca="1" si="3"/>
        <v>-71530279.093602121</v>
      </c>
      <c r="J10" s="1">
        <f t="shared" ca="1" si="3"/>
        <v>-64704218.024243936</v>
      </c>
      <c r="K10" s="1">
        <f t="shared" ca="1" si="3"/>
        <v>-57591905.761662364</v>
      </c>
      <c r="L10" s="1">
        <f t="shared" ca="1" si="3"/>
        <v>-53420140.038021445</v>
      </c>
      <c r="M10" s="1">
        <f t="shared" ca="1" si="3"/>
        <v>-52001081.355243623</v>
      </c>
      <c r="N10" s="1">
        <f t="shared" ca="1" si="3"/>
        <v>-50205217.290814131</v>
      </c>
      <c r="O10" s="1">
        <f t="shared" ca="1" si="3"/>
        <v>-48003235.262951642</v>
      </c>
      <c r="P10" s="1">
        <f t="shared" ca="1" si="3"/>
        <v>-171032358.4921909</v>
      </c>
      <c r="Q10" s="1">
        <f t="shared" ca="1" si="3"/>
        <v>-154797631.21426865</v>
      </c>
      <c r="R10" s="1">
        <f t="shared" ca="1" si="3"/>
        <v>-144116248.15126345</v>
      </c>
      <c r="S10" s="1">
        <f t="shared" ca="1" si="3"/>
        <v>-134675417.19469675</v>
      </c>
      <c r="T10" s="1">
        <f t="shared" ca="1" si="3"/>
        <v>-127276024.78630474</v>
      </c>
      <c r="U10" s="1">
        <f t="shared" ca="1" si="3"/>
        <v>-122750011.71416003</v>
      </c>
      <c r="V10" s="1">
        <f t="shared" ca="1" si="3"/>
        <v>-116931590.5320555</v>
      </c>
      <c r="W10" s="1">
        <f t="shared" ca="1" si="3"/>
        <v>-119495853.78683484</v>
      </c>
      <c r="X10" s="1">
        <f t="shared" ca="1" si="3"/>
        <v>-118967613.27559364</v>
      </c>
      <c r="Y10" s="1">
        <f t="shared" ca="1" si="3"/>
        <v>-117653016.81554067</v>
      </c>
      <c r="Z10" s="1">
        <f t="shared" ca="1" si="3"/>
        <v>-261200790.9384377</v>
      </c>
      <c r="AA10" s="1">
        <f t="shared" ca="1" si="3"/>
        <v>-252853706.61687362</v>
      </c>
      <c r="AB10" s="1">
        <f t="shared" ca="1" si="3"/>
        <v>-247984762.55875295</v>
      </c>
      <c r="AC10" s="1">
        <f t="shared" ca="1" si="3"/>
        <v>-240268199.17695522</v>
      </c>
      <c r="AD10" s="1">
        <f t="shared" ca="1" si="3"/>
        <v>-237725906.58650935</v>
      </c>
      <c r="AE10" s="1">
        <f t="shared" ca="1" si="3"/>
        <v>-233081500.98903596</v>
      </c>
      <c r="AF10" s="1">
        <f t="shared" ca="1" si="3"/>
        <v>-235576577.88031721</v>
      </c>
      <c r="AG10" s="1">
        <f t="shared" ca="1" si="3"/>
        <v>-267015797.05566502</v>
      </c>
      <c r="AH10" s="1">
        <f t="shared" ca="1" si="3"/>
        <v>-270109722.05275202</v>
      </c>
      <c r="AI10" s="1">
        <f t="shared" ca="1" si="3"/>
        <v>-261201786.76384127</v>
      </c>
      <c r="AJ10" s="1">
        <f t="shared" ca="1" si="3"/>
        <v>288415349.70469213</v>
      </c>
      <c r="AK10" s="1">
        <f t="shared" ca="1" si="3"/>
        <v>299336396.63616151</v>
      </c>
      <c r="AL10" s="1">
        <f t="shared" ca="1" si="3"/>
        <v>310466671.88586766</v>
      </c>
      <c r="AM10" s="1">
        <f t="shared" ca="1" si="3"/>
        <v>321804549.65480709</v>
      </c>
      <c r="AN10" s="1">
        <f t="shared" ca="1" si="3"/>
        <v>333347974.92892969</v>
      </c>
      <c r="AO10" s="1">
        <f t="shared" ca="1" si="3"/>
        <v>345094433.4142313</v>
      </c>
      <c r="AP10" s="1">
        <f t="shared" ca="1" si="3"/>
        <v>357040919.80311954</v>
      </c>
    </row>
    <row r="11" spans="1:42" x14ac:dyDescent="0.35">
      <c r="A11" t="s">
        <v>424</v>
      </c>
      <c r="C11" s="157"/>
      <c r="D11" s="157"/>
      <c r="E11" s="157"/>
      <c r="F11" s="1">
        <f t="shared" ref="F11:AF11" ca="1" si="4">F10</f>
        <v>-94617950.529986069</v>
      </c>
      <c r="G11" s="1">
        <f ca="1">G10</f>
        <v>-89582125.164404094</v>
      </c>
      <c r="H11" s="1">
        <f t="shared" ca="1" si="4"/>
        <v>-78625245.539525151</v>
      </c>
      <c r="I11" s="1">
        <f t="shared" ca="1" si="4"/>
        <v>-71530279.093602121</v>
      </c>
      <c r="J11" s="1">
        <f t="shared" ca="1" si="4"/>
        <v>-64704218.024243936</v>
      </c>
      <c r="K11" s="1">
        <f t="shared" ca="1" si="4"/>
        <v>-57591905.761662364</v>
      </c>
      <c r="L11" s="1">
        <f t="shared" ca="1" si="4"/>
        <v>-53420140.038021445</v>
      </c>
      <c r="M11" s="1">
        <f t="shared" ca="1" si="4"/>
        <v>-52001081.355243623</v>
      </c>
      <c r="N11" s="1">
        <f t="shared" ca="1" si="4"/>
        <v>-50205217.290814131</v>
      </c>
      <c r="O11" s="1">
        <f t="shared" ca="1" si="4"/>
        <v>-48003235.262951642</v>
      </c>
      <c r="P11" s="1">
        <f t="shared" ca="1" si="4"/>
        <v>-171032358.4921909</v>
      </c>
      <c r="Q11" s="1">
        <f t="shared" ca="1" si="4"/>
        <v>-154797631.21426865</v>
      </c>
      <c r="R11" s="1">
        <f t="shared" ca="1" si="4"/>
        <v>-144116248.15126345</v>
      </c>
      <c r="S11" s="1">
        <f t="shared" ca="1" si="4"/>
        <v>-134675417.19469675</v>
      </c>
      <c r="T11" s="1">
        <f t="shared" ca="1" si="4"/>
        <v>-127276024.78630474</v>
      </c>
      <c r="U11" s="1">
        <f t="shared" ca="1" si="4"/>
        <v>-122750011.71416003</v>
      </c>
      <c r="V11" s="1">
        <f t="shared" ca="1" si="4"/>
        <v>-116931590.5320555</v>
      </c>
      <c r="W11" s="1">
        <f t="shared" ca="1" si="4"/>
        <v>-119495853.78683484</v>
      </c>
      <c r="X11" s="1">
        <f t="shared" ca="1" si="4"/>
        <v>-118967613.27559364</v>
      </c>
      <c r="Y11" s="1">
        <f t="shared" ca="1" si="4"/>
        <v>-117653016.81554067</v>
      </c>
      <c r="Z11" s="1">
        <f t="shared" ca="1" si="4"/>
        <v>-261200790.9384377</v>
      </c>
      <c r="AA11" s="1">
        <f t="shared" ca="1" si="4"/>
        <v>-252853706.61687362</v>
      </c>
      <c r="AB11" s="1">
        <f t="shared" ca="1" si="4"/>
        <v>-247984762.55875295</v>
      </c>
      <c r="AC11" s="1">
        <f t="shared" ca="1" si="4"/>
        <v>-240268199.17695522</v>
      </c>
      <c r="AD11" s="1">
        <f t="shared" ca="1" si="4"/>
        <v>-237725906.58650935</v>
      </c>
      <c r="AE11" s="1">
        <f t="shared" ca="1" si="4"/>
        <v>-233081500.98903596</v>
      </c>
      <c r="AF11" s="1">
        <f t="shared" ca="1" si="4"/>
        <v>-235576577.88031721</v>
      </c>
      <c r="AG11" s="1">
        <f t="shared" ref="AG11:AP11" ca="1" si="5">AG10</f>
        <v>-267015797.05566502</v>
      </c>
      <c r="AH11" s="1">
        <f t="shared" ca="1" si="5"/>
        <v>-270109722.05275202</v>
      </c>
      <c r="AI11" s="1">
        <f t="shared" ca="1" si="5"/>
        <v>-261201786.76384127</v>
      </c>
      <c r="AJ11" s="1">
        <f t="shared" ca="1" si="5"/>
        <v>288415349.70469213</v>
      </c>
      <c r="AK11" s="1">
        <f t="shared" ca="1" si="5"/>
        <v>299336396.63616151</v>
      </c>
      <c r="AL11" s="1">
        <f t="shared" ca="1" si="5"/>
        <v>310466671.88586766</v>
      </c>
      <c r="AM11" s="1">
        <f t="shared" ca="1" si="5"/>
        <v>321804549.65480709</v>
      </c>
      <c r="AN11" s="1">
        <f t="shared" ca="1" si="5"/>
        <v>333347974.92892969</v>
      </c>
      <c r="AO11" s="1">
        <f t="shared" ca="1" si="5"/>
        <v>345094433.4142313</v>
      </c>
      <c r="AP11" s="1">
        <f t="shared" ca="1" si="5"/>
        <v>357040919.80311954</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6296543F-32FE-4A08-B349-48A324B4D7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656DD8-A78A-4008-914F-D975BED05818}">
  <ds:schemaRefs>
    <ds:schemaRef ds:uri="http://schemas.microsoft.com/sharepoint/v3/contenttype/forms"/>
  </ds:schemaRefs>
</ds:datastoreItem>
</file>

<file path=customXml/itemProps3.xml><?xml version="1.0" encoding="utf-8"?>
<ds:datastoreItem xmlns:ds="http://schemas.openxmlformats.org/officeDocument/2006/customXml" ds:itemID="{4F53104A-8582-4138-B08B-C24993CD00B4}">
  <ds:schemaRefs>
    <ds:schemaRef ds:uri="http://purl.org/dc/terms/"/>
    <ds:schemaRef ds:uri="08a23fc5-e034-477c-ac83-93bc1440f322"/>
    <ds:schemaRef ds:uri="http://purl.org/dc/elements/1.1/"/>
    <ds:schemaRef ds:uri="http://schemas.openxmlformats.org/package/2006/metadata/core-properties"/>
    <ds:schemaRef ds:uri="http://schemas.microsoft.com/office/infopath/2007/PartnerControls"/>
    <ds:schemaRef ds:uri="65b6d800-2dda-48d6-88d8-9e2b35e6f7ea"/>
    <ds:schemaRef ds:uri="http://schemas.microsoft.com/office/2006/metadata/properties"/>
    <ds:schemaRef ds:uri="http://schemas.microsoft.com/office/2006/documentManagement/typ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2023-06-07T22:42:21Z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