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C5E3DB8A-6A4F-4736-BD44-ABE14B48C556}" xr6:coauthVersionLast="47" xr6:coauthVersionMax="47" xr10:uidLastSave="{00000000-0000-0000-0000-000000000000}"/>
  <workbookProtection workbookAlgorithmName="SHA-512" workbookHashValue="2bTgssCcuOyMT+zOntY3Ml/+L0nKsqmUcyZ7wk26neQ5cbZ4Pscl274zz07cE03eiViYKEFtGo7A8+ySw3DzPw==" workbookSaltValue="7ieCEQUTTH31J7y3VgMLQA==" workbookSpinCount="100000" lockStructure="1"/>
  <bookViews>
    <workbookView xWindow="-110" yWindow="-110" windowWidth="19420" windowHeight="10300" tabRatio="873" xr2:uid="{F81EE535-A8E0-6F47-8BBD-3284EB91CB61}"/>
  </bookViews>
  <sheets>
    <sheet name="Model overview" sheetId="19" r:id="rId1"/>
    <sheet name="Model outputs" sheetId="31" r:id="rId2"/>
    <sheet name="Data" sheetId="17" r:id="rId3"/>
    <sheet name="Assumptions" sheetId="2" r:id="rId4"/>
    <sheet name="Price and Financial Ratios" sheetId="7" r:id="rId5"/>
    <sheet name="Investment" sheetId="9" r:id="rId6"/>
    <sheet name="Profit and Loss" sheetId="8" r:id="rId7"/>
    <sheet name="Balance Sheet" sheetId="5" r:id="rId8"/>
    <sheet name="Cash Flow" sheetId="4" r:id="rId9"/>
    <sheet name="Depreciation" sheetId="6" r:id="rId10"/>
    <sheet name="Debt worksheet" sheetId="3" r:id="rId11"/>
    <sheet name="NPC" sheetId="21" r:id="rId12"/>
    <sheet name="Additional data --&gt;" sheetId="28" r:id="rId13"/>
    <sheet name="Allocation of GW debt" sheetId="18" state="hidden" r:id="rId14"/>
    <sheet name="Inflation" sheetId="2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0" localSheetId="1">#REF!</definedName>
    <definedName name="\0">#REF!</definedName>
    <definedName name="\A">#REF!</definedName>
    <definedName name="\P">#REF!</definedName>
    <definedName name="\Q">#REF!</definedName>
    <definedName name="\S">#REF!</definedName>
    <definedName name="\W">#REF!</definedName>
    <definedName name="____net1" localSheetId="1" hidden="1">{"NET",#N/A,FALSE,"401C11"}</definedName>
    <definedName name="____net1" localSheetId="0" hidden="1">{"NET",#N/A,FALSE,"401C11"}</definedName>
    <definedName name="____net1" hidden="1">{"NET",#N/A,FALSE,"401C11"}</definedName>
    <definedName name="___d1" hidden="1">'[1]Input Data'!#REF!</definedName>
    <definedName name="__1__123Graph_ACHART_1" localSheetId="1" hidden="1">#REF!</definedName>
    <definedName name="__1__123Graph_ACHART_1" hidden="1">#REF!</definedName>
    <definedName name="__123Graph_A" localSheetId="1" hidden="1">'[2]2002PCTs'!#REF!</definedName>
    <definedName name="__123Graph_A" hidden="1">'[2]2002PCTs'!#REF!</definedName>
    <definedName name="__123Graph_B" hidden="1">[3]Dnurse!#REF!</definedName>
    <definedName name="__123Graph_C" hidden="1">[3]Dnurse!#REF!</definedName>
    <definedName name="__123Graph_X" hidden="1">[3]Dnurse!#REF!</definedName>
    <definedName name="__2__123Graph_ACHART_1" localSheetId="1" hidden="1">#REF!</definedName>
    <definedName name="__2__123Graph_ACHART_1" hidden="1">#REF!</definedName>
    <definedName name="__2__123Graph_ACHART_2" localSheetId="1" hidden="1">#REF!</definedName>
    <definedName name="__2__123Graph_ACHART_2" hidden="1">#REF!</definedName>
    <definedName name="__3__123Graph_XCHART_2" localSheetId="1" hidden="1">#REF!</definedName>
    <definedName name="__3__123Graph_XCHART_2" hidden="1">#REF!</definedName>
    <definedName name="__4__123Graph_ACHART_2" hidden="1">#REF!</definedName>
    <definedName name="__6__123Graph_XCHART_2" hidden="1">#REF!</definedName>
    <definedName name="__d1" hidden="1">'[1]Input Data'!#REF!</definedName>
    <definedName name="__net1" localSheetId="1" hidden="1">{"NET",#N/A,FALSE,"401C11"}</definedName>
    <definedName name="__net1" localSheetId="0" hidden="1">{"NET",#N/A,FALSE,"401C11"}</definedName>
    <definedName name="__net1" hidden="1">{"NET",#N/A,FALSE,"401C11"}</definedName>
    <definedName name="_1___123Graph_ACHART_1" localSheetId="1" hidden="1">#REF!</definedName>
    <definedName name="_1___123Graph_ACHART_1" hidden="1">#REF!</definedName>
    <definedName name="_1__123Graph_ACHART_1" localSheetId="1" hidden="1">#REF!</definedName>
    <definedName name="_1__123Graph_ACHART_1" hidden="1">#REF!</definedName>
    <definedName name="_1__123Graph_ACHART_4" hidden="1">'[4]Bulk Meters'!#REF!</definedName>
    <definedName name="_1_0__123Grap" localSheetId="1" hidden="1">'[5]#REF'!#REF!</definedName>
    <definedName name="_1_0__123Grap" hidden="1">'[5]#REF'!#REF!</definedName>
    <definedName name="_1_123Grap" localSheetId="1" hidden="1">'[6]#REF'!#REF!</definedName>
    <definedName name="_1_123Grap" hidden="1">'[6]#REF'!#REF!</definedName>
    <definedName name="_10__123Graph_ACHART_2" localSheetId="1" hidden="1">#REF!</definedName>
    <definedName name="_10__123Graph_ACHART_2" hidden="1">#REF!</definedName>
    <definedName name="_12__123Graph_XCHART_2" localSheetId="1" hidden="1">#REF!</definedName>
    <definedName name="_12__123Graph_XCHART_2" hidden="1">#REF!</definedName>
    <definedName name="_123Graph_ACHART" localSheetId="1" hidden="1">#REF!</definedName>
    <definedName name="_123Graph_ACHART" hidden="1">#REF!</definedName>
    <definedName name="_123Graph_F" hidden="1">'[7]Chelmsford '!$G$18:$G$28</definedName>
    <definedName name="_14__123Graph_ACHART_2" localSheetId="1" hidden="1">#REF!</definedName>
    <definedName name="_14__123Graph_ACHART_2" hidden="1">#REF!</definedName>
    <definedName name="_15__123Graph_XCHART_2" localSheetId="1" hidden="1">#REF!</definedName>
    <definedName name="_15__123Graph_XCHART_2" hidden="1">#REF!</definedName>
    <definedName name="_18__123Graph_EB_MO_OV_AV" hidden="1">'[4]Bulk Meters'!#REF!</definedName>
    <definedName name="_2___123Graph_ACHART_2" hidden="1">#REF!</definedName>
    <definedName name="_2__123Graph_ACHART_1" hidden="1">#REF!</definedName>
    <definedName name="_2__123Graph_ACHART_2" hidden="1">#REF!</definedName>
    <definedName name="_2__123Graph_EB_MO_OV_AV" hidden="1">'[4]Bulk Meters'!#REF!</definedName>
    <definedName name="_2_0__123Grap" hidden="1">'[6]#REF'!#REF!</definedName>
    <definedName name="_2_123Grap" hidden="1">'[3]#REF'!#REF!</definedName>
    <definedName name="_21__123Graph_XCHART_2" localSheetId="1" hidden="1">#REF!</definedName>
    <definedName name="_21__123Graph_XCHART_2" hidden="1">#REF!</definedName>
    <definedName name="_27__123Graph_FB_MO_OV_AV" hidden="1">'[4]Bulk Meters'!#REF!</definedName>
    <definedName name="_3___123Graph_XCHART_2" localSheetId="1" hidden="1">#REF!</definedName>
    <definedName name="_3___123Graph_XCHART_2" hidden="1">#REF!</definedName>
    <definedName name="_3__123Graph_FB_MO_OV_AV" hidden="1">'[4]Bulk Meters'!#REF!</definedName>
    <definedName name="_3__123Graph_XCHART_2" localSheetId="1" hidden="1">#REF!</definedName>
    <definedName name="_3__123Graph_XCHART_2" hidden="1">#REF!</definedName>
    <definedName name="_3_0_S" localSheetId="1" hidden="1">'[5]#REF'!#REF!</definedName>
    <definedName name="_3_0_S" hidden="1">'[5]#REF'!#REF!</definedName>
    <definedName name="_3_123Grap" localSheetId="1" hidden="1">'[6]#REF'!#REF!</definedName>
    <definedName name="_3_123Grap" hidden="1">'[6]#REF'!#REF!</definedName>
    <definedName name="_34_123Grap" localSheetId="1" hidden="1">'[6]#REF'!#REF!</definedName>
    <definedName name="_34_123Grap" hidden="1">'[6]#REF'!#REF!</definedName>
    <definedName name="_36__123Graph_XB_MO_OV_AV" hidden="1">'[4]Bulk Meters'!#REF!</definedName>
    <definedName name="_4__123Graph_ACHART_1" localSheetId="1" hidden="1">#REF!</definedName>
    <definedName name="_4__123Graph_ACHART_1" hidden="1">#REF!</definedName>
    <definedName name="_4__123Graph_ACHART_2" localSheetId="1" hidden="1">#REF!</definedName>
    <definedName name="_4__123Graph_ACHART_2" hidden="1">#REF!</definedName>
    <definedName name="_4__123Graph_XB_MO_OV_AV" hidden="1">'[4]Bulk Meters'!#REF!</definedName>
    <definedName name="_42S" localSheetId="1" hidden="1">'[6]#REF'!#REF!</definedName>
    <definedName name="_42S" hidden="1">'[6]#REF'!#REF!</definedName>
    <definedName name="_4S" localSheetId="1" hidden="1">'[6]#REF'!#REF!</definedName>
    <definedName name="_4S" hidden="1">'[6]#REF'!#REF!</definedName>
    <definedName name="_5__123Graph_ACHART_1" localSheetId="1" hidden="1">#REF!</definedName>
    <definedName name="_5__123Graph_ACHART_1" hidden="1">#REF!</definedName>
    <definedName name="_5_0__123Grap" localSheetId="1" hidden="1">'[6]#REF'!#REF!</definedName>
    <definedName name="_5_0__123Grap" hidden="1">'[6]#REF'!#REF!</definedName>
    <definedName name="_5_Feb_03_Current_Scheme_all_Leavers" localSheetId="1">#REF!</definedName>
    <definedName name="_5_Feb_03_Current_Scheme_all_Leavers">#REF!</definedName>
    <definedName name="_6__123Graph_ACHART_1" localSheetId="1" hidden="1">#REF!</definedName>
    <definedName name="_6__123Graph_ACHART_1" hidden="1">#REF!</definedName>
    <definedName name="_6__123Graph_XCHART_2" localSheetId="1" hidden="1">#REF!</definedName>
    <definedName name="_6__123Graph_XCHART_2" hidden="1">#REF!</definedName>
    <definedName name="_6_0_S" localSheetId="1" hidden="1">'[6]#REF'!#REF!</definedName>
    <definedName name="_6_0_S" hidden="1">'[6]#REF'!#REF!</definedName>
    <definedName name="_6_123Grap" localSheetId="1" hidden="1">'[3]#REF'!#REF!</definedName>
    <definedName name="_6_123Grap" hidden="1">'[3]#REF'!#REF!</definedName>
    <definedName name="_7__123Graph_ACHART_1" localSheetId="1" hidden="1">#REF!</definedName>
    <definedName name="_7__123Graph_ACHART_1" hidden="1">#REF!</definedName>
    <definedName name="_8__123Graph_ACHART_2" localSheetId="1" hidden="1">#REF!</definedName>
    <definedName name="_8__123Graph_ACHART_2" hidden="1">#REF!</definedName>
    <definedName name="_8_123Grap" localSheetId="1" hidden="1">'[6]#REF'!#REF!</definedName>
    <definedName name="_8_123Grap" hidden="1">'[6]#REF'!#REF!</definedName>
    <definedName name="_8S" localSheetId="1" hidden="1">'[3]#REF'!#REF!</definedName>
    <definedName name="_8S" hidden="1">'[3]#REF'!#REF!</definedName>
    <definedName name="_9__123Graph_ACHART_2" localSheetId="1" hidden="1">#REF!</definedName>
    <definedName name="_9__123Graph_ACHART_2" hidden="1">#REF!</definedName>
    <definedName name="_9__123Graph_ACHART_4" hidden="1">'[4]Bulk Meters'!#REF!</definedName>
    <definedName name="_acc91656" localSheetId="1">#REF!</definedName>
    <definedName name="_acc91656">#REF!</definedName>
    <definedName name="_acc93441" localSheetId="1">#REF!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'[8]95313'!#REF!</definedName>
    <definedName name="_acc95314" localSheetId="1">#REF!</definedName>
    <definedName name="_acc95314">#REF!</definedName>
    <definedName name="_acc95411" localSheetId="1">#REF!</definedName>
    <definedName name="_acc95411">#REF!</definedName>
    <definedName name="_acc95801" localSheetId="1">#REF!</definedName>
    <definedName name="_acc95801">#REF!</definedName>
    <definedName name="_acc95821">#REF!</definedName>
    <definedName name="_acc96031">#REF!</definedName>
    <definedName name="_acc96066">#REF!</definedName>
    <definedName name="_acc96067">#REF!</definedName>
    <definedName name="_acc96068">'[8]96070'!#REF!</definedName>
    <definedName name="_acc96099" localSheetId="1">#REF!</definedName>
    <definedName name="_acc96099">#REF!</definedName>
    <definedName name="_acc99001" localSheetId="1">#REF!</definedName>
    <definedName name="_acc99001">#REF!</definedName>
    <definedName name="_acc99003" localSheetId="1">#REF!</definedName>
    <definedName name="_acc99003">#REF!</definedName>
    <definedName name="_acc99011">#REF!</definedName>
    <definedName name="_AtRisk_SimSetting_AutomaticallyGenerateReports" hidden="1">FALSE</definedName>
    <definedName name="_AtRisk_SimSetting_AutomaticResultsDisplayMode" localSheetId="1" hidden="1">0</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localSheetId="1" hidden="1">1</definedName>
    <definedName name="_AtRisk_SimSetting_MultipleCPUMode" hidden="1">2</definedName>
    <definedName name="_AtRisk_SimSetting_MultipleCPUModeV8" localSheetId="1" hidden="1">1</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1" hidden="1">'[1]Input Data'!#REF!</definedName>
    <definedName name="_d2" hidden="1">'[1]Input Data'!#REF!</definedName>
    <definedName name="_Dist_Values" localSheetId="1" hidden="1">#REF!</definedName>
    <definedName name="_Dist_Values" hidden="1">#REF!</definedName>
    <definedName name="_Fill" hidden="1">#REF!</definedName>
    <definedName name="_xlnm._FilterDatabase" localSheetId="2" hidden="1">Data!$A$9:$BY$78</definedName>
    <definedName name="_Key1" localSheetId="1" hidden="1">[9]Deductions!#REF!</definedName>
    <definedName name="_Key1" localSheetId="0" hidden="1">[9]Deductions!#REF!</definedName>
    <definedName name="_Key1" hidden="1">[9]Deductions!#REF!</definedName>
    <definedName name="_Key2" localSheetId="1" hidden="1">[9]Deductions!#REF!</definedName>
    <definedName name="_Key2" localSheetId="0" hidden="1">[9]Deductions!#REF!</definedName>
    <definedName name="_Key2" hidden="1">[9]Deductions!#REF!</definedName>
    <definedName name="_net1" localSheetId="1" hidden="1">{"NET",#N/A,FALSE,"401C11"}</definedName>
    <definedName name="_net1" localSheetId="0" hidden="1">{"NET",#N/A,FALSE,"401C11"}</definedName>
    <definedName name="_net1" hidden="1">{"NET",#N/A,FALSE,"401C11"}</definedName>
    <definedName name="_Order1" hidden="1">255</definedName>
    <definedName name="_Order2" hidden="1">255</definedName>
    <definedName name="_Regression_Int" hidden="1">1</definedName>
    <definedName name="_Sort" localSheetId="1" hidden="1">#REF!</definedName>
    <definedName name="_Sort" hidden="1">#REF!</definedName>
    <definedName name="a" localSheetId="1">#REF!</definedName>
    <definedName name="a">#REF!</definedName>
    <definedName name="aa" localSheetId="1" hidden="1">{"CHARGE",#N/A,FALSE,"401C11"}</definedName>
    <definedName name="aa" localSheetId="0" hidden="1">{"CHARGE",#N/A,FALSE,"401C11"}</definedName>
    <definedName name="aa" hidden="1">{"CHARGE",#N/A,FALSE,"401C11"}</definedName>
    <definedName name="aa_Cat">[10]LU!$A$12:$B$20</definedName>
    <definedName name="aa_GmPack_2">[10]LU!$A$39:$B$61</definedName>
    <definedName name="aa_GmPack_T">[10]LU!$A$24:$B$35</definedName>
    <definedName name="aa_lvl2_Remap">[10]Mapping!#REF!</definedName>
    <definedName name="aa_Map">[10]Mapping!#REF!</definedName>
    <definedName name="aa_PC_Map">[10]Mapping!$A$9:$C$189</definedName>
    <definedName name="aa_top_remap">[10]Mapping!#REF!</definedName>
    <definedName name="aaa" localSheetId="1" hidden="1">{"CHARGE",#N/A,FALSE,"401C11"}</definedName>
    <definedName name="aaa" localSheetId="0" hidden="1">{"CHARGE",#N/A,FALSE,"401C11"}</definedName>
    <definedName name="aaa" hidden="1">{"CHARGE",#N/A,FALSE,"401C11"}</definedName>
    <definedName name="aaaa" localSheetId="1" hidden="1">{"CHARGE",#N/A,FALSE,"401C11"}</definedName>
    <definedName name="aaaa" localSheetId="0" hidden="1">{"CHARGE",#N/A,FALSE,"401C11"}</definedName>
    <definedName name="aaaa" hidden="1">{"CHARGE",#N/A,FALSE,"401C11"}</definedName>
    <definedName name="AAAAA" localSheetId="1">[11]OTHER!$G$1:$K$14</definedName>
    <definedName name="AAAAA">[11]OTHER!$G$1:$K$14</definedName>
    <definedName name="abc" localSheetId="1" hidden="1">{"NET",#N/A,FALSE,"401C11"}</definedName>
    <definedName name="abc" localSheetId="0" hidden="1">{"NET",#N/A,FALSE,"401C11"}</definedName>
    <definedName name="abc" hidden="1">{"NET",#N/A,FALSE,"401C11"}</definedName>
    <definedName name="ACC">[12]Instructions!$K$2</definedName>
    <definedName name="ACC_Codes" localSheetId="1">'[13]SW Refunds 01.12.2007 - present'!$IP$65420:$IP$65425</definedName>
    <definedName name="ACC_Codes">'[13]SW Refunds 01.12.2007 - present'!$IP$65420:$IP$65425</definedName>
    <definedName name="Accnt_Code" localSheetId="1">'[14]Water Connections Data'!$IU$62713:$IU$62716</definedName>
    <definedName name="Accnt_Code">'[14]Water Connections Data'!$IU$62713:$IU$62716</definedName>
    <definedName name="ACCOM">[15]Con_cm!$AI$59:$AI$61</definedName>
    <definedName name="Account" localSheetId="1">[16]Summary!$B$4:$D$41</definedName>
    <definedName name="Account">[16]Summary!$B$4:$D$41</definedName>
    <definedName name="Account_Code">'[17]Drop Down Lists'!#REF!</definedName>
    <definedName name="accounts" localSheetId="1">[18]Choice!$F$3:$F$8</definedName>
    <definedName name="accounts">[18]Choice!$F$3:$F$8</definedName>
    <definedName name="Accr">[19]Sheet4!$B$2:$C$55</definedName>
    <definedName name="AccrualsCfwd" localSheetId="1">[20]Workings!$D$693:$N$693</definedName>
    <definedName name="AccrualsCfwd">[20]Workings!$D$693:$N$693</definedName>
    <definedName name="Accrue">[21]OTHER!$H$2:$I$26</definedName>
    <definedName name="accrue2" localSheetId="1">[22]Error!$I$1:$J$26</definedName>
    <definedName name="accrue2">[22]Error!$I$1:$J$26</definedName>
    <definedName name="ACTEW99" hidden="1">#REF!</definedName>
    <definedName name="Active" localSheetId="1">'[23]JOURNAL UPLOAD'!#REF!</definedName>
    <definedName name="Active">'[23]JOURNAL UPLOAD'!#REF!</definedName>
    <definedName name="Activity">[24]Activity!$E$2:$E$241</definedName>
    <definedName name="Actual_April">'[25]GL Monthly Source Data'!$B$15</definedName>
    <definedName name="ACTUAL_TRANSLATE_GROUP">[26]Control!$B$11</definedName>
    <definedName name="ACTUALS" localSheetId="1">[27]Parms!$B$10</definedName>
    <definedName name="ACTUALS">[27]Parms!$B$10</definedName>
    <definedName name="adbr" localSheetId="1" hidden="1">{"CHARGE",#N/A,FALSE,"401C11"}</definedName>
    <definedName name="adbr" localSheetId="0" hidden="1">{"CHARGE",#N/A,FALSE,"401C11"}</definedName>
    <definedName name="adbr" hidden="1">{"CHARGE",#N/A,FALSE,"401C11"}</definedName>
    <definedName name="Additional">'[25]GL Monthly Source Data'!$R:$AF</definedName>
    <definedName name="Affiliate">[26]Control!$B$6</definedName>
    <definedName name="Agent" localSheetId="1">#REF!</definedName>
    <definedName name="Agent">#REF!</definedName>
    <definedName name="AIP_Data">#REF!</definedName>
    <definedName name="ANH" localSheetId="1">#REF!</definedName>
    <definedName name="ANH">#REF!</definedName>
    <definedName name="annual_dates">OFFSET('[28]Data for Charts'!$AV$12,0,0,'[28]Data for Charts'!$AY$8)</definedName>
    <definedName name="annual_pcc_actual">OFFSET('[28]Data for Charts'!$AX$12,0,0,'[28]Data for Charts'!$AY$8)</definedName>
    <definedName name="annual_pcc_forecast">OFFSET('[28]Data for Charts'!$AY$12,0,0,'[28]Data for Charts'!$AY$8)</definedName>
    <definedName name="annual_pcc_lower">OFFSET('[28]Data for Charts'!$AZ$12,0,0,'[28]Data for Charts'!$AY$8)</definedName>
    <definedName name="annual_pcc_upper">OFFSET('[28]Data for Charts'!$BA$12,0,0,'[28]Data for Charts'!$AY$8)</definedName>
    <definedName name="Annual_sum">'[29]Cashflow - updated with Actuals'!$YR$27:$AAU$34</definedName>
    <definedName name="annual_total_actual">OFFSET('[28]Data for Charts'!$BB$12,0,0,'[28]Data for Charts'!$AY$8)</definedName>
    <definedName name="annual_total_fitted">OFFSET('[28]Data for Charts'!$BC$12,0,0,'[28]Data for Charts'!$AY$8)</definedName>
    <definedName name="annual_total_forecast">OFFSET('[28]Data for Charts'!$BD$12,0,0,'[28]Data for Charts'!$AY$8)</definedName>
    <definedName name="annual_total_lower">OFFSET('[28]Data for Charts'!$BE$12,0,0,'[28]Data for Charts'!$AY$8)</definedName>
    <definedName name="annual_total_upper">OFFSET('[28]Data for Charts'!$BF$12,0,0,'[28]Data for Charts'!$AY$8)</definedName>
    <definedName name="AnnualAmount" localSheetId="1">#REF!</definedName>
    <definedName name="AnnualAmount">#REF!</definedName>
    <definedName name="APA" localSheetId="1">#REF!</definedName>
    <definedName name="APA">#REF!</definedName>
    <definedName name="April" localSheetId="1">#REF!,#REF!</definedName>
    <definedName name="April">#REF!,#REF!</definedName>
    <definedName name="AREA_1">#REF!</definedName>
    <definedName name="AREA_2">#REF!</definedName>
    <definedName name="AREA_3">#REF!</definedName>
    <definedName name="AREA1">#REF!</definedName>
    <definedName name="AS_OF" localSheetId="1">#REF!</definedName>
    <definedName name="AS_OF">#REF!</definedName>
    <definedName name="As_of_Reporting_Date" localSheetId="1">#REF!</definedName>
    <definedName name="As_of_Reporting_Date">#REF!</definedName>
    <definedName name="AS2DocOpenMode" hidden="1">"AS2DocumentEdit"</definedName>
    <definedName name="ASD" localSheetId="1">'[30]3510'!#REF!</definedName>
    <definedName name="ASD">'[30]3510'!#REF!</definedName>
    <definedName name="ass_time_03" localSheetId="1">#REF!</definedName>
    <definedName name="ass_time_03">#REF!</definedName>
    <definedName name="ass_time_06" localSheetId="1">#REF!</definedName>
    <definedName name="ass_time_06">#REF!</definedName>
    <definedName name="ass_time_07" localSheetId="1">#REF!</definedName>
    <definedName name="ass_time_07">#REF!</definedName>
    <definedName name="ass_time_11">#REF!</definedName>
    <definedName name="ass_time_12">#REF!</definedName>
    <definedName name="AssetDisposalNBVOther" localSheetId="1">[20]Workings!$D$141:$N$141</definedName>
    <definedName name="AssetDisposalNBVOther">[20]Workings!$D$141:$N$141</definedName>
    <definedName name="AssetDisposalNBVWaste" localSheetId="1">[20]Workings!$D$134:$N$134</definedName>
    <definedName name="AssetDisposalNBVWaste">[20]Workings!$D$134:$N$134</definedName>
    <definedName name="AssetDisposalNBVWater" localSheetId="1">[20]Workings!$D$127:$N$127</definedName>
    <definedName name="AssetDisposalNBVWater">[20]Workings!$D$127:$N$127</definedName>
    <definedName name="AssetPreferredSpendWasteInfraPostEff" localSheetId="1">[20]Workings!$D$90:$N$90</definedName>
    <definedName name="AssetPreferredSpendWasteInfraPostEff">[20]Workings!$D$90:$N$90</definedName>
    <definedName name="AssetPreferredSpendWasteInfraReal" localSheetId="1">[20]Workings!$D$72:$N$72</definedName>
    <definedName name="AssetPreferredSpendWasteInfraReal">[20]Workings!$D$72:$N$72</definedName>
    <definedName name="AssetPreferredSpendWasteLongPostEff" localSheetId="1">[20]Workings!$D$96:$N$96</definedName>
    <definedName name="AssetPreferredSpendWasteLongPostEff">[20]Workings!$D$96:$N$96</definedName>
    <definedName name="AssetPreferredSpendWasteLongReal" localSheetId="1">[20]Workings!$D$78:$N$78</definedName>
    <definedName name="AssetPreferredSpendWasteLongReal">[20]Workings!$D$78:$N$78</definedName>
    <definedName name="AssetPreferredSpendWasteMediumPostEff" localSheetId="1">[20]Workings!$D$94:$N$94</definedName>
    <definedName name="AssetPreferredSpendWasteMediumPostEff">[20]Workings!$D$94:$N$94</definedName>
    <definedName name="AssetPreferredSpendWasteMediumReal" localSheetId="1">[20]Workings!$D$76:$N$76</definedName>
    <definedName name="AssetPreferredSpendWasteMediumReal">[20]Workings!$D$76:$N$76</definedName>
    <definedName name="AssetPreferredSpendWasteMedLongPostEff" localSheetId="1">[20]Workings!$D$95:$N$95</definedName>
    <definedName name="AssetPreferredSpendWasteMedLongPostEff">[20]Workings!$D$95:$N$95</definedName>
    <definedName name="AssetPreferredSpendWasteMedLongReal" localSheetId="1">[20]Workings!$D$77:$N$77</definedName>
    <definedName name="AssetPreferredSpendWasteMedLongReal">[20]Workings!$D$77:$N$77</definedName>
    <definedName name="AssetPreferredSpendWasteOtherPostEff" localSheetId="1">[20]Workings!$D$91:$N$91</definedName>
    <definedName name="AssetPreferredSpendWasteOtherPostEff">[20]Workings!$D$91:$N$91</definedName>
    <definedName name="AssetPreferredSpendWasteOtherReal" localSheetId="1">[20]Workings!$D$73:$N$73</definedName>
    <definedName name="AssetPreferredSpendWasteOtherReal">[20]Workings!$D$73:$N$73</definedName>
    <definedName name="AssetPreferredSpendWasteShortPostEff" localSheetId="1">[20]Workings!$D$93:$N$93</definedName>
    <definedName name="AssetPreferredSpendWasteShortPostEff">[20]Workings!$D$93:$N$93</definedName>
    <definedName name="AssetPreferredSpendWasteShortReal" localSheetId="1">[20]Workings!$D$75:$N$75</definedName>
    <definedName name="AssetPreferredSpendWasteShortReal">[20]Workings!$D$75:$N$75</definedName>
    <definedName name="AssetPreferredSpendWasteVeryShortPostEff" localSheetId="1">[20]Workings!$D$92:$N$92</definedName>
    <definedName name="AssetPreferredSpendWasteVeryShortPostEff">[20]Workings!$D$92:$N$92</definedName>
    <definedName name="AssetPreferredSpendWasteVeryShortReal" localSheetId="1">[20]Workings!$D$74:$N$74</definedName>
    <definedName name="AssetPreferredSpendWasteVeryShortReal">[20]Workings!$D$74:$N$74</definedName>
    <definedName name="AssetPreferredSpendWaterInfraPostEff" localSheetId="1">[20]Workings!$D$36:$N$36</definedName>
    <definedName name="AssetPreferredSpendWaterInfraPostEff">[20]Workings!$D$36:$N$36</definedName>
    <definedName name="AssetPreferredSpendWaterInfraReal" localSheetId="1">[20]Workings!$D$18:$N$18</definedName>
    <definedName name="AssetPreferredSpendWaterInfraReal">[20]Workings!$D$18:$N$18</definedName>
    <definedName name="AssetPreferredSpendWaterLongPostEff" localSheetId="1">[20]Workings!$D$42:$N$42</definedName>
    <definedName name="AssetPreferredSpendWaterLongPostEff">[20]Workings!$D$42:$N$42</definedName>
    <definedName name="AssetPreferredSpendWaterLongReal" localSheetId="1">[20]Workings!$D$24:$N$24</definedName>
    <definedName name="AssetPreferredSpendWaterLongReal">[20]Workings!$D$24:$N$24</definedName>
    <definedName name="AssetPreferredSpendWaterMediumPostEff" localSheetId="1">[20]Workings!$D$40:$N$40</definedName>
    <definedName name="AssetPreferredSpendWaterMediumPostEff">[20]Workings!$D$40:$N$40</definedName>
    <definedName name="AssetPreferredSpendWaterMediumReal" localSheetId="1">[20]Workings!$D$22:$N$22</definedName>
    <definedName name="AssetPreferredSpendWaterMediumReal">[20]Workings!$D$22:$N$22</definedName>
    <definedName name="AssetPreferredSpendWaterMedLongPostEff" localSheetId="1">[20]Workings!$D$41:$N$41</definedName>
    <definedName name="AssetPreferredSpendWaterMedLongPostEff">[20]Workings!$D$41:$N$41</definedName>
    <definedName name="AssetPreferredSpendWaterMedLongReal" localSheetId="1">[20]Workings!$D$23:$N$23</definedName>
    <definedName name="AssetPreferredSpendWaterMedLongReal">[20]Workings!$D$23:$N$23</definedName>
    <definedName name="AssetPreferredSpendWaterOtherPostEff" localSheetId="1">[20]Workings!$D$37:$N$37</definedName>
    <definedName name="AssetPreferredSpendWaterOtherPostEff">[20]Workings!$D$37:$N$37</definedName>
    <definedName name="AssetPreferredSpendWaterOtherReal" localSheetId="1">[20]Workings!$D$19:$N$19</definedName>
    <definedName name="AssetPreferredSpendWaterOtherReal">[20]Workings!$D$19:$N$19</definedName>
    <definedName name="AssetPreferredSpendWaterShortPostEff" localSheetId="1">[20]Workings!$D$39:$N$39</definedName>
    <definedName name="AssetPreferredSpendWaterShortPostEff">[20]Workings!$D$39:$N$39</definedName>
    <definedName name="AssetPreferredSpendWaterShortReal" localSheetId="1">[20]Workings!$D$21:$N$21</definedName>
    <definedName name="AssetPreferredSpendWaterShortReal">[20]Workings!$D$21:$N$21</definedName>
    <definedName name="AssetPreferredSpendWaterVeryShortPostEff" localSheetId="1">[20]Workings!$D$38:$N$38</definedName>
    <definedName name="AssetPreferredSpendWaterVeryShortPostEff">[20]Workings!$D$38:$N$38</definedName>
    <definedName name="AssetPreferredSpendWaterVeryShortReal" localSheetId="1">[20]Workings!$D$20:$N$20</definedName>
    <definedName name="AssetPreferredSpendWaterVeryShortReal">[20]Workings!$D$20:$N$20</definedName>
    <definedName name="Assignee">'[17]Drop Down Lists'!#REF!</definedName>
    <definedName name="ASSOC_TITLE">#REF!</definedName>
    <definedName name="ASSOCIATE">[15]Con_cm!$AI$279</definedName>
    <definedName name="ASSOCIATES">#REF!</definedName>
    <definedName name="Aucklanders_impacted">'[31]Evaluation factors'!$A$18:$A$22</definedName>
    <definedName name="AVON" localSheetId="1">#REF!</definedName>
    <definedName name="AVON">#REF!</definedName>
    <definedName name="b" localSheetId="1" hidden="1">{"CHARGE",#N/A,FALSE,"401C11"}</definedName>
    <definedName name="b" localSheetId="0" hidden="1">{"CHARGE",#N/A,FALSE,"401C11"}</definedName>
    <definedName name="b" hidden="1">{"CHARGE",#N/A,FALSE,"401C11"}</definedName>
    <definedName name="BadDebtChargeDom" localSheetId="1">[20]Workings!$D$463:$N$463</definedName>
    <definedName name="BadDebtChargeDom">[20]Workings!$D$463:$N$463</definedName>
    <definedName name="BadDebtChargeNonDom" localSheetId="1">[20]Workings!$D$503:$N$503</definedName>
    <definedName name="BadDebtChargeNonDom">[20]Workings!$D$503:$N$503</definedName>
    <definedName name="BAL_DIFF">[32]SUMMARY!$J$39</definedName>
    <definedName name="BAL_SHEET">[15]Balance_Sheet!$A$1:$I$55</definedName>
    <definedName name="Balance" localSheetId="1">#REF!</definedName>
    <definedName name="Balance">#REF!</definedName>
    <definedName name="Balance2" localSheetId="1">'[33]JOURNAL UPLOAD'!$H$7</definedName>
    <definedName name="Balance2">'[33]JOURNAL UPLOAD'!$H$7</definedName>
    <definedName name="BALSHEET">[15]Con_cm!$AI$215:$AI$323</definedName>
    <definedName name="BASE_YEAR" localSheetId="1">#REF!</definedName>
    <definedName name="BASE_YEAR">#REF!</definedName>
    <definedName name="BBBB">#REF!</definedName>
    <definedName name="BEDS" localSheetId="1">#REF!</definedName>
    <definedName name="BEDS">#REF!</definedName>
    <definedName name="BERKS" localSheetId="1">#REF!</definedName>
    <definedName name="BERKS">#REF!</definedName>
    <definedName name="BEx3C7U5X9PCZMFNJM2JSKB9WDC7" hidden="1">#REF!</definedName>
    <definedName name="BEx5ACW0C7GHN0W44M0V4M2N9NWX" hidden="1">#REF!</definedName>
    <definedName name="BEx5FCUYVCUTGP1DC9R2HMJUSKG7" hidden="1">#REF!</definedName>
    <definedName name="BEx787B3P3B4TRLFQH4FKDM9IVFG" hidden="1">#REF!</definedName>
    <definedName name="BEx9EYJR8RIJJYIC2A87I2KSW8VH" hidden="1">#REF!</definedName>
    <definedName name="BExCY5OFHG90Y9L640YYX6E4JIHA" hidden="1">#REF!</definedName>
    <definedName name="BExEO7F973V6G4LOTL4G4P982B15" hidden="1">#REF!</definedName>
    <definedName name="BExQ5813K86IYCMNBRXPB9X0YHE2" hidden="1">#REF!</definedName>
    <definedName name="BExS748XJ69KL1ZMS091A8XEL5H8" hidden="1">#REF!</definedName>
    <definedName name="BExTYYVS8XNTRGK2F7W4ER905OSW" hidden="1">#REF!</definedName>
    <definedName name="BExY13TSMHDZBN633U4NULAC5YAM" hidden="1">#REF!</definedName>
    <definedName name="billing">#REF!</definedName>
    <definedName name="BillsRange" localSheetId="1">OFFSET(#REF!,COUNTA(#REF!)-#REF!,0,#REF!)</definedName>
    <definedName name="BillsRange">OFFSET(#REF!,COUNTA(#REF!)-#REF!,0,#REF!)</definedName>
    <definedName name="BMGHIndex" hidden="1">"O"</definedName>
    <definedName name="BRL">#REF!</definedName>
    <definedName name="BU.Select.1">[34]Control!$A$17</definedName>
    <definedName name="BU.Selected.1">[34]Control!$C$12</definedName>
    <definedName name="BU_Number">[35]Capex!#REF!</definedName>
    <definedName name="BUCKS" localSheetId="1">#REF!</definedName>
    <definedName name="BUCKS">#REF!</definedName>
    <definedName name="BUDGET" localSheetId="1">[27]Parms!$B$11</definedName>
    <definedName name="BUDGET">[27]Parms!$B$11</definedName>
    <definedName name="BUDGET___FINAL">[26]Control!$B$12</definedName>
    <definedName name="Budget_Type">OFFSET([36]MD3_Setup!$I$6,0,0,COUNTA([36]MD3_Setup!$I$6:$I$100),1)</definedName>
    <definedName name="BudgetYTD">OFFSET([37]Data1!$AD$4,0,0,COUNTA([37]Data1!$AD$4:$AD$80),13)</definedName>
    <definedName name="BusinessUnit">[26]Control!$B$5</definedName>
    <definedName name="Busrisk">[38]Assumptions!$D$10:$P$22</definedName>
    <definedName name="BWH" localSheetId="1">#REF!</definedName>
    <definedName name="BWH">#REF!</definedName>
    <definedName name="CAM" localSheetId="1">#REF!</definedName>
    <definedName name="CAM">#REF!</definedName>
    <definedName name="CAMBS" localSheetId="1">#REF!</definedName>
    <definedName name="CAMBS">#REF!</definedName>
    <definedName name="CapApprovals">#REF!</definedName>
    <definedName name="capex" localSheetId="1">'[39]Control Sheet'!$J$4</definedName>
    <definedName name="capex">'[39]Control Sheet'!$J$4</definedName>
    <definedName name="CapexAdditionsQS2TotalWaste" localSheetId="1">[20]Workings!$D$118:$N$118</definedName>
    <definedName name="CapexAdditionsQS2TotalWaste">[20]Workings!$D$118:$N$118</definedName>
    <definedName name="CapexAdditionsQS2TotalWater" localSheetId="1">[20]Workings!$D$66:$N$66</definedName>
    <definedName name="CapexAdditionsQS2TotalWater">[20]Workings!$D$66:$N$66</definedName>
    <definedName name="CapexAdditionsQS2WasteInfra" localSheetId="1">[20]Workings!$D$110:$N$110</definedName>
    <definedName name="CapexAdditionsQS2WasteInfra">[20]Workings!$D$110:$N$110</definedName>
    <definedName name="CapexAdditionsQS2WasteLong" localSheetId="1">[20]Workings!$D$116:$N$116</definedName>
    <definedName name="CapexAdditionsQS2WasteLong">[20]Workings!$D$116:$N$116</definedName>
    <definedName name="CapexAdditionsQS2WasteMedium" localSheetId="1">[20]Workings!$D$114:$N$114</definedName>
    <definedName name="CapexAdditionsQS2WasteMedium">[20]Workings!$D$114:$N$114</definedName>
    <definedName name="CapexAdditionsQS2WasteMedLong" localSheetId="1">[20]Workings!$D$115:$N$115</definedName>
    <definedName name="CapexAdditionsQS2WasteMedLong">[20]Workings!$D$115:$N$115</definedName>
    <definedName name="CapexAdditionsQS2WasteOther" localSheetId="1">[20]Workings!$D$111:$N$111</definedName>
    <definedName name="CapexAdditionsQS2WasteOther">[20]Workings!$D$111:$N$111</definedName>
    <definedName name="CapexAdditionsQS2WasteShort" localSheetId="1">[20]Workings!$D$113:$N$113</definedName>
    <definedName name="CapexAdditionsQS2WasteShort">[20]Workings!$D$113:$N$113</definedName>
    <definedName name="CapexAdditionsQS2WasteVeryShort" localSheetId="1">[20]Workings!$D$112:$N$112</definedName>
    <definedName name="CapexAdditionsQS2WasteVeryShort">[20]Workings!$D$112:$N$112</definedName>
    <definedName name="CapexAdditionsQS2WaterInfra" localSheetId="1">[20]Workings!$D$58:$N$58</definedName>
    <definedName name="CapexAdditionsQS2WaterInfra">[20]Workings!$D$58:$N$58</definedName>
    <definedName name="CapexAdditionsQS2WaterLong" localSheetId="1">[20]Workings!$D$64:$N$64</definedName>
    <definedName name="CapexAdditionsQS2WaterLong">[20]Workings!$D$64:$N$64</definedName>
    <definedName name="CapexAdditionsQS2WaterMedium" localSheetId="1">[20]Workings!$D$62:$N$62</definedName>
    <definedName name="CapexAdditionsQS2WaterMedium">[20]Workings!$D$62:$N$62</definedName>
    <definedName name="CapexAdditionsQS2WaterMedLong" localSheetId="1">[20]Workings!$D$63:$N$63</definedName>
    <definedName name="CapexAdditionsQS2WaterMedLong">[20]Workings!$D$63:$N$63</definedName>
    <definedName name="CapexAdditionsQS2WaterOther" localSheetId="1">[20]Workings!$D$59:$N$59</definedName>
    <definedName name="CapexAdditionsQS2WaterOther">[20]Workings!$D$59:$N$59</definedName>
    <definedName name="CapexAdditionsQS2WaterShort" localSheetId="1">[20]Workings!$D$61:$N$61</definedName>
    <definedName name="CapexAdditionsQS2WaterShort">[20]Workings!$D$61:$N$61</definedName>
    <definedName name="CapexAdditionsQS2WaterVeryShort" localSheetId="1">[20]Workings!$D$60:$N$60</definedName>
    <definedName name="CapexAdditionsQS2WaterVeryShort">[20]Workings!$D$60:$N$60</definedName>
    <definedName name="CapexAdditionsQS3TotalWaste" localSheetId="1">[20]Workings!$D$107:$N$107</definedName>
    <definedName name="CapexAdditionsQS3TotalWaste">[20]Workings!$D$107:$N$107</definedName>
    <definedName name="CapexAdditionsQS3TotalWater" localSheetId="1">[20]Workings!$D$55:$N$55</definedName>
    <definedName name="CapexAdditionsQS3TotalWater">[20]Workings!$D$55:$N$55</definedName>
    <definedName name="CapexAdditionsTotalWaste" localSheetId="1">[20]Workings!$D$120:$N$120</definedName>
    <definedName name="CapexAdditionsTotalWaste">[20]Workings!$D$120:$N$120</definedName>
    <definedName name="CapexAdditionsTotalWater" localSheetId="1">[20]Workings!$D$68:$N$68</definedName>
    <definedName name="CapexAdditionsTotalWater">[20]Workings!$D$68:$N$68</definedName>
    <definedName name="CapexAdditionsWasteInfra" localSheetId="1">[20]Workings!$D$99:$N$99</definedName>
    <definedName name="CapexAdditionsWasteInfra">[20]Workings!$D$99:$N$99</definedName>
    <definedName name="CapexAdditionsWasteLong" localSheetId="1">[20]Workings!$D$105:$N$105</definedName>
    <definedName name="CapexAdditionsWasteLong">[20]Workings!$D$105:$N$105</definedName>
    <definedName name="CapexAdditionsWasteMedium" localSheetId="1">[20]Workings!$D$103:$N$103</definedName>
    <definedName name="CapexAdditionsWasteMedium">[20]Workings!$D$103:$N$103</definedName>
    <definedName name="CapexAdditionsWasteMedLong" localSheetId="1">[20]Workings!$D$104:$N$104</definedName>
    <definedName name="CapexAdditionsWasteMedLong">[20]Workings!$D$104:$N$104</definedName>
    <definedName name="CapexAdditionsWasteOther" localSheetId="1">[20]Workings!$D$100:$N$100</definedName>
    <definedName name="CapexAdditionsWasteOther">[20]Workings!$D$100:$N$100</definedName>
    <definedName name="CapexAdditionsWasteShort" localSheetId="1">[20]Workings!$D$102:$N$102</definedName>
    <definedName name="CapexAdditionsWasteShort">[20]Workings!$D$102:$N$102</definedName>
    <definedName name="CapexAdditionsWasteVeryShort" localSheetId="1">[20]Workings!$D$101:$N$101</definedName>
    <definedName name="CapexAdditionsWasteVeryShort">[20]Workings!$D$101:$N$101</definedName>
    <definedName name="CapexAdditionsWaterInfra" localSheetId="1">[20]Workings!$D$46:$N$46</definedName>
    <definedName name="CapexAdditionsWaterInfra">[20]Workings!$D$46:$N$46</definedName>
    <definedName name="CapexAdditionsWaterLong" localSheetId="1">[20]Workings!$D$52:$N$52</definedName>
    <definedName name="CapexAdditionsWaterLong">[20]Workings!$D$52:$N$52</definedName>
    <definedName name="CapexAdditionsWaterMedium" localSheetId="1">[20]Workings!$D$50:$N$50</definedName>
    <definedName name="CapexAdditionsWaterMedium">[20]Workings!$D$50:$N$50</definedName>
    <definedName name="CapexAdditionsWaterMedLong" localSheetId="1">[20]Workings!$D$51:$N$51</definedName>
    <definedName name="CapexAdditionsWaterMedLong">[20]Workings!$D$51:$N$51</definedName>
    <definedName name="CapexAdditionsWaterOther" localSheetId="1">[20]Workings!$D$47:$N$47</definedName>
    <definedName name="CapexAdditionsWaterOther">[20]Workings!$D$47:$N$47</definedName>
    <definedName name="CapexAdditionsWaterShort" localSheetId="1">[20]Workings!$D$49:$N$49</definedName>
    <definedName name="CapexAdditionsWaterShort">[20]Workings!$D$49:$N$49</definedName>
    <definedName name="CapexAdditionsWaterVeryShort" localSheetId="1">[20]Workings!$D$48:$N$48</definedName>
    <definedName name="CapexAdditionsWaterVeryShort">[20]Workings!$D$48:$N$48</definedName>
    <definedName name="CapexCostOtherBfwd" localSheetId="1">[20]Workings!$D$210:$N$210</definedName>
    <definedName name="CapexCostOtherBfwd">[20]Workings!$D$210:$N$210</definedName>
    <definedName name="CapexCostWasteBfwd" localSheetId="1">[20]Workings!$D$184:$N$184</definedName>
    <definedName name="CapexCostWasteBfwd">[20]Workings!$D$184:$N$184</definedName>
    <definedName name="CapexCostWaterBfwd" localSheetId="1">[20]Workings!$D$157:$N$157</definedName>
    <definedName name="CapexCostWaterBfwd">[20]Workings!$D$157:$N$157</definedName>
    <definedName name="CapexDepnOtherBfwd" localSheetId="1">[20]Workings!$D$416:$N$416</definedName>
    <definedName name="CapexDepnOtherBfwd">[20]Workings!$D$416:$N$416</definedName>
    <definedName name="CapexDepnWasteBfwd" localSheetId="1">[20]Workings!$D$399:$N$399</definedName>
    <definedName name="CapexDepnWasteBfwd">[20]Workings!$D$399:$N$399</definedName>
    <definedName name="CapexDepnWaterBfwd" localSheetId="1">[20]Workings!$D$383:$N$383</definedName>
    <definedName name="CapexDepnWaterBfwd">[20]Workings!$D$383:$N$383</definedName>
    <definedName name="CapexDisposalCostOther" localSheetId="1">[20]Workings!$D$211:$N$211</definedName>
    <definedName name="CapexDisposalCostOther">[20]Workings!$D$211:$N$211</definedName>
    <definedName name="CapexDisposalCostWaste" localSheetId="1">[20]Workings!$D$186:$N$186</definedName>
    <definedName name="CapexDisposalCostWaste">[20]Workings!$D$186:$N$186</definedName>
    <definedName name="CapexDisposalCostWater" localSheetId="1">[20]Workings!$D$159:$N$159</definedName>
    <definedName name="CapexDisposalCostWater">[20]Workings!$D$159:$N$159</definedName>
    <definedName name="CapexInflationIndex" localSheetId="1">[20]Workings!$D$11:$N$11</definedName>
    <definedName name="CapexInflationIndex">[20]Workings!$D$11:$N$11</definedName>
    <definedName name="CapexInflationRate" localSheetId="1">[20]Workings!$D$10:$N$10</definedName>
    <definedName name="CapexInflationRate">[20]Workings!$D$10:$N$10</definedName>
    <definedName name="CapexNBVOtherCfwd" localSheetId="1">[20]Workings!$D$433:$N$433</definedName>
    <definedName name="CapexNBVOtherCfwd">[20]Workings!$D$433:$N$433</definedName>
    <definedName name="CapexNBVWasteCfwd" localSheetId="1">[20]Workings!$D$432:$N$432</definedName>
    <definedName name="CapexNBVWasteCfwd">[20]Workings!$D$432:$N$432</definedName>
    <definedName name="CapexNBVWaterCfwd" localSheetId="1">[20]Workings!$D$431:$N$431</definedName>
    <definedName name="CapexNBVWaterCfwd">[20]Workings!$D$431:$N$431</definedName>
    <definedName name="CapexNBVWIPCfwd" localSheetId="1">[20]Workings!$D$434</definedName>
    <definedName name="CapexNBVWIPCfwd">[20]Workings!$D$434</definedName>
    <definedName name="CapexWIPCfwd" localSheetId="1">[20]Workings!$D$223</definedName>
    <definedName name="CapexWIPCfwd">[20]Workings!$D$223</definedName>
    <definedName name="CapitalCreditorsCfwd" localSheetId="1">[20]Workings!$D$660:$N$660</definedName>
    <definedName name="CapitalCreditorsCfwd">[20]Workings!$D$660:$N$660</definedName>
    <definedName name="CapProjects">#REF!</definedName>
    <definedName name="CASHBANK">[15]Con_cm!$AI$301</definedName>
    <definedName name="CashCfwd" localSheetId="1">[20]Workings!$D$1382:$N$1382</definedName>
    <definedName name="CashCfwd">[20]Workings!$D$1382:$N$1382</definedName>
    <definedName name="CASHFLOW" localSheetId="1">#REF!</definedName>
    <definedName name="CASHFLOW">#REF!</definedName>
    <definedName name="cashflowdollars" localSheetId="1">#REF!</definedName>
    <definedName name="cashflowdollars">#REF!</definedName>
    <definedName name="cashflowFFO" localSheetId="1">#REF!</definedName>
    <definedName name="cashflowFFO">#REF!</definedName>
    <definedName name="CashIncrease" localSheetId="1">[20]Workings!$D$1381:$N$1381</definedName>
    <definedName name="CashIncrease">[20]Workings!$D$1381:$N$1381</definedName>
    <definedName name="Category">[40]Assumptions!$A$3:$A$8</definedName>
    <definedName name="CCBOARD" localSheetId="1">#REF!</definedName>
    <definedName name="CCBOARD">#REF!</definedName>
    <definedName name="CCBUSSOL" localSheetId="1">#REF!</definedName>
    <definedName name="CCBUSSOL">#REF!</definedName>
    <definedName name="CCCA" localSheetId="1">#REF!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entral_Interceptor">[41]Mapping!$J$1:$J$27</definedName>
    <definedName name="change1" localSheetId="1" hidden="1">{"CHARGE",#N/A,FALSE,"401C11"}</definedName>
    <definedName name="change1" localSheetId="0" hidden="1">{"CHARGE",#N/A,FALSE,"401C11"}</definedName>
    <definedName name="change1" hidden="1">{"CHARGE",#N/A,FALSE,"401C11"}</definedName>
    <definedName name="charge" localSheetId="1" hidden="1">{"CHARGE",#N/A,FALSE,"401C11"}</definedName>
    <definedName name="charge" localSheetId="0" hidden="1">{"CHARGE",#N/A,FALSE,"401C11"}</definedName>
    <definedName name="charge" hidden="1">{"CHARGE",#N/A,FALSE,"401C11"}</definedName>
    <definedName name="CHESHIRE">#REF!</definedName>
    <definedName name="CHOICES" localSheetId="1">#REF!</definedName>
    <definedName name="CHOICES">#REF!</definedName>
    <definedName name="CHOOSE" localSheetId="1">#REF!</definedName>
    <definedName name="CHOOSE">#REF!</definedName>
    <definedName name="CIQWBGuid" hidden="1">"197863b6-5a8f-4570-a888-5565b4b8f300"</definedName>
    <definedName name="CLASS" localSheetId="1">#REF!</definedName>
    <definedName name="CLASS">#REF!</definedName>
    <definedName name="CLEVELAND">#REF!</definedName>
    <definedName name="CLWYD">#REF!</definedName>
    <definedName name="COGS">[15]Con_cm!$AI$83:$AI$87</definedName>
    <definedName name="Combo">[42]Structure!$G$7:$G$53</definedName>
    <definedName name="COMP_OFFICE">[15]Con_cm!$AI$89:$AI$124</definedName>
    <definedName name="COMPANY_ACRONYM" localSheetId="1">#REF!</definedName>
    <definedName name="COMPANY_ACRONYM">#REF!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mpleteness">[43]Reference!$C$853:$C$855</definedName>
    <definedName name="Confidence_grade">[44]Lists!$A$2:$A$19</definedName>
    <definedName name="connpop_actual">OFFSET('[28]Data for Charts'!$X$11,0,0,'[28]Data for Charts'!$Y$8)</definedName>
    <definedName name="connpop_date">OFFSET('[28]Data for Charts'!$W$11,0,0,'[28]Data for Charts'!$Y$8)</definedName>
    <definedName name="connpop_forecast">OFFSET('[28]Data for Charts'!$Y$11,0,0,'[28]Data for Charts'!$Y$8)</definedName>
    <definedName name="cons_opex">'[45]Inflated capex sensitivities'!$E$86:$O$96</definedName>
    <definedName name="cons_opex_transport">'[45]Inflated capex sensitivities'!$Q$86:$AA$96</definedName>
    <definedName name="CONSOLIDATION_NZ_POST_LTD___NZPPL___SUBSIDIARIES_30_APRIL_1995">#REF!</definedName>
    <definedName name="Contact_No" localSheetId="1">'[17]Drop Down Lists'!#REF!</definedName>
    <definedName name="Contact_No">'[17]Drop Down Lists'!#REF!</definedName>
    <definedName name="Contacts" localSheetId="1">[46]Info!$A$1:$D$65536</definedName>
    <definedName name="Contacts">[46]Info!$A$1:$D$65536</definedName>
    <definedName name="ContFTE">OFFSET([37]Data1!$B$4,0,0,COUNTA([37]Data1!$B$4:$B$80),13)</definedName>
    <definedName name="Contractor" localSheetId="1">'[17]Drop Down Lists'!#REF!</definedName>
    <definedName name="Contractor">'[17]Drop Down Lists'!#REF!</definedName>
    <definedName name="Control" localSheetId="1">#REF!</definedName>
    <definedName name="Control">#REF!</definedName>
    <definedName name="COPIES">[47]Worksheet!$C$118</definedName>
    <definedName name="CORNWALL" localSheetId="1">#REF!</definedName>
    <definedName name="CORNWALL">#REF!</definedName>
    <definedName name="CorpDepart">[26]Control!$B$7</definedName>
    <definedName name="CorpProduct">[26]Control!$D$6</definedName>
    <definedName name="CorpRel_Summary">'[48]OpsRpt (Dept) - ExternalRel'!#REF!</definedName>
    <definedName name="cost" localSheetId="1">[18]Choice!$G$3:$G$83</definedName>
    <definedName name="cost">[18]Choice!$G$3:$G$83</definedName>
    <definedName name="CostBase">OFFSET('[49]Dashboard Data'!$AD$17,1,0,COUNT('[49]Dashboard Data'!$AD$18:$AD$28),1)</definedName>
    <definedName name="CostDCR">OFFSET('[49]Dashboard Data'!$AE$17,1,0,COUNT('[49]Dashboard Data'!$AD$18:$AD$28),1)</definedName>
    <definedName name="CostICS">OFFSET('[49]Dashboard Data'!$AF$17,1,0,COUNT('[49]Dashboard Data'!$AD$18:$AD$28),1)</definedName>
    <definedName name="CostMonthly">OFFSET([37]Data1!$FN$4,0,0,COUNTA([37]Data1!$FN$4:$FN$80),13)</definedName>
    <definedName name="CostYTD">OFFSET([37]Data1!$P$4,0,0,COUNTA([37]Data1!$P$4:$P$80),13)</definedName>
    <definedName name="Council">[50]Info!$H$9</definedName>
    <definedName name="cp_fund_1">#REF!</definedName>
    <definedName name="CP_PROFIT_2">#REF!</definedName>
    <definedName name="CreditNoteChargeDom" localSheetId="1">[20]Workings!$D$471:$N$471</definedName>
    <definedName name="CreditNoteChargeDom">[20]Workings!$D$471:$N$471</definedName>
    <definedName name="CreditNoteChargeNonDom" localSheetId="1">[20]Workings!$D$514:$N$514</definedName>
    <definedName name="CreditNoteChargeNonDom">[20]Workings!$D$514:$N$514</definedName>
    <definedName name="CUMBRIA" localSheetId="1">#REF!</definedName>
    <definedName name="CUMBRIA">#REF!</definedName>
    <definedName name="Currency">[51]Lists!$A$52:$A$62</definedName>
    <definedName name="CURRENT_YEAR" localSheetId="1">#REF!</definedName>
    <definedName name="CURRENT_YEAR">#REF!</definedName>
    <definedName name="CURRLIAB">[15]Con_cm!$AI$237:$AI$253</definedName>
    <definedName name="Customer">[41]Mapping!$L$2:$L$28</definedName>
    <definedName name="customers" localSheetId="1">#REF!</definedName>
    <definedName name="customers">#REF!</definedName>
    <definedName name="d" hidden="1">#REF!</definedName>
    <definedName name="da" hidden="1">#REF!</definedName>
    <definedName name="daily_reconciliation">#REF!</definedName>
    <definedName name="DATA">[52]Summary!$A$7:$D$24</definedName>
    <definedName name="DATA1">#REF!</definedName>
    <definedName name="data2" localSheetId="1">[22]Summary!$A$7:$D$24</definedName>
    <definedName name="data2">[22]Summary!$A$7:$D$24</definedName>
    <definedName name="DATA3">#REF!</definedName>
    <definedName name="DATA4">#REF!</definedName>
    <definedName name="DATA5">#REF!</definedName>
    <definedName name="_xlnm.Database" localSheetId="1">#REF!</definedName>
    <definedName name="_xlnm.Database">#REF!</definedName>
    <definedName name="Date">[51]Lists!$E$5</definedName>
    <definedName name="Date_range">[26]Control!$G$3:$R$8</definedName>
    <definedName name="Date1">[53]Contents!$C$6</definedName>
    <definedName name="Date2">[53]Contents!$C$7</definedName>
    <definedName name="Date3">[48]Contents!$C$6</definedName>
    <definedName name="Date5">[48]Contents!$D$6</definedName>
    <definedName name="DateCurrentYearOpening">[51]Lists!$E$4</definedName>
    <definedName name="DatePriorYear">[51]Lists!$E$3</definedName>
    <definedName name="DatePriorYearOpening">[51]Lists!$E$2</definedName>
    <definedName name="Dceligibility">[43]Reference!$C$873:$C$874</definedName>
    <definedName name="debit_types" localSheetId="1">#REF!</definedName>
    <definedName name="debit_types">#REF!</definedName>
    <definedName name="debits_total_debt" localSheetId="1">#REF!</definedName>
    <definedName name="debits_total_debt">#REF!</definedName>
    <definedName name="debt" localSheetId="1">'[54]Aged debt'!#REF!</definedName>
    <definedName name="debt">'[54]Aged debt'!#REF!</definedName>
    <definedName name="debt_period" localSheetId="1">#REF!</definedName>
    <definedName name="debt_period">#REF!</definedName>
    <definedName name="DEBT_PREPAY">[15]Con_cm!$AJ$310</definedName>
    <definedName name="Debtcap">[38]Assumptions!$D$32:$P$32</definedName>
    <definedName name="Debtfundedinterestquestion">[43]Reference!$B$847:$B$848</definedName>
    <definedName name="Debtgraph" localSheetId="1">#REF!</definedName>
    <definedName name="Debtgraph">#REF!</definedName>
    <definedName name="debtmovement1" localSheetId="1">#REF!</definedName>
    <definedName name="debtmovement1">#REF!</definedName>
    <definedName name="debtmovement2">#REF!</definedName>
    <definedName name="DeferredIncomeAmortisationTotal" localSheetId="1">[20]Workings!$D$790:$N$790</definedName>
    <definedName name="DeferredIncomeAmortisationTotal">[20]Workings!$D$790:$N$790</definedName>
    <definedName name="DeferredIncomeCfwd" localSheetId="1">[20]Workings!$D$791:$N$791</definedName>
    <definedName name="DeferredIncomeCfwd">[20]Workings!$D$791:$N$791</definedName>
    <definedName name="DeferredIncomeGrantsReceived" localSheetId="1">[20]Workings!$D$789:$N$789</definedName>
    <definedName name="DeferredIncomeGrantsReceived">[20]Workings!$D$789:$N$789</definedName>
    <definedName name="DeferredTaxCharge" localSheetId="1">[20]Workings!$D$818:$N$818</definedName>
    <definedName name="DeferredTaxCharge">[20]Workings!$D$818:$N$818</definedName>
    <definedName name="DefTaxPaid" localSheetId="1">[20]Workings!$D$822:$N$822</definedName>
    <definedName name="DefTaxPaid">[20]Workings!$D$822:$N$822</definedName>
    <definedName name="DefTaxProvisionCfwd" localSheetId="1">[20]Workings!$D$823:$N$823</definedName>
    <definedName name="DefTaxProvisionCfwd">[20]Workings!$D$823:$N$823</definedName>
    <definedName name="DEI">'[55]DUNDEE EXTERNAL'!$P$699</definedName>
    <definedName name="DenominatorsRange" localSheetId="1">OFFSET(#REF!,COUNTA(#REF!)-#REF!,0,#REF!)</definedName>
    <definedName name="DenominatorsRange">OFFSET(#REF!,COUNTA(#REF!)-#REF!,0,#REF!)</definedName>
    <definedName name="Department">#REF!</definedName>
    <definedName name="depn_cost_sens">'[45]Inflated capex sensitivities'!$E$99:$O$109</definedName>
    <definedName name="depn_cost_sens_transport">'[45]Inflated capex sensitivities'!$Q$99:$AA$109</definedName>
    <definedName name="depn_sens">'[45]Inflated capex sensitivities'!$E$48:$O$58</definedName>
    <definedName name="depn_sens_transport">'[45]Inflated capex sensitivities'!$Q$48:$AA$58</definedName>
    <definedName name="DEPRECIATION">[15]Con_cm!$AI$150</definedName>
    <definedName name="DepreciationOtherDisposals" localSheetId="1">[20]Workings!$D$418:$N$418</definedName>
    <definedName name="DepreciationOtherDisposals">[20]Workings!$D$418:$N$418</definedName>
    <definedName name="DepreciationOtherTotalCharge" localSheetId="1">[20]Workings!$D$417:$N$417</definedName>
    <definedName name="DepreciationOtherTotalCharge">[20]Workings!$D$417:$N$417</definedName>
    <definedName name="DepreciationWasteDisposals" localSheetId="1">[20]Workings!$D$402:$N$402</definedName>
    <definedName name="DepreciationWasteDisposals">[20]Workings!$D$402:$N$402</definedName>
    <definedName name="DepreciationWasteLTNCharge" localSheetId="1">[20]Workings!$D$401:$N$401</definedName>
    <definedName name="DepreciationWasteLTNCharge">[20]Workings!$D$401:$N$401</definedName>
    <definedName name="DepreciationWasteTotalCharge" localSheetId="1">[20]Workings!$D$400:$N$400</definedName>
    <definedName name="DepreciationWasteTotalCharge">[20]Workings!$D$400:$N$400</definedName>
    <definedName name="DepreciationWaterDisposals" localSheetId="1">[20]Workings!$D$386:$N$386</definedName>
    <definedName name="DepreciationWaterDisposals">[20]Workings!$D$386:$N$386</definedName>
    <definedName name="DepreciationWaterLTNCharge" localSheetId="1">[20]Workings!$D$385:$N$385</definedName>
    <definedName name="DepreciationWaterLTNCharge">[20]Workings!$D$385:$N$385</definedName>
    <definedName name="DepreciationWaterTotalCharge" localSheetId="1">[20]Workings!$D$384:$N$384</definedName>
    <definedName name="DepreciationWaterTotalCharge">[20]Workings!$D$384:$N$384</definedName>
    <definedName name="Dept">#REF!</definedName>
    <definedName name="Dept.Select.1">#REF!</definedName>
    <definedName name="Dept.Select.2">#REF!</definedName>
    <definedName name="Dept.Select.3">#REF!</definedName>
    <definedName name="Dept.Selected.1">#REF!</definedName>
    <definedName name="Dept.Selected.2">#REF!</definedName>
    <definedName name="Dept.Selected.3">#REF!</definedName>
    <definedName name="Dept_Code" localSheetId="1">'[14]Water Connections Data'!$IT$62713:$IT$62715</definedName>
    <definedName name="Dept_Code">'[14]Water Connections Data'!$IT$62713:$IT$62715</definedName>
    <definedName name="Depth">'[17]Drop Down Lists'!#REF!</definedName>
    <definedName name="DeptID" localSheetId="1">#REF!</definedName>
    <definedName name="DeptID">#REF!</definedName>
    <definedName name="DeptList">[48]GrahpListName!$C$2:$C$4</definedName>
    <definedName name="DERBYSHIRE" localSheetId="1">#REF!</definedName>
    <definedName name="DERBYSHIRE">#REF!</definedName>
    <definedName name="DESCRIPTION" localSheetId="1">'[56]Entry journal'!#REF!</definedName>
    <definedName name="DESCRIPTION">'[56]Entry journal'!#REF!</definedName>
    <definedName name="Destination">[42]Calc_BU_EVA!$L$11:$AM$101</definedName>
    <definedName name="Detail.Start">[57]Intl!$A$174</definedName>
    <definedName name="DevAdviser" localSheetId="1">[58]Sheet4!$B$2:$B$35</definedName>
    <definedName name="DevAdviser">[58]Sheet4!$B$2:$B$35</definedName>
    <definedName name="DEVON" localSheetId="1">#REF!</definedName>
    <definedName name="DEVON">#REF!</definedName>
    <definedName name="DHLyear">#REF!</definedName>
    <definedName name="Digital">[41]Mapping!$K$1:$K$28</definedName>
    <definedName name="Direct_expenditure_L2">[59]Validation!$A$2:$A$14</definedName>
    <definedName name="directorate_Group">'[59]Group Position'!$AD$26:$AD$48</definedName>
    <definedName name="Divs">"Chart 2"</definedName>
    <definedName name="dnchfyrgst12546" hidden="1">'[1]Input Data'!#REF!</definedName>
    <definedName name="dnonames" localSheetId="1">#REF!</definedName>
    <definedName name="dnonames">#REF!</definedName>
    <definedName name="DocSecurityLookup" localSheetId="1">#REF!</definedName>
    <definedName name="DocSecurityLookup">#REF!</definedName>
    <definedName name="dog" localSheetId="1" hidden="1">{"NET",#N/A,FALSE,"401C11"}</definedName>
    <definedName name="dog" localSheetId="0" hidden="1">{"NET",#N/A,FALSE,"401C11"}</definedName>
    <definedName name="dog" hidden="1">{"NET",#N/A,FALSE,"401C11"}</definedName>
    <definedName name="DOMESTIC" localSheetId="1">#REF!</definedName>
    <definedName name="DOMESTIC">#REF!</definedName>
    <definedName name="DORSET" localSheetId="1">#REF!</definedName>
    <definedName name="DORSET">#REF!</definedName>
    <definedName name="DOS_CALC">[60]input!$A$2:$B$42</definedName>
    <definedName name="DOS_GRAPH">[60]input!#REF!</definedName>
    <definedName name="Driver">[43]Reference!$B$765:$B$768</definedName>
    <definedName name="dsg" hidden="1">"$F$31"</definedName>
    <definedName name="dsga" hidden="1">1000</definedName>
    <definedName name="DURHAM">#REF!</definedName>
    <definedName name="DVW" localSheetId="1">#REF!</definedName>
    <definedName name="DVW">#REF!</definedName>
    <definedName name="DYFED" localSheetId="1">#REF!</definedName>
    <definedName name="DYFED">#REF!</definedName>
    <definedName name="E_SUSSEX">#REF!</definedName>
    <definedName name="EBIT">"Chart 21"</definedName>
    <definedName name="ECLyear">#REF!</definedName>
    <definedName name="EDP">[15]Con_cm!$AI$103:$AI$106</definedName>
    <definedName name="EEI">'[55]EDINBURGH EXTERNAL'!$P$1367</definedName>
    <definedName name="EmpLIST" localSheetId="1">#REF!</definedName>
    <definedName name="EmpLIST">#REF!</definedName>
    <definedName name="Employee" localSheetId="1">#REF!</definedName>
    <definedName name="Employee">#REF!</definedName>
    <definedName name="EMPLOYEE_" localSheetId="1">#REF!</definedName>
    <definedName name="EMPLOYEE_">#REF!</definedName>
    <definedName name="EmployeeID">#REF!</definedName>
    <definedName name="Employeelist">#REF!</definedName>
    <definedName name="Ending">#REF!</definedName>
    <definedName name="Entity">[51]Cover!$B$4</definedName>
    <definedName name="Entity2">[43]Reference!$B$805:$B$843</definedName>
    <definedName name="ESSEX" localSheetId="1">#REF!</definedName>
    <definedName name="ESSEX">#REF!</definedName>
    <definedName name="EV__LASTREFTIME__" hidden="1">40339.4799074074</definedName>
    <definedName name="Exp_list">[26]Control!$K$12:$K$29</definedName>
    <definedName name="Exp_Type">'[12]Board Rpt SumIncStmt'!#REF!</definedName>
    <definedName name="expenses" localSheetId="1">#REF!</definedName>
    <definedName name="expenses">#REF!</definedName>
    <definedName name="Expired" hidden="1">FALSE</definedName>
    <definedName name="Extendedtrialbalance" localSheetId="1">#REF!</definedName>
    <definedName name="Extendedtrialbalance">#REF!</definedName>
    <definedName name="F" localSheetId="1" hidden="1">{"bal",#N/A,FALSE,"working papers";"income",#N/A,FALSE,"working papers"}</definedName>
    <definedName name="F" localSheetId="0" hidden="1">{"bal",#N/A,FALSE,"working papers";"income",#N/A,FALSE,"working papers"}</definedName>
    <definedName name="F" hidden="1">{"bal",#N/A,FALSE,"working papers";"income",#N/A,FALSE,"working papers"}</definedName>
    <definedName name="FA">[15]Con_cm!$AI$273</definedName>
    <definedName name="FCAST">#REF!</definedName>
    <definedName name="fdraf" localSheetId="1"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 localSheetId="1">#REF!</definedName>
    <definedName name="FFOgraph">#REF!</definedName>
    <definedName name="Finance">[61]Mapping!$F$4:$F$22</definedName>
    <definedName name="FINANCIAL">[15]Con_cm!$AI$130:$AI$142</definedName>
    <definedName name="Financial_Report" localSheetId="1">#REF!</definedName>
    <definedName name="Financial_Report">#REF!</definedName>
    <definedName name="FinancialCompanyRange" localSheetId="1">OFFSET(#REF!,COUNTA(#REF!)-#REF!,0,#REF!)</definedName>
    <definedName name="FinancialCompanyRange">OFFSET(#REF!,COUNTA(#REF!)-#REF!,0,#REF!)</definedName>
    <definedName name="Fiscal_Yr">#REF!</definedName>
    <definedName name="FiscalYear">[26]Control!$C$4</definedName>
    <definedName name="FixedFloating">[51]Lists!$A$71:$A$73</definedName>
    <definedName name="FLK" localSheetId="1">#REF!</definedName>
    <definedName name="FLK">#REF!</definedName>
    <definedName name="FOLLOWING_YEAR" localSheetId="1">#REF!</definedName>
    <definedName name="FOLLOWING_YEAR">#REF!</definedName>
    <definedName name="forCellAbove">#REF!</definedName>
    <definedName name="ForCurrentLine" localSheetId="1">ROW('[62]JOURNAL UPLOAD'!$B1)-17</definedName>
    <definedName name="ForCurrentLine">ROW('[62]JOURNAL UPLOAD'!$B1)-17</definedName>
    <definedName name="FORECAST" localSheetId="1">[27]Parms!$B$12</definedName>
    <definedName name="FORECAST">[27]Parms!$B$12</definedName>
    <definedName name="FORECAST_Q3">[26]Control!$B$15</definedName>
    <definedName name="forTopRow" localSheetId="1">#REF!</definedName>
    <definedName name="forTopRow">#REF!</definedName>
    <definedName name="Foutput" localSheetId="1" hidden="1">#REF!</definedName>
    <definedName name="Foutput" hidden="1">#REF!</definedName>
    <definedName name="fsdfffd" localSheetId="1" hidden="1">#REF!</definedName>
    <definedName name="fsdfffd" hidden="1">#REF!</definedName>
    <definedName name="fsdfsd" hidden="1">#REF!</definedName>
    <definedName name="fsfds" hidden="1">#REF!</definedName>
    <definedName name="fsfsd" hidden="1">#REF!</definedName>
    <definedName name="FTE_Current">'[25]GL Monthly Source Data'!$O$15:$O$17</definedName>
    <definedName name="FTE_YTD">'[25]GL Monthly Source Data'!$O$19:$Q$19</definedName>
    <definedName name="FTEBase">OFFSET('[49]Dashboard Data'!$P$1,1,0,COUNT('[49]Dashboard Data'!$P$1:$P$12),1)</definedName>
    <definedName name="FTEDCR">OFFSET('[49]Dashboard Data'!$Q$1,1,0,COUNT('[49]Dashboard Data'!$P$2:$P$12),1)</definedName>
    <definedName name="FTEEnd">OFFSET('[49]Dashboard Data'!$T$2,0,0,COUNT('[49]Dashboard Data'!$P$2:$P$12),1)</definedName>
    <definedName name="FTEICS">OFFSET('[49]Dashboard Data'!$R$1,1,0,COUNT('[49]Dashboard Data'!$P$2:$P$12),1)</definedName>
    <definedName name="FTELabel">OFFSET('[49]Dashboard Data'!$O$2,0,0,COUNT('[49]Dashboard Data'!$P$2:$P$12),1)</definedName>
    <definedName name="fujdr" hidden="1">#REF!</definedName>
    <definedName name="Funds">"Chart 1"</definedName>
    <definedName name="FY_1" localSheetId="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 localSheetId="1">[20]Workings!$D$143:$N$143</definedName>
    <definedName name="GainOnSaleOther">[20]Workings!$D$143:$N$143</definedName>
    <definedName name="GainOnSaleWaste" localSheetId="1">[20]Workings!$D$136:$N$136</definedName>
    <definedName name="GainOnSaleWaste">[20]Workings!$D$136:$N$136</definedName>
    <definedName name="GainOnSaleWater" localSheetId="1">[20]Workings!$D$129:$N$129</definedName>
    <definedName name="GainOnSaleWater">[20]Workings!$D$129:$N$129</definedName>
    <definedName name="GAPDATA" localSheetId="1">#REF!</definedName>
    <definedName name="GAPDATA">#REF!</definedName>
    <definedName name="General" localSheetId="1">#REF!</definedName>
    <definedName name="General">#REF!</definedName>
    <definedName name="General_Ledger">[24]GL!$G$2:$G$320</definedName>
    <definedName name="General1" localSheetId="1">#REF!</definedName>
    <definedName name="General1">#REF!</definedName>
    <definedName name="General2">#REF!</definedName>
    <definedName name="Generalledgeroverview">#REF!</definedName>
    <definedName name="GEOG9703">#REF!</definedName>
    <definedName name="Geographic">[31]Geographic!$A$1:$A$14</definedName>
    <definedName name="Geographic_priority">'[31]Evaluation factors'!$F$11:$F$15</definedName>
    <definedName name="gfff" localSheetId="1" hidden="1">{"CHARGE",#N/A,FALSE,"401C11"}</definedName>
    <definedName name="gfff" localSheetId="0" hidden="1">{"CHARGE",#N/A,FALSE,"401C11"}</definedName>
    <definedName name="gfff" hidden="1">{"CHARGE",#N/A,FALSE,"401C11"}</definedName>
    <definedName name="GL_code">'[63]Drop Down'!$I$3:$I$55</definedName>
    <definedName name="GL_group">[64]lists!$H$3:$H$6</definedName>
    <definedName name="GL_T">[65]!GL_T[#All]</definedName>
    <definedName name="GLOS" localSheetId="1">#REF!</definedName>
    <definedName name="GLOS">#REF!</definedName>
    <definedName name="glpr" localSheetId="1">#REF!</definedName>
    <definedName name="glpr">#REF!</definedName>
    <definedName name="GOHOME" localSheetId="1">#REF!</definedName>
    <definedName name="GOHOME">#REF!</definedName>
    <definedName name="GOODWILL">[15]Con_cm!$AI$311</definedName>
    <definedName name="graphs">#REF!</definedName>
    <definedName name="GREEN">[66]Assumptions!#REF!</definedName>
    <definedName name="gross" localSheetId="1" hidden="1">{"GROSS",#N/A,FALSE,"401C11"}</definedName>
    <definedName name="gross" localSheetId="0" hidden="1">{"GROSS",#N/A,FALSE,"401C11"}</definedName>
    <definedName name="gross" hidden="1">{"GROSS",#N/A,FALSE,"401C11"}</definedName>
    <definedName name="Gross_Exp">'[67]Project data'!$A$3:$S$100</definedName>
    <definedName name="gross1" localSheetId="1" hidden="1">{"GROSS",#N/A,FALSE,"401C11"}</definedName>
    <definedName name="gross1" localSheetId="0" hidden="1">{"GROSS",#N/A,FALSE,"401C11"}</definedName>
    <definedName name="gross1" hidden="1">{"GROSS",#N/A,FALSE,"401C11"}</definedName>
    <definedName name="group">[68]Export!$A$4:$D$24</definedName>
    <definedName name="GroupList">[48]GrahpListName!$A$2:$A$5</definedName>
    <definedName name="GroupListBrief">[48]GrahpListName!$A$25:$A$29</definedName>
    <definedName name="Groups">[42]Structure!$E$7:$E$53</definedName>
    <definedName name="GTR_MAN" localSheetId="1">#REF!</definedName>
    <definedName name="GTR_MAN">#REF!</definedName>
    <definedName name="GWENT" localSheetId="1">#REF!</definedName>
    <definedName name="GWENT">#REF!</definedName>
    <definedName name="GWYNEDD" localSheetId="1">#REF!</definedName>
    <definedName name="GWYNEDD">#REF!</definedName>
    <definedName name="HANTS">#REF!</definedName>
    <definedName name="hasdfjklhklj" localSheetId="1" hidden="1">{"NET",#N/A,FALSE,"401C11"}</definedName>
    <definedName name="hasdfjklhklj" localSheetId="0" hidden="1">{"NET",#N/A,FALSE,"401C11"}</definedName>
    <definedName name="hasdfjklhklj" hidden="1">{"NET",#N/A,FALSE,"401C11"}</definedName>
    <definedName name="Heading">#REF!</definedName>
    <definedName name="Helen_P9" localSheetId="1">'[69]It Invocies P1 - P9'!$A$1:$I$1322</definedName>
    <definedName name="Helen_P9">'[69]It Invocies P1 - P9'!$A$1:$I$1322</definedName>
    <definedName name="help" localSheetId="1" hidden="1">{"CHARGE",#N/A,FALSE,"401C11"}</definedName>
    <definedName name="help" localSheetId="0" hidden="1">{"CHARGE",#N/A,FALSE,"401C11"}</definedName>
    <definedName name="help" hidden="1">{"CHARGE",#N/A,FALSE,"401C11"}</definedName>
    <definedName name="HEREFORD_W">#REF!</definedName>
    <definedName name="HERTS">#REF!</definedName>
    <definedName name="hghghhj" localSheetId="1" hidden="1">{"CHARGE",#N/A,FALSE,"401C11"}</definedName>
    <definedName name="hghghhj" localSheetId="0" hidden="1">{"CHARGE",#N/A,FALSE,"401C11"}</definedName>
    <definedName name="hghghhj" hidden="1">{"CHARGE",#N/A,FALSE,"401C11"}</definedName>
    <definedName name="holidays" localSheetId="1">#REF!</definedName>
    <definedName name="holidays">#REF!</definedName>
    <definedName name="HOLOS_DL_BS_ACT">[15]DL_BS_ACT!$BG$59:$BL$390</definedName>
    <definedName name="HOLOS_DL_BS_GGRSM">[15]DL_BS_GGRSM!$CR$96:$CR$425</definedName>
    <definedName name="HOLOS_DL_BS_LAST_YR">[15]DL_BS_LAST_YR!$W$23:$W$354</definedName>
    <definedName name="HOLOS_DL_BUD_ANL">[15]DL_BUD_ANL!$M$13:$U$117</definedName>
    <definedName name="HOLOS_DL_BUD_YTD">[15]DL_BUD_YTD!$AG$33:$AM$137</definedName>
    <definedName name="HOLOS_DL_LAST_YR">[15]DL_LAST_YR!$Z$26:$AF$134</definedName>
    <definedName name="HOLOS_DL_PL_ACT">[15]DL_PL_ACT!$BI$64:$BN$168</definedName>
    <definedName name="HOLOS_DL_PL_GGRSM">[15]DL_PL_GGRSM!$CS$99:$CS$202</definedName>
    <definedName name="HOLOS_DL_REV_ACT">[15]DL_REV_ACT!$CD$86:$CH$258</definedName>
    <definedName name="HOLOS_DL_REV_BUD">[15]DL_REV_BUD!$AF$32:$AJ$198</definedName>
    <definedName name="HOLOS_ORIENT_DL_BS_ACT">[15]DL_BS_ACT!$A$392:$BG$397</definedName>
    <definedName name="HOLOS_ORIENT_DL_BS_GGRSM">[15]DL_BS_GGRSM!$A$427:$CR$432</definedName>
    <definedName name="HOLOS_ORIENT_DL_BS_LAST_YR">[15]DL_BS_LAST_YR!$A$356:$W$361</definedName>
    <definedName name="HOLOS_ORIENT_DL_BUD_ANL">[15]DL_BUD_ANL!$A$119:$M$123</definedName>
    <definedName name="HOLOS_ORIENT_DL_BUD_YTD">[15]DL_BUD_YTD!$A$139:$AF$143</definedName>
    <definedName name="HOLOS_ORIENT_DL_LAST_YR">[15]DL_LAST_YR!$A$136:$Z$140</definedName>
    <definedName name="HOLOS_ORIENT_DL_PL_ACT">[15]DL_PL_ACT!$A$170:$BI$174</definedName>
    <definedName name="HOLOS_ORIENT_DL_PL_GGRSM">[15]DL_PL_GGRSM!$A$204:$CS$208</definedName>
    <definedName name="HOLOS_ORIENT_DL_REV_ACT">[15]DL_REV_ACT!$A$260:$CD$264</definedName>
    <definedName name="HOLOS_ORIENT_DL_REV_BUD">[15]DL_REV_BUD!$A$200:$AF$204</definedName>
    <definedName name="HOMER" localSheetId="1">#REF!</definedName>
    <definedName name="HOMER">#REF!</definedName>
    <definedName name="HR___D" localSheetId="1">'[70]Detailed I&amp;E DO NOT DELETE'!#REF!</definedName>
    <definedName name="HR___D">'[70]Detailed I&amp;E DO NOT DELETE'!#REF!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CPs">[71]ICPList!$A$2:$A$742</definedName>
    <definedName name="IDN" localSheetId="1">'[72]Balance Sheet'!#REF!</definedName>
    <definedName name="IDN">'[72]Balance Sheet'!#REF!</definedName>
    <definedName name="IFN" localSheetId="1">'[72]Balance Sheet'!#REF!</definedName>
    <definedName name="IFN">'[72]Balance Sheet'!#REF!</definedName>
    <definedName name="Inc_Analysis">'[48]Board report'!#REF!</definedName>
    <definedName name="INCOME" localSheetId="1">#REF!</definedName>
    <definedName name="INCOME">#REF!</definedName>
    <definedName name="IncStmt">'[12]Board Rpt SumIncStmt'!#REF!</definedName>
    <definedName name="Indicator">'[73]Dropdown data'!$A$6:$A$24</definedName>
    <definedName name="INDICES" localSheetId="1">#REF!</definedName>
    <definedName name="INDICES">#REF!</definedName>
    <definedName name="Info" localSheetId="1">[74]Info!$A$1:$D$65536</definedName>
    <definedName name="Info">[74]Info!$A$1:$D$65536</definedName>
    <definedName name="Infra_Del">[61]Mapping!$A$4:$A$22</definedName>
    <definedName name="Infra_Delivery">[41]Mapping!$H$1:$H$28</definedName>
    <definedName name="INPUT">#REF!</definedName>
    <definedName name="INPUT_TITLE">#REF!</definedName>
    <definedName name="INTEREST" localSheetId="1">#REF!</definedName>
    <definedName name="INTEREST">#REF!</definedName>
    <definedName name="interest_sens">'[45]Inflated capex sensitivities'!$E$74:$O$84</definedName>
    <definedName name="interest_sens_transport">'[45]Inflated capex sensitivities'!$Q$74:$AA$84</definedName>
    <definedName name="InterestAccrualCfwd" localSheetId="1">[20]Workings!$D$1354:$N$1354</definedName>
    <definedName name="InterestAccrualCfwd">[20]Workings!$D$1354:$N$1354</definedName>
    <definedName name="InterestPaid" localSheetId="1">[20]Workings!$D$1353:$N$1353</definedName>
    <definedName name="InterestPaid">[20]Workings!$D$1353:$N$1353</definedName>
    <definedName name="InterestPayable" localSheetId="1">[20]Workings!$D$1352:$N$1352</definedName>
    <definedName name="InterestPayable">[20]Workings!$D$1352:$N$1352</definedName>
    <definedName name="InterestReceived" localSheetId="1">[20]Workings!$D$1356:$N$1356</definedName>
    <definedName name="InterestReceived">[20]Workings!$D$1356:$N$1356</definedName>
    <definedName name="interpretation">'[75]Catch up efficiency'!$I$7:$I$13</definedName>
    <definedName name="INVESTMENTS_IN_SUBSIDIARIES">#REF!</definedName>
    <definedName name="InvestmentsCfwd" localSheetId="1">[20]Workings!$D$439</definedName>
    <definedName name="InvestmentsCfwd">[20]Workings!$D$439</definedName>
    <definedName name="IP" localSheetId="1">#REF!</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[61]Mapping!$E$4:$E$22</definedName>
    <definedName name="items_values">#REF!</definedName>
    <definedName name="j">"V2004-03-31"</definedName>
    <definedName name="JFELL" localSheetId="1" hidden="1">#REF!</definedName>
    <definedName name="JFELL" hidden="1">#REF!</definedName>
    <definedName name="JNLDATE" localSheetId="1">#REF!</definedName>
    <definedName name="JNLDATE">#REF!</definedName>
    <definedName name="JNLID" localSheetId="1">'[56]Entry journal'!#REF!</definedName>
    <definedName name="JNLID">'[56]Entry journal'!#REF!</definedName>
    <definedName name="JNLPERIOD" localSheetId="1">#REF!</definedName>
    <definedName name="JNLPERIOD">#REF!</definedName>
    <definedName name="JNLRDATE" localSheetId="1">#REF!</definedName>
    <definedName name="JNLRDATE">#REF!</definedName>
    <definedName name="JNLRID" localSheetId="1">'[56]Entry journal'!#REF!</definedName>
    <definedName name="JNLRID">'[56]Entry journal'!#REF!</definedName>
    <definedName name="JNLRPERIOD" localSheetId="1">#REF!</definedName>
    <definedName name="JNLRPERIOD">#REF!</definedName>
    <definedName name="JR_LAST_YEAR" localSheetId="1">#REF!</definedName>
    <definedName name="JR_LAST_YEAR">#REF!</definedName>
    <definedName name="JR_REPORT_YEAR" localSheetId="1">#REF!</definedName>
    <definedName name="JR_REPORT_YEAR">#REF!</definedName>
    <definedName name="JR_YEAR_B4_LAST">#REF!</definedName>
    <definedName name="JR_YEAR_B5_LAST">#REF!</definedName>
    <definedName name="kc">#REF!</definedName>
    <definedName name="KENT">#REF!</definedName>
    <definedName name="KEY">[76]KEY!$A$4:$B$18</definedName>
    <definedName name="Kiwi">[12]Instructions!$K$1</definedName>
    <definedName name="LANCS" localSheetId="1">#REF!</definedName>
    <definedName name="LANCS">#REF!</definedName>
    <definedName name="LAST_YEAR">#REF!</definedName>
    <definedName name="Leakage">#REF!</definedName>
    <definedName name="Legal_entity">[64]lists!$F$3:$F$10</definedName>
    <definedName name="LEICS" localSheetId="1">#REF!</definedName>
    <definedName name="LEICS">#REF!</definedName>
    <definedName name="Level">'[31]Evaluation factors'!$D$4:$D$6</definedName>
    <definedName name="Level2_T">[65]!Level2_T[#All]</definedName>
    <definedName name="Level3_T">[65]!Level3_T[#All]</definedName>
    <definedName name="LINCS" localSheetId="1">#REF!</definedName>
    <definedName name="LINCS">#REF!</definedName>
    <definedName name="LineCount">#REF!</definedName>
    <definedName name="List_EVABU">#REF!</definedName>
    <definedName name="LkupJrnlSource" localSheetId="1">[77]LOOKUP!$B$4:$B$20</definedName>
    <definedName name="LkupJrnlSource">[77]LOOKUP!$B$4:$B$20</definedName>
    <definedName name="LkupReversingDesc" localSheetId="1">[77]LOOKUP!$F$4:$F$6</definedName>
    <definedName name="LkupReversingDesc">[77]LOOKUP!$F$4:$F$6</definedName>
    <definedName name="Local_Boards">[24]Region!$E$2:$E$32</definedName>
    <definedName name="Location">[43]Reference!$B$138:$B$159</definedName>
    <definedName name="LONDON" localSheetId="1">#REF!</definedName>
    <definedName name="LONDON">#REF!</definedName>
    <definedName name="LOOKUPTABLE" localSheetId="1">'[78]P9 IT'!#REF!</definedName>
    <definedName name="LOOKUPTABLE">'[78]P9 IT'!#REF!</definedName>
    <definedName name="lst_acronyms">[79]F_Inputs_Clean!$C$7:$C$348</definedName>
    <definedName name="lst_all_companies">[79]Other_Inputs!$D$21:$U$21</definedName>
    <definedName name="lst_menus">'[79]Menu design'!$D$10:$I$10</definedName>
    <definedName name="lst_reference">[79]F_Inputs_Clean!$D$7:$D$348</definedName>
    <definedName name="lst_scenarios">[79]Scenarios!$E$3:$J$3</definedName>
    <definedName name="LTNZ_Subsidy">'[67]Project data'!$A$102:$S$135</definedName>
    <definedName name="LY_ACTUAL">[26]Control!$B$14</definedName>
    <definedName name="M_GLAM" localSheetId="1">#REF!</definedName>
    <definedName name="M_GLAM">#REF!</definedName>
    <definedName name="MaintenanceExpRange" localSheetId="1">OFFSET(#REF!,COUNTA(#REF!)-#REF!,0,#REF!)</definedName>
    <definedName name="MaintenanceExpRange">OFFSET(#REF!,COUNTA(#REF!)-#REF!,0,#REF!)</definedName>
    <definedName name="MaoriOutcomes">[80]LISTS!$AH$14:$AH$21</definedName>
    <definedName name="MappingTable">'[51]Mapping table'!$A$11:$E$7004</definedName>
    <definedName name="MapRange">[81]Custom1Lookup!$A$2:$C$487</definedName>
    <definedName name="MARKETING">#REF!</definedName>
    <definedName name="mary" localSheetId="1">'[82]96070'!#REF!</definedName>
    <definedName name="mary">'[82]96070'!#REF!</definedName>
    <definedName name="Material" localSheetId="1">'[17]Drop Down Lists'!#REF!</definedName>
    <definedName name="Material">'[17]Drop Down Lists'!#REF!</definedName>
    <definedName name="MERSEYSIDE" localSheetId="1">#REF!</definedName>
    <definedName name="MERSEYSIDE">#REF!</definedName>
    <definedName name="METER" localSheetId="1">#REF!</definedName>
    <definedName name="METER">#REF!</definedName>
    <definedName name="METHOD" localSheetId="1">#REF!</definedName>
    <definedName name="METHOD">#REF!</definedName>
    <definedName name="MKT">#REF!</definedName>
    <definedName name="model">#REF!</definedName>
    <definedName name="Monotype___Actual_vs_Budget_Final">[26]Control!$B$13</definedName>
    <definedName name="Monotype___BUDGET___FINAL_vs_LY_ACTUAL">[26]Control!$B$25</definedName>
    <definedName name="Monotype___FORECAST_Q3_vs_BUDGET___FINAL">[26]Control!$B$19</definedName>
    <definedName name="Monotype_Actual_vs_Budget_Final">[26]Control!$B$13</definedName>
    <definedName name="Monotype_ACTUAL_vs_LY_ACTUAL">[26]Control!$B$22</definedName>
    <definedName name="month">#REF!</definedName>
    <definedName name="Month.Select">#REF!</definedName>
    <definedName name="Month.Select.2">#REF!</definedName>
    <definedName name="Month.Select.3">#REF!</definedName>
    <definedName name="Month.Selected.2">#REF!</definedName>
    <definedName name="Month.Selected.3">#REF!</definedName>
    <definedName name="monthly_dates">OFFSET('[28]Data for Charts'!$AE$12,0,0,'[28]Data for Charts'!$AD$8)</definedName>
    <definedName name="monthly_pcc_actual">OFFSET('[28]Data for Charts'!$AG$12,0,0,'[28]Data for Charts'!$AD$8)</definedName>
    <definedName name="monthly_pcc_fitted">OFFSET('[28]Data for Charts'!$AH$12,0,0,'[28]Data for Charts'!$AD$8)</definedName>
    <definedName name="monthly_pcc_forecast">OFFSET('[28]Data for Charts'!$AI$12,0,0,'[28]Data for Charts'!$AD$8)</definedName>
    <definedName name="monthly_pcc_lower">OFFSET('[28]Data for Charts'!$AJ$12,0,0,'[28]Data for Charts'!$AD$8)</definedName>
    <definedName name="monthly_pcc_upper">OFFSET('[28]Data for Charts'!$AK$12,0,0,'[28]Data for Charts'!$AD$8)</definedName>
    <definedName name="monthly_total_actual">OFFSET('[28]Data for Charts'!$AL$12,0,0,'[28]Data for Charts'!$AD$8)</definedName>
    <definedName name="monthly_total_fitted">OFFSET('[28]Data for Charts'!$AM$12,0,0,'[28]Data for Charts'!$AD$8)</definedName>
    <definedName name="monthly_total_forecast">OFFSET('[28]Data for Charts'!$AN$12,0,0,'[28]Data for Charts'!$AD$8)</definedName>
    <definedName name="monthly_total_lower">OFFSET('[28]Data for Charts'!$AO$12,0,0,'[28]Data for Charts'!$AD$8)</definedName>
    <definedName name="monthly_total_upper">OFFSET('[28]Data for Charts'!$AP$12,0,0,'[28]Data for Charts'!$AD$8)</definedName>
    <definedName name="Monthlytotals" localSheetId="1">'[83]Monthly Breakdown'!$M$4:$U$17</definedName>
    <definedName name="Monthlytotals">'[83]Monthly Breakdown'!$M$4:$U$17</definedName>
    <definedName name="MonthNumber">[84]Control!$G$15</definedName>
    <definedName name="Months">[59]Validation!$C$2:$C$13</definedName>
    <definedName name="MSE" localSheetId="1">#REF!</definedName>
    <definedName name="MSE">#REF!</definedName>
    <definedName name="n" localSheetId="1">#REF!</definedName>
    <definedName name="n">#REF!</definedName>
    <definedName name="N_YORKS" localSheetId="1">#REF!</definedName>
    <definedName name="N_YORKS">#REF!</definedName>
    <definedName name="Name">#REF!</definedName>
    <definedName name="NCAccrualsCfwd" localSheetId="1">[20]Workings!$D$742:$N$742</definedName>
    <definedName name="NCAccrualsCfwd">[20]Workings!$D$742:$N$742</definedName>
    <definedName name="ncbdheytab" hidden="1">'[4]Bulk Meters'!#REF!</definedName>
    <definedName name="nchdnhytegsg" hidden="1">'[1]Input Data'!#REF!</definedName>
    <definedName name="nchdye1253" hidden="1">'[4]Bulk Meters'!#REF!</definedName>
    <definedName name="ncjndhyrehs123" hidden="1">'[4]Bulk Meters'!#REF!</definedName>
    <definedName name="NCOtherCreditorsCfwd" localSheetId="1">[20]Workings!$D$778:$N$778</definedName>
    <definedName name="NCOtherCreditorsCfwd">[20]Workings!$D$778:$N$778</definedName>
    <definedName name="NES" localSheetId="1">#REF!</definedName>
    <definedName name="NES">#REF!</definedName>
    <definedName name="Net" localSheetId="1">#REF!</definedName>
    <definedName name="Net">#REF!</definedName>
    <definedName name="NetDomDebtCfwd" localSheetId="1">[20]Workings!$D$482:$N$482</definedName>
    <definedName name="NetDomDebtCfwd">[20]Workings!$D$482:$N$482</definedName>
    <definedName name="NetNonDomDebtCfwd" localSheetId="1">[20]Workings!$D$523:$N$523</definedName>
    <definedName name="NetNonDomDebtCfwd">[20]Workings!$D$523:$N$523</definedName>
    <definedName name="NetOtherCreditorsCfwd" localSheetId="1">[20]Workings!$D$664:$N$664</definedName>
    <definedName name="NetOtherCreditorsCfwd">[20]Workings!$D$664:$N$664</definedName>
    <definedName name="NetOtherDebtorCfwd" localSheetId="1">[20]Workings!$D$641:$N$641</definedName>
    <definedName name="NetOtherDebtorCfwd">[20]Workings!$D$641:$N$641</definedName>
    <definedName name="NetPFIDebtorCfwd" localSheetId="1">[20]Workings!$D$533:$N$533</definedName>
    <definedName name="NetPFIDebtorCfwd">[20]Workings!$D$533:$N$533</definedName>
    <definedName name="NETWORK">#REF!</definedName>
    <definedName name="new" localSheetId="1">#REF!</definedName>
    <definedName name="new">#REF!</definedName>
    <definedName name="newmodel" localSheetId="1">'[85]Models (2)'!$A$4:$O$227</definedName>
    <definedName name="newmodel">'[85]Models (2)'!$A$4:$O$227</definedName>
    <definedName name="nne" localSheetId="1">#REF!</definedName>
    <definedName name="nne">#REF!</definedName>
    <definedName name="NON_DOMESTIC" localSheetId="1">#REF!</definedName>
    <definedName name="NON_DOMESTIC">#REF!</definedName>
    <definedName name="NonCoreOpexMoney" localSheetId="1">[20]Workings!$D$1231:$N$1231</definedName>
    <definedName name="NonCoreOpexMoney">[20]Workings!$D$1231:$N$1231</definedName>
    <definedName name="NoneBase">OFFSET('[49]Dashboard Data'!$P$36,1,0,COUNT('[49]Dashboard Data'!$P$37:$P$47),1)</definedName>
    <definedName name="NoneDCR">OFFSET('[49]Dashboard Data'!$Q$36,1,0,COUNT('[49]Dashboard Data'!$P$37:$P$47),1)</definedName>
    <definedName name="NoneICS">OFFSET('[49]Dashboard Data'!$R$36,1,0,COUNT('[49]Dashboard Data'!$P$37:$P$47),1)</definedName>
    <definedName name="NonEmpbudget">OFFSET([37]Data1!$BF$4,0,0,COUNTA([37]Data1!$BF$4:$BF$80),13)</definedName>
    <definedName name="NonEmpCost">OFFSET([37]Data1!$AR$4,0,0,COUNTA([37]Data1!$AR$4:$AR$80),13)</definedName>
    <definedName name="NonEmpHC">OFFSET([37]Data1!$BT$4,0,0,COUNTA([37]Data1!$BT$4:$BT$80),13)</definedName>
    <definedName name="NonEmpHC6">OFFSET([37]Data1!$CH$4,0,0,COUNTA([37]Data1!$CH$4:$CH$80),13)</definedName>
    <definedName name="Nonemployeehc">OFFSET('[49]Dashboard Data'!$W$36,1,0,COUNT('[49]Dashboard Data'!$W$37:$W$46),1)</definedName>
    <definedName name="Nonemployeehc6">OFFSET('[49]Dashboard Data'!$X$36,1,0,COUNT('[49]Dashboard Data'!$X$37:$X$46),1)</definedName>
    <definedName name="Nonemployeelabel">OFFSET('[49]Dashboard Data'!$V$36,1,0,COUNT('[49]Dashboard Data'!$W$37:$W$46),1)</definedName>
    <definedName name="nonrates_sens">'[45]Inflated capex sensitivities'!#REF!</definedName>
    <definedName name="nonsus" localSheetId="1">#REF!</definedName>
    <definedName name="nonsus">#REF!</definedName>
    <definedName name="NORFOLK" localSheetId="1">#REF!</definedName>
    <definedName name="NORFOLK">#REF!</definedName>
    <definedName name="NORTHANTS" localSheetId="1">#REF!</definedName>
    <definedName name="NORTHANTS">#REF!</definedName>
    <definedName name="NORTHUMBERLAND">#REF!</definedName>
    <definedName name="Notes" hidden="1">#REF!</definedName>
    <definedName name="Notnc">#REF!</definedName>
    <definedName name="NOTTS">#REF!</definedName>
    <definedName name="NumberBU">[84]Control!$G$56</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NZPost">[42]Structure!$D$7</definedName>
    <definedName name="nzppl">'[38]Actual Values'!$A$5</definedName>
    <definedName name="o" localSheetId="1">#REF!</definedName>
    <definedName name="o">#REF!</definedName>
    <definedName name="O_BUS_BUCopy">[84]Output_BUSummary1!$AW$17:$AW$122</definedName>
    <definedName name="O_BUS_BUPaste">[84]Output_BUSummary1!$I$17:$AT$17</definedName>
    <definedName name="O_BUS_Check">[84]Output_BUSummary1!$AY$17</definedName>
    <definedName name="O_BUS_Home">[84]Output_BUSummary1!$I$17</definedName>
    <definedName name="OISIII" localSheetId="1" hidden="1">#REF!</definedName>
    <definedName name="OISIII" hidden="1">#REF!</definedName>
    <definedName name="old">#REF!</definedName>
    <definedName name="Operations">[41]Mapping!$I$1:$I$28</definedName>
    <definedName name="OpexRange" localSheetId="1">OFFSET(#REF!,COUNTA(#REF!)-#REF!,0,#REF!)</definedName>
    <definedName name="OpexRange">OFFSET(#REF!,COUNTA(#REF!)-#REF!,0,#REF!)</definedName>
    <definedName name="Ops">#REF!</definedName>
    <definedName name="OpsCardDept">[48]GrahpListName!$A$16:$A$22</definedName>
    <definedName name="opt_actuals">'[79]Control Panel'!$H$22</definedName>
    <definedName name="opt_actuals_percentage">'[79]Control Panel'!$H$26</definedName>
    <definedName name="opt_baseline_bid_threshold">'[79]Control Panel'!$H$18</definedName>
    <definedName name="opt_baseline_cap">'[79]Control Panel'!$H$20</definedName>
    <definedName name="opt_bids">'[79]Control Panel'!$H$13</definedName>
    <definedName name="opt_bids_percentage">'[79]Control Panel'!$H$16</definedName>
    <definedName name="opt_gearing">'[79]Control Panel'!$H$44</definedName>
    <definedName name="opt_tax">'[79]Control Panel'!$H$46</definedName>
    <definedName name="opt_wacc">'[79]Control Panel'!$H$42</definedName>
    <definedName name="ORANGE">[66]Assumptions!#REF!</definedName>
    <definedName name="org_inf_1">#REF!</definedName>
    <definedName name="org_inf_2">#REF!</definedName>
    <definedName name="org_inf_3">#REF!</definedName>
    <definedName name="org_inf_4">#REF!</definedName>
    <definedName name="org_inf_5">#REF!</definedName>
    <definedName name="org_inf_6">#REF!</definedName>
    <definedName name="Original">'[25]GL Monthly Source Data'!$B:$P</definedName>
    <definedName name="Other">[61]Mapping!$G$4:$G$22</definedName>
    <definedName name="Other." localSheetId="1">'[58]start 10 March 08'!$A$1:$A$5</definedName>
    <definedName name="Other.">'[58]start 10 March 08'!$A$1:$A$5</definedName>
    <definedName name="Other_funding">'[67]Project data'!$A$137:$S$140</definedName>
    <definedName name="OTHER_INCOME" localSheetId="1">#REF!</definedName>
    <definedName name="OTHER_INCOME">#REF!</definedName>
    <definedName name="Other_Projects">[41]Mapping!$N$1:$N$28</definedName>
    <definedName name="OTHERCA">#REF!</definedName>
    <definedName name="OtherCreditorsCfwd" localSheetId="1">[20]Workings!$D$758:$N$758</definedName>
    <definedName name="OtherCreditorsCfwd">[20]Workings!$D$758:$N$758</definedName>
    <definedName name="OTHERINV">#REF!</definedName>
    <definedName name="OtherProvisionCfwd" localSheetId="1">[20]Workings!$D$813:$N$813</definedName>
    <definedName name="OtherProvisionCfwd">[20]Workings!$D$813:$N$813</definedName>
    <definedName name="OtherReservesCfwd" localSheetId="1">[20]Workings!$D$1402:$N$1402</definedName>
    <definedName name="OtherReservesCfwd">[20]Workings!$D$1402:$N$1402</definedName>
    <definedName name="OTHERREV">#REF!</definedName>
    <definedName name="OXON" localSheetId="1">#REF!</definedName>
    <definedName name="OXON">#REF!</definedName>
    <definedName name="P" localSheetId="1">'[86]Budget P2'!#REF!</definedName>
    <definedName name="P">'[86]Budget P2'!#REF!</definedName>
    <definedName name="P8data" localSheetId="1">#REF!</definedName>
    <definedName name="P8data">#REF!</definedName>
    <definedName name="Pal_Workbook_GUID" hidden="1">"KFKZJZRP368AW7RTEA61X7TZ"</definedName>
    <definedName name="Parent_Company">#REF!</definedName>
    <definedName name="Part_iii" hidden="1">'[87]Key information'!$E$23</definedName>
    <definedName name="paths" localSheetId="1">#REF!</definedName>
    <definedName name="paths">#REF!</definedName>
    <definedName name="Pay_Elements" localSheetId="1">#REF!</definedName>
    <definedName name="Pay_Elements">#REF!</definedName>
    <definedName name="Payment">'[17]Drop Down Lists'!$D$4:$D$5</definedName>
    <definedName name="PBT" localSheetId="1">[20]Workings!$D$1392:$N$1392</definedName>
    <definedName name="PBT">[20]Workings!$D$1392:$N$1392</definedName>
    <definedName name="PED" localSheetId="1">#REF!</definedName>
    <definedName name="PED">#REF!</definedName>
    <definedName name="PER" localSheetId="1">#REF!</definedName>
    <definedName name="PER">#REF!</definedName>
    <definedName name="Per_Variance____BUDGET___FINAL_vs_LY_ACTUAL">[26]Control!$B$24</definedName>
    <definedName name="Per_Variance___Actual_vs_Budget_Final">[26]Control!$B$17</definedName>
    <definedName name="Per_Variance___ACTUAL_vs_LY_ACTUAL">[26]Control!$B$21</definedName>
    <definedName name="Per_Variance___FORECAST_Q3_vs_BUDGET___FINAL">[26]Control!$B$19</definedName>
    <definedName name="Per_Variance_FORECAST_Q3_vs_BUDGET_FINAL">[26]Control!$B$18</definedName>
    <definedName name="Perfratios">"Chart 3"</definedName>
    <definedName name="Period" localSheetId="1">#REF!</definedName>
    <definedName name="Period">#REF!</definedName>
    <definedName name="Period_FY">[26]Control!$C$7</definedName>
    <definedName name="Period_Month">[26]Control!$C$5</definedName>
    <definedName name="Period_Value">[26]Control!$E$7</definedName>
    <definedName name="Period_YTD">[26]Control!$C$6</definedName>
    <definedName name="Period_YTGo">[26]Control!$D$7</definedName>
    <definedName name="Period2" localSheetId="1">#REF!</definedName>
    <definedName name="Period2">#REF!</definedName>
    <definedName name="person" localSheetId="1">[88]Summary!$B$3</definedName>
    <definedName name="person">[88]Summary!$B$3</definedName>
    <definedName name="PERSONNEL">#REF!</definedName>
    <definedName name="PerVariance_ACTUAL_vs_LY_ACTUAL">[26]Control!$B$21</definedName>
    <definedName name="Peter">0.0000960648103500716</definedName>
    <definedName name="PFIAdditions" localSheetId="1">[20]Workings!$D$531:$N$531</definedName>
    <definedName name="PFIAdditions">[20]Workings!$D$531:$N$531</definedName>
    <definedName name="PFIAmortisation" localSheetId="1">[20]Workings!$D$532:$N$532</definedName>
    <definedName name="PFIAmortisation">[20]Workings!$D$532:$N$532</definedName>
    <definedName name="PFIOpexMoney" localSheetId="1">[20]Workings!$D$833:$N$833</definedName>
    <definedName name="PFIOpexMoney">[20]Workings!$D$833:$N$833</definedName>
    <definedName name="PHIL_AGENCY">#REF!</definedName>
    <definedName name="PICTURE">INDIRECT('[89]BUDGET CALC'!$I$322)</definedName>
    <definedName name="PICTURE1">INDIRECT('[89]BUDGET CALC'!$I$321)</definedName>
    <definedName name="PICTURE2">INDIRECT('[89]BUDGET CALC'!$I$323)</definedName>
    <definedName name="PICTUREA">INDIRECT('[89]BUDGET CALC'!$I$329)</definedName>
    <definedName name="PICTUREE">INDIRECT('[89]BUDGET CALC'!$I$328)</definedName>
    <definedName name="PICTUREE2">INDIRECT('[89]BUDGET CALC'!$I$330)</definedName>
    <definedName name="PICTUREOV">INDIRECT('[89]BUDGET CALC'!$I$331)</definedName>
    <definedName name="PICTUREP">INDIRECT('[89]BUDGET CALC'!$I$327)</definedName>
    <definedName name="PICTURET">INDIRECT('[89]BUDGET CALC'!$I$325)</definedName>
    <definedName name="PICTUREW">INDIRECT('[89]BUDGET CALC'!$I$326)</definedName>
    <definedName name="Plan">OFFSET([37]Data1!$EZ$4,0,0,COUNTA([37]Data1!$EZ$4:$EZ$80),13)</definedName>
    <definedName name="PlanningValues">[26]Control!$D$5</definedName>
    <definedName name="PLANT">#REF!</definedName>
    <definedName name="Position" localSheetId="1">'[17]Drop Down Lists'!#REF!</definedName>
    <definedName name="Position">'[17]Drop Down Lists'!#REF!</definedName>
    <definedName name="POSTAGE">#REF!</definedName>
    <definedName name="POWYS" localSheetId="1">#REF!</definedName>
    <definedName name="POWYS">#REF!</definedName>
    <definedName name="pp">#REF!</definedName>
    <definedName name="PPM_UPM">#REF!</definedName>
    <definedName name="PR_Actg_BO">[90]Actg_BO!$B$6:$Q$82,[90]Actg_BO!$B$85:$Q$162,[90]Actg_BO!$B$165:$Q$227,[90]Actg_BO!$B$230:$Q$305,[90]Actg_BO!$B$308:$Q$324</definedName>
    <definedName name="PR_Actg_P1">[90]Actg_P1!$B$6:$Q$82,[90]Actg_P1!$B$85:$Q$162,[90]Actg_P1!$B$165:$Q$227,[90]Actg_P1!$B$230:$Q$305,[90]Actg_P1!$B$308:$Q$324</definedName>
    <definedName name="PR_Actg_P2">[90]Actg_P2!$B$6:$Q$82,[90]Actg_P2!$B$85:$Q$162,[90]Actg_P2!$B$165:$Q$227,[90]Actg_P2!$B$230:$Q$305,[90]Actg_P2!$B$308:$Q$324</definedName>
    <definedName name="PR_Actg_P3">[90]Actg_P3!$B$6:$Q$82,[90]Actg_P3!$B$85:$Q$162,[90]Actg_P3!$B$165:$Q$227,[90]Actg_P3!$B$230:$Q$305,[90]Actg_P3!$B$308:$Q$324</definedName>
    <definedName name="PR_Actg_P4">[90]Actg_P4!$B$6:$Q$82,[90]Actg_P4!$B$85:$Q$162,[90]Actg_P4!$B$165:$Q$227,[90]Actg_P4!$B$230:$Q$305,[90]Actg_P4!$B$308:$Q$324</definedName>
    <definedName name="PR_Actg_P5">[90]Actg_P5!$B$6:$Q$82,[90]Actg_P5!$B$85:$Q$162,[90]Actg_P5!$B$165:$Q$227,[90]Actg_P5!$B$230:$Q$305,[90]Actg_P5!$B$308:$Q$324</definedName>
    <definedName name="PR_Actg_P6">[90]Actg_P6!$B$6:$Q$82,[90]Actg_P6!$B$85:$Q$162,[90]Actg_P6!$B$165:$Q$227,[90]Actg_P6!$B$230:$Q$305,[90]Actg_P6!$B$308:$Q$324</definedName>
    <definedName name="PR_Actg_SummaryPlan">[91]Actg_SummaryPlan!#REF!,[91]Actg_SummaryPlan!#REF!,[91]Actg_SummaryPlan!$B$2:$O$64,[91]Actg_SummaryPlan!#REF!,[91]Actg_SummaryPlan!#REF!</definedName>
    <definedName name="PR_Actg_SummaryYr1">[90]Actg_SummaryYr1!$B$6:$R$82,[90]Actg_SummaryYr1!$B$85:$R$162,[90]Actg_SummaryYr1!$B$165:$R$227,[90]Actg_SummaryYr1!$B$230:$R$305,[90]Actg_SummaryYr1!$B$308:$R$324</definedName>
    <definedName name="PR_AIPTable">#REF!</definedName>
    <definedName name="PR_AVB">#REF!</definedName>
    <definedName name="PR_Contents">[84]X_Contents2!$B$2:$K$43,[84]X_Contents2!$B$45:$K$53,[84]X_Contents2!$B$55:$K$69,[84]X_Contents2!$B$71:$K$95,[84]X_Contents2!$B$97:$K$106,[84]X_Contents2!$B$108:$K$125</definedName>
    <definedName name="PR_Control_Key">[84]Control!$B$56:$O$96</definedName>
    <definedName name="PR_Documentation">[84]Documentation!$A$1:$Q$82</definedName>
    <definedName name="PR_EVA_SummaryPlan">[90]EVA_SummaryPlan!$B$15:$T$39,[90]EVA_SummaryPlan!$B$41:$T$92,[90]EVA_SummaryPlan!$B$94:$T$152</definedName>
    <definedName name="PR_InputAnn">[84]Input_History!$B$9:$S$41</definedName>
    <definedName name="PR_Instructions">[90]Instructions!$B$4:$M$55,[90]Instructions!$B$57:$M$106</definedName>
    <definedName name="PR_KPI">[90]KPI!$B$6:$Q$63,[90]KPI!$B$66:$U$132</definedName>
    <definedName name="PR_Month">#REF!</definedName>
    <definedName name="PR_OBU_Graph1">[84]Output_BUSummary1!$B$130:$AI$182</definedName>
    <definedName name="PR_OBU_Graph2">[84]Output_BUSummary1!$B$185:$AI$237</definedName>
    <definedName name="PR_OBU_Graph3">[84]Output_BUSummary1!$B$240:$AI$292</definedName>
    <definedName name="PR_OBU_Graph4">[84]Output_BUSummary1!$B$295:$AI$347</definedName>
    <definedName name="PR_OBU_Graph5">[84]Output_BUSummary1!$A$350:$AI$402</definedName>
    <definedName name="PR_OBU_Graph6">[84]Output_BUSummary1!$A$405:$AI$457</definedName>
    <definedName name="PR_OBU_Graph7">[84]Output_BUSummary1!$A$460:$AI$512</definedName>
    <definedName name="PR_OBU_Graph8">[84]Output_BUSummary1!$A$515:$AI$567</definedName>
    <definedName name="PR_OBU_Statement">[84]Output_BUSummary1!$B$11:$AU$124</definedName>
    <definedName name="PR_OBU2_EVA">[84]Output_BUSummary2!$B$6:$Z$65</definedName>
    <definedName name="PR_OBU2_Management">[84]Output_BUSummary2!$B$130:$Z$189</definedName>
    <definedName name="PR_OBU2_Movement">[84]Output_BUSummary2!$B$68:$Z$127</definedName>
    <definedName name="PR_OBU3_DetailGraphs">[84]Output_BUSummary3!$B$334:$AB$381,[84]Output_BUSummary3!$B$384:$AB$431,[84]Output_BUSummary3!$B$434:$AB$481,[84]Output_BUSummary3!$B$484:$AB$531</definedName>
    <definedName name="PR_OBU3_DetailTable">[84]Output_BUSummary3!$B$35:$R$95</definedName>
    <definedName name="PR_OBU3_SummaryGraphs">[84]Output_BUSummary3!$B$200:$S$224,[84]Output_BUSummary3!$B$226:$S$250,[84]Output_BUSummary3!$B$252:$S$276,[84]Output_BUSummary3!$B$278:$S$302,[84]Output_BUSummary3!$B$304:$S$328</definedName>
    <definedName name="PR_OBU3_SummaryTable">[84]Output_BUSummary3!$B$172:$S$194</definedName>
    <definedName name="PR_OEE_1">[42]Output_ExtEVA!$B$6:$AG$54</definedName>
    <definedName name="PR_OEE_2">[42]Output_ExtEVA!$B$61:$AG$110</definedName>
    <definedName name="PR_OExtEVA">[84]Output_ExternalEVA!$B$4:$AF$51</definedName>
    <definedName name="PR_OG_1">[42]Output_Graphs!$B$4:$P$71</definedName>
    <definedName name="PR_OG_Graph1">[84]Output_Graphs!$B$4:$R$75</definedName>
    <definedName name="PR_OG_Graph2">[84]Output_Graphs!$B$78:$P$145</definedName>
    <definedName name="PR_OG_Graph3">[84]Output_Graphs!$B$148:$P$215</definedName>
    <definedName name="PR_OG_Graph4">[84]Output_Graphs!$B$218:$P$285</definedName>
    <definedName name="PR_OG_Graph5">[84]Output_Graphs!$B$288:$P$355</definedName>
    <definedName name="PR_OG_Graph6">[84]Output_Graphs!$B$358:$P$425</definedName>
    <definedName name="PR_OS_Format_A">[84]Output_Statements1!$Y$256:$BC$309</definedName>
    <definedName name="PR_OS_Format_M">[84]Output_Statements1!$B$256:$W$309</definedName>
    <definedName name="PR_OS_Header1_A">[84]Output_Statements1!$Y$6:$BC$14</definedName>
    <definedName name="PR_OS_Header1_M">[84]Output_Statements1!$B$6:$W$14</definedName>
    <definedName name="PR_OS_Header2_A">[84]Output_Statements1!$Y$148:$BC$156</definedName>
    <definedName name="PR_OS_Header2_M">[84]Output_Statements1!$B$148:$W$156</definedName>
    <definedName name="PR_OS_Reconciliation_A">[90]EVA_Output1!$V$15:$AT$82,[90]EVA_Output1!$V$84:$AT$144</definedName>
    <definedName name="PR_OS_Reconciliation_M">[90]EVA_Output1!$B$15:$T$82,[90]EVA_Output1!$B$84:$T$144</definedName>
    <definedName name="PR_OS_Statement_A">[90]EVA_Output1!$V$157:$AT$212,[90]EVA_Output1!$V$214:$AT$248</definedName>
    <definedName name="PR_OS_Statement_M">[90]EVA_Output1!$B$157:$T$212,[90]EVA_Output1!$B$214:$T$248</definedName>
    <definedName name="PR_OS1_1">[42]Output_Stmts1!$B$6:$O$75</definedName>
    <definedName name="PR_OS1_2">[42]Output_Stmts1!$B$79:$O$161</definedName>
    <definedName name="PR_OS1_3">[42]Output_Stmts1!$B$178:$O$262</definedName>
    <definedName name="PR_OS2_1">#REF!</definedName>
    <definedName name="PR_OS2_2">#REF!</definedName>
    <definedName name="PR_OS2_3">#REF!</definedName>
    <definedName name="PR_OS2_4">#REF!</definedName>
    <definedName name="PR_OS2_5">#REF!</definedName>
    <definedName name="PR_OS2_6">#REF!</definedName>
    <definedName name="PR_OS2_Budget">[84]Output_Statements2!$B$4:$T$78</definedName>
    <definedName name="PR_OS2_LastYear">[84]Output_Statements2!$BJ$4:$CB$78</definedName>
    <definedName name="PR_OS2_Outturn">[84]Output_Statements2!$AP$4:$BH$78</definedName>
    <definedName name="PR_OS2_Target">[84]Output_Statements2!$V$4:$AN$78</definedName>
    <definedName name="PR_OS3">[92]Output_Statements3!$B$4:$N$76,[92]Output_Statements3!$P$4:$AB$76,[92]Output_Statements3!$B$97:$N$169,[92]Output_Statements3!$P$97:$AB$169,[92]Output_Statements3!$B$175:$N$249,[92]Output_Statements3!$P$175:$AB$249,[92]Output_Statements3!$P$255:$AB$331</definedName>
    <definedName name="PR_OS3_1">[42]Output_Stmts3!$B$5:$BF$125</definedName>
    <definedName name="PR_Total">'[93]Total Products Summary'!$B$4:$AA$54,'[93]Total Products Summary'!$B$57:$AA$107,'[93]Total Products Summary'!$B$110:$AA$160,'[93]Total Products Summary'!$B$163:$AA$213,'[93]Total Products Summary'!$B$216:$AA$266,'[93]Total Products Summary'!$B$269:$AA$319</definedName>
    <definedName name="PR_YTD">#REF!</definedName>
    <definedName name="PrepaymentsCfwd" localSheetId="1">[20]Workings!$D$636:$N$636</definedName>
    <definedName name="PrepaymentsCfwd">[20]Workings!$D$636:$N$636</definedName>
    <definedName name="price" localSheetId="1">'[39]Control Sheet'!$E$27</definedName>
    <definedName name="price">'[39]Control Sheet'!$E$27</definedName>
    <definedName name="PRINCIPAL" localSheetId="1">#REF!</definedName>
    <definedName name="PRINCIPAL">#REF!</definedName>
    <definedName name="Print">#REF!</definedName>
    <definedName name="Print.101">#REF!</definedName>
    <definedName name="Print.107">#REF!</definedName>
    <definedName name="Print.Bud">#REF!</definedName>
    <definedName name="_xlnm.Print_Area">#REF!</definedName>
    <definedName name="Print_Area_MI">'[94]Monthly actuals'!$BN$1:$CA$52</definedName>
    <definedName name="Print_Documentation">[84]Macros!$B$170</definedName>
    <definedName name="Print_OBU_All">[84]Macros!$B$745</definedName>
    <definedName name="Print_OBU_Graph1">[84]Macros!$B$601</definedName>
    <definedName name="Print_OBU_Graph2">[84]Macros!$B$617</definedName>
    <definedName name="Print_OBU_Graph3">[84]Macros!$B$633</definedName>
    <definedName name="Print_OBU_Graph4">[84]Macros!$B$649</definedName>
    <definedName name="Print_OBU_Graph5">[84]Macros!$B$665</definedName>
    <definedName name="Print_OBU_Graph6">[84]Macros!$B$681</definedName>
    <definedName name="Print_OBU_Graph7">[84]Macros!$B$697</definedName>
    <definedName name="Print_OBU_Graph8">[84]Macros!$B$713</definedName>
    <definedName name="Print_OBU_Key">[84]Macros!$B$729</definedName>
    <definedName name="Print_OBU_Statements">[84]Macros!$B$585</definedName>
    <definedName name="Print_OBU2_All">[84]Macros!$B$822</definedName>
    <definedName name="Print_OBU2_EVA">[84]Macros!$B$759</definedName>
    <definedName name="Print_OBU2_Management">[84]Macros!$B$801</definedName>
    <definedName name="Print_OBU2_Movement">[84]Macros!$B$780</definedName>
    <definedName name="Print_OBU3_All">[84]Macros!$B$895</definedName>
    <definedName name="Print_OBU3_DetailGraphs">[84]Macros!$B$878</definedName>
    <definedName name="Print_OBU3_DetailTable">[84]Macros!$B$829</definedName>
    <definedName name="Print_OBU3_SummaryGraphs">[84]Macros!$B$862</definedName>
    <definedName name="Print_OBU3_SummaryTable">[84]Macros!$B$845</definedName>
    <definedName name="Print_OExtEVA">[84]Macros!$B$460</definedName>
    <definedName name="Print_OG_All">[84]Macros!$B$575</definedName>
    <definedName name="Print_OG_Graph1">[84]Macros!$B$479</definedName>
    <definedName name="Print_OG_Graph2">[84]Macros!$B$495</definedName>
    <definedName name="Print_OG_Graph3">[84]Macros!$B$511</definedName>
    <definedName name="Print_OG_Graph4">[84]Macros!$B$527</definedName>
    <definedName name="Print_OG_Graph5">[84]Macros!$B$543</definedName>
    <definedName name="Print_OG_Graph6">[84]Macros!$B$559</definedName>
    <definedName name="Print_OS_All_A">[84]Macros!$B$234</definedName>
    <definedName name="Print_OS_All_M">[84]Macros!$B$304</definedName>
    <definedName name="Print_OS_Format_A">[84]Macros!$B$218</definedName>
    <definedName name="Print_OS_Format_M">[84]Macros!$B$283</definedName>
    <definedName name="Print_OS_HideOT">[84]Macros!$B$325</definedName>
    <definedName name="Print_OS_HideOTT">[84]Macros!$B$318</definedName>
    <definedName name="Print_OS_HideT">[84]Macros!$B$330</definedName>
    <definedName name="Print_OS_Reconciliation_A">[84]Macros!$B$186</definedName>
    <definedName name="Print_OS_Reconciliation_M">[84]Macros!$B$241</definedName>
    <definedName name="Print_OS_Showall_M">[84]Macros!$B$311</definedName>
    <definedName name="Print_OS_Statement_A">[84]Macros!$B$202</definedName>
    <definedName name="Print_OS_Statement_M">[84]Macros!$B$262</definedName>
    <definedName name="Print_OS2_ALL">[84]Macros!$B$399</definedName>
    <definedName name="Print_OS2_Budget">[84]Macros!$B$335</definedName>
    <definedName name="Print_OS2_LastYear">[84]Macros!$B$383</definedName>
    <definedName name="Print_OS2_Outturn">[84]Macros!$B$367</definedName>
    <definedName name="Print_OS2_Target">[84]Macros!$B$351</definedName>
    <definedName name="Print_OS3">[84]Macros!$B$407</definedName>
    <definedName name="_xlnm.Print_Titles">#REF!</definedName>
    <definedName name="Print_Titles_MI">#REF!</definedName>
    <definedName name="PRINTFORE" localSheetId="1">#REF!</definedName>
    <definedName name="PRINTFORE">#REF!</definedName>
    <definedName name="Printout">#REF!</definedName>
    <definedName name="PriorPeriodDate">[51]Lists!$E$6</definedName>
    <definedName name="Profit_Centre_Mapping">[95]Lookup!$A$1:$C$48</definedName>
    <definedName name="Prog1">#REF!</definedName>
    <definedName name="Prog2">#REF!</definedName>
    <definedName name="Project" localSheetId="1">[96]data!$B$2:$B$1145</definedName>
    <definedName name="Project">[96]data!$B$2:$B$1145</definedName>
    <definedName name="Project_driver">'[31]Evaluation factors'!$A$25:$A$30</definedName>
    <definedName name="Projects" localSheetId="1">'[97]New Project codes'!#REF!</definedName>
    <definedName name="Projects">'[97]New Project codes'!#REF!</definedName>
    <definedName name="PROPERTY" localSheetId="1">#REF!</definedName>
    <definedName name="PROPERTY">#REF!</definedName>
    <definedName name="PRT" localSheetId="1">#REF!</definedName>
    <definedName name="PRT">#REF!</definedName>
    <definedName name="PRTCOUNT" localSheetId="1">#REF!</definedName>
    <definedName name="PRTCOUNT">#REF!</definedName>
    <definedName name="PRTEND">#REF!</definedName>
    <definedName name="PRTSTART">#REF!</definedName>
    <definedName name="PSETUP">#REF!</definedName>
    <definedName name="PTABLE">#REF!</definedName>
    <definedName name="Ptr_T">[65]!Ptr_T[#All]</definedName>
    <definedName name="Pub_utes1">#REF!</definedName>
    <definedName name="Pub_utes2">#REF!</definedName>
    <definedName name="q" hidden="1">#REF!</definedName>
    <definedName name="Q8_1_Phased_Spend_2000_01_by_Scheme_for_Finance">#REF!</definedName>
    <definedName name="qfx" localSheetId="1" hidden="1">{"NET",#N/A,FALSE,"401C11"}</definedName>
    <definedName name="qfx" localSheetId="0" hidden="1">{"NET",#N/A,FALSE,"401C11"}</definedName>
    <definedName name="qfx" hidden="1">{"NET",#N/A,FALSE,"401C11"}</definedName>
    <definedName name="qry_bill">#REF!</definedName>
    <definedName name="qryActual_Bills_For_Selected_Year_Rolled_Up" localSheetId="1">#REF!</definedName>
    <definedName name="qryActual_Bills_For_Selected_Year_Rolled_Up">#REF!</definedName>
    <definedName name="Query">"Check Box 21"</definedName>
    <definedName name="qwefqefa" localSheetId="1" hidden="1">#REF!</definedName>
    <definedName name="qwefqefa" hidden="1">#REF!</definedName>
    <definedName name="rainfall_actual">OFFSET('[28]Data for Charts'!$M$11,0,0,'[28]Data for Charts'!$K$8)</definedName>
    <definedName name="rainfall_dates">OFFSET('[28]Data for Charts'!$L$11,0,0,'[28]Data for Charts'!$K$8)</definedName>
    <definedName name="rainfall_forecast">OFFSET('[28]Data for Charts'!$N$11,0,0,'[28]Data for Charts'!$K$8)</definedName>
    <definedName name="rates_sens">'[45]Inflated capex sensitivities'!$E$22:$O$32</definedName>
    <definedName name="rates_sens_transport">'[45]Inflated capex sensitivities'!$Q$22:$AA$32</definedName>
    <definedName name="real" localSheetId="1" hidden="1">#REF!</definedName>
    <definedName name="real" hidden="1">#REF!</definedName>
    <definedName name="realgdp_actual">OFFSET('[28]Data for Charts'!$F$11,0,0,'[28]Data for Charts'!$D$8)</definedName>
    <definedName name="realgdp_dates">OFFSET('[28]Data for Charts'!$E$11,0,0,'[28]Data for Charts'!$D$8)</definedName>
    <definedName name="realgdp_forecast">OFFSET('[28]Data for Charts'!$G$11,0,0,'[28]Data for Charts'!$D$8)</definedName>
    <definedName name="Reasons">[40]Assumptions!$D$3:$D$7</definedName>
    <definedName name="RecalExpenses">#REF!</definedName>
    <definedName name="_xlnm.Recorder">[25]Macro_Update_Levels!#REF!</definedName>
    <definedName name="Rectapproved">OFFSET([37]Data1!$DX$4,0,0,COUNTA([37]Data1!$DX$4:$DX$80),13)</definedName>
    <definedName name="RectPending">OFFSET([37]Data1!$EL$4,0,0,COUNTA([37]Data1!$EL$4:$EL$80),13)</definedName>
    <definedName name="RED">[66]Assumptions!#REF!</definedName>
    <definedName name="Refs">[42]Structure!$C$7:$C$53</definedName>
    <definedName name="refund" localSheetId="1">#REF!</definedName>
    <definedName name="refund">#REF!</definedName>
    <definedName name="remove" localSheetId="1">#REF!</definedName>
    <definedName name="remove">#REF!</definedName>
    <definedName name="ReorgProvisionCfwd" localSheetId="1">[20]Workings!$D$807:$N$807</definedName>
    <definedName name="ReorgProvisionCfwd">[20]Workings!$D$807:$N$807</definedName>
    <definedName name="report_date" localSheetId="1">#REF!</definedName>
    <definedName name="report_date">#REF!</definedName>
    <definedName name="REPORT_ID" localSheetId="1">'[30]3510'!#REF!</definedName>
    <definedName name="REPORT_ID">'[30]3510'!#REF!</definedName>
    <definedName name="REPORT_YEAR" localSheetId="1">#REF!</definedName>
    <definedName name="REPORT_YEAR">#REF!</definedName>
    <definedName name="ReportDate" localSheetId="1">#REF!</definedName>
    <definedName name="ReportDate">#REF!</definedName>
    <definedName name="ReportingEntities">[51]Lists!$A$2:$A$10</definedName>
    <definedName name="ReportingUnits">[98]Control!#REF!</definedName>
    <definedName name="reportminus1" localSheetId="1">'[99]report year index'!$C$6</definedName>
    <definedName name="reportminus1">'[99]report year index'!$C$6</definedName>
    <definedName name="reportminus2" localSheetId="1">'[99]report year index'!$C$5</definedName>
    <definedName name="reportminus2">'[99]report year index'!$C$5</definedName>
    <definedName name="reportminus3" localSheetId="1">'[99]report year index'!$C$4</definedName>
    <definedName name="reportminus3">'[99]report year index'!$C$4</definedName>
    <definedName name="reportplus1" localSheetId="1">'[99]report year index'!$C$8</definedName>
    <definedName name="reportplus1">'[99]report year index'!$C$8</definedName>
    <definedName name="reportplus2" localSheetId="1">'[99]report year index'!$C$9</definedName>
    <definedName name="reportplus2">'[99]report year index'!$C$9</definedName>
    <definedName name="reportyear" localSheetId="1">'[99]report year index'!$C$7</definedName>
    <definedName name="reportyear">'[99]report year index'!$C$7</definedName>
    <definedName name="Repricing">[51]Lists!$A$81:$A$90</definedName>
    <definedName name="Requestor" localSheetId="1">'[100]Drop Down Lists'!$B$3:$B$23</definedName>
    <definedName name="Requestor">'[100]Drop Down Lists'!$B$3:$B$23</definedName>
    <definedName name="requirements" localSheetId="1">[18]Choice!$B$3:$B$9</definedName>
    <definedName name="requirements">[18]Choice!$B$3:$B$9</definedName>
    <definedName name="ReservesBfwd" localSheetId="1">[20]Workings!$D$1396:$N$1396</definedName>
    <definedName name="ReservesBfwd">[20]Workings!$D$1396:$N$1396</definedName>
    <definedName name="ReservesCfwd" localSheetId="1">[20]Workings!$D$1398:$N$1398</definedName>
    <definedName name="ReservesCfwd">[20]Workings!$D$1398:$N$1398</definedName>
    <definedName name="RESULT" localSheetId="1">#REF!</definedName>
    <definedName name="RESULT">#REF!</definedName>
    <definedName name="Retail">[61]Mapping!$D$4:$D$18</definedName>
    <definedName name="RetailAccrualsCfwd" localSheetId="1">[20]Workings!$D$719:$N$719</definedName>
    <definedName name="RetailAccrualsCfwd">[20]Workings!$D$719:$N$719</definedName>
    <definedName name="RetailOpexMoney" localSheetId="1">[20]Workings!$D$1120:$N$1120</definedName>
    <definedName name="RetailOpexMoney">[20]Workings!$D$1120:$N$1120</definedName>
    <definedName name="RetailOtherCreditorsCfwd" localSheetId="1">[20]Workings!$D$768:$N$768</definedName>
    <definedName name="RetailOtherCreditorsCfwd">[20]Workings!$D$768:$N$768</definedName>
    <definedName name="Rev">"Chart 14"</definedName>
    <definedName name="REV_EXP">#REF!</definedName>
    <definedName name="Rev_list">[26]Control!$H$12:$H$14</definedName>
    <definedName name="REVENUE">#REF!</definedName>
    <definedName name="RevenueDomTotalMoney" localSheetId="1">'[20]Workings - Income'!$D$97:$N$97</definedName>
    <definedName name="RevenueDomTotalMoney">'[20]Workings - Income'!$D$97:$N$97</definedName>
    <definedName name="RevenueNonDomTotalMoney" localSheetId="1">'[20]Workings - Income'!$D$288:$N$288</definedName>
    <definedName name="RevenueNonDomTotalMoney">'[20]Workings - Income'!$D$288:$N$288</definedName>
    <definedName name="RevenueSecondaryTotalMoney" localSheetId="1">'[20]Workings - Income'!$D$335:$N$335</definedName>
    <definedName name="RevenueSecondaryTotalMoney">'[20]Workings - Income'!$D$335:$N$335</definedName>
    <definedName name="RevenueTETotalMoney" localSheetId="1">'[20]Workings - Income'!$D$307:$N$307</definedName>
    <definedName name="RevenueTETotalMoney">'[20]Workings - Income'!$D$307:$N$307</definedName>
    <definedName name="rge" localSheetId="1">#REF!</definedName>
    <definedName name="rge">#REF!</definedName>
    <definedName name="rgwer" localSheetId="1">#REF!</definedName>
    <definedName name="rgwer">#REF!</definedName>
    <definedName name="RID" localSheetId="1">'[30]3510'!#REF!</definedName>
    <definedName name="RID">'[30]3510'!#REF!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localSheetId="1" hidden="1">TRUE</definedName>
    <definedName name="RiskMultipleCPUSupportEnabled"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howRiskWindowAtEndOfSimulation">TRUE</definedName>
    <definedName name="RiskStandardRecalc" hidden="1">1</definedName>
    <definedName name="RiskSwapState" localSheetId="1" hidden="1">FALSE</definedName>
    <definedName name="RiskSwapState" hidden="1">TRUE</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 hidden="1">TRUE</definedName>
    <definedName name="RiskUseMultipleCPUs" hidden="1">FALSE</definedName>
    <definedName name="RngDesc" localSheetId="1">#REF!</definedName>
    <definedName name="RngDesc">#REF!</definedName>
    <definedName name="Rounding">[51]Lists!$A$92</definedName>
    <definedName name="rows_to_read" localSheetId="1">#REF!</definedName>
    <definedName name="rows_to_read">#REF!</definedName>
    <definedName name="rytry" localSheetId="1" hidden="1">{"NET",#N/A,FALSE,"401C11"}</definedName>
    <definedName name="rytry" localSheetId="0" hidden="1">{"NET",#N/A,FALSE,"401C11"}</definedName>
    <definedName name="rytry" hidden="1">{"NET",#N/A,FALSE,"401C11"}</definedName>
    <definedName name="S_GLAM">#REF!</definedName>
    <definedName name="S_YORKS">#REF!</definedName>
    <definedName name="sadg" hidden="1">"$J$31"</definedName>
    <definedName name="SALES">#REF!</definedName>
    <definedName name="SAPBEXdnldView" hidden="1">"4BC8P4OTN3A9NVXDY2OPC3SPY"</definedName>
    <definedName name="SAPBEXrevision" hidden="1">1</definedName>
    <definedName name="SAPBEXsysID" hidden="1">"OWP"</definedName>
    <definedName name="SAPBEXwbID" hidden="1">"49ZLUKBQR0WG29D9LLI3IBIIT"</definedName>
    <definedName name="SAPBEXwbID2" hidden="1">"6J5BT80W4VZS0T71W225L5TOU"</definedName>
    <definedName name="SBWS" localSheetId="1" hidden="1">#REF!</definedName>
    <definedName name="SBWS" hidden="1">#REF!</definedName>
    <definedName name="SCHEDULE">#REF!</definedName>
    <definedName name="sdgzdfg">"V1996-04-01"</definedName>
    <definedName name="SELECT_A8_A9" localSheetId="1">[101]DROP_DOWN_OPTIONS!$A$1:$A$2</definedName>
    <definedName name="SELECT_A8_A9">[101]DROP_DOWN_OPTIONS!$A$1:$A$2</definedName>
    <definedName name="SelectableRange" localSheetId="1">'[102]Roy Rennie 3'!$B$18:$N$65536,'[102]Roy Rennie 3'!$N$3,'[102]Roy Rennie 3'!$N$5,'[102]Roy Rennie 3'!$N$7,'[102]Roy Rennie 3'!$N$9,'[102]Roy Rennie 3'!$D$3:$I$5,'[102]Roy Rennie 3'!$D$9,'[102]Roy Rennie 3'!$D$11,'[102]Roy Rennie 3'!$D$13</definedName>
    <definedName name="SelectableRange">'[102]Roy Rennie 3'!$B$18:$N$65536,'[102]Roy Rennie 3'!$N$3,'[102]Roy Rennie 3'!$N$5,'[102]Roy Rennie 3'!$N$7,'[102]Roy Rennie 3'!$N$9,'[102]Roy Rennie 3'!$D$3:$I$5,'[102]Roy Rennie 3'!$D$9,'[102]Roy Rennie 3'!$D$11,'[102]Roy Rennie 3'!$D$13</definedName>
    <definedName name="Sens">[103]Sensitivities!$E$19:$O$29</definedName>
    <definedName name="Serv_Del">[61]Mapping!$C$4:$C$22</definedName>
    <definedName name="SERVICES">#REF!</definedName>
    <definedName name="SES" localSheetId="1">#REF!</definedName>
    <definedName name="SES">#REF!</definedName>
    <definedName name="SEVERENCES">#REF!</definedName>
    <definedName name="SEW" localSheetId="1">#REF!</definedName>
    <definedName name="SEW">#REF!</definedName>
    <definedName name="SFD" localSheetId="1">'[30]3510'!#REF!</definedName>
    <definedName name="SFD">'[30]3510'!#REF!</definedName>
    <definedName name="SFN" localSheetId="1">'[30]3510'!#REF!</definedName>
    <definedName name="SFN">'[30]3510'!#REF!</definedName>
    <definedName name="SFV" localSheetId="1">#REF!</definedName>
    <definedName name="SFV">#REF!</definedName>
    <definedName name="sgag" localSheetId="1">'[104]Control Sheet'!$J$4</definedName>
    <definedName name="sgag">'[104]Control Sheet'!$J$4</definedName>
    <definedName name="SHAREFUNDS">#REF!</definedName>
    <definedName name="Shareratios">"Chart 5"</definedName>
    <definedName name="SHORTER">#REF!</definedName>
    <definedName name="SHROPS" localSheetId="1">#REF!</definedName>
    <definedName name="SHROPS">#REF!</definedName>
    <definedName name="solver_adj" localSheetId="3" hidden="1">Assumptions!#REF!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Assumptions!$B$281</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563251470</definedName>
    <definedName name="solver_ver" localSheetId="3" hidden="1">3</definedName>
    <definedName name="SOMERSET" localSheetId="1">#REF!</definedName>
    <definedName name="SOMERSET">#REF!</definedName>
    <definedName name="sort" localSheetId="1" hidden="1">#REF!</definedName>
    <definedName name="sort" hidden="1">#REF!</definedName>
    <definedName name="SortD">#REF!</definedName>
    <definedName name="Source2" localSheetId="1">#REF!</definedName>
    <definedName name="Source2">#REF!</definedName>
    <definedName name="source3">#REF!</definedName>
    <definedName name="SpendtoSaveOpexMoney" localSheetId="1">[20]Workings!$D$841:$N$841</definedName>
    <definedName name="SpendtoSaveOpexMoney">[20]Workings!$D$841:$N$841</definedName>
    <definedName name="SRN" localSheetId="1">#REF!</definedName>
    <definedName name="SRN">#REF!</definedName>
    <definedName name="SST" localSheetId="1">#REF!</definedName>
    <definedName name="SST">#REF!</definedName>
    <definedName name="Staff_Costs">'[105]AP Data'!$Q$2</definedName>
    <definedName name="STAFFS" localSheetId="1">#REF!</definedName>
    <definedName name="STAFFS">#REF!</definedName>
    <definedName name="Stand_Job" localSheetId="1">'[100]Drop Down Lists'!$A$3:$A$10</definedName>
    <definedName name="Stand_Job">'[100]Drop Down Lists'!$A$3:$A$10</definedName>
    <definedName name="START" localSheetId="1">#REF!</definedName>
    <definedName name="START">#REF!</definedName>
    <definedName name="Start_Up">[84]Macros!$B$84</definedName>
    <definedName name="startdate" localSheetId="1">[88]Variables!$B$3</definedName>
    <definedName name="startdate">[88]Variables!$B$3</definedName>
    <definedName name="STARTR" localSheetId="1">#REF!</definedName>
    <definedName name="STARTR">#REF!</definedName>
    <definedName name="STARTU" localSheetId="1">#REF!</definedName>
    <definedName name="STARTU">#REF!</definedName>
    <definedName name="STATISTICS">#REF!</definedName>
    <definedName name="status" localSheetId="1">#REF!</definedName>
    <definedName name="status">#REF!</definedName>
    <definedName name="StockCfwd" localSheetId="1">[20]Workings!$D$444:$N$444</definedName>
    <definedName name="StockCfwd">[20]Workings!$D$444:$N$444</definedName>
    <definedName name="Strat_Plan">[61]Mapping!$B$4:$B$22</definedName>
    <definedName name="StrategicPriority">[106]Sheet1!$A$2:$A$7</definedName>
    <definedName name="StratPlan" localSheetId="1">[58]Sheet3!$A$2:$A$42</definedName>
    <definedName name="StratPlan">[58]Sheet3!$A$2:$A$42</definedName>
    <definedName name="Sub_Input">#REF!</definedName>
    <definedName name="Sub_Input_Title">#REF!</definedName>
    <definedName name="subtotal" localSheetId="1">#REF!</definedName>
    <definedName name="subtotal">#REF!</definedName>
    <definedName name="subtotal1" localSheetId="1">#REF!</definedName>
    <definedName name="subtotal1">#REF!</definedName>
    <definedName name="subtotal2" localSheetId="1">#REF!</definedName>
    <definedName name="subtotal2">#REF!</definedName>
    <definedName name="subtotal3">#REF!</definedName>
    <definedName name="SUFFOLK">#REF!</definedName>
    <definedName name="Sum_MjrProj">'[12]Board Rpt SumIncStmt'!#REF!</definedName>
    <definedName name="Summary" localSheetId="1">[16]Summary!$B$4:$K$41</definedName>
    <definedName name="Summary">[16]Summary!$B$4:$K$41</definedName>
    <definedName name="SUMMARY_DATA">'[107]ALL Detailed'!$A$2:$X$365</definedName>
    <definedName name="SUMMARY_DATA3">'[107]ALL Detailed'!$D$3:$D$365</definedName>
    <definedName name="SUMMARY_DATA4">'[107]ALL Detailed'!$E$3:$E$365</definedName>
    <definedName name="Summary_Sheet">#REF!</definedName>
    <definedName name="summary_types" localSheetId="1">#REF!</definedName>
    <definedName name="summary_types">#REF!</definedName>
    <definedName name="SundryDebtorsCfwd" localSheetId="1">[20]Workings!$D$638:$N$638</definedName>
    <definedName name="SundryDebtorsCfwd">[20]Workings!$D$638:$N$638</definedName>
    <definedName name="suppliers" localSheetId="1">#REF!</definedName>
    <definedName name="suppliers">#REF!</definedName>
    <definedName name="SURREY" localSheetId="1">#REF!</definedName>
    <definedName name="SURREY">#REF!</definedName>
    <definedName name="SVT" localSheetId="1">#REF!</definedName>
    <definedName name="SVT">#REF!</definedName>
    <definedName name="Switch_Outturn">[84]Print!$M$16</definedName>
    <definedName name="Switch_Target">[84]Print!$M$17</definedName>
    <definedName name="SWS" localSheetId="1">#REF!</definedName>
    <definedName name="SWS">#REF!</definedName>
    <definedName name="SWSCODES">#REF!</definedName>
    <definedName name="SWScostcentre">#REF!</definedName>
    <definedName name="SWT">#REF!</definedName>
    <definedName name="tababn">#REF!</definedName>
    <definedName name="tabgood">#REF!</definedName>
    <definedName name="table">'[68]29.march.96'!$A$8:$E$31</definedName>
    <definedName name="Table_Abnormals">[84]AdjCalcs_EVA!$BM$207:$CI$240</definedName>
    <definedName name="Table_AccountingData">#REF!</definedName>
    <definedName name="Table_GenericData">#REF!</definedName>
    <definedName name="Table_Goodwill">[84]AdjCalcs_EVA!$BM$252:$CI$260</definedName>
    <definedName name="Table_LYNPAT">[92]Output_Statements3!$B$361:$G$372</definedName>
    <definedName name="Table_Month">[92]Output_Statements3!$C$379:$D$390</definedName>
    <definedName name="Table_PeriodData">#REF!</definedName>
    <definedName name="Table_Severances">[84]AdjCalcs_EVA!$BM$139:$CI$172</definedName>
    <definedName name="Table_Structure">[108]Structure!$B$7:$H$56</definedName>
    <definedName name="TABLE0" localSheetId="1">#REF!</definedName>
    <definedName name="TABLE0">#REF!</definedName>
    <definedName name="Table1">[109]Capex2!#REF!</definedName>
    <definedName name="TABLE11" localSheetId="1">#REF!</definedName>
    <definedName name="TABLE11">#REF!</definedName>
    <definedName name="Table13">[109]Capex2!#REF!</definedName>
    <definedName name="Table14">[109]Capex2!#REF!</definedName>
    <definedName name="TABLE15" localSheetId="1">#REF!</definedName>
    <definedName name="TABLE15">#REF!</definedName>
    <definedName name="TABLE16">#REF!</definedName>
    <definedName name="TABLE18">#REF!</definedName>
    <definedName name="TABLE19">#REF!</definedName>
    <definedName name="Table2">[109]Capex2!#REF!</definedName>
    <definedName name="TABLE24" localSheetId="1">#REF!</definedName>
    <definedName name="TABLE24">#REF!</definedName>
    <definedName name="TABLE25">#REF!</definedName>
    <definedName name="TABLE26">#REF!</definedName>
    <definedName name="TABLE27">#REF!</definedName>
    <definedName name="TABLE28">#REF!</definedName>
    <definedName name="TABLE29">#REF!</definedName>
    <definedName name="Table3">[109]Capex2!#REF!</definedName>
    <definedName name="Table3.4" localSheetId="1" hidden="1">{"CHARGE",#N/A,FALSE,"401C11"}</definedName>
    <definedName name="Table3.4" localSheetId="0" hidden="1">{"CHARGE",#N/A,FALSE,"401C11"}</definedName>
    <definedName name="Table3.4" hidden="1">{"CHARGE",#N/A,FALSE,"401C11"}</definedName>
    <definedName name="TABLE30" localSheetId="1">#REF!</definedName>
    <definedName name="TABLE30">#REF!</definedName>
    <definedName name="TABLE31" localSheetId="1">#REF!</definedName>
    <definedName name="TABLE31">#REF!</definedName>
    <definedName name="TABLE32A" localSheetId="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6">[109]Capex2!#REF!</definedName>
    <definedName name="TABLE9" localSheetId="1">#REF!</definedName>
    <definedName name="TABLE9">#REF!</definedName>
    <definedName name="TABLEX">#REF!</definedName>
    <definedName name="tabs">#REF!</definedName>
    <definedName name="tabsev">#REF!</definedName>
    <definedName name="TAX">#REF!</definedName>
    <definedName name="Tax_Calc">#REF!</definedName>
    <definedName name="Tax_Calc2">#REF!</definedName>
    <definedName name="Tax_Corporate">[84]AdjCalcs_Tax!$B$49:$CI$86</definedName>
    <definedName name="Tax_SupportGrps">[84]AdjCalcs_Tax!$B$89:$CI$126</definedName>
    <definedName name="TB">[110]CACBRE11!$A$5:$F$158</definedName>
    <definedName name="TBAL">[110]CACBRE11!$A$2:$I$75</definedName>
    <definedName name="TBColCount">COUNTA(OFFSET([111]TB!$A$4,0,0,1,50))</definedName>
    <definedName name="tbl_Exportdata_17A" localSheetId="1">#REF!</definedName>
    <definedName name="tbl_Exportdata_17A">#REF!</definedName>
    <definedName name="tbl_Exportdata_17B">#REF!</definedName>
    <definedName name="TBRowCount">COUNTA(OFFSET([111]TB!$B$4,1,0,1000,1))</definedName>
    <definedName name="tcyesno">#REF!</definedName>
    <definedName name="temp" localSheetId="1">'[82]95313'!#REF!</definedName>
    <definedName name="temp">'[82]95313'!#REF!</definedName>
    <definedName name="temp_actual">OFFSET('[28]Data for Charts'!$T$11,0,0,'[28]Data for Charts'!$R$8)</definedName>
    <definedName name="temp_dates">OFFSET('[28]Data for Charts'!$S$11,0,0,'[28]Data for Charts'!$R$8)</definedName>
    <definedName name="temp_forecast">OFFSET('[28]Data for Charts'!$U$11,0,0,'[28]Data for Charts'!$R$8)</definedName>
    <definedName name="TERMLIAB">#REF!</definedName>
    <definedName name="TEST0">#REF!</definedName>
    <definedName name="Test23" localSheetId="1" hidden="1">{"NET",#N/A,FALSE,"401C11"}</definedName>
    <definedName name="Test23" localSheetId="0" hidden="1">{"NET",#N/A,FALSE,"401C11"}</definedName>
    <definedName name="Test23" hidden="1">{"NET",#N/A,FALSE,"401C11"}</definedName>
    <definedName name="TESTHKEY">#REF!</definedName>
    <definedName name="TESTKEYS">#REF!</definedName>
    <definedName name="TESTVKEY">#REF!</definedName>
    <definedName name="TextRefCopyRangeCount" hidden="1">1</definedName>
    <definedName name="tfgld.dbcr">[112]enums!$F$3:$F$4</definedName>
    <definedName name="tfgld.duac.pr">[112]enums!$D$3:$D$5</definedName>
    <definedName name="tfgld.ptyp">[112]enums!$B$3:$B$5</definedName>
    <definedName name="THD" localSheetId="1">#REF!</definedName>
    <definedName name="THD">#REF!</definedName>
    <definedName name="time">'[75]Catch up efficiency'!$C$6:$H$6</definedName>
    <definedName name="Timing">[106]Sheet1!$A$9:$A$12</definedName>
    <definedName name="title">#REF!</definedName>
    <definedName name="TITLES" localSheetId="1">#REF!</definedName>
    <definedName name="TITLES">#REF!</definedName>
    <definedName name="TM1_Cube">[26]Control!$D$4</definedName>
    <definedName name="tm1Month">[57]Intl!$I$20</definedName>
    <definedName name="tm1YTD">[57]Intl!$I$21</definedName>
    <definedName name="TMS" localSheetId="1">#REF!</definedName>
    <definedName name="TMS">#REF!</definedName>
    <definedName name="tolerance" localSheetId="1">#REF!</definedName>
    <definedName name="tolerance">#REF!</definedName>
    <definedName name="TopCell">#REF!</definedName>
    <definedName name="Total">#REF!</definedName>
    <definedName name="total_debt">#REF!</definedName>
    <definedName name="TOTAL99011">#REF!</definedName>
    <definedName name="TotalDebtCfwd" localSheetId="1">[20]Workings!$D$1322:$N$1322</definedName>
    <definedName name="TotalDebtCfwd">[20]Workings!$D$1322:$N$1322</definedName>
    <definedName name="TotalDebtNew" localSheetId="1">[20]Workings!$D$1320:$N$1320</definedName>
    <definedName name="TotalDebtNew">[20]Workings!$D$1320:$N$1320</definedName>
    <definedName name="TotalDebtRepay" localSheetId="1">[20]Workings!$D$1321:$N$1321</definedName>
    <definedName name="TotalDebtRepay">[20]Workings!$D$1321:$N$1321</definedName>
    <definedName name="totalIP" localSheetId="1">[113]Total!$A$6:$B$919</definedName>
    <definedName name="totalIP">[113]Total!$A$6:$B$919</definedName>
    <definedName name="TotalOtherOpexMoney" localSheetId="1">[20]Workings!$D$1028:$N$1028</definedName>
    <definedName name="TotalOtherOpexMoney">[20]Workings!$D$1028:$N$1028</definedName>
    <definedName name="tppdm.psts">#REF!</definedName>
    <definedName name="tppdm.tact">#REF!</definedName>
    <definedName name="tppdm.wast">#REF!</definedName>
    <definedName name="tppss.bsta">[114]enums!$D$3:$D$4</definedName>
    <definedName name="tpptc.stat">#REF!</definedName>
    <definedName name="TradeCreditorsCfwd" localSheetId="1">[20]Workings!$D$650:$N$650</definedName>
    <definedName name="TradeCreditorsCfwd">[20]Workings!$D$650:$N$650</definedName>
    <definedName name="train">'[115]LTP based on FY15 fcast'!$P$4</definedName>
    <definedName name="Transformational_shifts">'[31]Evaluation factors'!$B$3:$B$9</definedName>
    <definedName name="transition_years" localSheetId="1">'[39]Control Sheet'!$E$4</definedName>
    <definedName name="transition_years">'[39]Control Sheet'!$E$4</definedName>
    <definedName name="trdhtr" localSheetId="1" hidden="1">#REF!</definedName>
    <definedName name="trdhtr" hidden="1">#REF!</definedName>
    <definedName name="Turnover">OFFSET([37]Data1!$DJ$4,0,0,COUNTA([37]Data1!$DJ$4:$DJ$80),13)</definedName>
    <definedName name="TurnoverHC">OFFSET([37]Data1!$CV$4,0,0,COUNTA([37]Data1!$CV$4:$CV$80),13)</definedName>
    <definedName name="TVN" localSheetId="1">#REF!</definedName>
    <definedName name="TVN">#REF!</definedName>
    <definedName name="TVW">[116]Database!$Q$317:$V$344</definedName>
    <definedName name="TWFPERIOD" localSheetId="1">[27]Parms!$B$9</definedName>
    <definedName name="TWFPERIOD">[27]Parms!$B$9</definedName>
    <definedName name="TWFYEAREND" localSheetId="1">[70]Parms!#REF!</definedName>
    <definedName name="TWFYEAREND">[70]Parms!#REF!</definedName>
    <definedName name="TWFYTD" localSheetId="1">[70]Parms!#REF!</definedName>
    <definedName name="TWFYTD">[70]Parms!#REF!</definedName>
    <definedName name="TWFYTDPERIOD" localSheetId="1">[70]Parms!#REF!</definedName>
    <definedName name="TWFYTDPERIOD">[70]Parms!#REF!</definedName>
    <definedName name="TYNE_WEAR" localSheetId="1">#REF!</definedName>
    <definedName name="TYNE_WEAR">#REF!</definedName>
    <definedName name="TYPE" localSheetId="1">#REF!</definedName>
    <definedName name="TYPE">#REF!</definedName>
    <definedName name="Type_of_Change">[117]Data!$A$3:$A$10</definedName>
    <definedName name="Type_of_Works" localSheetId="1">'[17]Drop Down Lists'!#REF!</definedName>
    <definedName name="Type_of_Works">'[17]Drop Down Lists'!#REF!</definedName>
    <definedName name="Units">[42]Structure!$F$7:$F$53</definedName>
    <definedName name="UU" localSheetId="1">#REF!</definedName>
    <definedName name="UU">#REF!</definedName>
    <definedName name="Variance___Actual_vs_Budget_Final">[26]Control!$B$16</definedName>
    <definedName name="Variance___BUDGET___FINAL_vs_LY_ACTUAL">[26]Control!$B$26</definedName>
    <definedName name="Variance___FORECAST_Q3_vs_BUDGET___FINAL">[26]Control!$B$20</definedName>
    <definedName name="Variance_ACTUAL_vs_LY_ACTUAL">[26]Control!$B$23</definedName>
    <definedName name="vba04v2" localSheetId="1">#REF!</definedName>
    <definedName name="vba04v2">#REF!</definedName>
    <definedName name="VersionControl">#REF!</definedName>
    <definedName name="Vofs" localSheetId="1">#REF!</definedName>
    <definedName name="Vofs">#REF!</definedName>
    <definedName name="VTABLE" localSheetId="1">[118]IT!#REF!</definedName>
    <definedName name="VTABLE">[118]IT!#REF!</definedName>
    <definedName name="W_GLAM" localSheetId="1">#REF!</definedName>
    <definedName name="W_GLAM">#REF!</definedName>
    <definedName name="W_MIDS" localSheetId="1">#REF!</definedName>
    <definedName name="W_MIDS">#REF!</definedName>
    <definedName name="W_SUSSEX" localSheetId="1">#REF!</definedName>
    <definedName name="W_SUSSEX">#REF!</definedName>
    <definedName name="W_YORKS">#REF!</definedName>
    <definedName name="WARWICKS">#REF!</definedName>
    <definedName name="wdfw">#REF!</definedName>
    <definedName name="WE">[119]data!$H$3:$H$108</definedName>
    <definedName name="wedfw" localSheetId="1">#REF!</definedName>
    <definedName name="wedfw">#REF!</definedName>
    <definedName name="wefw" localSheetId="1">#REF!</definedName>
    <definedName name="wefw">#REF!</definedName>
    <definedName name="wefwe" localSheetId="1">#REF!</definedName>
    <definedName name="wefwe">#REF!</definedName>
    <definedName name="wefwerf">#REF!</definedName>
    <definedName name="wert" localSheetId="1" hidden="1">{"GROSS",#N/A,FALSE,"401C11"}</definedName>
    <definedName name="wert" localSheetId="0" hidden="1">{"GROSS",#N/A,FALSE,"401C11"}</definedName>
    <definedName name="wert" hidden="1">{"GROSS",#N/A,FALSE,"401C11"}</definedName>
    <definedName name="WILTS">#REF!</definedName>
    <definedName name="wombat" localSheetId="1" hidden="1">#REF!</definedName>
    <definedName name="wombat" hidden="1">#REF!</definedName>
    <definedName name="Workbook_Protect">[84]Macros!$B$92</definedName>
    <definedName name="Workbook_Unprotect">[84]Macros!$B$130</definedName>
    <definedName name="WorkingCapitalIncrease" localSheetId="1">[20]Workings!$D$1365:$N$1365</definedName>
    <definedName name="WorkingCapitalIncrease">[20]Workings!$D$1365:$N$1365</definedName>
    <definedName name="wotsthis" localSheetId="1"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1" hidden="1">{"CHARGE",#N/A,FALSE,"401C11"}</definedName>
    <definedName name="wrn.CHARGE." localSheetId="0" hidden="1">{"CHARGE",#N/A,FALSE,"401C11"}</definedName>
    <definedName name="wrn.CHARGE." hidden="1">{"CHARGE",#N/A,FALSE,"401C11"}</definedName>
    <definedName name="wrn.GROSS." localSheetId="1" hidden="1">{"GROSS",#N/A,FALSE,"401C11"}</definedName>
    <definedName name="wrn.GROSS." localSheetId="0" hidden="1">{"GROSS",#N/A,FALSE,"401C11"}</definedName>
    <definedName name="wrn.GROSS." hidden="1">{"GROSS",#N/A,FALSE,"401C11"}</definedName>
    <definedName name="wrn.NET." localSheetId="1" hidden="1">{"NET",#N/A,FALSE,"401C11"}</definedName>
    <definedName name="wrn.NET." localSheetId="0" hidden="1">{"NET",#N/A,FALSE,"401C11"}</definedName>
    <definedName name="wrn.NET." hidden="1">{"NET",#N/A,FALSE,"401C11"}</definedName>
    <definedName name="wrn.papersdraft" localSheetId="1" hidden="1">{"bal",#N/A,FALSE,"working papers";"income",#N/A,FALSE,"working papers"}</definedName>
    <definedName name="wrn.papersdraft" localSheetId="0"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WSH" localSheetId="1">#REF!</definedName>
    <definedName name="WSH">#REF!</definedName>
    <definedName name="WSX" localSheetId="1">#REF!</definedName>
    <definedName name="WSX">#REF!</definedName>
    <definedName name="x">[120]Lists!$A$2:$A$19</definedName>
    <definedName name="XLR_COLS" localSheetId="1">'[30]3510'!#REF!</definedName>
    <definedName name="XLR_COLS">'[30]3510'!#REF!</definedName>
    <definedName name="XLR_ROWS" localSheetId="1">'[30]3510'!#REF!</definedName>
    <definedName name="XLR_ROWS">'[30]3510'!#REF!</definedName>
    <definedName name="xxx" localSheetId="1" hidden="1">{"CHARGE",#N/A,FALSE,"401C11"}</definedName>
    <definedName name="xxx" localSheetId="0" hidden="1">{"CHARGE",#N/A,FALSE,"401C11"}</definedName>
    <definedName name="xxx" hidden="1">{"CHARGE",#N/A,FALSE,"401C11"}</definedName>
    <definedName name="year">#REF!</definedName>
    <definedName name="Year_AssetPerf" localSheetId="1">OFFSET(#REF!,COUNTA(#REF!)-#REF!,0,#REF!)</definedName>
    <definedName name="Year_AssetPerf">OFFSET(#REF!,COUNTA(#REF!)-#REF!,0,#REF!)</definedName>
    <definedName name="YEAR_B4_LAST">#REF!</definedName>
    <definedName name="YEAR_B4B4_LAST">#REF!</definedName>
    <definedName name="YEAR_B5_LAST">#REF!</definedName>
    <definedName name="Year_Bills" localSheetId="1">OFFSET(#REF!,COUNTA(#REF!)-#REF!,0,#REF!)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ear1">'[121]I General'!$F$13</definedName>
    <definedName name="Year2">'[121]I General'!$F$12</definedName>
    <definedName name="Year3">'[121]I General'!$F$11</definedName>
    <definedName name="years">#REF!</definedName>
    <definedName name="YesNo">[51]Lists!$A$18:$A$20</definedName>
    <definedName name="yhnry" localSheetId="1">#REF!</definedName>
    <definedName name="yhnry">#REF!</definedName>
    <definedName name="yks" localSheetId="1">#REF!</definedName>
    <definedName name="yks">#REF!</definedName>
    <definedName name="YKY" localSheetId="1">#REF!</definedName>
    <definedName name="YKY">#REF!</definedName>
    <definedName name="YTD">#REF!</definedName>
    <definedName name="YTD.Select">#REF!</definedName>
    <definedName name="YTD.Select.2">#REF!</definedName>
    <definedName name="YTD.Select.3">#REF!</definedName>
    <definedName name="YTD.Selected.2">#REF!</definedName>
    <definedName name="YTD.Selected.3">#REF!</definedName>
    <definedName name="yyy" localSheetId="1" hidden="1">{"GROSS",#N/A,FALSE,"401C11"}</definedName>
    <definedName name="yyy" localSheetId="0" hidden="1">{"GROSS",#N/A,FALSE,"401C11"}</definedName>
    <definedName name="yyy" hidden="1">{"GROSS",#N/A,FALSE,"401C11"}</definedName>
    <definedName name="zzz" localSheetId="1" hidden="1">{"NET",#N/A,FALSE,"401C11"}</definedName>
    <definedName name="zzz" localSheetId="0" hidden="1">{"NET",#N/A,FALSE,"401C11"}</definedName>
    <definedName name="zzz" hidden="1">{"NET",#N/A,FALSE,"401C11"}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E101" i="2"/>
  <c r="E14" i="8" l="1"/>
  <c r="E15" i="8"/>
  <c r="I12" i="7"/>
  <c r="C250" i="2" l="1"/>
  <c r="BM12" i="17" l="1"/>
  <c r="BK12" i="17"/>
  <c r="B19" i="31" l="1"/>
  <c r="B22" i="31"/>
  <c r="A34" i="31"/>
  <c r="A49" i="31" s="1"/>
  <c r="B34" i="31"/>
  <c r="B49" i="31" s="1"/>
  <c r="A37" i="31"/>
  <c r="A52" i="31" s="1"/>
  <c r="B37" i="31"/>
  <c r="A20" i="19"/>
  <c r="A22" i="19"/>
  <c r="B146" i="2" l="1"/>
  <c r="B158" i="2"/>
  <c r="B26" i="2" l="1"/>
  <c r="E4" i="19" l="1"/>
  <c r="A242" i="2"/>
  <c r="A243" i="2"/>
  <c r="A244" i="2"/>
  <c r="BO80" i="17"/>
  <c r="B244" i="2" s="1"/>
  <c r="B241" i="2" s="1" a="1"/>
  <c r="B241" i="2" s="1"/>
  <c r="A185" i="2" l="1"/>
  <c r="A184" i="2"/>
  <c r="A183" i="2"/>
  <c r="A182" i="2"/>
  <c r="A163" i="2"/>
  <c r="A162" i="2"/>
  <c r="A161" i="2"/>
  <c r="A160" i="2"/>
  <c r="A127" i="2"/>
  <c r="A126" i="2"/>
  <c r="A125" i="2"/>
  <c r="A124" i="2"/>
  <c r="A151" i="2"/>
  <c r="A150" i="2"/>
  <c r="A149" i="2"/>
  <c r="A148" i="2"/>
  <c r="A132" i="2"/>
  <c r="A131" i="2"/>
  <c r="A130" i="2"/>
  <c r="A129" i="2"/>
  <c r="B118" i="2"/>
  <c r="A119" i="2"/>
  <c r="A118" i="2"/>
  <c r="B117" i="2"/>
  <c r="B145" i="2" l="1"/>
  <c r="B157" i="2"/>
  <c r="B144" i="2"/>
  <c r="B156" i="2"/>
  <c r="B116" i="2"/>
  <c r="A180" i="2"/>
  <c r="A179" i="2"/>
  <c r="A158" i="2"/>
  <c r="A157" i="2"/>
  <c r="A146" i="2"/>
  <c r="A145" i="2"/>
  <c r="A139" i="2"/>
  <c r="A138" i="2"/>
  <c r="A75" i="2"/>
  <c r="A74" i="2"/>
  <c r="A110" i="2"/>
  <c r="A109" i="2"/>
  <c r="A178" i="2"/>
  <c r="A177" i="2"/>
  <c r="A156" i="2"/>
  <c r="A155" i="2"/>
  <c r="A144" i="2"/>
  <c r="A143" i="2"/>
  <c r="A137" i="2"/>
  <c r="A136" i="2"/>
  <c r="A117" i="2"/>
  <c r="A116" i="2"/>
  <c r="A108" i="2"/>
  <c r="A107" i="2"/>
  <c r="A73" i="2"/>
  <c r="A72" i="2"/>
  <c r="B143" i="2" l="1"/>
  <c r="B155" i="2"/>
  <c r="B298" i="2"/>
  <c r="G4" i="19"/>
  <c r="A12" i="21"/>
  <c r="C12" i="21"/>
  <c r="B297" i="2"/>
  <c r="AJ12" i="7"/>
  <c r="AK12" i="7"/>
  <c r="B77" i="2"/>
  <c r="B82" i="2" s="1"/>
  <c r="B98" i="2"/>
  <c r="BF11" i="17"/>
  <c r="BG11" i="17" s="1"/>
  <c r="BF16" i="17"/>
  <c r="BG16" i="17" s="1"/>
  <c r="BF13" i="17"/>
  <c r="BG13" i="17" s="1"/>
  <c r="BF14" i="17"/>
  <c r="BG14" i="17" s="1"/>
  <c r="BF15" i="17"/>
  <c r="BG15" i="17" s="1"/>
  <c r="BF17" i="17"/>
  <c r="BG17" i="17" s="1"/>
  <c r="BF18" i="17"/>
  <c r="BG18" i="17" s="1"/>
  <c r="BF19" i="17"/>
  <c r="BG19" i="17" s="1"/>
  <c r="BF20" i="17"/>
  <c r="BG20" i="17" s="1"/>
  <c r="BF21" i="17"/>
  <c r="BG21" i="17" s="1"/>
  <c r="BF22" i="17"/>
  <c r="BG22" i="17" s="1"/>
  <c r="BF23" i="17"/>
  <c r="BG23" i="17" s="1"/>
  <c r="BF24" i="17"/>
  <c r="BG24" i="17" s="1"/>
  <c r="BF25" i="17"/>
  <c r="BG25" i="17" s="1"/>
  <c r="BF26" i="17"/>
  <c r="BG26" i="17" s="1"/>
  <c r="BF27" i="17"/>
  <c r="BG27" i="17" s="1"/>
  <c r="BF28" i="17"/>
  <c r="BG28" i="17" s="1"/>
  <c r="BF29" i="17"/>
  <c r="BG29" i="17" s="1"/>
  <c r="BF30" i="17"/>
  <c r="BG30" i="17" s="1"/>
  <c r="BF31" i="17"/>
  <c r="BG31" i="17" s="1"/>
  <c r="BF32" i="17"/>
  <c r="BG32" i="17" s="1"/>
  <c r="BF33" i="17"/>
  <c r="BG33" i="17" s="1"/>
  <c r="BF34" i="17"/>
  <c r="BG34" i="17" s="1"/>
  <c r="BF35" i="17"/>
  <c r="BG35" i="17" s="1"/>
  <c r="BF36" i="17"/>
  <c r="BG36" i="17" s="1"/>
  <c r="BF37" i="17"/>
  <c r="BG37" i="17" s="1"/>
  <c r="BF38" i="17"/>
  <c r="BG38" i="17" s="1"/>
  <c r="BF39" i="17"/>
  <c r="BG39" i="17" s="1"/>
  <c r="BF40" i="17"/>
  <c r="BG40" i="17" s="1"/>
  <c r="BF41" i="17"/>
  <c r="BG41" i="17" s="1"/>
  <c r="BF42" i="17"/>
  <c r="BG42" i="17" s="1"/>
  <c r="BF43" i="17"/>
  <c r="BG43" i="17" s="1"/>
  <c r="BF44" i="17"/>
  <c r="BG44" i="17" s="1"/>
  <c r="BF45" i="17"/>
  <c r="BG45" i="17" s="1"/>
  <c r="BF46" i="17"/>
  <c r="BG46" i="17" s="1"/>
  <c r="BF47" i="17"/>
  <c r="BG47" i="17" s="1"/>
  <c r="BF48" i="17"/>
  <c r="BG48" i="17" s="1"/>
  <c r="BF49" i="17"/>
  <c r="BG49" i="17" s="1"/>
  <c r="BF50" i="17"/>
  <c r="BG50" i="17" s="1"/>
  <c r="BF51" i="17"/>
  <c r="BG51" i="17" s="1"/>
  <c r="BF52" i="17"/>
  <c r="BG52" i="17" s="1"/>
  <c r="BF53" i="17"/>
  <c r="BG53" i="17" s="1"/>
  <c r="BF54" i="17"/>
  <c r="BG54" i="17" s="1"/>
  <c r="BF55" i="17"/>
  <c r="BG55" i="17" s="1"/>
  <c r="BF56" i="17"/>
  <c r="BG56" i="17" s="1"/>
  <c r="BF57" i="17"/>
  <c r="BG57" i="17" s="1"/>
  <c r="BF58" i="17"/>
  <c r="BG58" i="17" s="1"/>
  <c r="BF59" i="17"/>
  <c r="BG59" i="17" s="1"/>
  <c r="BF60" i="17"/>
  <c r="BG60" i="17" s="1"/>
  <c r="BF61" i="17"/>
  <c r="BG61" i="17" s="1"/>
  <c r="BF62" i="17"/>
  <c r="BG62" i="17" s="1"/>
  <c r="BF63" i="17"/>
  <c r="BG63" i="17" s="1"/>
  <c r="BF64" i="17"/>
  <c r="BG64" i="17" s="1"/>
  <c r="BF65" i="17"/>
  <c r="BG65" i="17" s="1"/>
  <c r="BF66" i="17"/>
  <c r="BG66" i="17" s="1"/>
  <c r="BF67" i="17"/>
  <c r="BG67" i="17" s="1"/>
  <c r="BF68" i="17"/>
  <c r="BG68" i="17" s="1"/>
  <c r="BF69" i="17"/>
  <c r="BG69" i="17" s="1"/>
  <c r="BF70" i="17"/>
  <c r="BG70" i="17" s="1"/>
  <c r="BF71" i="17"/>
  <c r="BG71" i="17" s="1"/>
  <c r="BF72" i="17"/>
  <c r="BG72" i="17" s="1"/>
  <c r="BF73" i="17"/>
  <c r="BG73" i="17" s="1"/>
  <c r="BF74" i="17"/>
  <c r="BG74" i="17" s="1"/>
  <c r="BF75" i="17"/>
  <c r="BG75" i="17" s="1"/>
  <c r="BF76" i="17"/>
  <c r="BG76" i="17" s="1"/>
  <c r="BF77" i="17"/>
  <c r="BG77" i="17" s="1"/>
  <c r="BF78" i="17"/>
  <c r="BG78" i="17" s="1"/>
  <c r="BF10" i="17"/>
  <c r="BG10" i="17" s="1"/>
  <c r="C80" i="2" l="1"/>
  <c r="B80" i="2"/>
  <c r="BF12" i="17"/>
  <c r="BF80" i="17" s="1"/>
  <c r="B64" i="2" l="1"/>
  <c r="AD19" i="24" l="1"/>
  <c r="Z19" i="24"/>
  <c r="C241" i="2" s="1"/>
  <c r="V19" i="24"/>
  <c r="R19" i="24"/>
  <c r="N19" i="24"/>
  <c r="N10" i="24"/>
  <c r="R10" i="24"/>
  <c r="V10" i="24"/>
  <c r="Z10" i="24"/>
  <c r="AD10" i="24"/>
  <c r="AD9" i="24"/>
  <c r="BB12" i="17"/>
  <c r="BC12" i="17"/>
  <c r="BC80" i="17" s="1"/>
  <c r="AT12" i="17"/>
  <c r="AS12" i="17"/>
  <c r="AQ12" i="17"/>
  <c r="AQ80" i="17" s="1"/>
  <c r="AP12" i="17"/>
  <c r="AP80" i="17" s="1"/>
  <c r="AU60"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1" i="17"/>
  <c r="AU62" i="17"/>
  <c r="AU63" i="17"/>
  <c r="AU64" i="17"/>
  <c r="AU65" i="17"/>
  <c r="AU66" i="17"/>
  <c r="AU67" i="17"/>
  <c r="AU68" i="17"/>
  <c r="AU69" i="17"/>
  <c r="AU70" i="17"/>
  <c r="AU71" i="17"/>
  <c r="AU72" i="17"/>
  <c r="AU73" i="17"/>
  <c r="AU74" i="17"/>
  <c r="AU75" i="17"/>
  <c r="AU76" i="17"/>
  <c r="AU77" i="17"/>
  <c r="AU78" i="17"/>
  <c r="AU13" i="17"/>
  <c r="AU10" i="17"/>
  <c r="AR17" i="17"/>
  <c r="AR21" i="17"/>
  <c r="AR25" i="17"/>
  <c r="AR29" i="17"/>
  <c r="AR33" i="17"/>
  <c r="AR37" i="17"/>
  <c r="AR41" i="17"/>
  <c r="AR45" i="17"/>
  <c r="AR49" i="17"/>
  <c r="AR53" i="17"/>
  <c r="AR57" i="17"/>
  <c r="AR61" i="17"/>
  <c r="AR65" i="17"/>
  <c r="AR69" i="17"/>
  <c r="AR73" i="17"/>
  <c r="AR77" i="17"/>
  <c r="AR13" i="17"/>
  <c r="AR14" i="17"/>
  <c r="AR11" i="17"/>
  <c r="AR15" i="17"/>
  <c r="AR16" i="17"/>
  <c r="AR18" i="17"/>
  <c r="AR19" i="17"/>
  <c r="AR20" i="17"/>
  <c r="AR22" i="17"/>
  <c r="AR23" i="17"/>
  <c r="AR24" i="17"/>
  <c r="AR26" i="17"/>
  <c r="AR27" i="17"/>
  <c r="AR28" i="17"/>
  <c r="AR30" i="17"/>
  <c r="AR31" i="17"/>
  <c r="AR32" i="17"/>
  <c r="AR34" i="17"/>
  <c r="AR35" i="17"/>
  <c r="AR36" i="17"/>
  <c r="AR38" i="17"/>
  <c r="AR39" i="17"/>
  <c r="AR40" i="17"/>
  <c r="AR42" i="17"/>
  <c r="AR43" i="17"/>
  <c r="AR44" i="17"/>
  <c r="AR46" i="17"/>
  <c r="AR47" i="17"/>
  <c r="AR48" i="17"/>
  <c r="AR50" i="17"/>
  <c r="AR51" i="17"/>
  <c r="AR52" i="17"/>
  <c r="AR54" i="17"/>
  <c r="AR55" i="17"/>
  <c r="AR56" i="17"/>
  <c r="AR58" i="17"/>
  <c r="AR59" i="17"/>
  <c r="AR60" i="17"/>
  <c r="AR62" i="17"/>
  <c r="AR63" i="17"/>
  <c r="AR64" i="17"/>
  <c r="AR66" i="17"/>
  <c r="AR67" i="17"/>
  <c r="AR68" i="17"/>
  <c r="AR70" i="17"/>
  <c r="AR71" i="17"/>
  <c r="AR72" i="17"/>
  <c r="AR74" i="17"/>
  <c r="AR75" i="17"/>
  <c r="AR76" i="17"/>
  <c r="AR78" i="17"/>
  <c r="BB80" i="17" l="1"/>
  <c r="BG12" i="17"/>
  <c r="AR12" i="17"/>
  <c r="AU12" i="17"/>
  <c r="AV11" i="17"/>
  <c r="AR10" i="17"/>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B263" i="2"/>
  <c r="B259" i="2"/>
  <c r="B262" i="2"/>
  <c r="A262" i="2"/>
  <c r="AX11" i="17" l="1"/>
  <c r="C19" i="2" l="1"/>
  <c r="B19"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I20" i="2"/>
  <c r="C23" i="2" l="1"/>
  <c r="AO11" i="17" l="1"/>
  <c r="H19" i="2" l="1"/>
  <c r="G19" i="2"/>
  <c r="F19" i="2"/>
  <c r="F21" i="2" s="1"/>
  <c r="E19" i="2"/>
  <c r="D19" i="2"/>
  <c r="BA11" i="17"/>
  <c r="AD18" i="24"/>
  <c r="Z18" i="24"/>
  <c r="V18" i="24"/>
  <c r="R18" i="24"/>
  <c r="N18" i="24"/>
  <c r="J18" i="24"/>
  <c r="Z9" i="24"/>
  <c r="V9" i="24"/>
  <c r="R9" i="24"/>
  <c r="N9" i="24"/>
  <c r="J9" i="24"/>
  <c r="BH11" i="17" l="1"/>
  <c r="BA12" i="17"/>
  <c r="AW25" i="17"/>
  <c r="BH53" i="17"/>
  <c r="AW15" i="17"/>
  <c r="BH35" i="17"/>
  <c r="BH54" i="17"/>
  <c r="AV18" i="17"/>
  <c r="AW47" i="17"/>
  <c r="AV60" i="17"/>
  <c r="AW67" i="17"/>
  <c r="BH27" i="17"/>
  <c r="AW44" i="17"/>
  <c r="AN12" i="17"/>
  <c r="BH49" i="17"/>
  <c r="BH23" i="17"/>
  <c r="AW36" i="17"/>
  <c r="BH28" i="17"/>
  <c r="BH15" i="17"/>
  <c r="AV23" i="17"/>
  <c r="AW27" i="17"/>
  <c r="BH55" i="17"/>
  <c r="BH25" i="17"/>
  <c r="AW73" i="17"/>
  <c r="AW31" i="17"/>
  <c r="BH10" i="17"/>
  <c r="BH63" i="17"/>
  <c r="BH43" i="17"/>
  <c r="AW62" i="17"/>
  <c r="BH41" i="17"/>
  <c r="BH56" i="17"/>
  <c r="BH69" i="17"/>
  <c r="AW58" i="17"/>
  <c r="AW19" i="17"/>
  <c r="BH52" i="17"/>
  <c r="BH39" i="17"/>
  <c r="BH47" i="17"/>
  <c r="BH70" i="17"/>
  <c r="AV13" i="17"/>
  <c r="BH19" i="17"/>
  <c r="AV30" i="17"/>
  <c r="AV75" i="17"/>
  <c r="BH66" i="17"/>
  <c r="AW74" i="17"/>
  <c r="AW69" i="17"/>
  <c r="AW60" i="17"/>
  <c r="AW34" i="17"/>
  <c r="AV27" i="17"/>
  <c r="AW20" i="17"/>
  <c r="AW16" i="17"/>
  <c r="BH44" i="17"/>
  <c r="BH58" i="17"/>
  <c r="BH14" i="17"/>
  <c r="BH21" i="17"/>
  <c r="BH13" i="17"/>
  <c r="BH60" i="17"/>
  <c r="BH24" i="17"/>
  <c r="AV74" i="17"/>
  <c r="AW46" i="17"/>
  <c r="AW33" i="17"/>
  <c r="AW26" i="17"/>
  <c r="BH45" i="17"/>
  <c r="BH61" i="17"/>
  <c r="AV72" i="17"/>
  <c r="BH72" i="17"/>
  <c r="BH29" i="17"/>
  <c r="AW13" i="17"/>
  <c r="AV73" i="17"/>
  <c r="AW66" i="17"/>
  <c r="AW54" i="17"/>
  <c r="AW43" i="17"/>
  <c r="AV15" i="17"/>
  <c r="BH78" i="17"/>
  <c r="BH26" i="17"/>
  <c r="BH46" i="17"/>
  <c r="BH40" i="17"/>
  <c r="AV17" i="17"/>
  <c r="AV25" i="17"/>
  <c r="BH18" i="17"/>
  <c r="BH74" i="17"/>
  <c r="BH42" i="17"/>
  <c r="AW77" i="17"/>
  <c r="AW72" i="17"/>
  <c r="AV66" i="17"/>
  <c r="AW49" i="17"/>
  <c r="AV43" i="17"/>
  <c r="AW30" i="17"/>
  <c r="AW24" i="17"/>
  <c r="AW18" i="17"/>
  <c r="AW14" i="17"/>
  <c r="BH51" i="17"/>
  <c r="BH20" i="17"/>
  <c r="BH67" i="17"/>
  <c r="BH17" i="17"/>
  <c r="AW65" i="17"/>
  <c r="AW48" i="17"/>
  <c r="AW42" i="17"/>
  <c r="BH22" i="17"/>
  <c r="BH76" i="17"/>
  <c r="AV70" i="17"/>
  <c r="BH68" i="17"/>
  <c r="BH16" i="17"/>
  <c r="BH30" i="17"/>
  <c r="AW75" i="17"/>
  <c r="AW70" i="17"/>
  <c r="AV65" i="17"/>
  <c r="AV42" i="17"/>
  <c r="AW28" i="17"/>
  <c r="AW23" i="17"/>
  <c r="AW17" i="17"/>
  <c r="AV10" i="17"/>
  <c r="AV12" i="17" s="1"/>
  <c r="AV39" i="17"/>
  <c r="G21" i="2"/>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V49" i="17"/>
  <c r="AV78" i="17"/>
  <c r="D22" i="2"/>
  <c r="D23" i="2"/>
  <c r="E23" i="2" s="1"/>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V53" i="17"/>
  <c r="AW51" i="17"/>
  <c r="AV32" i="17"/>
  <c r="AW35" i="17"/>
  <c r="AV63" i="17"/>
  <c r="AO27" i="17"/>
  <c r="AW50" i="17"/>
  <c r="AV41" i="17"/>
  <c r="AW21" i="17"/>
  <c r="AW78" i="17"/>
  <c r="BH34" i="17"/>
  <c r="AW56" i="17"/>
  <c r="AV51" i="17"/>
  <c r="AW68" i="17"/>
  <c r="AW41" i="17"/>
  <c r="AV52" i="17"/>
  <c r="AV40" i="17"/>
  <c r="AW57" i="17"/>
  <c r="AV68" i="17"/>
  <c r="AW40" i="17"/>
  <c r="AW55" i="17"/>
  <c r="AV38" i="17"/>
  <c r="AW59" i="17"/>
  <c r="AW29" i="17"/>
  <c r="AV37" i="17"/>
  <c r="AV64" i="17"/>
  <c r="AW22" i="17"/>
  <c r="AW63" i="17"/>
  <c r="AW64" i="17"/>
  <c r="AV55" i="17"/>
  <c r="BH48" i="17"/>
  <c r="AW45" i="17"/>
  <c r="AW52" i="17"/>
  <c r="BH77" i="17"/>
  <c r="BH33" i="17"/>
  <c r="BH65" i="17"/>
  <c r="AV61" i="17"/>
  <c r="AV56" i="17"/>
  <c r="AV45" i="17"/>
  <c r="BH50" i="17"/>
  <c r="BH59" i="17"/>
  <c r="AV71" i="17"/>
  <c r="AV29" i="17"/>
  <c r="BH36" i="17"/>
  <c r="AW37" i="17"/>
  <c r="BH64" i="17"/>
  <c r="AW71" i="17"/>
  <c r="BH71" i="17"/>
  <c r="AW76" i="17"/>
  <c r="AV59" i="17"/>
  <c r="BH31" i="17"/>
  <c r="AW61" i="17"/>
  <c r="BH62" i="17"/>
  <c r="BH38" i="17"/>
  <c r="BH73" i="17"/>
  <c r="BH75" i="17"/>
  <c r="AV76" i="17"/>
  <c r="BH32" i="17"/>
  <c r="BH57" i="17"/>
  <c r="AW38" i="17"/>
  <c r="BH37" i="17"/>
  <c r="BH12" i="17" l="1"/>
  <c r="BH80" i="17" s="1"/>
  <c r="E102" i="2" s="1"/>
  <c r="E4" i="21" s="1"/>
  <c r="AX25" i="17"/>
  <c r="AX27" i="17"/>
  <c r="AX72" i="17"/>
  <c r="AX73" i="17"/>
  <c r="AX23" i="17"/>
  <c r="AX49" i="17"/>
  <c r="AX42" i="17"/>
  <c r="AX66" i="17"/>
  <c r="AX43" i="17"/>
  <c r="AX15" i="17"/>
  <c r="AX30" i="17"/>
  <c r="AX74" i="17"/>
  <c r="AO66" i="17"/>
  <c r="AO15" i="17"/>
  <c r="AX65" i="17"/>
  <c r="AX60" i="17"/>
  <c r="AO75" i="17"/>
  <c r="AX75" i="17"/>
  <c r="AV14" i="17"/>
  <c r="AX14" i="17" s="1"/>
  <c r="AO14" i="17"/>
  <c r="AX70" i="17"/>
  <c r="AX13" i="17"/>
  <c r="AO72" i="17"/>
  <c r="AO13" i="17"/>
  <c r="AO74" i="17"/>
  <c r="AX18" i="17"/>
  <c r="AX17" i="17"/>
  <c r="AO10" i="17"/>
  <c r="AW10" i="17"/>
  <c r="AW12" i="17" s="1"/>
  <c r="AM12" i="17"/>
  <c r="AO12" i="17" s="1"/>
  <c r="AV48" i="17"/>
  <c r="AX48" i="17" s="1"/>
  <c r="AO48" i="17"/>
  <c r="AV24" i="17"/>
  <c r="AX24" i="17" s="1"/>
  <c r="AO24" i="17"/>
  <c r="AV77" i="17"/>
  <c r="AX77" i="17" s="1"/>
  <c r="AO77" i="17"/>
  <c r="AV47" i="17"/>
  <c r="AX47" i="17" s="1"/>
  <c r="AO47" i="17"/>
  <c r="AV31" i="17"/>
  <c r="AX31" i="17" s="1"/>
  <c r="AO31" i="17"/>
  <c r="AV69" i="17"/>
  <c r="AX69" i="17" s="1"/>
  <c r="AO69" i="17"/>
  <c r="AV19" i="17"/>
  <c r="AX19" i="17" s="1"/>
  <c r="AO19" i="17"/>
  <c r="AV20" i="17"/>
  <c r="AX20" i="17" s="1"/>
  <c r="AO20" i="17"/>
  <c r="AV16" i="17"/>
  <c r="AX16" i="17" s="1"/>
  <c r="AO16" i="17"/>
  <c r="AO25" i="17"/>
  <c r="AO65" i="17"/>
  <c r="AO23" i="17"/>
  <c r="AO60" i="17"/>
  <c r="AO42" i="17"/>
  <c r="AO43" i="17"/>
  <c r="AO70" i="17"/>
  <c r="AO73" i="17"/>
  <c r="AO30" i="17"/>
  <c r="AO18" i="17"/>
  <c r="AO17" i="17"/>
  <c r="E22" i="2"/>
  <c r="E12" i="21" s="1"/>
  <c r="D12" i="21"/>
  <c r="AJ21" i="2"/>
  <c r="AK21" i="2" s="1"/>
  <c r="AL21" i="2" s="1"/>
  <c r="AM21" i="2" s="1"/>
  <c r="AN21" i="2" s="1"/>
  <c r="AO21" i="2" s="1"/>
  <c r="AP21" i="2" s="1"/>
  <c r="AX76" i="17"/>
  <c r="AX71" i="17"/>
  <c r="AX78" i="17"/>
  <c r="AX56" i="17"/>
  <c r="AO49" i="17"/>
  <c r="AX45" i="17"/>
  <c r="AX64" i="17"/>
  <c r="AX55" i="17"/>
  <c r="AX29" i="17"/>
  <c r="AX40" i="17"/>
  <c r="AX37" i="17"/>
  <c r="AX41" i="17"/>
  <c r="AX38" i="17"/>
  <c r="AX68" i="17"/>
  <c r="AX51" i="17"/>
  <c r="AX63" i="17"/>
  <c r="AX59" i="17"/>
  <c r="AX61" i="17"/>
  <c r="AX52" i="17"/>
  <c r="AO22" i="17"/>
  <c r="AV22" i="17"/>
  <c r="AX22" i="17" s="1"/>
  <c r="AO39" i="17"/>
  <c r="AW39" i="17"/>
  <c r="AX39" i="17" s="1"/>
  <c r="AO33" i="17"/>
  <c r="AV33" i="17"/>
  <c r="AX33" i="17" s="1"/>
  <c r="AO28" i="17"/>
  <c r="AV28" i="17"/>
  <c r="AX28" i="17" s="1"/>
  <c r="AO36" i="17"/>
  <c r="AV36" i="17"/>
  <c r="AX36" i="17" s="1"/>
  <c r="AO21" i="17"/>
  <c r="AV21" i="17"/>
  <c r="AX21" i="17" s="1"/>
  <c r="AO50" i="17"/>
  <c r="AV50" i="17"/>
  <c r="AX50" i="17" s="1"/>
  <c r="AO32" i="17"/>
  <c r="AW32" i="17"/>
  <c r="AX32" i="17" s="1"/>
  <c r="AO58" i="17"/>
  <c r="AV58" i="17"/>
  <c r="AX58" i="17" s="1"/>
  <c r="AO54" i="17"/>
  <c r="AV54" i="17"/>
  <c r="AX54" i="17" s="1"/>
  <c r="AO34" i="17"/>
  <c r="AV34" i="17"/>
  <c r="AX34" i="17" s="1"/>
  <c r="AO62" i="17"/>
  <c r="AV62" i="17"/>
  <c r="AX62" i="17" s="1"/>
  <c r="AO26" i="17"/>
  <c r="AV26" i="17"/>
  <c r="AO67" i="17"/>
  <c r="AV67" i="17"/>
  <c r="AX67" i="17" s="1"/>
  <c r="AO46" i="17"/>
  <c r="AV46" i="17"/>
  <c r="AX46" i="17" s="1"/>
  <c r="AO44" i="17"/>
  <c r="AV44" i="17"/>
  <c r="AX44" i="17" s="1"/>
  <c r="AO57" i="17"/>
  <c r="AV57" i="17"/>
  <c r="AX57" i="17" s="1"/>
  <c r="AO53" i="17"/>
  <c r="AW53" i="17"/>
  <c r="AX53" i="17" s="1"/>
  <c r="AO35" i="17"/>
  <c r="AV35" i="17"/>
  <c r="AX35" i="17" s="1"/>
  <c r="AO29" i="17"/>
  <c r="AO56" i="17"/>
  <c r="AO68" i="17"/>
  <c r="AO59" i="17"/>
  <c r="AO45" i="17"/>
  <c r="AO55" i="17"/>
  <c r="AO71" i="17"/>
  <c r="AO40" i="17"/>
  <c r="AO63" i="17"/>
  <c r="AO64" i="17"/>
  <c r="AO41" i="17"/>
  <c r="AO38" i="17"/>
  <c r="AO51" i="17"/>
  <c r="BA80" i="17"/>
  <c r="C102" i="2" s="1"/>
  <c r="AO37" i="17"/>
  <c r="AO61" i="17"/>
  <c r="AO52" i="17"/>
  <c r="AO76" i="17"/>
  <c r="AO78" i="17"/>
  <c r="AX10" i="17" l="1"/>
  <c r="AX12" i="17" s="1"/>
  <c r="AX80" i="17" s="1"/>
  <c r="AM80" i="17"/>
  <c r="F22" i="2"/>
  <c r="G22" i="2" s="1"/>
  <c r="AW80" i="17"/>
  <c r="AX26" i="17"/>
  <c r="AV80" i="17"/>
  <c r="BK80" i="17"/>
  <c r="AO80" i="17"/>
  <c r="C100" i="2" s="1"/>
  <c r="B7" i="31" s="1"/>
  <c r="E100" i="2" l="1"/>
  <c r="F12" i="21"/>
  <c r="H22" i="2"/>
  <c r="G12" i="21"/>
  <c r="B18" i="31" l="1"/>
  <c r="I22" i="2"/>
  <c r="H12" i="21"/>
  <c r="J22" i="2" l="1"/>
  <c r="I12" i="21"/>
  <c r="K22" i="2" l="1"/>
  <c r="J12" i="21"/>
  <c r="L22" i="2" l="1"/>
  <c r="K12" i="21"/>
  <c r="M22" i="2" l="1"/>
  <c r="L12" i="21"/>
  <c r="N22" i="2" l="1"/>
  <c r="M12" i="21"/>
  <c r="O22" i="2" l="1"/>
  <c r="N12" i="21"/>
  <c r="P22" i="2" l="1"/>
  <c r="O12" i="21"/>
  <c r="Q22" i="2" l="1"/>
  <c r="P12" i="21"/>
  <c r="R22" i="2" l="1"/>
  <c r="Q12" i="21"/>
  <c r="F4" i="19"/>
  <c r="C21" i="18"/>
  <c r="C20" i="18"/>
  <c r="B19" i="21"/>
  <c r="B20"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D1" i="21"/>
  <c r="E1" i="21" s="1"/>
  <c r="F1" i="21" s="1"/>
  <c r="G1" i="21" s="1"/>
  <c r="H1" i="21" s="1"/>
  <c r="I1" i="21" s="1"/>
  <c r="J1" i="21" s="1"/>
  <c r="K1" i="21" s="1"/>
  <c r="L1" i="21" s="1"/>
  <c r="M1" i="21" s="1"/>
  <c r="N1" i="21" s="1"/>
  <c r="O1" i="21" s="1"/>
  <c r="P1" i="21" s="1"/>
  <c r="Q1" i="21" s="1"/>
  <c r="R1" i="21" s="1"/>
  <c r="S1" i="21" s="1"/>
  <c r="T1" i="21" s="1"/>
  <c r="U1" i="21" s="1"/>
  <c r="V1" i="21" s="1"/>
  <c r="W1" i="21" s="1"/>
  <c r="X1" i="21" s="1"/>
  <c r="Y1" i="21" s="1"/>
  <c r="Z1" i="21" s="1"/>
  <c r="AA1" i="21" s="1"/>
  <c r="AB1" i="21" s="1"/>
  <c r="AC1" i="21" s="1"/>
  <c r="AD1" i="21" s="1"/>
  <c r="AE1" i="21" s="1"/>
  <c r="AF1" i="21" s="1"/>
  <c r="AG1" i="21" s="1"/>
  <c r="AH1" i="21" s="1"/>
  <c r="AI1" i="21" s="1"/>
  <c r="AJ1" i="21" s="1"/>
  <c r="AK1" i="21" s="1"/>
  <c r="AL1" i="21" s="1"/>
  <c r="AM1" i="21" s="1"/>
  <c r="AN1" i="21" s="1"/>
  <c r="AO1" i="21" s="1"/>
  <c r="AP1" i="21" s="1"/>
  <c r="A176" i="2"/>
  <c r="A154" i="2"/>
  <c r="B153" i="2" s="1"/>
  <c r="S22" i="2" l="1"/>
  <c r="R12" i="21"/>
  <c r="D18" i="9"/>
  <c r="E18" i="9"/>
  <c r="F18" i="9"/>
  <c r="C18" i="9"/>
  <c r="B6" i="9"/>
  <c r="B5" i="9"/>
  <c r="C210" i="2"/>
  <c r="A142" i="2"/>
  <c r="B141" i="2" s="1"/>
  <c r="B167" i="2"/>
  <c r="A135" i="2"/>
  <c r="A71" i="2"/>
  <c r="A106" i="2"/>
  <c r="AL80" i="17"/>
  <c r="D12" i="18"/>
  <c r="D15" i="18"/>
  <c r="D13" i="18"/>
  <c r="F20" i="18" l="1"/>
  <c r="D16" i="18"/>
  <c r="B172" i="2"/>
  <c r="A170" i="2"/>
  <c r="T22" i="2"/>
  <c r="S12" i="21"/>
  <c r="F23" i="18"/>
  <c r="F21" i="18"/>
  <c r="F22" i="18"/>
  <c r="F24" i="18"/>
  <c r="F27" i="18" l="1"/>
  <c r="U22" i="2"/>
  <c r="T12" i="21"/>
  <c r="BM80" i="17"/>
  <c r="B242" i="2" s="1"/>
  <c r="E8" i="3" l="1"/>
  <c r="V22" i="2"/>
  <c r="U12" i="21"/>
  <c r="B246" i="2"/>
  <c r="B86" i="2"/>
  <c r="A258" i="2"/>
  <c r="BQ80" i="17"/>
  <c r="BR11" i="17"/>
  <c r="BR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10" i="17"/>
  <c r="AI28" i="17"/>
  <c r="B41" i="2"/>
  <c r="B250" i="2"/>
  <c r="AJ280" i="2" s="1"/>
  <c r="C22" i="18"/>
  <c r="C23" i="18"/>
  <c r="C24" i="18"/>
  <c r="C25" i="18"/>
  <c r="D6" i="18"/>
  <c r="D7" i="18" s="1"/>
  <c r="B100" i="2"/>
  <c r="AY10" i="17"/>
  <c r="AY12" i="17" s="1"/>
  <c r="AY80" i="17" s="1"/>
  <c r="BJ10" i="17"/>
  <c r="BJ11" i="17"/>
  <c r="D1" i="3"/>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D1" i="4"/>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AH1" i="5" s="1"/>
  <c r="AI1" i="5" s="1"/>
  <c r="AJ1" i="5" s="1"/>
  <c r="AK1" i="5" s="1"/>
  <c r="AL1" i="5" s="1"/>
  <c r="AM1" i="5" s="1"/>
  <c r="AN1" i="5" s="1"/>
  <c r="AO1" i="5" s="1"/>
  <c r="D17" i="9"/>
  <c r="E17" i="9"/>
  <c r="F17" i="9"/>
  <c r="C17" i="9"/>
  <c r="D1" i="8"/>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D14" i="8"/>
  <c r="F14" i="8"/>
  <c r="C14" i="8"/>
  <c r="BV73" i="17"/>
  <c r="BV69" i="17"/>
  <c r="BV64" i="17"/>
  <c r="BV60" i="17"/>
  <c r="BV56" i="17"/>
  <c r="BV52" i="17"/>
  <c r="BV48" i="17"/>
  <c r="BV44" i="17"/>
  <c r="BV40" i="17"/>
  <c r="BV36" i="17"/>
  <c r="BV32" i="17"/>
  <c r="BV28" i="17"/>
  <c r="BV24" i="17"/>
  <c r="BV20" i="17"/>
  <c r="BV16" i="17"/>
  <c r="BV12" i="17"/>
  <c r="BV65" i="17"/>
  <c r="BV71" i="17"/>
  <c r="BV66" i="17"/>
  <c r="BV62" i="17"/>
  <c r="BV58" i="17"/>
  <c r="BV54" i="17"/>
  <c r="BV50" i="17"/>
  <c r="BV46" i="17"/>
  <c r="BV42" i="17"/>
  <c r="BV38" i="17"/>
  <c r="BV34" i="17"/>
  <c r="BV30" i="17"/>
  <c r="BV26" i="17"/>
  <c r="BV22" i="17"/>
  <c r="BV18" i="17"/>
  <c r="BV14" i="17"/>
  <c r="BV77" i="17"/>
  <c r="BV61" i="17"/>
  <c r="BV41" i="17"/>
  <c r="BV33" i="17"/>
  <c r="BV21" i="17"/>
  <c r="BV76" i="17"/>
  <c r="BV57" i="17"/>
  <c r="BV45" i="17"/>
  <c r="BV37" i="17"/>
  <c r="BV29" i="17"/>
  <c r="BV25" i="17"/>
  <c r="BV17" i="17"/>
  <c r="BV13" i="17"/>
  <c r="BV70" i="17"/>
  <c r="BV53" i="17"/>
  <c r="BV75" i="17"/>
  <c r="BV49" i="17"/>
  <c r="BV67" i="17"/>
  <c r="BV43" i="17"/>
  <c r="BV31" i="17"/>
  <c r="BV19" i="17"/>
  <c r="BV11" i="17"/>
  <c r="BV55" i="17"/>
  <c r="BV27" i="17"/>
  <c r="BV74" i="17"/>
  <c r="BV63" i="17"/>
  <c r="BV78" i="17"/>
  <c r="BV72" i="17"/>
  <c r="BV47" i="17"/>
  <c r="BV39" i="17"/>
  <c r="BV23" i="17"/>
  <c r="BV51" i="17"/>
  <c r="BV35" i="17"/>
  <c r="BV15" i="17"/>
  <c r="BV59" i="17"/>
  <c r="D1" i="9"/>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D13" i="2"/>
  <c r="AI12" i="7"/>
  <c r="P12" i="7"/>
  <c r="O12" i="7"/>
  <c r="N12" i="7"/>
  <c r="M12" i="7"/>
  <c r="L12" i="7"/>
  <c r="K12" i="7"/>
  <c r="J12" i="7"/>
  <c r="BN80" i="17"/>
  <c r="B243" i="2" s="1"/>
  <c r="AZ80" i="17"/>
  <c r="B102" i="2" s="1"/>
  <c r="BU80" i="17"/>
  <c r="BV68" i="17"/>
  <c r="BT80" i="17"/>
  <c r="BP80" i="17"/>
  <c r="BS80" i="17"/>
  <c r="B239" i="2" s="1"/>
  <c r="C239" i="2" s="1"/>
  <c r="F3" i="3" l="1"/>
  <c r="D80" i="2"/>
  <c r="D109" i="2"/>
  <c r="D106" i="2"/>
  <c r="D105" i="2" s="1" a="1"/>
  <c r="D105" i="2" s="1"/>
  <c r="D110" i="2"/>
  <c r="B51" i="2"/>
  <c r="B48" i="2"/>
  <c r="W22" i="2"/>
  <c r="V12" i="21"/>
  <c r="C248" i="2"/>
  <c r="D108" i="2"/>
  <c r="D107" i="2"/>
  <c r="AP280" i="2"/>
  <c r="AP281" i="2" s="1"/>
  <c r="AP282" i="2" s="1"/>
  <c r="E1" i="4"/>
  <c r="B248" i="2"/>
  <c r="B252" i="2" s="1"/>
  <c r="L277" i="2"/>
  <c r="T277" i="2"/>
  <c r="AB277" i="2"/>
  <c r="AJ277" i="2"/>
  <c r="M277" i="2"/>
  <c r="U277" i="2"/>
  <c r="AC277" i="2"/>
  <c r="AK277" i="2"/>
  <c r="F277" i="2"/>
  <c r="N277" i="2"/>
  <c r="V277" i="2"/>
  <c r="AD277" i="2"/>
  <c r="AD3" i="9" s="1"/>
  <c r="AL277" i="2"/>
  <c r="P277" i="2"/>
  <c r="P3" i="9" s="1"/>
  <c r="G277" i="2"/>
  <c r="O277" i="2"/>
  <c r="W277" i="2"/>
  <c r="AE277" i="2"/>
  <c r="AM277" i="2"/>
  <c r="H277" i="2"/>
  <c r="X277" i="2"/>
  <c r="AF277" i="2"/>
  <c r="AN277" i="2"/>
  <c r="I277" i="2"/>
  <c r="Q277" i="2"/>
  <c r="Y277" i="2"/>
  <c r="Y3" i="9" s="1"/>
  <c r="AG277" i="2"/>
  <c r="AO277" i="2"/>
  <c r="J277" i="2"/>
  <c r="R277" i="2"/>
  <c r="Z277" i="2"/>
  <c r="AH277" i="2"/>
  <c r="AP277" i="2"/>
  <c r="AP3" i="9" s="1"/>
  <c r="K277" i="2"/>
  <c r="S277" i="2"/>
  <c r="AA277" i="2"/>
  <c r="AI277" i="2"/>
  <c r="E13" i="2"/>
  <c r="X11" i="8"/>
  <c r="AA11" i="8"/>
  <c r="AO11" i="8"/>
  <c r="AG11" i="8"/>
  <c r="Z11" i="8"/>
  <c r="AH11" i="8"/>
  <c r="AC11" i="8"/>
  <c r="N11" i="8"/>
  <c r="C9" i="9"/>
  <c r="AK11" i="8"/>
  <c r="AE11" i="8"/>
  <c r="T11" i="8"/>
  <c r="K11" i="8"/>
  <c r="S11" i="8"/>
  <c r="AB11" i="8"/>
  <c r="U11" i="8"/>
  <c r="W11" i="8"/>
  <c r="AD11" i="8"/>
  <c r="AJ11" i="8"/>
  <c r="O11" i="8"/>
  <c r="V11" i="8"/>
  <c r="AN11" i="8"/>
  <c r="Y11" i="8"/>
  <c r="Q11" i="8"/>
  <c r="AP11" i="8"/>
  <c r="M11" i="8"/>
  <c r="AM11" i="8"/>
  <c r="BX52" i="17"/>
  <c r="BX20" i="17"/>
  <c r="R12" i="7"/>
  <c r="Q12" i="7"/>
  <c r="BX23" i="17"/>
  <c r="BX55" i="17"/>
  <c r="BX72" i="17"/>
  <c r="BX31" i="17"/>
  <c r="BX15" i="17"/>
  <c r="BX63" i="17"/>
  <c r="BX39" i="17"/>
  <c r="BX78" i="17"/>
  <c r="BX60" i="17"/>
  <c r="BX77" i="17"/>
  <c r="BX59" i="17"/>
  <c r="BX64" i="17"/>
  <c r="BX32" i="17"/>
  <c r="BX56" i="17"/>
  <c r="BX24" i="17"/>
  <c r="BX21" i="17"/>
  <c r="BX13" i="17"/>
  <c r="BX69" i="17"/>
  <c r="BX36" i="17"/>
  <c r="BX41" i="17"/>
  <c r="BX25" i="17"/>
  <c r="BX28" i="17"/>
  <c r="BX74" i="17"/>
  <c r="BX49" i="17"/>
  <c r="BX65" i="17"/>
  <c r="BX40" i="17"/>
  <c r="BX73" i="17"/>
  <c r="BX57" i="17"/>
  <c r="BX16" i="17"/>
  <c r="BX48" i="17"/>
  <c r="BX47" i="17"/>
  <c r="BX17" i="17"/>
  <c r="BX33" i="17"/>
  <c r="BX44" i="17"/>
  <c r="BX19" i="17"/>
  <c r="BX50" i="17"/>
  <c r="BX12" i="17"/>
  <c r="BX10" i="17"/>
  <c r="BX11" i="17"/>
  <c r="BX76" i="17"/>
  <c r="BX22" i="17"/>
  <c r="BX54" i="17"/>
  <c r="BX30" i="17"/>
  <c r="BX38" i="17"/>
  <c r="BX35" i="17"/>
  <c r="BX71" i="17"/>
  <c r="BX46" i="17"/>
  <c r="BX14" i="17"/>
  <c r="BX61" i="17"/>
  <c r="BX53" i="17"/>
  <c r="BX45" i="17"/>
  <c r="BX37" i="17"/>
  <c r="BX29" i="17"/>
  <c r="BX67" i="17"/>
  <c r="BX51" i="17"/>
  <c r="BX43" i="17"/>
  <c r="BX27" i="17"/>
  <c r="BX75" i="17"/>
  <c r="BX66" i="17"/>
  <c r="BX58" i="17"/>
  <c r="BX42" i="17"/>
  <c r="BX34" i="17"/>
  <c r="BX26" i="17"/>
  <c r="BX18" i="17"/>
  <c r="BX70" i="17"/>
  <c r="BX68" i="17"/>
  <c r="BV80" i="17"/>
  <c r="P11" i="8"/>
  <c r="AF11" i="8"/>
  <c r="R11" i="8"/>
  <c r="L11" i="8"/>
  <c r="BX62" i="17"/>
  <c r="BR80" i="17"/>
  <c r="AI11" i="8"/>
  <c r="AL11" i="8"/>
  <c r="BJ12" i="17"/>
  <c r="E109" i="2" l="1"/>
  <c r="E110" i="2"/>
  <c r="X22" i="2"/>
  <c r="W12" i="21"/>
  <c r="D26" i="2"/>
  <c r="D9" i="9" s="1"/>
  <c r="E80" i="2"/>
  <c r="AP4" i="9"/>
  <c r="E106" i="2"/>
  <c r="E105" i="2" s="1" a="1"/>
  <c r="E105" i="2" s="1"/>
  <c r="E108" i="2"/>
  <c r="E107" i="2"/>
  <c r="AP283" i="2"/>
  <c r="B256" i="2"/>
  <c r="F1" i="4"/>
  <c r="F13" i="2"/>
  <c r="BX80" i="17"/>
  <c r="S12" i="7"/>
  <c r="K3" i="9"/>
  <c r="AN3" i="9"/>
  <c r="B35" i="2"/>
  <c r="C35" i="2" s="1"/>
  <c r="AG3" i="9"/>
  <c r="Q3" i="9"/>
  <c r="AO3" i="9"/>
  <c r="AF3" i="9"/>
  <c r="AI3" i="9"/>
  <c r="AH3" i="9"/>
  <c r="J3" i="9"/>
  <c r="F3" i="9"/>
  <c r="X3" i="9"/>
  <c r="AM3" i="9"/>
  <c r="AE3" i="9"/>
  <c r="I3" i="9"/>
  <c r="L3" i="9"/>
  <c r="N3" i="9"/>
  <c r="H3" i="9"/>
  <c r="U3" i="9"/>
  <c r="S3" i="9"/>
  <c r="AA3" i="9"/>
  <c r="G3" i="9"/>
  <c r="AJ3" i="9"/>
  <c r="R3" i="9"/>
  <c r="W3" i="9"/>
  <c r="V3" i="9"/>
  <c r="M3" i="9"/>
  <c r="O3" i="9"/>
  <c r="AC3" i="9"/>
  <c r="AK3" i="9"/>
  <c r="T3" i="9"/>
  <c r="AL3" i="9"/>
  <c r="Z3" i="9"/>
  <c r="BJ80" i="17"/>
  <c r="AB3" i="9"/>
  <c r="B88" i="2"/>
  <c r="B90" i="2" s="1"/>
  <c r="B302" i="2"/>
  <c r="B43" i="2"/>
  <c r="F110" i="2" l="1"/>
  <c r="F109" i="2"/>
  <c r="E10" i="3"/>
  <c r="B52" i="2"/>
  <c r="B49" i="2"/>
  <c r="B62" i="2" s="1"/>
  <c r="B46" i="2"/>
  <c r="Y22" i="2"/>
  <c r="X12" i="21"/>
  <c r="E26" i="2"/>
  <c r="E9" i="9" s="1"/>
  <c r="D35" i="2"/>
  <c r="J24" i="7"/>
  <c r="I26" i="7" s="1"/>
  <c r="AP5" i="9"/>
  <c r="AP6" i="9"/>
  <c r="F106" i="2"/>
  <c r="F105" i="2" s="1" a="1"/>
  <c r="F105" i="2" s="1"/>
  <c r="F107" i="2"/>
  <c r="F108" i="2"/>
  <c r="BW80" i="17"/>
  <c r="B28" i="2" s="1"/>
  <c r="B36" i="2"/>
  <c r="B37" i="2" s="1"/>
  <c r="C36" i="2"/>
  <c r="G1" i="4"/>
  <c r="G13" i="2"/>
  <c r="B92" i="2"/>
  <c r="B169" i="2"/>
  <c r="B260" i="2"/>
  <c r="B264" i="2"/>
  <c r="T12" i="7"/>
  <c r="B171" i="2" l="1"/>
  <c r="B173" i="2" s="1"/>
  <c r="B177" i="2" s="1"/>
  <c r="G110" i="2"/>
  <c r="G109" i="2"/>
  <c r="B58" i="2"/>
  <c r="B70" i="2" s="1" a="1"/>
  <c r="B70" i="2" s="1"/>
  <c r="B56" i="2"/>
  <c r="B60" i="2"/>
  <c r="Z22" i="2"/>
  <c r="Y12" i="21"/>
  <c r="AJ281" i="2"/>
  <c r="AO280" i="2"/>
  <c r="AO281" i="2" s="1"/>
  <c r="AN280" i="2"/>
  <c r="AN281" i="2" s="1"/>
  <c r="AM280" i="2"/>
  <c r="AM281" i="2" s="1"/>
  <c r="AK280" i="2"/>
  <c r="AK281" i="2" s="1"/>
  <c r="AL280" i="2"/>
  <c r="AL281" i="2" s="1"/>
  <c r="E35" i="2"/>
  <c r="F26" i="2"/>
  <c r="F9" i="9" s="1"/>
  <c r="F11" i="9" s="1"/>
  <c r="G80" i="2"/>
  <c r="G4" i="3" s="1"/>
  <c r="D36" i="2"/>
  <c r="E36" i="2"/>
  <c r="C37" i="2"/>
  <c r="I28" i="7"/>
  <c r="I25" i="7"/>
  <c r="I24" i="7"/>
  <c r="I27" i="7"/>
  <c r="D28" i="2"/>
  <c r="D302" i="2" s="1"/>
  <c r="C28" i="2"/>
  <c r="F29" i="2"/>
  <c r="F10" i="8" s="1"/>
  <c r="G108" i="2"/>
  <c r="G107" i="2"/>
  <c r="G106" i="2"/>
  <c r="G105" i="2" s="1" a="1"/>
  <c r="G105" i="2" s="1"/>
  <c r="J94" i="2"/>
  <c r="J11" i="8" s="1"/>
  <c r="I94" i="2"/>
  <c r="I11" i="8" s="1"/>
  <c r="H94" i="2"/>
  <c r="H11" i="8" s="1"/>
  <c r="H1" i="4"/>
  <c r="H13" i="2"/>
  <c r="F94" i="2"/>
  <c r="F11" i="8" s="1"/>
  <c r="G94" i="2"/>
  <c r="G11" i="8" s="1"/>
  <c r="E28" i="2"/>
  <c r="U12" i="7"/>
  <c r="U28" i="2"/>
  <c r="R28" i="2"/>
  <c r="AM28" i="2"/>
  <c r="AP28" i="2"/>
  <c r="S28" i="2"/>
  <c r="K28" i="2"/>
  <c r="H28" i="2"/>
  <c r="AC28" i="2"/>
  <c r="AE28" i="2"/>
  <c r="Y28" i="2"/>
  <c r="Z28" i="2"/>
  <c r="F28" i="2"/>
  <c r="X28" i="2"/>
  <c r="Q28" i="2"/>
  <c r="W28" i="2"/>
  <c r="J28" i="2"/>
  <c r="AI28" i="2"/>
  <c r="I28" i="2"/>
  <c r="AN28" i="2"/>
  <c r="AF28" i="2"/>
  <c r="P28" i="2"/>
  <c r="AL28" i="2"/>
  <c r="AH28" i="2"/>
  <c r="AO28" i="2"/>
  <c r="L28" i="2"/>
  <c r="AD28" i="2"/>
  <c r="O28" i="2"/>
  <c r="AG28" i="2"/>
  <c r="T28" i="2"/>
  <c r="V28" i="2"/>
  <c r="G28" i="2"/>
  <c r="N28" i="2"/>
  <c r="AA28" i="2"/>
  <c r="M28" i="2"/>
  <c r="AB28" i="2"/>
  <c r="AJ28" i="2"/>
  <c r="AK28" i="2"/>
  <c r="B180" i="2" l="1"/>
  <c r="B178" i="2"/>
  <c r="B179" i="2"/>
  <c r="B176" i="2"/>
  <c r="H106" i="2"/>
  <c r="H105" i="2" s="1" a="1"/>
  <c r="H105" i="2" s="1"/>
  <c r="H109" i="2"/>
  <c r="H110" i="2"/>
  <c r="B175" i="2"/>
  <c r="F235" i="2" s="1"/>
  <c r="C211" i="2"/>
  <c r="B124" i="2"/>
  <c r="B136" i="2" s="1"/>
  <c r="B127" i="2"/>
  <c r="B139" i="2" s="1"/>
  <c r="B126" i="2"/>
  <c r="B138" i="2" s="1"/>
  <c r="B125" i="2"/>
  <c r="B137" i="2" s="1"/>
  <c r="B135" i="2"/>
  <c r="B134" i="2" s="1"/>
  <c r="AA22" i="2"/>
  <c r="Z12" i="21"/>
  <c r="G26" i="2"/>
  <c r="G9" i="9" s="1"/>
  <c r="G11" i="9" s="1"/>
  <c r="F36" i="2"/>
  <c r="F4" i="6" s="1"/>
  <c r="F6" i="6"/>
  <c r="F35" i="2"/>
  <c r="E4" i="5" s="1"/>
  <c r="AM282" i="2"/>
  <c r="AM4" i="9"/>
  <c r="AM283" i="2"/>
  <c r="AN4" i="9"/>
  <c r="AN283" i="2"/>
  <c r="AN282" i="2"/>
  <c r="AO282" i="2"/>
  <c r="AO283" i="2"/>
  <c r="AO4" i="9"/>
  <c r="AJ4" i="9"/>
  <c r="AJ282" i="2"/>
  <c r="AJ283" i="2"/>
  <c r="AK282" i="2"/>
  <c r="AK4" i="9"/>
  <c r="AK283" i="2"/>
  <c r="AL283" i="2"/>
  <c r="AL4" i="9"/>
  <c r="AL282" i="2"/>
  <c r="H80" i="2"/>
  <c r="H4" i="3" s="1"/>
  <c r="D37" i="2"/>
  <c r="F37" i="2"/>
  <c r="F5" i="6" s="1"/>
  <c r="E37" i="2"/>
  <c r="B68" i="2"/>
  <c r="G29" i="2"/>
  <c r="G10" i="8" s="1"/>
  <c r="H107" i="2"/>
  <c r="H108" i="2"/>
  <c r="I1" i="4"/>
  <c r="I13" i="2"/>
  <c r="C302" i="2"/>
  <c r="B10" i="31" s="1"/>
  <c r="B211" i="2"/>
  <c r="V12" i="7"/>
  <c r="AG302" i="2"/>
  <c r="AG17" i="21" s="1"/>
  <c r="AB302" i="2"/>
  <c r="AB17" i="21" s="1"/>
  <c r="O302" i="2"/>
  <c r="B36" i="31" s="1"/>
  <c r="B38" i="31" s="1"/>
  <c r="P302" i="2"/>
  <c r="Q302" i="2"/>
  <c r="Q17" i="21" s="1"/>
  <c r="K302" i="2"/>
  <c r="K17" i="21" s="1"/>
  <c r="M302" i="2"/>
  <c r="M17" i="21" s="1"/>
  <c r="AF302" i="2"/>
  <c r="X302" i="2"/>
  <c r="X17" i="21" s="1"/>
  <c r="S302" i="2"/>
  <c r="S17" i="21" s="1"/>
  <c r="AA302" i="2"/>
  <c r="AA17" i="21" s="1"/>
  <c r="AD302" i="2"/>
  <c r="AD17" i="21" s="1"/>
  <c r="AN302" i="2"/>
  <c r="AN17" i="21" s="1"/>
  <c r="F302" i="2"/>
  <c r="F17" i="21" s="1"/>
  <c r="AP302" i="2"/>
  <c r="N302" i="2"/>
  <c r="N17" i="21" s="1"/>
  <c r="L302" i="2"/>
  <c r="L17" i="21" s="1"/>
  <c r="Z302" i="2"/>
  <c r="Z17" i="21" s="1"/>
  <c r="AM302" i="2"/>
  <c r="AM17" i="21" s="1"/>
  <c r="G302" i="2"/>
  <c r="G17" i="21" s="1"/>
  <c r="AO302" i="2"/>
  <c r="AO17" i="21" s="1"/>
  <c r="I302" i="2"/>
  <c r="I17" i="21" s="1"/>
  <c r="Y302" i="2"/>
  <c r="Y17" i="21" s="1"/>
  <c r="R302" i="2"/>
  <c r="R17" i="21" s="1"/>
  <c r="V302" i="2"/>
  <c r="V17" i="21" s="1"/>
  <c r="AH302" i="2"/>
  <c r="AH17" i="21" s="1"/>
  <c r="AI302" i="2"/>
  <c r="B51" i="31" s="1"/>
  <c r="B53" i="31" s="1"/>
  <c r="AE302" i="2"/>
  <c r="AE17" i="21" s="1"/>
  <c r="AK302" i="2"/>
  <c r="AK17" i="21" s="1"/>
  <c r="T302" i="2"/>
  <c r="T17" i="21" s="1"/>
  <c r="AL302" i="2"/>
  <c r="AL17" i="21" s="1"/>
  <c r="J302" i="2"/>
  <c r="J17" i="21" s="1"/>
  <c r="AC302" i="2"/>
  <c r="AC17" i="21" s="1"/>
  <c r="U302" i="2"/>
  <c r="U17" i="21" s="1"/>
  <c r="AJ302" i="2"/>
  <c r="AJ17" i="21" s="1"/>
  <c r="E302" i="2"/>
  <c r="W302" i="2"/>
  <c r="W17" i="21" s="1"/>
  <c r="H302" i="2"/>
  <c r="H17" i="21" s="1"/>
  <c r="B21" i="31" l="1"/>
  <c r="B23" i="31" s="1"/>
  <c r="B25" i="31" s="1"/>
  <c r="B12" i="31"/>
  <c r="B14" i="31" s="1"/>
  <c r="I110" i="2"/>
  <c r="I109" i="2"/>
  <c r="B273" i="2"/>
  <c r="B275" i="2" s="1"/>
  <c r="B78" i="2"/>
  <c r="F80" i="2" s="1"/>
  <c r="F4" i="3" s="1"/>
  <c r="H26" i="2"/>
  <c r="H9" i="9" s="1"/>
  <c r="H11" i="9" s="1"/>
  <c r="G6" i="6"/>
  <c r="O17" i="21"/>
  <c r="AB22" i="2"/>
  <c r="AA12" i="21"/>
  <c r="AF17" i="21"/>
  <c r="AI17" i="21"/>
  <c r="E17" i="21"/>
  <c r="AO5" i="9"/>
  <c r="AO6" i="9"/>
  <c r="AL5" i="9"/>
  <c r="AL6" i="9"/>
  <c r="AN6" i="9"/>
  <c r="AN5" i="9"/>
  <c r="AM5" i="9"/>
  <c r="AM6" i="9"/>
  <c r="AK5" i="9"/>
  <c r="AK6" i="9"/>
  <c r="AJ6" i="9"/>
  <c r="AJ5" i="9"/>
  <c r="I80" i="2"/>
  <c r="I4" i="3" s="1"/>
  <c r="H29" i="2"/>
  <c r="H10" i="8" s="1"/>
  <c r="I106" i="2"/>
  <c r="I105" i="2" s="1" a="1"/>
  <c r="I105" i="2" s="1"/>
  <c r="I107" i="2"/>
  <c r="I108" i="2"/>
  <c r="C15" i="8"/>
  <c r="J1" i="4"/>
  <c r="J13" i="2"/>
  <c r="AP17" i="21"/>
  <c r="P17" i="21"/>
  <c r="B21" i="21" s="1"/>
  <c r="C19" i="9"/>
  <c r="B212" i="2"/>
  <c r="B218" i="2"/>
  <c r="B225" i="2" s="1"/>
  <c r="C212" i="2"/>
  <c r="C215" i="2" s="1"/>
  <c r="C218" i="2"/>
  <c r="C225" i="2" s="1"/>
  <c r="W12" i="7"/>
  <c r="F17" i="8"/>
  <c r="C67" i="31" l="1"/>
  <c r="B29" i="31"/>
  <c r="C68" i="31" s="1"/>
  <c r="B67" i="31"/>
  <c r="B68" i="31"/>
  <c r="J110" i="2"/>
  <c r="J109" i="2"/>
  <c r="B188" i="2"/>
  <c r="B189" i="2" s="1"/>
  <c r="B192" i="2" s="1"/>
  <c r="B194" i="2" s="1"/>
  <c r="H6" i="6"/>
  <c r="I26" i="2"/>
  <c r="I6" i="6" s="1"/>
  <c r="AC22" i="2"/>
  <c r="AB12" i="21"/>
  <c r="J80" i="2"/>
  <c r="J4" i="3" s="1"/>
  <c r="I29" i="2"/>
  <c r="I10" i="8" s="1"/>
  <c r="J107" i="2"/>
  <c r="J106" i="2"/>
  <c r="J105" i="2" s="1" a="1"/>
  <c r="J105" i="2" s="1"/>
  <c r="J108" i="2"/>
  <c r="K1" i="4"/>
  <c r="K13" i="2"/>
  <c r="B215" i="2"/>
  <c r="B228" i="2" s="1"/>
  <c r="D15" i="8"/>
  <c r="D19" i="9"/>
  <c r="C228" i="2"/>
  <c r="C217" i="2"/>
  <c r="C219" i="2" s="1"/>
  <c r="C222" i="2" s="1"/>
  <c r="C229" i="2" s="1"/>
  <c r="X12" i="7"/>
  <c r="K110" i="2" l="1"/>
  <c r="K109" i="2"/>
  <c r="B205" i="2"/>
  <c r="H232" i="2" s="1"/>
  <c r="J26" i="2"/>
  <c r="J9" i="9" s="1"/>
  <c r="J11" i="9" s="1"/>
  <c r="I9" i="9"/>
  <c r="I11" i="9" s="1"/>
  <c r="AD22" i="2"/>
  <c r="AC12" i="21"/>
  <c r="K80" i="2"/>
  <c r="K4" i="3" s="1"/>
  <c r="J29" i="2"/>
  <c r="J10" i="8" s="1"/>
  <c r="K108" i="2"/>
  <c r="K106" i="2"/>
  <c r="K105" i="2" s="1" a="1"/>
  <c r="K105" i="2" s="1"/>
  <c r="K107" i="2"/>
  <c r="L1" i="4"/>
  <c r="B217" i="2"/>
  <c r="B219" i="2" s="1"/>
  <c r="B222" i="2" s="1"/>
  <c r="B229" i="2" s="1"/>
  <c r="L13" i="2"/>
  <c r="G17" i="9"/>
  <c r="H233" i="2"/>
  <c r="I233" i="2" s="1"/>
  <c r="G235" i="2"/>
  <c r="E19" i="9"/>
  <c r="B195" i="2"/>
  <c r="H234" i="2"/>
  <c r="H18" i="9" s="1"/>
  <c r="G18" i="9"/>
  <c r="C224" i="2"/>
  <c r="C226" i="2" s="1"/>
  <c r="C230" i="2" s="1"/>
  <c r="Y12" i="7"/>
  <c r="G3" i="8"/>
  <c r="K26" i="2" l="1"/>
  <c r="K9" i="9" s="1"/>
  <c r="K11" i="9" s="1"/>
  <c r="J6" i="6"/>
  <c r="L109" i="2"/>
  <c r="L110" i="2"/>
  <c r="AE22" i="2"/>
  <c r="AD12" i="21"/>
  <c r="L26" i="2"/>
  <c r="L9" i="9" s="1"/>
  <c r="L11" i="9" s="1"/>
  <c r="L80" i="2"/>
  <c r="L4" i="3" s="1"/>
  <c r="K6" i="6"/>
  <c r="K29" i="2"/>
  <c r="K10" i="8" s="1"/>
  <c r="L108" i="2"/>
  <c r="L107" i="2"/>
  <c r="L106" i="2"/>
  <c r="L105" i="2" s="1" a="1"/>
  <c r="L105" i="2" s="1"/>
  <c r="B202" i="2"/>
  <c r="B196" i="2"/>
  <c r="B199" i="2" s="1"/>
  <c r="B206" i="2" s="1"/>
  <c r="M1" i="4"/>
  <c r="J233" i="2"/>
  <c r="K233" i="2" s="1"/>
  <c r="L233" i="2" s="1"/>
  <c r="B224" i="2"/>
  <c r="B226" i="2" s="1"/>
  <c r="B230" i="2" s="1"/>
  <c r="I17" i="9"/>
  <c r="M13" i="2"/>
  <c r="H17" i="9"/>
  <c r="F15" i="8"/>
  <c r="F19" i="9"/>
  <c r="F21" i="9" s="1"/>
  <c r="H235" i="2"/>
  <c r="G15" i="8"/>
  <c r="G19" i="9"/>
  <c r="I234" i="2"/>
  <c r="I18" i="9" s="1"/>
  <c r="G14" i="8"/>
  <c r="Z12" i="7"/>
  <c r="H3" i="8"/>
  <c r="M109" i="2" l="1"/>
  <c r="M110" i="2"/>
  <c r="AF22" i="2"/>
  <c r="AE12" i="21"/>
  <c r="F20" i="8"/>
  <c r="F18" i="8"/>
  <c r="L6" i="6"/>
  <c r="M26" i="2"/>
  <c r="M9" i="9" s="1"/>
  <c r="M11" i="9" s="1"/>
  <c r="M80" i="2"/>
  <c r="M4" i="3" s="1"/>
  <c r="L29" i="2"/>
  <c r="L10" i="8" s="1"/>
  <c r="M108" i="2"/>
  <c r="M107" i="2"/>
  <c r="M106" i="2"/>
  <c r="M105" i="2" s="1" a="1"/>
  <c r="M105" i="2" s="1"/>
  <c r="J17" i="9"/>
  <c r="N1" i="4"/>
  <c r="N13" i="2"/>
  <c r="B201" i="2"/>
  <c r="B203" i="2" s="1"/>
  <c r="B207" i="2" s="1"/>
  <c r="I235" i="2"/>
  <c r="H19" i="9"/>
  <c r="H15" i="8"/>
  <c r="G21" i="9"/>
  <c r="G20" i="8"/>
  <c r="G18" i="8"/>
  <c r="J234" i="2"/>
  <c r="J18" i="9" s="1"/>
  <c r="G17" i="8"/>
  <c r="H14" i="8"/>
  <c r="I232" i="2"/>
  <c r="AA12" i="7"/>
  <c r="I3" i="8"/>
  <c r="K17" i="9"/>
  <c r="N110" i="2" l="1"/>
  <c r="N109" i="2"/>
  <c r="AG22" i="2"/>
  <c r="AF12" i="21"/>
  <c r="M6" i="6"/>
  <c r="N26" i="2"/>
  <c r="N9" i="9" s="1"/>
  <c r="N11" i="9" s="1"/>
  <c r="N80" i="2"/>
  <c r="N4" i="3" s="1"/>
  <c r="M29" i="2"/>
  <c r="M10" i="8" s="1"/>
  <c r="N107" i="2"/>
  <c r="N106" i="2"/>
  <c r="N105" i="2" s="1" a="1"/>
  <c r="N105" i="2" s="1"/>
  <c r="N108" i="2"/>
  <c r="O1" i="4"/>
  <c r="O13" i="2"/>
  <c r="H21" i="9"/>
  <c r="H20" i="8"/>
  <c r="H18" i="8"/>
  <c r="J235" i="2"/>
  <c r="I15" i="8"/>
  <c r="I19" i="9"/>
  <c r="K234" i="2"/>
  <c r="J232" i="2"/>
  <c r="I14" i="8"/>
  <c r="H17" i="8"/>
  <c r="AB12" i="7"/>
  <c r="M233" i="2"/>
  <c r="L17" i="9"/>
  <c r="J3" i="8"/>
  <c r="O110" i="2" l="1"/>
  <c r="O109" i="2"/>
  <c r="AH22" i="2"/>
  <c r="AG12" i="21"/>
  <c r="N6" i="6"/>
  <c r="O26" i="2"/>
  <c r="O9" i="9" s="1"/>
  <c r="O11" i="9" s="1"/>
  <c r="O80" i="2"/>
  <c r="O4" i="3" s="1"/>
  <c r="N29" i="2"/>
  <c r="N10" i="8" s="1"/>
  <c r="O106" i="2"/>
  <c r="O105" i="2" s="1" a="1"/>
  <c r="O105" i="2" s="1"/>
  <c r="O108" i="2"/>
  <c r="O107" i="2"/>
  <c r="K18" i="9"/>
  <c r="L234" i="2"/>
  <c r="L18" i="9" s="1"/>
  <c r="P1" i="4"/>
  <c r="P13" i="2"/>
  <c r="I21" i="9"/>
  <c r="J15" i="8"/>
  <c r="J19" i="9"/>
  <c r="K235" i="2"/>
  <c r="L235" i="2" s="1"/>
  <c r="I20" i="8"/>
  <c r="I18" i="8"/>
  <c r="I17" i="8"/>
  <c r="K232" i="2"/>
  <c r="L232" i="2" s="1"/>
  <c r="J14" i="8"/>
  <c r="AC12" i="7"/>
  <c r="K3" i="8"/>
  <c r="N233" i="2"/>
  <c r="M17" i="9"/>
  <c r="P109" i="2" l="1"/>
  <c r="P110" i="2"/>
  <c r="AI22" i="2"/>
  <c r="AH12" i="21"/>
  <c r="O6" i="6"/>
  <c r="P26" i="2"/>
  <c r="P9" i="9" s="1"/>
  <c r="P11" i="9" s="1"/>
  <c r="P80" i="2"/>
  <c r="P4" i="3" s="1"/>
  <c r="O29" i="2"/>
  <c r="O10" i="8" s="1"/>
  <c r="P108" i="2"/>
  <c r="P106" i="2"/>
  <c r="P105" i="2" s="1" a="1"/>
  <c r="P105" i="2" s="1"/>
  <c r="P107" i="2"/>
  <c r="Q1" i="4"/>
  <c r="Q13" i="2"/>
  <c r="J21" i="9"/>
  <c r="J20" i="8"/>
  <c r="J18" i="8"/>
  <c r="K19" i="9"/>
  <c r="K15" i="8"/>
  <c r="M234" i="2"/>
  <c r="M18" i="9" s="1"/>
  <c r="J17" i="8"/>
  <c r="K14" i="8"/>
  <c r="AD12" i="7"/>
  <c r="L3" i="8"/>
  <c r="O233" i="2"/>
  <c r="N17" i="9"/>
  <c r="Q110" i="2" l="1"/>
  <c r="Q109" i="2"/>
  <c r="AJ22" i="2"/>
  <c r="AI12" i="21"/>
  <c r="P6" i="6"/>
  <c r="Q26" i="2"/>
  <c r="Q9" i="9" s="1"/>
  <c r="Q11" i="9" s="1"/>
  <c r="Q80" i="2"/>
  <c r="Q4" i="3" s="1"/>
  <c r="P29" i="2"/>
  <c r="P10" i="8" s="1"/>
  <c r="Q108" i="2"/>
  <c r="Q106" i="2"/>
  <c r="Q105" i="2" s="1" a="1"/>
  <c r="Q105" i="2" s="1"/>
  <c r="Q107" i="2"/>
  <c r="R1" i="4"/>
  <c r="R13" i="2"/>
  <c r="K21" i="9"/>
  <c r="M235" i="2"/>
  <c r="L15" i="8"/>
  <c r="L19" i="9"/>
  <c r="K20" i="8"/>
  <c r="K18" i="8"/>
  <c r="N234" i="2"/>
  <c r="N18" i="9" s="1"/>
  <c r="M232" i="2"/>
  <c r="L14" i="8"/>
  <c r="K17" i="8"/>
  <c r="AE12" i="7"/>
  <c r="O17" i="9"/>
  <c r="P233" i="2"/>
  <c r="Q233" i="2" s="1"/>
  <c r="M3" i="8"/>
  <c r="R110" i="2" l="1"/>
  <c r="R109" i="2"/>
  <c r="AK22" i="2"/>
  <c r="AJ12" i="21"/>
  <c r="Q6" i="6"/>
  <c r="R26" i="2"/>
  <c r="R9" i="9" s="1"/>
  <c r="R11" i="9" s="1"/>
  <c r="R80" i="2"/>
  <c r="R4" i="3" s="1"/>
  <c r="Q29" i="2"/>
  <c r="Q10" i="8" s="1"/>
  <c r="R107" i="2"/>
  <c r="R106" i="2"/>
  <c r="R105" i="2" s="1" a="1"/>
  <c r="R105" i="2" s="1"/>
  <c r="R108" i="2"/>
  <c r="S1" i="4"/>
  <c r="S13" i="2"/>
  <c r="L21" i="9"/>
  <c r="M15" i="8"/>
  <c r="M19" i="9"/>
  <c r="N235" i="2"/>
  <c r="L20" i="8"/>
  <c r="L18" i="8"/>
  <c r="O234" i="2"/>
  <c r="O18" i="9" s="1"/>
  <c r="L17" i="8"/>
  <c r="N232" i="2"/>
  <c r="M14" i="8"/>
  <c r="AF12" i="7"/>
  <c r="N3" i="8"/>
  <c r="P17" i="9"/>
  <c r="S110" i="2" l="1"/>
  <c r="S109" i="2"/>
  <c r="AL22" i="2"/>
  <c r="AK12" i="21"/>
  <c r="R6" i="6"/>
  <c r="S26" i="2"/>
  <c r="S9" i="9" s="1"/>
  <c r="S11" i="9" s="1"/>
  <c r="S80" i="2"/>
  <c r="S4" i="3" s="1"/>
  <c r="R29" i="2"/>
  <c r="R10" i="8" s="1"/>
  <c r="S108" i="2"/>
  <c r="S106" i="2"/>
  <c r="S105" i="2" s="1" a="1"/>
  <c r="S105" i="2" s="1"/>
  <c r="S107" i="2"/>
  <c r="T1" i="4"/>
  <c r="T13" i="2"/>
  <c r="N15" i="8"/>
  <c r="N19" i="9"/>
  <c r="O235" i="2"/>
  <c r="M20" i="8"/>
  <c r="M18" i="8"/>
  <c r="M21" i="9"/>
  <c r="P234" i="2"/>
  <c r="O232" i="2"/>
  <c r="N14" i="8"/>
  <c r="M17" i="8"/>
  <c r="AG12" i="7"/>
  <c r="Q17" i="9"/>
  <c r="R233" i="2"/>
  <c r="O3" i="8"/>
  <c r="B33" i="31" s="1"/>
  <c r="B40" i="31" s="1"/>
  <c r="D67" i="31" l="1"/>
  <c r="B44" i="31"/>
  <c r="D68" i="31" s="1"/>
  <c r="T109" i="2"/>
  <c r="T110" i="2"/>
  <c r="AM22" i="2"/>
  <c r="AL12" i="21"/>
  <c r="S6" i="6"/>
  <c r="T26" i="2"/>
  <c r="T9" i="9" s="1"/>
  <c r="T11" i="9" s="1"/>
  <c r="T80" i="2"/>
  <c r="T4" i="3" s="1"/>
  <c r="S29" i="2"/>
  <c r="S10" i="8" s="1"/>
  <c r="T108" i="2"/>
  <c r="T107" i="2"/>
  <c r="T106" i="2"/>
  <c r="T105" i="2" s="1" a="1"/>
  <c r="T105" i="2" s="1"/>
  <c r="P18" i="9"/>
  <c r="Q234" i="2"/>
  <c r="Q18" i="9" s="1"/>
  <c r="U1" i="4"/>
  <c r="U13" i="2"/>
  <c r="N21" i="9"/>
  <c r="N18" i="8"/>
  <c r="N20" i="8"/>
  <c r="O15" i="8"/>
  <c r="O19" i="9"/>
  <c r="P235" i="2"/>
  <c r="N17" i="8"/>
  <c r="O14" i="8"/>
  <c r="P232" i="2"/>
  <c r="Q232" i="2" s="1"/>
  <c r="AH12" i="7"/>
  <c r="P3" i="8"/>
  <c r="S233" i="2"/>
  <c r="R17" i="9"/>
  <c r="U109" i="2" l="1"/>
  <c r="U110" i="2"/>
  <c r="AN22" i="2"/>
  <c r="AM12" i="21"/>
  <c r="U26" i="2"/>
  <c r="U9" i="9" s="1"/>
  <c r="U11" i="9" s="1"/>
  <c r="U80" i="2"/>
  <c r="U4" i="3" s="1"/>
  <c r="T6" i="6"/>
  <c r="T29" i="2"/>
  <c r="T10" i="8" s="1"/>
  <c r="U106" i="2"/>
  <c r="U105" i="2" s="1" a="1"/>
  <c r="U105" i="2" s="1"/>
  <c r="U108" i="2"/>
  <c r="U107" i="2"/>
  <c r="V1" i="4"/>
  <c r="V13" i="2"/>
  <c r="O20" i="8"/>
  <c r="O18" i="8"/>
  <c r="P19" i="9"/>
  <c r="Q235" i="2"/>
  <c r="P15" i="8"/>
  <c r="O21" i="9"/>
  <c r="R234" i="2"/>
  <c r="R18" i="9" s="1"/>
  <c r="P14" i="8"/>
  <c r="O17" i="8"/>
  <c r="S17" i="9"/>
  <c r="T233" i="2"/>
  <c r="Q3" i="8"/>
  <c r="V110" i="2" l="1"/>
  <c r="V109" i="2"/>
  <c r="AO22" i="2"/>
  <c r="AN12" i="21"/>
  <c r="V26" i="2"/>
  <c r="V9" i="9" s="1"/>
  <c r="V11" i="9" s="1"/>
  <c r="V80" i="2"/>
  <c r="V4" i="3" s="1"/>
  <c r="U6" i="6"/>
  <c r="U29" i="2"/>
  <c r="U10" i="8" s="1"/>
  <c r="V107" i="2"/>
  <c r="V108" i="2"/>
  <c r="V106" i="2"/>
  <c r="V105" i="2" s="1" a="1"/>
  <c r="V105" i="2" s="1"/>
  <c r="W1" i="4"/>
  <c r="W13" i="2"/>
  <c r="P20" i="8"/>
  <c r="P18" i="8"/>
  <c r="P21" i="9"/>
  <c r="R235" i="2"/>
  <c r="Q15" i="8"/>
  <c r="Q19" i="9"/>
  <c r="S234" i="2"/>
  <c r="S18" i="9" s="1"/>
  <c r="P17" i="8"/>
  <c r="Q14" i="8"/>
  <c r="R232" i="2"/>
  <c r="R3" i="8"/>
  <c r="T17" i="9"/>
  <c r="U233" i="2"/>
  <c r="V233" i="2" s="1"/>
  <c r="W110" i="2" l="1"/>
  <c r="W109" i="2"/>
  <c r="AP22" i="2"/>
  <c r="AP12" i="21" s="1"/>
  <c r="AO12" i="21"/>
  <c r="W26" i="2"/>
  <c r="W9" i="9" s="1"/>
  <c r="W11" i="9" s="1"/>
  <c r="W80" i="2"/>
  <c r="W4" i="3" s="1"/>
  <c r="V6" i="6"/>
  <c r="V29" i="2"/>
  <c r="V10" i="8" s="1"/>
  <c r="W108" i="2"/>
  <c r="W106" i="2"/>
  <c r="W105" i="2" s="1" a="1"/>
  <c r="W105" i="2" s="1"/>
  <c r="W107" i="2"/>
  <c r="X1" i="4"/>
  <c r="X13" i="2"/>
  <c r="Q18" i="8"/>
  <c r="Q20" i="8"/>
  <c r="S235" i="2"/>
  <c r="R15" i="8"/>
  <c r="R19" i="9"/>
  <c r="Q21" i="9"/>
  <c r="T234" i="2"/>
  <c r="T18" i="9" s="1"/>
  <c r="R14" i="8"/>
  <c r="S232" i="2"/>
  <c r="Q17" i="8"/>
  <c r="S3" i="8"/>
  <c r="U17" i="9"/>
  <c r="X109" i="2" l="1"/>
  <c r="X110" i="2"/>
  <c r="W6" i="6"/>
  <c r="X26" i="2"/>
  <c r="X9" i="9" s="1"/>
  <c r="X11" i="9" s="1"/>
  <c r="X80" i="2"/>
  <c r="X4" i="3" s="1"/>
  <c r="W29" i="2"/>
  <c r="W10" i="8" s="1"/>
  <c r="X107" i="2"/>
  <c r="X106" i="2"/>
  <c r="X105" i="2" s="1" a="1"/>
  <c r="X105" i="2" s="1"/>
  <c r="X108" i="2"/>
  <c r="Y1" i="4"/>
  <c r="Y13" i="2"/>
  <c r="S19" i="9"/>
  <c r="S15" i="8"/>
  <c r="T235" i="2"/>
  <c r="R21" i="9"/>
  <c r="R20" i="8"/>
  <c r="R18" i="8"/>
  <c r="U234" i="2"/>
  <c r="S14" i="8"/>
  <c r="T232" i="2"/>
  <c r="R17" i="8"/>
  <c r="T3" i="8"/>
  <c r="V17" i="9"/>
  <c r="W233" i="2"/>
  <c r="Y110" i="2" l="1"/>
  <c r="Y109" i="2"/>
  <c r="X6" i="6"/>
  <c r="Y26" i="2"/>
  <c r="Y9" i="9" s="1"/>
  <c r="Y11" i="9" s="1"/>
  <c r="Y80" i="2"/>
  <c r="Y4" i="3" s="1"/>
  <c r="X29" i="2"/>
  <c r="X10" i="8" s="1"/>
  <c r="Y107" i="2"/>
  <c r="Y106" i="2"/>
  <c r="Y105" i="2" s="1" a="1"/>
  <c r="Y105" i="2" s="1"/>
  <c r="Y108" i="2"/>
  <c r="U18" i="9"/>
  <c r="V234" i="2"/>
  <c r="V18" i="9" s="1"/>
  <c r="Z1" i="4"/>
  <c r="Z13" i="2"/>
  <c r="T15" i="8"/>
  <c r="U235" i="2"/>
  <c r="T19" i="9"/>
  <c r="S21" i="9"/>
  <c r="S20" i="8"/>
  <c r="S18" i="8"/>
  <c r="U232" i="2"/>
  <c r="V232" i="2" s="1"/>
  <c r="T14" i="8"/>
  <c r="S17" i="8"/>
  <c r="U3" i="8"/>
  <c r="W17" i="9"/>
  <c r="X233" i="2"/>
  <c r="Z110" i="2" l="1"/>
  <c r="Z109" i="2"/>
  <c r="Z26" i="2"/>
  <c r="Z9" i="9" s="1"/>
  <c r="Z11" i="9" s="1"/>
  <c r="Z80" i="2"/>
  <c r="Z4" i="3" s="1"/>
  <c r="Y6" i="6"/>
  <c r="Y29" i="2"/>
  <c r="Y10" i="8" s="1"/>
  <c r="Z107" i="2"/>
  <c r="Z106" i="2"/>
  <c r="Z105" i="2" s="1" a="1"/>
  <c r="Z105" i="2" s="1"/>
  <c r="Z108" i="2"/>
  <c r="AA1" i="4"/>
  <c r="AA13" i="2"/>
  <c r="T21" i="9"/>
  <c r="T20" i="8"/>
  <c r="T18" i="8"/>
  <c r="V235" i="2"/>
  <c r="U15" i="8"/>
  <c r="U19" i="9"/>
  <c r="W234" i="2"/>
  <c r="W18" i="9" s="1"/>
  <c r="T17" i="8"/>
  <c r="U14" i="8"/>
  <c r="V3" i="8"/>
  <c r="X17" i="9"/>
  <c r="Y233" i="2"/>
  <c r="AA110" i="2" l="1"/>
  <c r="AA109" i="2"/>
  <c r="Z6" i="6"/>
  <c r="AA26" i="2"/>
  <c r="AA9" i="9" s="1"/>
  <c r="AA11" i="9" s="1"/>
  <c r="AA80" i="2"/>
  <c r="AA4" i="3" s="1"/>
  <c r="Z29" i="2"/>
  <c r="Z10" i="8" s="1"/>
  <c r="AA108" i="2"/>
  <c r="AA106" i="2"/>
  <c r="AA105" i="2" s="1" a="1"/>
  <c r="AA105" i="2" s="1"/>
  <c r="AA107" i="2"/>
  <c r="AB1" i="4"/>
  <c r="AB13" i="2"/>
  <c r="U21" i="9"/>
  <c r="U20" i="8"/>
  <c r="U18" i="8"/>
  <c r="V19" i="9"/>
  <c r="W235" i="2"/>
  <c r="V15" i="8"/>
  <c r="X234" i="2"/>
  <c r="X18" i="9" s="1"/>
  <c r="U17" i="8"/>
  <c r="W232" i="2"/>
  <c r="V14" i="8"/>
  <c r="Z233" i="2"/>
  <c r="Y17" i="9"/>
  <c r="W3" i="8"/>
  <c r="AB109" i="2" l="1"/>
  <c r="AB110" i="2"/>
  <c r="AA6" i="6"/>
  <c r="AB26" i="2"/>
  <c r="AB6" i="6" s="1"/>
  <c r="AB80" i="2"/>
  <c r="AB4" i="3" s="1"/>
  <c r="AA29" i="2"/>
  <c r="AA10" i="8" s="1"/>
  <c r="AB108" i="2"/>
  <c r="AB106" i="2"/>
  <c r="AB105" i="2" s="1" a="1"/>
  <c r="AB105" i="2" s="1"/>
  <c r="AB107" i="2"/>
  <c r="AC1" i="4"/>
  <c r="AC13" i="2"/>
  <c r="V21" i="9"/>
  <c r="V20" i="8"/>
  <c r="V18" i="8"/>
  <c r="W19" i="9"/>
  <c r="W15" i="8"/>
  <c r="X235" i="2"/>
  <c r="Y234" i="2"/>
  <c r="Y18" i="9" s="1"/>
  <c r="V17" i="8"/>
  <c r="W14" i="8"/>
  <c r="X232" i="2"/>
  <c r="X3" i="8"/>
  <c r="Z17" i="9"/>
  <c r="AA233" i="2"/>
  <c r="AC109" i="2" l="1"/>
  <c r="AC110" i="2"/>
  <c r="AB9" i="9"/>
  <c r="AB11" i="9" s="1"/>
  <c r="AC26" i="2"/>
  <c r="AC9" i="9" s="1"/>
  <c r="AC11" i="9" s="1"/>
  <c r="AC80" i="2"/>
  <c r="AC4" i="3" s="1"/>
  <c r="AB29" i="2"/>
  <c r="AB10" i="8" s="1"/>
  <c r="AC106" i="2"/>
  <c r="AC105" i="2" s="1" a="1"/>
  <c r="AC105" i="2" s="1"/>
  <c r="AC108" i="2"/>
  <c r="AC107" i="2"/>
  <c r="AD1" i="4"/>
  <c r="AD13" i="2"/>
  <c r="Y235" i="2"/>
  <c r="X15" i="8"/>
  <c r="X19" i="9"/>
  <c r="W21" i="9"/>
  <c r="W20" i="8"/>
  <c r="W18" i="8"/>
  <c r="Z234" i="2"/>
  <c r="Z18" i="9" s="1"/>
  <c r="Y232" i="2"/>
  <c r="X14" i="8"/>
  <c r="W17" i="8"/>
  <c r="Y3" i="8"/>
  <c r="AA17" i="9"/>
  <c r="AB233" i="2"/>
  <c r="AD110" i="2" l="1"/>
  <c r="AD109" i="2"/>
  <c r="AD26" i="2"/>
  <c r="AD9" i="9" s="1"/>
  <c r="AD11" i="9" s="1"/>
  <c r="AD80" i="2"/>
  <c r="AD4" i="3" s="1"/>
  <c r="AC6" i="6"/>
  <c r="AC29" i="2"/>
  <c r="AC10" i="8" s="1"/>
  <c r="AD106" i="2"/>
  <c r="AD105" i="2" s="1" a="1"/>
  <c r="AD105" i="2" s="1"/>
  <c r="AD107" i="2"/>
  <c r="AD108" i="2"/>
  <c r="AE1" i="4"/>
  <c r="AE13" i="2"/>
  <c r="X21" i="9"/>
  <c r="X20" i="8"/>
  <c r="X18" i="8"/>
  <c r="Y19" i="9"/>
  <c r="Z235" i="2"/>
  <c r="Y15" i="8"/>
  <c r="AA234" i="2"/>
  <c r="AA18" i="9" s="1"/>
  <c r="X17" i="8"/>
  <c r="Z232" i="2"/>
  <c r="Y14" i="8"/>
  <c r="Z3" i="8"/>
  <c r="AB17" i="9"/>
  <c r="AC233" i="2"/>
  <c r="AE110" i="2" l="1"/>
  <c r="AE109" i="2"/>
  <c r="AD6" i="6"/>
  <c r="AE26" i="2"/>
  <c r="AE9" i="9" s="1"/>
  <c r="AE11" i="9" s="1"/>
  <c r="AE80" i="2"/>
  <c r="AE4" i="3" s="1"/>
  <c r="AD29" i="2"/>
  <c r="AD10" i="8" s="1"/>
  <c r="AE107" i="2"/>
  <c r="AE108" i="2"/>
  <c r="AE106" i="2"/>
  <c r="AE105" i="2" s="1" a="1"/>
  <c r="AE105" i="2" s="1"/>
  <c r="AF1" i="4"/>
  <c r="AF13" i="2"/>
  <c r="Y21" i="9"/>
  <c r="Y18" i="8"/>
  <c r="Y20" i="8"/>
  <c r="AA235" i="2"/>
  <c r="Z19" i="9"/>
  <c r="Z15" i="8"/>
  <c r="AB234" i="2"/>
  <c r="AB18" i="9" s="1"/>
  <c r="Y17" i="8"/>
  <c r="Z14" i="8"/>
  <c r="AA232" i="2"/>
  <c r="AC17" i="9"/>
  <c r="AD233" i="2"/>
  <c r="AA3" i="8"/>
  <c r="AF109" i="2" l="1"/>
  <c r="AF110" i="2"/>
  <c r="AF26" i="2"/>
  <c r="AF9" i="9" s="1"/>
  <c r="AF11" i="9" s="1"/>
  <c r="AF80" i="2"/>
  <c r="AF4" i="3" s="1"/>
  <c r="AE6" i="6"/>
  <c r="AF7" i="4"/>
  <c r="AE29" i="2"/>
  <c r="AE10" i="8" s="1"/>
  <c r="AF108" i="2"/>
  <c r="AF107" i="2"/>
  <c r="AF106" i="2"/>
  <c r="AF105" i="2" s="1" a="1"/>
  <c r="AF105" i="2" s="1"/>
  <c r="AG1" i="4"/>
  <c r="AG13" i="2"/>
  <c r="AA15" i="8"/>
  <c r="AA19" i="9"/>
  <c r="AB235" i="2"/>
  <c r="Z21" i="9"/>
  <c r="Z20" i="8"/>
  <c r="Z18" i="8"/>
  <c r="AC234" i="2"/>
  <c r="AC18" i="9" s="1"/>
  <c r="AA14" i="8"/>
  <c r="AB232" i="2"/>
  <c r="Z17" i="8"/>
  <c r="AD17" i="9"/>
  <c r="AE233" i="2"/>
  <c r="AB3" i="8"/>
  <c r="AG110" i="2" l="1"/>
  <c r="AG109" i="2"/>
  <c r="AG26" i="2"/>
  <c r="AG9" i="9" s="1"/>
  <c r="AG80" i="2"/>
  <c r="AG4" i="3" s="1"/>
  <c r="AF6" i="6"/>
  <c r="F7" i="4"/>
  <c r="I7" i="4"/>
  <c r="G7" i="4"/>
  <c r="H7" i="4"/>
  <c r="J7" i="4"/>
  <c r="K7" i="4"/>
  <c r="L7" i="4"/>
  <c r="M7" i="4"/>
  <c r="N7" i="4"/>
  <c r="O7" i="4"/>
  <c r="P7" i="4"/>
  <c r="Q7" i="4"/>
  <c r="R7" i="4"/>
  <c r="S7" i="4"/>
  <c r="T7" i="4"/>
  <c r="U7" i="4"/>
  <c r="V7" i="4"/>
  <c r="W7" i="4"/>
  <c r="X7" i="4"/>
  <c r="Y7" i="4"/>
  <c r="Z7" i="4"/>
  <c r="AA7" i="4"/>
  <c r="AB7" i="4"/>
  <c r="AC7" i="4"/>
  <c r="AD7" i="4"/>
  <c r="AE7" i="4"/>
  <c r="C263" i="2"/>
  <c r="C252" i="2"/>
  <c r="AF29" i="2"/>
  <c r="AF10" i="8" s="1"/>
  <c r="AG106" i="2"/>
  <c r="AG105" i="2" s="1" a="1"/>
  <c r="AG105" i="2" s="1"/>
  <c r="AG107" i="2"/>
  <c r="AG108" i="2"/>
  <c r="AF6" i="21"/>
  <c r="AF6" i="3"/>
  <c r="AH1" i="4"/>
  <c r="AG7" i="4"/>
  <c r="AH13" i="2"/>
  <c r="AC235" i="2"/>
  <c r="AB19" i="9"/>
  <c r="AB15" i="8"/>
  <c r="AA21" i="9"/>
  <c r="AA20" i="8"/>
  <c r="AA18" i="8"/>
  <c r="AD234" i="2"/>
  <c r="AD18" i="9" s="1"/>
  <c r="AA17" i="8"/>
  <c r="AC232" i="2"/>
  <c r="AB14" i="8"/>
  <c r="AE17" i="9"/>
  <c r="AF233" i="2"/>
  <c r="AC3" i="8"/>
  <c r="AH110" i="2" l="1"/>
  <c r="AH109" i="2"/>
  <c r="AH26" i="2"/>
  <c r="AH6" i="6" s="1"/>
  <c r="AH80" i="2"/>
  <c r="AH4" i="3" s="1"/>
  <c r="AG6" i="6"/>
  <c r="AG11" i="9"/>
  <c r="Z6" i="21"/>
  <c r="Z6" i="3"/>
  <c r="C260" i="2"/>
  <c r="Q279" i="2" s="1"/>
  <c r="Q281" i="2" s="1"/>
  <c r="C256" i="2"/>
  <c r="M279" i="2" s="1"/>
  <c r="M281" i="2" s="1"/>
  <c r="X6" i="3"/>
  <c r="X6" i="21"/>
  <c r="AE6" i="3"/>
  <c r="AE6" i="21"/>
  <c r="O6" i="3"/>
  <c r="O6" i="21"/>
  <c r="I6" i="3"/>
  <c r="I6" i="21"/>
  <c r="AD6" i="3"/>
  <c r="AD6" i="21"/>
  <c r="V6" i="3"/>
  <c r="V6" i="21"/>
  <c r="N6" i="3"/>
  <c r="N6" i="21"/>
  <c r="F6" i="3"/>
  <c r="F6" i="21"/>
  <c r="R6" i="21"/>
  <c r="R6" i="3"/>
  <c r="Q6" i="3"/>
  <c r="Q6" i="21"/>
  <c r="G6" i="21"/>
  <c r="G6" i="3"/>
  <c r="AC6" i="21"/>
  <c r="AC6" i="3"/>
  <c r="U6" i="21"/>
  <c r="U6" i="3"/>
  <c r="M6" i="21"/>
  <c r="M6" i="3"/>
  <c r="H6" i="21"/>
  <c r="H6" i="3"/>
  <c r="P6" i="3"/>
  <c r="P6" i="21"/>
  <c r="AB6" i="21"/>
  <c r="AB6" i="3"/>
  <c r="L6" i="21"/>
  <c r="L6" i="3"/>
  <c r="J6" i="3"/>
  <c r="J6" i="21"/>
  <c r="Y6" i="21"/>
  <c r="Y6" i="3"/>
  <c r="W6" i="21"/>
  <c r="W6" i="3"/>
  <c r="T6" i="3"/>
  <c r="T6" i="21"/>
  <c r="AA6" i="3"/>
  <c r="AA6" i="21"/>
  <c r="S6" i="3"/>
  <c r="S6" i="21"/>
  <c r="K6" i="3"/>
  <c r="K6" i="21"/>
  <c r="AG29" i="2"/>
  <c r="AG10" i="8" s="1"/>
  <c r="AH107" i="2"/>
  <c r="AH106" i="2"/>
  <c r="AH105" i="2" s="1" a="1"/>
  <c r="AH105" i="2" s="1"/>
  <c r="AH108" i="2"/>
  <c r="AI1" i="4"/>
  <c r="AH7" i="4"/>
  <c r="AG6" i="3"/>
  <c r="AG6" i="21"/>
  <c r="AI13" i="2"/>
  <c r="AB18" i="8"/>
  <c r="AB20" i="8"/>
  <c r="AB21" i="9"/>
  <c r="AC15" i="8"/>
  <c r="AC19" i="9"/>
  <c r="AD235" i="2"/>
  <c r="AE234" i="2"/>
  <c r="AE18" i="9" s="1"/>
  <c r="AD232" i="2"/>
  <c r="AC14" i="8"/>
  <c r="AB17" i="8"/>
  <c r="AD3" i="8"/>
  <c r="AF17" i="9"/>
  <c r="AG233" i="2"/>
  <c r="AI110" i="2" l="1"/>
  <c r="AI109" i="2"/>
  <c r="AH9" i="9"/>
  <c r="AH11" i="9" s="1"/>
  <c r="AI26" i="2"/>
  <c r="AI9" i="9" s="1"/>
  <c r="AI80" i="2"/>
  <c r="AI4" i="3" s="1"/>
  <c r="P279" i="2"/>
  <c r="P281" i="2" s="1"/>
  <c r="P282" i="2" s="1"/>
  <c r="P285" i="2" s="1"/>
  <c r="S279" i="2"/>
  <c r="S281" i="2" s="1"/>
  <c r="S283" i="2" s="1"/>
  <c r="S286" i="2" s="1"/>
  <c r="R279" i="2"/>
  <c r="R281" i="2" s="1"/>
  <c r="R4" i="9" s="1"/>
  <c r="U279" i="2"/>
  <c r="U281" i="2" s="1"/>
  <c r="U283" i="2" s="1"/>
  <c r="U286" i="2" s="1"/>
  <c r="W279" i="2"/>
  <c r="W281" i="2" s="1"/>
  <c r="W282" i="2" s="1"/>
  <c r="W285" i="2" s="1"/>
  <c r="T279" i="2"/>
  <c r="T281" i="2" s="1"/>
  <c r="T4" i="9" s="1"/>
  <c r="O279" i="2"/>
  <c r="O281" i="2" s="1"/>
  <c r="O283" i="2" s="1"/>
  <c r="O286" i="2" s="1"/>
  <c r="V279" i="2"/>
  <c r="V281" i="2" s="1"/>
  <c r="V282" i="2" s="1"/>
  <c r="V285" i="2" s="1"/>
  <c r="J279" i="2"/>
  <c r="J281" i="2" s="1"/>
  <c r="J287" i="2" s="1"/>
  <c r="G279" i="2"/>
  <c r="G281" i="2" s="1"/>
  <c r="G282" i="2" s="1"/>
  <c r="G285" i="2" s="1"/>
  <c r="K279" i="2"/>
  <c r="K281" i="2" s="1"/>
  <c r="K287" i="2" s="1"/>
  <c r="I279" i="2"/>
  <c r="I281" i="2" s="1"/>
  <c r="I4" i="9" s="1"/>
  <c r="H279" i="2"/>
  <c r="H281" i="2" s="1"/>
  <c r="H4" i="9" s="1"/>
  <c r="F279" i="2"/>
  <c r="F281" i="2" s="1"/>
  <c r="F282" i="2" s="1"/>
  <c r="F285" i="2" s="1"/>
  <c r="C262" i="2"/>
  <c r="C264" i="2" s="1"/>
  <c r="N279" i="2"/>
  <c r="N281" i="2" s="1"/>
  <c r="N282" i="2" s="1"/>
  <c r="N285" i="2" s="1"/>
  <c r="L279" i="2"/>
  <c r="L281" i="2" s="1"/>
  <c r="L287" i="2" s="1"/>
  <c r="AH29" i="2"/>
  <c r="AH10" i="8" s="1"/>
  <c r="AI108" i="2"/>
  <c r="AI106" i="2"/>
  <c r="AI105" i="2" s="1" a="1"/>
  <c r="AI105" i="2" s="1"/>
  <c r="AI107" i="2"/>
  <c r="M283" i="2"/>
  <c r="M286" i="2" s="1"/>
  <c r="M4" i="9"/>
  <c r="M282" i="2"/>
  <c r="M285" i="2" s="1"/>
  <c r="M287" i="2"/>
  <c r="Y279" i="2"/>
  <c r="Y281" i="2" s="1"/>
  <c r="X279" i="2"/>
  <c r="X281" i="2" s="1"/>
  <c r="Q4" i="9"/>
  <c r="Q283" i="2"/>
  <c r="Q286" i="2" s="1"/>
  <c r="Q282" i="2"/>
  <c r="Q285" i="2" s="1"/>
  <c r="Q287" i="2"/>
  <c r="AH6" i="3"/>
  <c r="AH6" i="21"/>
  <c r="AJ1" i="4"/>
  <c r="AI7" i="4"/>
  <c r="AJ13" i="2"/>
  <c r="AE235" i="2"/>
  <c r="AD15" i="8"/>
  <c r="AD19" i="9"/>
  <c r="AC21" i="9"/>
  <c r="AC18" i="8"/>
  <c r="AC20" i="8"/>
  <c r="AF234" i="2"/>
  <c r="AF18" i="9" s="1"/>
  <c r="AC17" i="8"/>
  <c r="AE232" i="2"/>
  <c r="AD14" i="8"/>
  <c r="AE3" i="8"/>
  <c r="AG17" i="9"/>
  <c r="AH233" i="2"/>
  <c r="AJ109" i="2" l="1"/>
  <c r="AJ110" i="2"/>
  <c r="AC279" i="2"/>
  <c r="AC281" i="2" s="1"/>
  <c r="AC283" i="2" s="1"/>
  <c r="AC286" i="2" s="1"/>
  <c r="AG279" i="2"/>
  <c r="AG281" i="2" s="1"/>
  <c r="AH279" i="2"/>
  <c r="AH281" i="2" s="1"/>
  <c r="AI279" i="2"/>
  <c r="AI281" i="2" s="1"/>
  <c r="AF279" i="2"/>
  <c r="AF281" i="2" s="1"/>
  <c r="AF283" i="2" s="1"/>
  <c r="AF286" i="2" s="1"/>
  <c r="AJ26" i="2"/>
  <c r="AJ9" i="9" s="1"/>
  <c r="AJ80" i="2"/>
  <c r="AJ4" i="3" s="1"/>
  <c r="AI6" i="6"/>
  <c r="AI11" i="9"/>
  <c r="P287" i="2"/>
  <c r="P283" i="2"/>
  <c r="P286" i="2" s="1"/>
  <c r="U282" i="2"/>
  <c r="U285" i="2" s="1"/>
  <c r="U4" i="9"/>
  <c r="U12" i="9" s="1"/>
  <c r="U26" i="9" s="1"/>
  <c r="R287" i="2"/>
  <c r="P4" i="9"/>
  <c r="P5" i="9" s="1"/>
  <c r="P13" i="9" s="1"/>
  <c r="P23" i="9" s="1"/>
  <c r="R283" i="2"/>
  <c r="R286" i="2" s="1"/>
  <c r="R282" i="2"/>
  <c r="R285" i="2" s="1"/>
  <c r="K283" i="2"/>
  <c r="K286" i="2" s="1"/>
  <c r="W287" i="2"/>
  <c r="S4" i="9"/>
  <c r="S12" i="9" s="1"/>
  <c r="S26" i="9" s="1"/>
  <c r="S282" i="2"/>
  <c r="S285" i="2" s="1"/>
  <c r="S287" i="2"/>
  <c r="T283" i="2"/>
  <c r="T286" i="2" s="1"/>
  <c r="W283" i="2"/>
  <c r="W286" i="2" s="1"/>
  <c r="T287" i="2"/>
  <c r="W4" i="9"/>
  <c r="W6" i="9" s="1"/>
  <c r="W14" i="9" s="1"/>
  <c r="W24" i="9" s="1"/>
  <c r="V287" i="2"/>
  <c r="V283" i="2"/>
  <c r="V286" i="2" s="1"/>
  <c r="V4" i="9"/>
  <c r="V6" i="9" s="1"/>
  <c r="V14" i="9" s="1"/>
  <c r="V24" i="9" s="1"/>
  <c r="T282" i="2"/>
  <c r="T285" i="2" s="1"/>
  <c r="O282" i="2"/>
  <c r="O285" i="2" s="1"/>
  <c r="U287" i="2"/>
  <c r="O4" i="9"/>
  <c r="O5" i="9" s="1"/>
  <c r="O13" i="9" s="1"/>
  <c r="O23" i="9" s="1"/>
  <c r="O287" i="2"/>
  <c r="K282" i="2"/>
  <c r="K285" i="2" s="1"/>
  <c r="J4" i="9"/>
  <c r="J6" i="9" s="1"/>
  <c r="J14" i="9" s="1"/>
  <c r="J24" i="9" s="1"/>
  <c r="J282" i="2"/>
  <c r="J285" i="2" s="1"/>
  <c r="J283" i="2"/>
  <c r="J286" i="2" s="1"/>
  <c r="K4" i="9"/>
  <c r="K6" i="9" s="1"/>
  <c r="K14" i="9" s="1"/>
  <c r="K24" i="9" s="1"/>
  <c r="G287" i="2"/>
  <c r="G283" i="2"/>
  <c r="G286" i="2" s="1"/>
  <c r="F287" i="2"/>
  <c r="I287" i="2"/>
  <c r="G4" i="9"/>
  <c r="G12" i="9" s="1"/>
  <c r="G26" i="9" s="1"/>
  <c r="H282" i="2"/>
  <c r="H285" i="2" s="1"/>
  <c r="I283" i="2"/>
  <c r="I286" i="2" s="1"/>
  <c r="I282" i="2"/>
  <c r="I285" i="2" s="1"/>
  <c r="F283" i="2"/>
  <c r="F286" i="2" s="1"/>
  <c r="F4" i="9"/>
  <c r="F6" i="9" s="1"/>
  <c r="F14" i="9" s="1"/>
  <c r="F24" i="9" s="1"/>
  <c r="N4" i="9"/>
  <c r="N12" i="9" s="1"/>
  <c r="N26" i="9" s="1"/>
  <c r="H287" i="2"/>
  <c r="H283" i="2"/>
  <c r="H286" i="2" s="1"/>
  <c r="N283" i="2"/>
  <c r="N286" i="2" s="1"/>
  <c r="L283" i="2"/>
  <c r="L286" i="2" s="1"/>
  <c r="L4" i="9"/>
  <c r="L6" i="9" s="1"/>
  <c r="L14" i="9" s="1"/>
  <c r="L24" i="9" s="1"/>
  <c r="L282" i="2"/>
  <c r="L285" i="2" s="1"/>
  <c r="AB279" i="2"/>
  <c r="AB281" i="2" s="1"/>
  <c r="AB287" i="2" s="1"/>
  <c r="AE279" i="2"/>
  <c r="AE281" i="2" s="1"/>
  <c r="AE283" i="2" s="1"/>
  <c r="AE286" i="2" s="1"/>
  <c r="AA279" i="2"/>
  <c r="AA281" i="2" s="1"/>
  <c r="AA282" i="2" s="1"/>
  <c r="AA285" i="2" s="1"/>
  <c r="AD279" i="2"/>
  <c r="AD281" i="2" s="1"/>
  <c r="AD287" i="2" s="1"/>
  <c r="Z279" i="2"/>
  <c r="Z281" i="2" s="1"/>
  <c r="Z283" i="2" s="1"/>
  <c r="Z286" i="2" s="1"/>
  <c r="N287" i="2"/>
  <c r="AI29" i="2"/>
  <c r="AI10" i="8" s="1"/>
  <c r="AJ106" i="2"/>
  <c r="AJ105" i="2" s="1" a="1"/>
  <c r="AJ105" i="2" s="1"/>
  <c r="AJ108" i="2"/>
  <c r="AJ107" i="2"/>
  <c r="Q289" i="2"/>
  <c r="Y4" i="9"/>
  <c r="Y283" i="2"/>
  <c r="Y286" i="2" s="1"/>
  <c r="Y282" i="2"/>
  <c r="Y285" i="2" s="1"/>
  <c r="Y287" i="2"/>
  <c r="M5" i="9"/>
  <c r="M13" i="9" s="1"/>
  <c r="M23" i="9" s="1"/>
  <c r="M12" i="9"/>
  <c r="M26" i="9" s="1"/>
  <c r="M6" i="9"/>
  <c r="M14" i="9" s="1"/>
  <c r="M24" i="9" s="1"/>
  <c r="H12" i="9"/>
  <c r="H5" i="9"/>
  <c r="H13" i="9" s="1"/>
  <c r="H23" i="9" s="1"/>
  <c r="H6" i="9"/>
  <c r="H14" i="9" s="1"/>
  <c r="H24" i="9" s="1"/>
  <c r="I12" i="9"/>
  <c r="I26" i="9" s="1"/>
  <c r="I6" i="9"/>
  <c r="I14" i="9" s="1"/>
  <c r="I24" i="9" s="1"/>
  <c r="I5" i="9"/>
  <c r="I13" i="9" s="1"/>
  <c r="I23" i="9" s="1"/>
  <c r="R5" i="9"/>
  <c r="R13" i="9" s="1"/>
  <c r="R23" i="9" s="1"/>
  <c r="R6" i="9"/>
  <c r="R14" i="9" s="1"/>
  <c r="R24" i="9" s="1"/>
  <c r="R12" i="9"/>
  <c r="R26" i="9" s="1"/>
  <c r="Q5" i="9"/>
  <c r="Q13" i="9" s="1"/>
  <c r="Q23" i="9" s="1"/>
  <c r="Q12" i="9"/>
  <c r="Q26" i="9" s="1"/>
  <c r="Q6" i="9"/>
  <c r="Q14" i="9" s="1"/>
  <c r="Q24" i="9" s="1"/>
  <c r="T12" i="9"/>
  <c r="T26" i="9" s="1"/>
  <c r="T5" i="9"/>
  <c r="T13" i="9" s="1"/>
  <c r="T23" i="9" s="1"/>
  <c r="T6" i="9"/>
  <c r="T14" i="9" s="1"/>
  <c r="T24" i="9" s="1"/>
  <c r="X283" i="2"/>
  <c r="X286" i="2" s="1"/>
  <c r="X282" i="2"/>
  <c r="X285" i="2" s="1"/>
  <c r="X4" i="9"/>
  <c r="X287" i="2"/>
  <c r="M289" i="2"/>
  <c r="AI6" i="3"/>
  <c r="AI6" i="21"/>
  <c r="AK1" i="4"/>
  <c r="AJ7" i="4"/>
  <c r="AK13" i="2"/>
  <c r="AD21" i="9"/>
  <c r="AF235" i="2"/>
  <c r="AE15" i="8"/>
  <c r="AE19" i="9"/>
  <c r="AD20" i="8"/>
  <c r="AD18" i="8"/>
  <c r="AG234" i="2"/>
  <c r="AG18" i="9" s="1"/>
  <c r="AD17" i="8"/>
  <c r="AF232" i="2"/>
  <c r="AE14" i="8"/>
  <c r="AI233" i="2"/>
  <c r="AH17" i="9"/>
  <c r="AF3" i="8"/>
  <c r="AK109" i="2" l="1"/>
  <c r="AK110" i="2"/>
  <c r="AC4" i="9"/>
  <c r="AC6" i="9" s="1"/>
  <c r="AC14" i="9" s="1"/>
  <c r="AC24" i="9" s="1"/>
  <c r="AC287" i="2"/>
  <c r="AC282" i="2"/>
  <c r="AC285" i="2" s="1"/>
  <c r="U289" i="2"/>
  <c r="AI282" i="2"/>
  <c r="AI285" i="2" s="1"/>
  <c r="AI4" i="9"/>
  <c r="AI283" i="2"/>
  <c r="AH282" i="2"/>
  <c r="AH285" i="2" s="1"/>
  <c r="AH4" i="9"/>
  <c r="AH283" i="2"/>
  <c r="AG4" i="9"/>
  <c r="AG283" i="2"/>
  <c r="AG286" i="2" s="1"/>
  <c r="AG282" i="2"/>
  <c r="AG285" i="2" s="1"/>
  <c r="AJ6" i="6"/>
  <c r="AK26" i="2"/>
  <c r="AK9" i="9" s="1"/>
  <c r="AK80" i="2"/>
  <c r="AK4" i="3" s="1"/>
  <c r="AJ12" i="9"/>
  <c r="AJ11" i="9"/>
  <c r="AJ14" i="9"/>
  <c r="AJ13" i="9"/>
  <c r="P12" i="9"/>
  <c r="P26" i="9" s="1"/>
  <c r="U5" i="9"/>
  <c r="U13" i="9" s="1"/>
  <c r="U23" i="9" s="1"/>
  <c r="P289" i="2"/>
  <c r="U6" i="9"/>
  <c r="U14" i="9" s="1"/>
  <c r="U24" i="9" s="1"/>
  <c r="K289" i="2"/>
  <c r="R289" i="2"/>
  <c r="V5" i="9"/>
  <c r="V13" i="9" s="1"/>
  <c r="V23" i="9" s="1"/>
  <c r="S6" i="9"/>
  <c r="S14" i="9" s="1"/>
  <c r="S24" i="9" s="1"/>
  <c r="S5" i="9"/>
  <c r="S13" i="9" s="1"/>
  <c r="S23" i="9" s="1"/>
  <c r="P6" i="9"/>
  <c r="P14" i="9" s="1"/>
  <c r="P24" i="9" s="1"/>
  <c r="V12" i="9"/>
  <c r="V26" i="9" s="1"/>
  <c r="S289" i="2"/>
  <c r="W289" i="2"/>
  <c r="K12" i="9"/>
  <c r="K26" i="9" s="1"/>
  <c r="T289" i="2"/>
  <c r="V289" i="2"/>
  <c r="W5" i="9"/>
  <c r="W13" i="9" s="1"/>
  <c r="W23" i="9" s="1"/>
  <c r="W12" i="9"/>
  <c r="W26" i="9" s="1"/>
  <c r="O289" i="2"/>
  <c r="O6" i="9"/>
  <c r="O14" i="9" s="1"/>
  <c r="O24" i="9" s="1"/>
  <c r="O12" i="9"/>
  <c r="O26" i="9" s="1"/>
  <c r="K5" i="9"/>
  <c r="K13" i="9" s="1"/>
  <c r="K23" i="9" s="1"/>
  <c r="J289" i="2"/>
  <c r="N5" i="9"/>
  <c r="N13" i="9" s="1"/>
  <c r="N23" i="9" s="1"/>
  <c r="G289" i="2"/>
  <c r="J12" i="9"/>
  <c r="J26" i="9" s="1"/>
  <c r="G5" i="9"/>
  <c r="G13" i="9" s="1"/>
  <c r="G23" i="9" s="1"/>
  <c r="J5" i="9"/>
  <c r="J13" i="9" s="1"/>
  <c r="J23" i="9" s="1"/>
  <c r="AA287" i="2"/>
  <c r="N6" i="9"/>
  <c r="N14" i="9" s="1"/>
  <c r="N24" i="9" s="1"/>
  <c r="G6" i="9"/>
  <c r="G14" i="9" s="1"/>
  <c r="G24" i="9" s="1"/>
  <c r="AA4" i="9"/>
  <c r="AA6" i="9" s="1"/>
  <c r="AA14" i="9" s="1"/>
  <c r="AA24" i="9" s="1"/>
  <c r="AA283" i="2"/>
  <c r="AA286" i="2" s="1"/>
  <c r="I289" i="2"/>
  <c r="F289" i="2"/>
  <c r="F12" i="9"/>
  <c r="F26" i="9" s="1"/>
  <c r="F5" i="9"/>
  <c r="F13" i="9" s="1"/>
  <c r="F23" i="9" s="1"/>
  <c r="L5" i="9"/>
  <c r="L13" i="9" s="1"/>
  <c r="L23" i="9" s="1"/>
  <c r="Z287" i="2"/>
  <c r="L289" i="2"/>
  <c r="N289" i="2"/>
  <c r="AF282" i="2"/>
  <c r="AF285" i="2" s="1"/>
  <c r="AF4" i="9"/>
  <c r="AF5" i="9" s="1"/>
  <c r="AF13" i="9" s="1"/>
  <c r="AF23" i="9" s="1"/>
  <c r="H289" i="2"/>
  <c r="L12" i="9"/>
  <c r="L26" i="9" s="1"/>
  <c r="AB283" i="2"/>
  <c r="AB286" i="2" s="1"/>
  <c r="Z4" i="9"/>
  <c r="Z6" i="9" s="1"/>
  <c r="Z14" i="9" s="1"/>
  <c r="Z24" i="9" s="1"/>
  <c r="AE4" i="9"/>
  <c r="AE6" i="9" s="1"/>
  <c r="AE14" i="9" s="1"/>
  <c r="AE24" i="9" s="1"/>
  <c r="AE282" i="2"/>
  <c r="AE285" i="2" s="1"/>
  <c r="AB4" i="9"/>
  <c r="AB12" i="9" s="1"/>
  <c r="AB282" i="2"/>
  <c r="AB285" i="2" s="1"/>
  <c r="AE287" i="2"/>
  <c r="Z282" i="2"/>
  <c r="Z285" i="2" s="1"/>
  <c r="B281" i="2"/>
  <c r="B284" i="2" s="1"/>
  <c r="AD283" i="2"/>
  <c r="AD286" i="2" s="1"/>
  <c r="AD4" i="9"/>
  <c r="AD5" i="9" s="1"/>
  <c r="AD13" i="9" s="1"/>
  <c r="AD23" i="9" s="1"/>
  <c r="AD282" i="2"/>
  <c r="AD285" i="2" s="1"/>
  <c r="AJ29" i="2"/>
  <c r="AJ10" i="8" s="1"/>
  <c r="AK108" i="2"/>
  <c r="AK106" i="2"/>
  <c r="AK105" i="2" s="1" a="1"/>
  <c r="AK105" i="2" s="1"/>
  <c r="AK107" i="2"/>
  <c r="Y289" i="2"/>
  <c r="H26" i="9"/>
  <c r="Y5" i="9"/>
  <c r="Y13" i="9" s="1"/>
  <c r="Y23" i="9" s="1"/>
  <c r="Y12" i="9"/>
  <c r="Y6" i="9"/>
  <c r="Y14" i="9" s="1"/>
  <c r="Y24" i="9" s="1"/>
  <c r="X12" i="9"/>
  <c r="X26" i="9" s="1"/>
  <c r="X6" i="9"/>
  <c r="X14" i="9" s="1"/>
  <c r="X24" i="9" s="1"/>
  <c r="X5" i="9"/>
  <c r="X13" i="9" s="1"/>
  <c r="X23" i="9" s="1"/>
  <c r="X289" i="2"/>
  <c r="AL1" i="4"/>
  <c r="AK7" i="4"/>
  <c r="AJ6" i="21"/>
  <c r="AJ6" i="3"/>
  <c r="AL13" i="2"/>
  <c r="AE21" i="9"/>
  <c r="AE18" i="8"/>
  <c r="AE20" i="8"/>
  <c r="AG235" i="2"/>
  <c r="AF15" i="8"/>
  <c r="AF19" i="9"/>
  <c r="AF287" i="2"/>
  <c r="AH234" i="2"/>
  <c r="AH18" i="9" s="1"/>
  <c r="AE17" i="8"/>
  <c r="AF14" i="8"/>
  <c r="AG232" i="2"/>
  <c r="AG3" i="8"/>
  <c r="AJ233" i="2"/>
  <c r="AJ285" i="2" s="1"/>
  <c r="AI17" i="9"/>
  <c r="AL110" i="2" l="1"/>
  <c r="AL109" i="2"/>
  <c r="AC5" i="9"/>
  <c r="AC13" i="9" s="1"/>
  <c r="AC23" i="9" s="1"/>
  <c r="AC12" i="9"/>
  <c r="AC26" i="9" s="1"/>
  <c r="AC289" i="2"/>
  <c r="AK6" i="6"/>
  <c r="AA12" i="9"/>
  <c r="AA26" i="9" s="1"/>
  <c r="AH6" i="9"/>
  <c r="AH14" i="9" s="1"/>
  <c r="AH24" i="9" s="1"/>
  <c r="AH5" i="9"/>
  <c r="AH13" i="9" s="1"/>
  <c r="AH23" i="9" s="1"/>
  <c r="AH12" i="9"/>
  <c r="AI5" i="9"/>
  <c r="AI13" i="9" s="1"/>
  <c r="AI23" i="9" s="1"/>
  <c r="AI6" i="9"/>
  <c r="AI14" i="9" s="1"/>
  <c r="AI12" i="9"/>
  <c r="AG6" i="9"/>
  <c r="AG14" i="9" s="1"/>
  <c r="AG24" i="9" s="1"/>
  <c r="AG5" i="9"/>
  <c r="AG13" i="9" s="1"/>
  <c r="AG23" i="9" s="1"/>
  <c r="AG12" i="9"/>
  <c r="AL26" i="2"/>
  <c r="AL9" i="9" s="1"/>
  <c r="AL80" i="2"/>
  <c r="AL4" i="3" s="1"/>
  <c r="AK12" i="9"/>
  <c r="AK11" i="9"/>
  <c r="AK13" i="9"/>
  <c r="AK14" i="9"/>
  <c r="F293" i="2"/>
  <c r="F12" i="8" s="1"/>
  <c r="O293" i="2"/>
  <c r="O12" i="8" s="1"/>
  <c r="R293" i="2"/>
  <c r="R12" i="8" s="1"/>
  <c r="AA5" i="9"/>
  <c r="AA13" i="9" s="1"/>
  <c r="AA23" i="9" s="1"/>
  <c r="AA289" i="2"/>
  <c r="G293" i="2"/>
  <c r="G12" i="8" s="1"/>
  <c r="G291" i="2"/>
  <c r="G7" i="6" s="1"/>
  <c r="F291" i="2"/>
  <c r="F7" i="6" s="1"/>
  <c r="U291" i="2"/>
  <c r="M293" i="2"/>
  <c r="M12" i="8" s="1"/>
  <c r="AB6" i="9"/>
  <c r="AB14" i="9" s="1"/>
  <c r="AB24" i="9" s="1"/>
  <c r="AB5" i="9"/>
  <c r="AB13" i="9" s="1"/>
  <c r="AB23" i="9" s="1"/>
  <c r="T291" i="2"/>
  <c r="S291" i="2"/>
  <c r="AB289" i="2"/>
  <c r="AF289" i="2"/>
  <c r="Q293" i="2"/>
  <c r="Q12" i="8" s="1"/>
  <c r="Z289" i="2"/>
  <c r="AF12" i="9"/>
  <c r="AF26" i="9" s="1"/>
  <c r="AE289" i="2"/>
  <c r="T293" i="2"/>
  <c r="T12" i="8" s="1"/>
  <c r="K293" i="2"/>
  <c r="K12" i="8" s="1"/>
  <c r="P293" i="2"/>
  <c r="P12" i="8" s="1"/>
  <c r="J291" i="2"/>
  <c r="V291" i="2"/>
  <c r="V293" i="2"/>
  <c r="V12" i="8" s="1"/>
  <c r="M291" i="2"/>
  <c r="M7" i="6" s="1"/>
  <c r="S293" i="2"/>
  <c r="S12" i="8" s="1"/>
  <c r="H291" i="2"/>
  <c r="H7" i="6" s="1"/>
  <c r="P291" i="2"/>
  <c r="P7" i="6" s="1"/>
  <c r="L293" i="2"/>
  <c r="L12" i="8" s="1"/>
  <c r="N291" i="2"/>
  <c r="U293" i="2"/>
  <c r="U12" i="8" s="1"/>
  <c r="R291" i="2"/>
  <c r="R7" i="6" s="1"/>
  <c r="N293" i="2"/>
  <c r="N12" i="8" s="1"/>
  <c r="X293" i="2"/>
  <c r="X12" i="8" s="1"/>
  <c r="L291" i="2"/>
  <c r="Q291" i="2"/>
  <c r="H293" i="2"/>
  <c r="H12" i="8" s="1"/>
  <c r="I291" i="2"/>
  <c r="I7" i="6" s="1"/>
  <c r="J293" i="2"/>
  <c r="J12" i="8" s="1"/>
  <c r="AF6" i="9"/>
  <c r="AF14" i="9" s="1"/>
  <c r="AF24" i="9" s="1"/>
  <c r="W291" i="2"/>
  <c r="W7" i="6" s="1"/>
  <c r="K291" i="2"/>
  <c r="O291" i="2"/>
  <c r="O7" i="6" s="1"/>
  <c r="W293" i="2"/>
  <c r="W12" i="8" s="1"/>
  <c r="I293" i="2"/>
  <c r="I12" i="8" s="1"/>
  <c r="AE5" i="9"/>
  <c r="AE13" i="9" s="1"/>
  <c r="AE23" i="9" s="1"/>
  <c r="Z5" i="9"/>
  <c r="Z13" i="9" s="1"/>
  <c r="Z23" i="9" s="1"/>
  <c r="AE12" i="9"/>
  <c r="AE26" i="9" s="1"/>
  <c r="AD6" i="9"/>
  <c r="AD14" i="9" s="1"/>
  <c r="AD24" i="9" s="1"/>
  <c r="Z12" i="9"/>
  <c r="Z26" i="9" s="1"/>
  <c r="AD12" i="9"/>
  <c r="AD26" i="9" s="1"/>
  <c r="AD289" i="2"/>
  <c r="AK29" i="2"/>
  <c r="AK10" i="8" s="1"/>
  <c r="AL107" i="2"/>
  <c r="AL106" i="2"/>
  <c r="AL105" i="2" s="1" a="1"/>
  <c r="AL105" i="2" s="1"/>
  <c r="AL108" i="2"/>
  <c r="Y291" i="2"/>
  <c r="X291" i="2"/>
  <c r="Y26" i="9"/>
  <c r="AB26" i="9"/>
  <c r="Y293" i="2"/>
  <c r="Y12" i="8" s="1"/>
  <c r="AM1" i="4"/>
  <c r="AL7" i="4"/>
  <c r="AK6" i="3"/>
  <c r="AK6" i="21"/>
  <c r="AM13" i="2"/>
  <c r="AF21" i="9"/>
  <c r="AF20" i="8"/>
  <c r="AF18" i="8"/>
  <c r="AH235" i="2"/>
  <c r="AG15" i="8"/>
  <c r="AG19" i="9"/>
  <c r="AG287" i="2"/>
  <c r="AG289" i="2" s="1"/>
  <c r="AI234" i="2"/>
  <c r="AI18" i="9" s="1"/>
  <c r="AH286" i="2"/>
  <c r="AG14" i="8"/>
  <c r="AH232" i="2"/>
  <c r="AF17" i="8"/>
  <c r="AJ17" i="9"/>
  <c r="AJ23" i="9" s="1"/>
  <c r="AK233" i="2"/>
  <c r="AK285" i="2" s="1"/>
  <c r="AH3" i="8"/>
  <c r="E9" i="21" l="1"/>
  <c r="E14" i="21" s="1"/>
  <c r="AM80" i="2"/>
  <c r="AM4" i="3" s="1"/>
  <c r="AM110" i="2"/>
  <c r="AM109" i="2"/>
  <c r="I23" i="8"/>
  <c r="H23" i="8"/>
  <c r="L23" i="8"/>
  <c r="P23" i="8"/>
  <c r="W23" i="8"/>
  <c r="K23" i="8"/>
  <c r="G22" i="8"/>
  <c r="T22" i="8"/>
  <c r="X23" i="8"/>
  <c r="S23" i="8"/>
  <c r="N23" i="8"/>
  <c r="R22" i="8"/>
  <c r="V23" i="8"/>
  <c r="M22" i="8"/>
  <c r="O23" i="8"/>
  <c r="J23" i="8"/>
  <c r="U23" i="8"/>
  <c r="Q23" i="8"/>
  <c r="R23" i="8"/>
  <c r="AI24" i="9"/>
  <c r="AL6" i="6"/>
  <c r="AM26" i="2"/>
  <c r="AM9" i="9" s="1"/>
  <c r="AL12" i="9"/>
  <c r="AL11" i="9"/>
  <c r="AL13" i="9"/>
  <c r="AL14" i="9"/>
  <c r="Y7" i="9"/>
  <c r="Y15" i="9" s="1"/>
  <c r="Y28" i="9" s="1"/>
  <c r="Y7" i="6"/>
  <c r="Y4" i="4" s="1"/>
  <c r="N7" i="6"/>
  <c r="N5" i="8" s="1"/>
  <c r="J7" i="6"/>
  <c r="J4" i="4" s="1"/>
  <c r="F10" i="6"/>
  <c r="F8" i="6"/>
  <c r="G8" i="6"/>
  <c r="Q7" i="9"/>
  <c r="Q15" i="9" s="1"/>
  <c r="Q28" i="9" s="1"/>
  <c r="Q30" i="9" s="1"/>
  <c r="Q16" i="6" s="1"/>
  <c r="Q7" i="6"/>
  <c r="S7" i="9"/>
  <c r="S15" i="9" s="1"/>
  <c r="S28" i="9" s="1"/>
  <c r="S30" i="9" s="1"/>
  <c r="S16" i="6" s="1"/>
  <c r="S7" i="6"/>
  <c r="S5" i="8" s="1"/>
  <c r="L7" i="9"/>
  <c r="L15" i="9" s="1"/>
  <c r="L28" i="9" s="1"/>
  <c r="L30" i="9" s="1"/>
  <c r="L7" i="6"/>
  <c r="T7" i="9"/>
  <c r="T15" i="9" s="1"/>
  <c r="T28" i="9" s="1"/>
  <c r="T30" i="9" s="1"/>
  <c r="T16" i="6" s="1"/>
  <c r="T7" i="6"/>
  <c r="K7" i="9"/>
  <c r="K15" i="9" s="1"/>
  <c r="K28" i="9" s="1"/>
  <c r="K30" i="9" s="1"/>
  <c r="K7" i="6"/>
  <c r="X7" i="9"/>
  <c r="X15" i="9" s="1"/>
  <c r="X28" i="9" s="1"/>
  <c r="X30" i="9" s="1"/>
  <c r="X16" i="6" s="1"/>
  <c r="X7" i="6"/>
  <c r="X4" i="4" s="1"/>
  <c r="V7" i="9"/>
  <c r="V15" i="9" s="1"/>
  <c r="V28" i="9" s="1"/>
  <c r="V30" i="9" s="1"/>
  <c r="V8" i="4" s="1"/>
  <c r="V5" i="21" s="1"/>
  <c r="V7" i="6"/>
  <c r="V4" i="4" s="1"/>
  <c r="U7" i="9"/>
  <c r="U15" i="9" s="1"/>
  <c r="U28" i="9" s="1"/>
  <c r="U30" i="9" s="1"/>
  <c r="U16" i="6" s="1"/>
  <c r="U7" i="6"/>
  <c r="U5" i="8" s="1"/>
  <c r="F23" i="8"/>
  <c r="F22" i="8"/>
  <c r="AA291" i="2"/>
  <c r="J7" i="9"/>
  <c r="J15" i="9" s="1"/>
  <c r="J28" i="9" s="1"/>
  <c r="O22" i="8"/>
  <c r="R7" i="9"/>
  <c r="R15" i="9" s="1"/>
  <c r="R28" i="9" s="1"/>
  <c r="R30" i="9" s="1"/>
  <c r="R16" i="6" s="1"/>
  <c r="G23" i="8"/>
  <c r="G7" i="9"/>
  <c r="G15" i="9" s="1"/>
  <c r="G28" i="9" s="1"/>
  <c r="G30" i="9" s="1"/>
  <c r="G16" i="6" s="1"/>
  <c r="F4" i="4"/>
  <c r="F5" i="8"/>
  <c r="I7" i="9"/>
  <c r="I15" i="9" s="1"/>
  <c r="I28" i="9" s="1"/>
  <c r="I30" i="9" s="1"/>
  <c r="I16" i="6" s="1"/>
  <c r="J22" i="8"/>
  <c r="N7" i="9"/>
  <c r="N15" i="9" s="1"/>
  <c r="N28" i="9" s="1"/>
  <c r="N30" i="9" s="1"/>
  <c r="N16" i="6" s="1"/>
  <c r="F7" i="9"/>
  <c r="F15" i="9" s="1"/>
  <c r="F28" i="9" s="1"/>
  <c r="AB293" i="2"/>
  <c r="AB12" i="8" s="1"/>
  <c r="T5" i="8"/>
  <c r="M23" i="8"/>
  <c r="W7" i="9"/>
  <c r="W15" i="9" s="1"/>
  <c r="W28" i="9" s="1"/>
  <c r="W30" i="9" s="1"/>
  <c r="M7" i="9"/>
  <c r="M15" i="9" s="1"/>
  <c r="M28" i="9" s="1"/>
  <c r="M30" i="9" s="1"/>
  <c r="M8" i="4" s="1"/>
  <c r="M5" i="21" s="1"/>
  <c r="AB291" i="2"/>
  <c r="AC291" i="2"/>
  <c r="AD293" i="2"/>
  <c r="AD12" i="8" s="1"/>
  <c r="AF293" i="2"/>
  <c r="AF12" i="8" s="1"/>
  <c r="AC293" i="2"/>
  <c r="AC12" i="8" s="1"/>
  <c r="U22" i="8"/>
  <c r="Q22" i="8"/>
  <c r="V22" i="8"/>
  <c r="Z293" i="2"/>
  <c r="Z12" i="8" s="1"/>
  <c r="AF291" i="2"/>
  <c r="Z291" i="2"/>
  <c r="AA293" i="2"/>
  <c r="AA12" i="8" s="1"/>
  <c r="H22" i="8"/>
  <c r="L22" i="8"/>
  <c r="K22" i="8"/>
  <c r="AE291" i="2"/>
  <c r="I22" i="8"/>
  <c r="P22" i="8"/>
  <c r="AE293" i="2"/>
  <c r="AE12" i="8" s="1"/>
  <c r="AD291" i="2"/>
  <c r="P7" i="9"/>
  <c r="P15" i="9" s="1"/>
  <c r="P28" i="9" s="1"/>
  <c r="P30" i="9" s="1"/>
  <c r="P8" i="4" s="1"/>
  <c r="P5" i="21" s="1"/>
  <c r="W22" i="8"/>
  <c r="T23" i="8"/>
  <c r="AG291" i="2"/>
  <c r="AG7" i="6" s="1"/>
  <c r="S22" i="8"/>
  <c r="O7" i="9"/>
  <c r="O15" i="9" s="1"/>
  <c r="O28" i="9" s="1"/>
  <c r="O30" i="9" s="1"/>
  <c r="O16" i="6" s="1"/>
  <c r="X22" i="8"/>
  <c r="N22" i="8"/>
  <c r="H7" i="9"/>
  <c r="H15" i="9" s="1"/>
  <c r="H28" i="9" s="1"/>
  <c r="H30" i="9" s="1"/>
  <c r="AL29" i="2"/>
  <c r="AL10" i="8" s="1"/>
  <c r="AM106" i="2"/>
  <c r="AM105" i="2" s="1" a="1"/>
  <c r="AM105" i="2" s="1"/>
  <c r="AM107" i="2"/>
  <c r="AM108" i="2"/>
  <c r="I8" i="6"/>
  <c r="W4" i="4"/>
  <c r="W5" i="8"/>
  <c r="H4" i="4"/>
  <c r="H5" i="8"/>
  <c r="Y23" i="8"/>
  <c r="Y22" i="8"/>
  <c r="H8" i="6"/>
  <c r="P5" i="8"/>
  <c r="P4" i="4"/>
  <c r="R4" i="4"/>
  <c r="R5" i="8"/>
  <c r="G5" i="8"/>
  <c r="G4" i="4"/>
  <c r="O5" i="8"/>
  <c r="O4" i="4"/>
  <c r="I4" i="4"/>
  <c r="I5" i="8"/>
  <c r="M5" i="8"/>
  <c r="M4" i="4"/>
  <c r="AL6" i="3"/>
  <c r="AL6" i="21"/>
  <c r="AN1" i="4"/>
  <c r="AM7" i="4"/>
  <c r="AN13" i="2"/>
  <c r="AG293" i="2"/>
  <c r="AH15" i="8"/>
  <c r="AH19" i="9"/>
  <c r="AI235" i="2"/>
  <c r="AH287" i="2"/>
  <c r="AH289" i="2" s="1"/>
  <c r="AH293" i="2" s="1"/>
  <c r="AG26" i="9"/>
  <c r="AG21" i="9"/>
  <c r="AG20" i="8"/>
  <c r="AG18" i="8"/>
  <c r="AJ234" i="2"/>
  <c r="AJ18" i="9" s="1"/>
  <c r="AJ24" i="9" s="1"/>
  <c r="AI286" i="2"/>
  <c r="AH14" i="8"/>
  <c r="AI232" i="2"/>
  <c r="AG17" i="8"/>
  <c r="AK17" i="9"/>
  <c r="AK23" i="9" s="1"/>
  <c r="AL233" i="2"/>
  <c r="AL285" i="2" s="1"/>
  <c r="AI3" i="8"/>
  <c r="B48" i="31" s="1"/>
  <c r="B55" i="31" s="1"/>
  <c r="E67" i="31" l="1"/>
  <c r="B59" i="31"/>
  <c r="E68" i="31" s="1"/>
  <c r="AN109" i="2"/>
  <c r="AN110" i="2"/>
  <c r="P25" i="8"/>
  <c r="P4" i="8" s="1"/>
  <c r="G25" i="8"/>
  <c r="G4" i="8" s="1"/>
  <c r="Y25" i="8"/>
  <c r="Y4" i="8" s="1"/>
  <c r="F25" i="8"/>
  <c r="F4" i="8" s="1"/>
  <c r="S25" i="8"/>
  <c r="S4" i="8" s="1"/>
  <c r="M25" i="8"/>
  <c r="M4" i="8" s="1"/>
  <c r="V25" i="8"/>
  <c r="V4" i="8" s="1"/>
  <c r="R25" i="8"/>
  <c r="R4" i="8" s="1"/>
  <c r="N25" i="8"/>
  <c r="N4" i="8" s="1"/>
  <c r="U8" i="4"/>
  <c r="U5" i="21" s="1"/>
  <c r="K25" i="8"/>
  <c r="K4" i="8" s="1"/>
  <c r="O25" i="8"/>
  <c r="O4" i="8" s="1"/>
  <c r="T25" i="8"/>
  <c r="T4" i="8" s="1"/>
  <c r="AA22" i="8"/>
  <c r="AC23" i="8"/>
  <c r="L25" i="8"/>
  <c r="L4" i="8" s="1"/>
  <c r="AE23" i="8"/>
  <c r="AB23" i="8"/>
  <c r="Q25" i="8"/>
  <c r="Q4" i="8" s="1"/>
  <c r="AD22" i="8"/>
  <c r="H25" i="8"/>
  <c r="H4" i="8" s="1"/>
  <c r="U25" i="8"/>
  <c r="U4" i="8" s="1"/>
  <c r="X25" i="8"/>
  <c r="X4" i="8" s="1"/>
  <c r="Z22" i="8"/>
  <c r="W25" i="8"/>
  <c r="W4" i="8" s="1"/>
  <c r="I25" i="8"/>
  <c r="I4" i="8" s="1"/>
  <c r="J25" i="8"/>
  <c r="J4" i="8" s="1"/>
  <c r="J8" i="6"/>
  <c r="K8" i="6"/>
  <c r="R8" i="4"/>
  <c r="R5" i="21" s="1"/>
  <c r="J30" i="9"/>
  <c r="J8" i="4" s="1"/>
  <c r="J5" i="21" s="1"/>
  <c r="N4" i="4"/>
  <c r="S8" i="4"/>
  <c r="S5" i="21" s="1"/>
  <c r="X8" i="4"/>
  <c r="X5" i="21" s="1"/>
  <c r="AM6" i="6"/>
  <c r="Y30" i="9"/>
  <c r="Y16" i="6" s="1"/>
  <c r="AN26" i="2"/>
  <c r="AN9" i="9" s="1"/>
  <c r="AN80" i="2"/>
  <c r="AN4" i="3" s="1"/>
  <c r="V16" i="6"/>
  <c r="Q8" i="4"/>
  <c r="Q5" i="21" s="1"/>
  <c r="T8" i="4"/>
  <c r="T5" i="21" s="1"/>
  <c r="AM12" i="9"/>
  <c r="AM11" i="9"/>
  <c r="AM13" i="9"/>
  <c r="AM14" i="9"/>
  <c r="AD7" i="9"/>
  <c r="AD15" i="9" s="1"/>
  <c r="AD28" i="9" s="1"/>
  <c r="AD30" i="9" s="1"/>
  <c r="AD7" i="6"/>
  <c r="AD5" i="8" s="1"/>
  <c r="Z7" i="9"/>
  <c r="Z15" i="9" s="1"/>
  <c r="Z28" i="9" s="1"/>
  <c r="Z7" i="6"/>
  <c r="Z5" i="8" s="1"/>
  <c r="J5" i="8"/>
  <c r="AA7" i="9"/>
  <c r="AA15" i="9" s="1"/>
  <c r="AA28" i="9" s="1"/>
  <c r="AA7" i="6"/>
  <c r="AA4" i="4" s="1"/>
  <c r="AF7" i="9"/>
  <c r="AF15" i="9" s="1"/>
  <c r="AF28" i="9" s="1"/>
  <c r="AF30" i="9" s="1"/>
  <c r="AF16" i="6" s="1"/>
  <c r="AF7" i="6"/>
  <c r="AF4" i="4" s="1"/>
  <c r="AC7" i="6"/>
  <c r="AC5" i="8" s="1"/>
  <c r="AE7" i="6"/>
  <c r="AE5" i="8" s="1"/>
  <c r="AB7" i="6"/>
  <c r="AB5" i="8" s="1"/>
  <c r="G8" i="4"/>
  <c r="G5" i="21" s="1"/>
  <c r="U4" i="4"/>
  <c r="AB22" i="8"/>
  <c r="I8" i="4"/>
  <c r="I5" i="21" s="1"/>
  <c r="O8" i="6"/>
  <c r="K4" i="4"/>
  <c r="K5" i="8"/>
  <c r="N8" i="4"/>
  <c r="N5" i="21" s="1"/>
  <c r="S4" i="4"/>
  <c r="F30" i="9"/>
  <c r="F16" i="6" s="1"/>
  <c r="Q8" i="6"/>
  <c r="T4" i="4"/>
  <c r="M8" i="6"/>
  <c r="T8" i="6"/>
  <c r="W8" i="6"/>
  <c r="P8" i="6"/>
  <c r="AB7" i="9"/>
  <c r="AB15" i="9" s="1"/>
  <c r="AB28" i="9" s="1"/>
  <c r="R8" i="6"/>
  <c r="L5" i="8"/>
  <c r="M16" i="6"/>
  <c r="L8" i="6"/>
  <c r="Q4" i="4"/>
  <c r="N8" i="6"/>
  <c r="L4" i="4"/>
  <c r="AE7" i="9"/>
  <c r="AE15" i="9" s="1"/>
  <c r="AE28" i="9" s="1"/>
  <c r="AE30" i="9" s="1"/>
  <c r="AE8" i="4" s="1"/>
  <c r="AE5" i="21" s="1"/>
  <c r="AC7" i="9"/>
  <c r="AC15" i="9" s="1"/>
  <c r="AC28" i="9" s="1"/>
  <c r="AC30" i="9" s="1"/>
  <c r="AC8" i="4" s="1"/>
  <c r="AC5" i="21" s="1"/>
  <c r="AD23" i="8"/>
  <c r="U8" i="6"/>
  <c r="V8" i="6"/>
  <c r="V5" i="8"/>
  <c r="Q5" i="8"/>
  <c r="AG7" i="9"/>
  <c r="AG15" i="9" s="1"/>
  <c r="AG28" i="9" s="1"/>
  <c r="AG30" i="9" s="1"/>
  <c r="AG16" i="6" s="1"/>
  <c r="S8" i="6"/>
  <c r="Z23" i="8"/>
  <c r="AC22" i="8"/>
  <c r="AA23" i="8"/>
  <c r="AE22" i="8"/>
  <c r="P16" i="6"/>
  <c r="O8" i="4"/>
  <c r="O5" i="21" s="1"/>
  <c r="AM29" i="2"/>
  <c r="AM10" i="8" s="1"/>
  <c r="AN107" i="2"/>
  <c r="AN106" i="2"/>
  <c r="AN105" i="2" s="1" a="1"/>
  <c r="AN105" i="2" s="1"/>
  <c r="AN108" i="2"/>
  <c r="X5" i="8"/>
  <c r="Y5" i="8"/>
  <c r="X8" i="6"/>
  <c r="Y8" i="6"/>
  <c r="K8" i="4"/>
  <c r="K5" i="21" s="1"/>
  <c r="K16" i="6"/>
  <c r="G5" i="6"/>
  <c r="G10" i="6" s="1"/>
  <c r="H16" i="6"/>
  <c r="H8" i="4"/>
  <c r="H5" i="21" s="1"/>
  <c r="L16" i="6"/>
  <c r="L8" i="4"/>
  <c r="L5" i="21" s="1"/>
  <c r="W8" i="4"/>
  <c r="W5" i="21" s="1"/>
  <c r="W16" i="6"/>
  <c r="AO1" i="4"/>
  <c r="AN7" i="4"/>
  <c r="AM6" i="3"/>
  <c r="AM6" i="21"/>
  <c r="AO13" i="2"/>
  <c r="AF23" i="8"/>
  <c r="AF22" i="8"/>
  <c r="AH12" i="8"/>
  <c r="AG12" i="8"/>
  <c r="AH291" i="2"/>
  <c r="AH7" i="6" s="1"/>
  <c r="AI19" i="9"/>
  <c r="AI287" i="2"/>
  <c r="AI289" i="2" s="1"/>
  <c r="AJ235" i="2"/>
  <c r="AI15" i="8"/>
  <c r="AH26" i="9"/>
  <c r="AH21" i="9"/>
  <c r="AH18" i="8"/>
  <c r="AH20" i="8"/>
  <c r="AG4" i="4"/>
  <c r="AG5" i="8"/>
  <c r="AK234" i="2"/>
  <c r="AK18" i="9" s="1"/>
  <c r="AK24" i="9" s="1"/>
  <c r="AJ286" i="2"/>
  <c r="AI14" i="8"/>
  <c r="AJ232" i="2"/>
  <c r="AH17" i="8"/>
  <c r="AL17" i="9"/>
  <c r="AL23" i="9" s="1"/>
  <c r="AM233" i="2"/>
  <c r="AM285" i="2" s="1"/>
  <c r="AJ3" i="8"/>
  <c r="AO110" i="2" l="1"/>
  <c r="AO109" i="2"/>
  <c r="U4" i="21"/>
  <c r="U9" i="21" s="1"/>
  <c r="U14" i="21" s="1"/>
  <c r="O4" i="21"/>
  <c r="F4" i="21"/>
  <c r="J4" i="21"/>
  <c r="J9" i="21" s="1"/>
  <c r="J14" i="21" s="1"/>
  <c r="Q4" i="21"/>
  <c r="Q9" i="21" s="1"/>
  <c r="Q14" i="21" s="1"/>
  <c r="K4" i="21"/>
  <c r="K9" i="21" s="1"/>
  <c r="K14" i="21" s="1"/>
  <c r="Y4" i="21"/>
  <c r="H4" i="21"/>
  <c r="H9" i="21" s="1"/>
  <c r="H14" i="21" s="1"/>
  <c r="I4" i="21"/>
  <c r="I9" i="21" s="1"/>
  <c r="I14" i="21" s="1"/>
  <c r="G4" i="21"/>
  <c r="G9" i="21" s="1"/>
  <c r="G14" i="21" s="1"/>
  <c r="S4" i="21"/>
  <c r="S9" i="21" s="1"/>
  <c r="S14" i="21" s="1"/>
  <c r="W4" i="21"/>
  <c r="W9" i="21" s="1"/>
  <c r="W14" i="21" s="1"/>
  <c r="N4" i="21"/>
  <c r="N9" i="21" s="1"/>
  <c r="N14" i="21" s="1"/>
  <c r="P4" i="21"/>
  <c r="P9" i="21" s="1"/>
  <c r="P14" i="21" s="1"/>
  <c r="M4" i="21"/>
  <c r="M9" i="21" s="1"/>
  <c r="M14" i="21" s="1"/>
  <c r="L4" i="21"/>
  <c r="L9" i="21" s="1"/>
  <c r="L14" i="21" s="1"/>
  <c r="R4" i="21"/>
  <c r="R9" i="21" s="1"/>
  <c r="R14" i="21" s="1"/>
  <c r="T4" i="21"/>
  <c r="T9" i="21" s="1"/>
  <c r="T14" i="21" s="1"/>
  <c r="X4" i="21"/>
  <c r="X9" i="21" s="1"/>
  <c r="X14" i="21" s="1"/>
  <c r="V4" i="21"/>
  <c r="V9" i="21" s="1"/>
  <c r="V14" i="21" s="1"/>
  <c r="AF25" i="8"/>
  <c r="AF4" i="8" s="1"/>
  <c r="AB25" i="8"/>
  <c r="AB4" i="8" s="1"/>
  <c r="AE25" i="8"/>
  <c r="AE4" i="8" s="1"/>
  <c r="Z25" i="8"/>
  <c r="Z4" i="8" s="1"/>
  <c r="AC25" i="8"/>
  <c r="AC4" i="8" s="1"/>
  <c r="O9" i="21"/>
  <c r="O14" i="21" s="1"/>
  <c r="AA25" i="8"/>
  <c r="AA4" i="8" s="1"/>
  <c r="AD25" i="8"/>
  <c r="AD4" i="8" s="1"/>
  <c r="J16" i="6"/>
  <c r="AN6" i="6"/>
  <c r="AF8" i="4"/>
  <c r="AF5" i="21" s="1"/>
  <c r="Y8" i="4"/>
  <c r="Y5" i="21" s="1"/>
  <c r="Z30" i="9"/>
  <c r="Z16" i="6" s="1"/>
  <c r="AA5" i="8"/>
  <c r="AC4" i="4"/>
  <c r="AO26" i="2"/>
  <c r="AO9" i="9" s="1"/>
  <c r="AO80" i="2"/>
  <c r="AO4" i="3" s="1"/>
  <c r="AA30" i="9"/>
  <c r="AA8" i="4" s="1"/>
  <c r="AA5" i="21" s="1"/>
  <c r="AE4" i="4"/>
  <c r="AN12" i="9"/>
  <c r="AN11" i="9"/>
  <c r="AN14" i="9"/>
  <c r="AN13" i="9"/>
  <c r="AB4" i="4"/>
  <c r="F17" i="6"/>
  <c r="F18" i="6" s="1"/>
  <c r="G17" i="6" s="1"/>
  <c r="G18" i="6" s="1"/>
  <c r="H17" i="6" s="1"/>
  <c r="H18" i="6" s="1"/>
  <c r="I17" i="6" s="1"/>
  <c r="I18" i="6" s="1"/>
  <c r="J17" i="6" s="1"/>
  <c r="J18" i="6" s="1"/>
  <c r="K17" i="6" s="1"/>
  <c r="K18" i="6" s="1"/>
  <c r="L17" i="6" s="1"/>
  <c r="L18" i="6" s="1"/>
  <c r="M17" i="6" s="1"/>
  <c r="M18" i="6" s="1"/>
  <c r="N17" i="6" s="1"/>
  <c r="N18" i="6" s="1"/>
  <c r="O17" i="6" s="1"/>
  <c r="O18" i="6" s="1"/>
  <c r="P17" i="6" s="1"/>
  <c r="P18" i="6" s="1"/>
  <c r="Q17" i="6" s="1"/>
  <c r="Q18" i="6" s="1"/>
  <c r="R17" i="6" s="1"/>
  <c r="R18" i="6" s="1"/>
  <c r="S17" i="6" s="1"/>
  <c r="S18" i="6" s="1"/>
  <c r="T17" i="6" s="1"/>
  <c r="T18" i="6" s="1"/>
  <c r="U17" i="6" s="1"/>
  <c r="U18" i="6" s="1"/>
  <c r="V17" i="6" s="1"/>
  <c r="V18" i="6" s="1"/>
  <c r="W17" i="6" s="1"/>
  <c r="W18" i="6" s="1"/>
  <c r="X17" i="6" s="1"/>
  <c r="X18" i="6" s="1"/>
  <c r="Y17" i="6" s="1"/>
  <c r="Y18" i="6" s="1"/>
  <c r="AD4" i="4"/>
  <c r="Z4" i="4"/>
  <c r="AF5" i="8"/>
  <c r="AB30" i="9"/>
  <c r="AB16" i="6" s="1"/>
  <c r="F8" i="4"/>
  <c r="F5" i="21" s="1"/>
  <c r="AD8" i="6"/>
  <c r="AC16" i="6"/>
  <c r="AC8" i="6"/>
  <c r="AB8" i="6"/>
  <c r="AG8" i="6"/>
  <c r="AE8" i="6"/>
  <c r="AA8" i="6"/>
  <c r="AE16" i="6"/>
  <c r="Z8" i="6"/>
  <c r="AF8" i="6"/>
  <c r="AN29" i="2"/>
  <c r="AN10" i="8" s="1"/>
  <c r="AO108" i="2"/>
  <c r="AO106" i="2"/>
  <c r="AO105" i="2" s="1" a="1"/>
  <c r="AO105" i="2" s="1"/>
  <c r="AO107" i="2"/>
  <c r="E5" i="5"/>
  <c r="AD8" i="4"/>
  <c r="AD5" i="21" s="1"/>
  <c r="AD16" i="6"/>
  <c r="AN6" i="21"/>
  <c r="AN6" i="3"/>
  <c r="AP1" i="4"/>
  <c r="AP7" i="4" s="1"/>
  <c r="AO7" i="4"/>
  <c r="AP13" i="2"/>
  <c r="AG23" i="8"/>
  <c r="AH23" i="8"/>
  <c r="AH22" i="8"/>
  <c r="AG22" i="8"/>
  <c r="AH7" i="9"/>
  <c r="AH15" i="9" s="1"/>
  <c r="AH28" i="9" s="1"/>
  <c r="AH30" i="9" s="1"/>
  <c r="AH8" i="4" s="1"/>
  <c r="AH5" i="21" s="1"/>
  <c r="AI293" i="2"/>
  <c r="AI291" i="2"/>
  <c r="AI20" i="8"/>
  <c r="AI18" i="8"/>
  <c r="AJ19" i="9"/>
  <c r="AJ287" i="2"/>
  <c r="AJ289" i="2" s="1"/>
  <c r="AK235" i="2"/>
  <c r="AJ15" i="8"/>
  <c r="AI21" i="9"/>
  <c r="AI26" i="9"/>
  <c r="AG8" i="4"/>
  <c r="AG5" i="21" s="1"/>
  <c r="AL234" i="2"/>
  <c r="AL18" i="9" s="1"/>
  <c r="AL24" i="9" s="1"/>
  <c r="AK286" i="2"/>
  <c r="AH4" i="4"/>
  <c r="AH5" i="8"/>
  <c r="AH8" i="6"/>
  <c r="AK232" i="2"/>
  <c r="AJ14" i="8"/>
  <c r="AI17" i="8"/>
  <c r="AK3" i="8"/>
  <c r="AN233" i="2"/>
  <c r="AN285" i="2" s="1"/>
  <c r="AM17" i="9"/>
  <c r="AM23" i="9" s="1"/>
  <c r="AP110" i="2" l="1"/>
  <c r="AP109" i="2"/>
  <c r="AC4" i="21"/>
  <c r="AC9" i="21" s="1"/>
  <c r="AC14" i="21" s="1"/>
  <c r="AA4" i="21"/>
  <c r="AA9" i="21" s="1"/>
  <c r="AA14" i="21" s="1"/>
  <c r="AE4" i="21"/>
  <c r="AE9" i="21" s="1"/>
  <c r="AE14" i="21" s="1"/>
  <c r="AB4" i="21"/>
  <c r="AF4" i="21"/>
  <c r="AF9" i="21" s="1"/>
  <c r="AF14" i="21" s="1"/>
  <c r="AD4" i="21"/>
  <c r="AD9" i="21" s="1"/>
  <c r="AD14" i="21" s="1"/>
  <c r="Z4" i="21"/>
  <c r="F9" i="21"/>
  <c r="F14" i="21" s="1"/>
  <c r="Y9" i="21"/>
  <c r="Y14" i="21" s="1"/>
  <c r="AG25" i="8"/>
  <c r="AG4" i="8" s="1"/>
  <c r="AH25" i="8"/>
  <c r="AH4" i="8" s="1"/>
  <c r="Z8" i="4"/>
  <c r="Z5" i="21" s="1"/>
  <c r="AO6" i="6"/>
  <c r="AA16" i="6"/>
  <c r="AP26" i="2"/>
  <c r="AP9" i="9" s="1"/>
  <c r="AP80" i="2"/>
  <c r="AP4" i="3" s="1"/>
  <c r="AO11" i="9"/>
  <c r="AO12" i="9"/>
  <c r="AO13" i="9"/>
  <c r="AO14" i="9"/>
  <c r="E6" i="5"/>
  <c r="AI7" i="9"/>
  <c r="AI15" i="9" s="1"/>
  <c r="AI28" i="9" s="1"/>
  <c r="AI30" i="9" s="1"/>
  <c r="AI16" i="6" s="1"/>
  <c r="AI7" i="6"/>
  <c r="AI5" i="8" s="1"/>
  <c r="AB8" i="4"/>
  <c r="AB5" i="21" s="1"/>
  <c r="Z17" i="6"/>
  <c r="Z18" i="6" s="1"/>
  <c r="AO29" i="2"/>
  <c r="AO10" i="8" s="1"/>
  <c r="AP107" i="2"/>
  <c r="AP106" i="2"/>
  <c r="AP105" i="2" s="1" a="1"/>
  <c r="AP105" i="2" s="1"/>
  <c r="AP108" i="2"/>
  <c r="F5" i="5"/>
  <c r="H5" i="6"/>
  <c r="H10" i="6" s="1"/>
  <c r="AP6" i="3"/>
  <c r="AP6" i="21"/>
  <c r="AO6" i="21"/>
  <c r="AO6" i="3"/>
  <c r="AI12" i="8"/>
  <c r="AJ291" i="2"/>
  <c r="AJ7" i="6" s="1"/>
  <c r="AJ293" i="2"/>
  <c r="AJ20" i="8"/>
  <c r="AJ18" i="8"/>
  <c r="AK15" i="8"/>
  <c r="AK287" i="2"/>
  <c r="AK289" i="2" s="1"/>
  <c r="AK19" i="9"/>
  <c r="AL235" i="2"/>
  <c r="AJ26" i="9"/>
  <c r="AJ21" i="9"/>
  <c r="AH16" i="6"/>
  <c r="AM234" i="2"/>
  <c r="AM18" i="9" s="1"/>
  <c r="AM24" i="9" s="1"/>
  <c r="AL286" i="2"/>
  <c r="AJ17" i="8"/>
  <c r="AK14" i="8"/>
  <c r="AL232" i="2"/>
  <c r="AN17" i="9"/>
  <c r="AN23" i="9" s="1"/>
  <c r="AO233" i="2"/>
  <c r="AO285" i="2" s="1"/>
  <c r="AL3" i="8"/>
  <c r="Z9" i="21" l="1"/>
  <c r="Z14" i="21" s="1"/>
  <c r="AH4" i="21"/>
  <c r="AH9" i="21" s="1"/>
  <c r="AH14" i="21" s="1"/>
  <c r="AG4" i="21"/>
  <c r="AG9" i="21" s="1"/>
  <c r="AG14" i="21" s="1"/>
  <c r="AB9" i="21"/>
  <c r="AB14" i="21" s="1"/>
  <c r="AA17" i="6"/>
  <c r="AA18" i="6" s="1"/>
  <c r="AB17" i="6" s="1"/>
  <c r="AB18" i="6" s="1"/>
  <c r="AC17" i="6" s="1"/>
  <c r="AC18" i="6" s="1"/>
  <c r="AD17" i="6" s="1"/>
  <c r="AD18" i="6" s="1"/>
  <c r="AE17" i="6" s="1"/>
  <c r="AE18" i="6" s="1"/>
  <c r="AF17" i="6" s="1"/>
  <c r="AF18" i="6" s="1"/>
  <c r="AG17" i="6" s="1"/>
  <c r="AG18" i="6" s="1"/>
  <c r="AH17" i="6" s="1"/>
  <c r="AH18" i="6" s="1"/>
  <c r="AI17" i="6" s="1"/>
  <c r="AI18" i="6" s="1"/>
  <c r="AP6" i="6"/>
  <c r="AP11" i="9"/>
  <c r="AP12" i="9"/>
  <c r="AP13" i="9"/>
  <c r="AP14" i="9"/>
  <c r="AP29" i="2"/>
  <c r="AP10" i="8" s="1"/>
  <c r="G5" i="5"/>
  <c r="I5" i="6"/>
  <c r="I10" i="6" s="1"/>
  <c r="AI23" i="8"/>
  <c r="AI22" i="8"/>
  <c r="AJ12" i="8"/>
  <c r="AJ7" i="9"/>
  <c r="AJ15" i="9" s="1"/>
  <c r="AJ28" i="9" s="1"/>
  <c r="AJ30" i="9" s="1"/>
  <c r="AJ16" i="6" s="1"/>
  <c r="AI4" i="4"/>
  <c r="AI8" i="6"/>
  <c r="AK291" i="2"/>
  <c r="AK7" i="6" s="1"/>
  <c r="AK293" i="2"/>
  <c r="AL287" i="2"/>
  <c r="AL289" i="2" s="1"/>
  <c r="AL293" i="2" s="1"/>
  <c r="AM235" i="2"/>
  <c r="AL19" i="9"/>
  <c r="AL15" i="8"/>
  <c r="AK20" i="8"/>
  <c r="AK18" i="8"/>
  <c r="AK21" i="9"/>
  <c r="AK26" i="9"/>
  <c r="AI8" i="4"/>
  <c r="AI5" i="21" s="1"/>
  <c r="AN234" i="2"/>
  <c r="AN18" i="9" s="1"/>
  <c r="AN24" i="9" s="1"/>
  <c r="AM286" i="2"/>
  <c r="AJ5" i="8"/>
  <c r="AJ4" i="4"/>
  <c r="AJ8" i="6"/>
  <c r="AK17" i="8"/>
  <c r="AM232" i="2"/>
  <c r="AL14" i="8"/>
  <c r="AM3" i="8"/>
  <c r="AO17" i="9"/>
  <c r="AO23" i="9" s="1"/>
  <c r="AP233" i="2"/>
  <c r="AP285" i="2" s="1"/>
  <c r="AI25" i="8" l="1"/>
  <c r="AI4" i="8" s="1"/>
  <c r="H5" i="5"/>
  <c r="J5" i="6"/>
  <c r="J10" i="6" s="1"/>
  <c r="AJ23" i="8"/>
  <c r="AJ22" i="8"/>
  <c r="AL12" i="8"/>
  <c r="AK12" i="8"/>
  <c r="AJ17" i="6"/>
  <c r="AJ18" i="6" s="1"/>
  <c r="AL20" i="8"/>
  <c r="AL18" i="8"/>
  <c r="AK7" i="9"/>
  <c r="AK15" i="9" s="1"/>
  <c r="AK28" i="9" s="1"/>
  <c r="AK30" i="9" s="1"/>
  <c r="AK16" i="6" s="1"/>
  <c r="AL26" i="9"/>
  <c r="AL21" i="9"/>
  <c r="AM15" i="8"/>
  <c r="AM19" i="9"/>
  <c r="AM287" i="2"/>
  <c r="AM289" i="2" s="1"/>
  <c r="AN235" i="2"/>
  <c r="AL291" i="2"/>
  <c r="AJ8" i="4"/>
  <c r="AJ5" i="21" s="1"/>
  <c r="AO234" i="2"/>
  <c r="AO18" i="9" s="1"/>
  <c r="AO24" i="9" s="1"/>
  <c r="AN286" i="2"/>
  <c r="AK4" i="4"/>
  <c r="AK8" i="6"/>
  <c r="AK5" i="8"/>
  <c r="AL17" i="8"/>
  <c r="AM14" i="8"/>
  <c r="AN232" i="2"/>
  <c r="AP17" i="9"/>
  <c r="AP23" i="9" s="1"/>
  <c r="AN3" i="8"/>
  <c r="AI4" i="21" l="1"/>
  <c r="AI9" i="21" s="1"/>
  <c r="AI14" i="21" s="1"/>
  <c r="AJ25" i="8"/>
  <c r="AJ4" i="8" s="1"/>
  <c r="AL7" i="9"/>
  <c r="AL15" i="9" s="1"/>
  <c r="AL28" i="9" s="1"/>
  <c r="AL7" i="6"/>
  <c r="AL8" i="6" s="1"/>
  <c r="I5" i="5"/>
  <c r="K5" i="6"/>
  <c r="K10" i="6" s="1"/>
  <c r="AK23" i="8"/>
  <c r="AL22" i="8"/>
  <c r="AL23" i="8"/>
  <c r="AK17" i="6"/>
  <c r="AK18" i="6" s="1"/>
  <c r="AK22" i="8"/>
  <c r="AM291" i="2"/>
  <c r="AM7" i="6" s="1"/>
  <c r="AM293" i="2"/>
  <c r="AM21" i="9"/>
  <c r="AM26" i="9"/>
  <c r="AM18" i="8"/>
  <c r="AM20" i="8"/>
  <c r="AN15" i="8"/>
  <c r="AN19" i="9"/>
  <c r="AN287" i="2"/>
  <c r="AN289" i="2" s="1"/>
  <c r="AO235" i="2"/>
  <c r="AK8" i="4"/>
  <c r="AK5" i="21" s="1"/>
  <c r="AP234" i="2"/>
  <c r="AO286" i="2"/>
  <c r="AN14" i="8"/>
  <c r="AO232" i="2"/>
  <c r="AM17" i="8"/>
  <c r="AO3" i="8"/>
  <c r="B23" i="21" l="1"/>
  <c r="B26" i="21" s="1"/>
  <c r="B29" i="21" s="1"/>
  <c r="B64" i="31" s="1"/>
  <c r="AJ4" i="21"/>
  <c r="AJ9" i="21" s="1"/>
  <c r="AJ14" i="21" s="1"/>
  <c r="AL25" i="8"/>
  <c r="AL4" i="8" s="1"/>
  <c r="AK25" i="8"/>
  <c r="AK4" i="8" s="1"/>
  <c r="AL30" i="9"/>
  <c r="AL16" i="6" s="1"/>
  <c r="AL17" i="6" s="1"/>
  <c r="AL18" i="6" s="1"/>
  <c r="J5" i="5"/>
  <c r="L5" i="6"/>
  <c r="L10" i="6" s="1"/>
  <c r="AM12" i="8"/>
  <c r="AL5" i="8"/>
  <c r="AM7" i="9"/>
  <c r="AM15" i="9" s="1"/>
  <c r="AM28" i="9" s="1"/>
  <c r="AM30" i="9" s="1"/>
  <c r="AM16" i="6" s="1"/>
  <c r="AL4" i="4"/>
  <c r="AN291" i="2"/>
  <c r="AN293" i="2"/>
  <c r="AN20" i="8"/>
  <c r="AN18" i="8"/>
  <c r="AP235" i="2"/>
  <c r="AO15" i="8"/>
  <c r="AO19" i="9"/>
  <c r="AO287" i="2"/>
  <c r="AO289" i="2" s="1"/>
  <c r="AO293" i="2" s="1"/>
  <c r="AN26" i="9"/>
  <c r="AN21" i="9"/>
  <c r="AP286" i="2"/>
  <c r="AP18" i="9"/>
  <c r="AP24" i="9" s="1"/>
  <c r="AM4" i="4"/>
  <c r="AM5" i="8"/>
  <c r="AM8" i="6"/>
  <c r="AP232" i="2"/>
  <c r="AO14" i="8"/>
  <c r="AN17" i="8"/>
  <c r="AP3" i="8"/>
  <c r="AL4" i="21" l="1"/>
  <c r="AK4" i="21"/>
  <c r="AK9" i="21" s="1"/>
  <c r="AK14" i="21" s="1"/>
  <c r="AL8" i="4"/>
  <c r="AL5" i="21" s="1"/>
  <c r="AN7" i="9"/>
  <c r="AN15" i="9" s="1"/>
  <c r="AN28" i="9" s="1"/>
  <c r="AN30" i="9" s="1"/>
  <c r="AN8" i="4" s="1"/>
  <c r="AN5" i="21" s="1"/>
  <c r="AN7" i="6"/>
  <c r="AN4" i="4" s="1"/>
  <c r="M5" i="6"/>
  <c r="M10" i="6" s="1"/>
  <c r="K5" i="5"/>
  <c r="AM23" i="8"/>
  <c r="AN12" i="8"/>
  <c r="AP14" i="8"/>
  <c r="AP17" i="8" s="1"/>
  <c r="AO12" i="8"/>
  <c r="AM22" i="8"/>
  <c r="AM17" i="6"/>
  <c r="AM18" i="6" s="1"/>
  <c r="AO291" i="2"/>
  <c r="AP287" i="2"/>
  <c r="AP289" i="2" s="1"/>
  <c r="AP19" i="9"/>
  <c r="AP15" i="8"/>
  <c r="AO20" i="8"/>
  <c r="AO18" i="8"/>
  <c r="AO21" i="9"/>
  <c r="AO26" i="9"/>
  <c r="AM8" i="4"/>
  <c r="AM5" i="21" s="1"/>
  <c r="AO17" i="8"/>
  <c r="AL9" i="21" l="1"/>
  <c r="AL14" i="21" s="1"/>
  <c r="AM25" i="8"/>
  <c r="AM4" i="8" s="1"/>
  <c r="AO7" i="9"/>
  <c r="AO15" i="9" s="1"/>
  <c r="AO28" i="9" s="1"/>
  <c r="AO30" i="9" s="1"/>
  <c r="AO8" i="4" s="1"/>
  <c r="AO5" i="21" s="1"/>
  <c r="AO7" i="6"/>
  <c r="AO5" i="8" s="1"/>
  <c r="L5" i="5"/>
  <c r="N5" i="6"/>
  <c r="N10" i="6" s="1"/>
  <c r="AO22" i="8"/>
  <c r="AN23" i="8"/>
  <c r="AN22" i="8"/>
  <c r="AO23" i="8"/>
  <c r="AN5" i="8"/>
  <c r="AN8" i="6"/>
  <c r="AP293" i="2"/>
  <c r="AP291" i="2"/>
  <c r="AP7" i="6" s="1"/>
  <c r="AP20" i="8"/>
  <c r="AP18" i="8"/>
  <c r="AP26" i="9"/>
  <c r="AP21" i="9"/>
  <c r="AN16" i="6"/>
  <c r="AN17" i="6" s="1"/>
  <c r="AN18" i="6" s="1"/>
  <c r="AM4" i="21" l="1"/>
  <c r="AM9" i="21" s="1"/>
  <c r="AM14" i="21" s="1"/>
  <c r="AO25" i="8"/>
  <c r="AO4" i="8" s="1"/>
  <c r="AN25" i="8"/>
  <c r="AN4" i="8" s="1"/>
  <c r="M5" i="5"/>
  <c r="O5" i="6"/>
  <c r="O10" i="6" s="1"/>
  <c r="AP12" i="8"/>
  <c r="AO8" i="6"/>
  <c r="AO4" i="4"/>
  <c r="AO16" i="6"/>
  <c r="AO17" i="6" s="1"/>
  <c r="AO18" i="6" s="1"/>
  <c r="AP7" i="9"/>
  <c r="AP15" i="9" s="1"/>
  <c r="AP28" i="9" s="1"/>
  <c r="AP30" i="9" s="1"/>
  <c r="AP8" i="4" s="1"/>
  <c r="AP5" i="21" s="1"/>
  <c r="AN4" i="21" l="1"/>
  <c r="AN9" i="21" s="1"/>
  <c r="AN14" i="21" s="1"/>
  <c r="AO4" i="21"/>
  <c r="AO9" i="21" s="1"/>
  <c r="AO14" i="21" s="1"/>
  <c r="P5" i="6"/>
  <c r="P10" i="6" s="1"/>
  <c r="N5" i="5"/>
  <c r="AP23" i="8"/>
  <c r="AP22" i="8"/>
  <c r="AP16" i="6"/>
  <c r="AP17" i="6" s="1"/>
  <c r="AP18" i="6" s="1"/>
  <c r="AP5" i="8"/>
  <c r="AP4" i="4"/>
  <c r="AP8" i="6"/>
  <c r="AP25" i="8" l="1"/>
  <c r="AP4" i="8" s="1"/>
  <c r="O5" i="5"/>
  <c r="Q5" i="6"/>
  <c r="Q10" i="6" s="1"/>
  <c r="AP4" i="21" l="1"/>
  <c r="AP9" i="21" s="1"/>
  <c r="AP14" i="21" s="1"/>
  <c r="R5" i="6"/>
  <c r="R10" i="6" s="1"/>
  <c r="P5" i="5"/>
  <c r="S5" i="6" l="1"/>
  <c r="S10" i="6" s="1"/>
  <c r="Q5" i="5"/>
  <c r="T5" i="6" l="1"/>
  <c r="T10" i="6" s="1"/>
  <c r="R5" i="5"/>
  <c r="F4" i="5"/>
  <c r="U5" i="6" l="1"/>
  <c r="U10" i="6" s="1"/>
  <c r="S5" i="5"/>
  <c r="F6" i="5"/>
  <c r="G4" i="5"/>
  <c r="V5" i="6" l="1"/>
  <c r="V10" i="6" s="1"/>
  <c r="T5" i="5"/>
  <c r="G6" i="5"/>
  <c r="H4" i="5"/>
  <c r="W5" i="6" l="1"/>
  <c r="W10" i="6" s="1"/>
  <c r="U5" i="5"/>
  <c r="H6" i="5"/>
  <c r="I4" i="5"/>
  <c r="V5" i="5" l="1"/>
  <c r="X5" i="6"/>
  <c r="X10" i="6" s="1"/>
  <c r="J4" i="5"/>
  <c r="I6" i="5"/>
  <c r="Y5" i="6" l="1"/>
  <c r="Y10" i="6" s="1"/>
  <c r="W5" i="5"/>
  <c r="K4" i="5"/>
  <c r="J6" i="5"/>
  <c r="X5" i="5" l="1"/>
  <c r="Z5" i="6"/>
  <c r="Z10" i="6" s="1"/>
  <c r="K6" i="5"/>
  <c r="L4" i="5"/>
  <c r="Y5" i="5" l="1"/>
  <c r="AA5" i="6"/>
  <c r="AA10" i="6" s="1"/>
  <c r="M4" i="5"/>
  <c r="L6" i="5"/>
  <c r="AB5" i="6" l="1"/>
  <c r="AB10" i="6" s="1"/>
  <c r="Z5" i="5"/>
  <c r="N4" i="5"/>
  <c r="M6" i="5"/>
  <c r="AA5" i="5" l="1"/>
  <c r="AC5" i="6"/>
  <c r="AC10" i="6" s="1"/>
  <c r="N6" i="5"/>
  <c r="O4" i="5"/>
  <c r="AD5" i="6" l="1"/>
  <c r="AD10" i="6" s="1"/>
  <c r="AB5" i="5"/>
  <c r="O6" i="5"/>
  <c r="P4" i="5"/>
  <c r="AC5" i="5" l="1"/>
  <c r="AE5" i="6"/>
  <c r="AE10" i="6" s="1"/>
  <c r="P6" i="5"/>
  <c r="Q4" i="5"/>
  <c r="AD5" i="5" l="1"/>
  <c r="AF5" i="6"/>
  <c r="AF10" i="6" s="1"/>
  <c r="R4" i="5"/>
  <c r="Q6" i="5"/>
  <c r="AG5" i="6" l="1"/>
  <c r="AG10" i="6" s="1"/>
  <c r="AE5" i="5"/>
  <c r="S4" i="5"/>
  <c r="R6" i="5"/>
  <c r="AH5" i="6" l="1"/>
  <c r="AH10" i="6" s="1"/>
  <c r="AF5" i="5"/>
  <c r="S6" i="5"/>
  <c r="T4" i="5"/>
  <c r="AG5" i="5" l="1"/>
  <c r="AI5" i="6"/>
  <c r="AI10" i="6" s="1"/>
  <c r="U4" i="5"/>
  <c r="T6" i="5"/>
  <c r="AJ5" i="6" l="1"/>
  <c r="AJ10" i="6" s="1"/>
  <c r="AH5" i="5"/>
  <c r="V4" i="5"/>
  <c r="U6" i="5"/>
  <c r="AK5" i="6" l="1"/>
  <c r="AK10" i="6" s="1"/>
  <c r="AI5" i="5"/>
  <c r="V6" i="5"/>
  <c r="W4" i="5"/>
  <c r="AJ5" i="5" l="1"/>
  <c r="AL5" i="6"/>
  <c r="AL10" i="6" s="1"/>
  <c r="W6" i="5"/>
  <c r="X4" i="5"/>
  <c r="AK5" i="5" l="1"/>
  <c r="AM5" i="6"/>
  <c r="AM10" i="6" s="1"/>
  <c r="X6" i="5"/>
  <c r="Y4" i="5"/>
  <c r="AN5" i="6" l="1"/>
  <c r="AN10" i="6" s="1"/>
  <c r="AL5" i="5"/>
  <c r="Z4" i="5"/>
  <c r="Y6" i="5"/>
  <c r="AM5" i="5" l="1"/>
  <c r="AO5" i="6"/>
  <c r="AO10" i="6" s="1"/>
  <c r="AA4" i="5"/>
  <c r="Z6" i="5"/>
  <c r="AN5" i="5" l="1"/>
  <c r="AP5" i="6"/>
  <c r="AP10" i="6" s="1"/>
  <c r="AO5" i="5" s="1"/>
  <c r="AA6" i="5"/>
  <c r="AB4" i="5"/>
  <c r="AC4" i="5" l="1"/>
  <c r="AB6" i="5"/>
  <c r="AD4" i="5" l="1"/>
  <c r="AC6" i="5"/>
  <c r="AD6" i="5" l="1"/>
  <c r="AE4" i="5"/>
  <c r="AE6" i="5" l="1"/>
  <c r="AF4" i="5"/>
  <c r="AF6" i="5" l="1"/>
  <c r="AG4" i="5"/>
  <c r="AH4" i="5" l="1"/>
  <c r="AG6" i="5"/>
  <c r="AI4" i="5" l="1"/>
  <c r="AH6" i="5"/>
  <c r="AI6" i="5" l="1"/>
  <c r="AJ4" i="5"/>
  <c r="AK4" i="5" l="1"/>
  <c r="AJ6" i="5"/>
  <c r="AL4" i="5" l="1"/>
  <c r="AK6" i="5"/>
  <c r="AL6" i="5" l="1"/>
  <c r="AM4" i="5"/>
  <c r="AM6" i="5" l="1"/>
  <c r="AN4" i="5"/>
  <c r="AN6" i="5" l="1"/>
  <c r="AO4" i="5"/>
  <c r="AO6" i="5" s="1"/>
  <c r="E7" i="21" l="1"/>
  <c r="E10" i="21" s="1"/>
  <c r="E15" i="21" s="1"/>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C64" i="3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AO15" i="21"/>
  <c r="AP15" i="21"/>
  <c r="B24" i="21"/>
  <c r="B27" i="21"/>
  <c r="B30" i="21"/>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B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B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B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M11" authorId="0" shapeId="0" xr:uid="{A3F4ACD2-29AE-41E6-8C37-1BF07B5E4C08}">
      <text>
        <r>
          <rPr>
            <b/>
            <sz val="9"/>
            <color indexed="81"/>
            <rFont val="Tahoma"/>
            <family val="2"/>
          </rPr>
          <t>WICS:</t>
        </r>
        <r>
          <rPr>
            <sz val="9"/>
            <color indexed="81"/>
            <rFont val="Tahoma"/>
            <family val="2"/>
          </rPr>
          <t xml:space="preserve">
Core water, wastewater, and other revenue, net of leakage remissions</t>
        </r>
      </text>
    </comment>
    <comment ref="AP11" authorId="0" shapeId="0" xr:uid="{6DCB86F8-71A6-407B-B4CD-C97159470584}">
      <text>
        <r>
          <rPr>
            <b/>
            <sz val="9"/>
            <color indexed="81"/>
            <rFont val="Tahoma"/>
            <family val="2"/>
          </rPr>
          <t>Author:</t>
        </r>
        <r>
          <rPr>
            <sz val="9"/>
            <color indexed="81"/>
            <rFont val="Tahoma"/>
            <family val="2"/>
          </rPr>
          <t xml:space="preserve">
NB: Watercare revenue is excluding the IGCs. Source is AMP 2022</t>
        </r>
      </text>
    </comment>
    <comment ref="AW11" authorId="0" shapeId="0" xr:uid="{3E9574FA-F847-4167-B140-4AB90890043E}">
      <text>
        <r>
          <rPr>
            <b/>
            <sz val="9"/>
            <color indexed="81"/>
            <rFont val="Tahoma"/>
            <family val="2"/>
          </rPr>
          <t>WICS: projection provided by Watercare</t>
        </r>
        <r>
          <rPr>
            <sz val="9"/>
            <color indexed="81"/>
            <rFont val="Tahoma"/>
            <family val="2"/>
          </rPr>
          <t xml:space="preserve">
</t>
        </r>
      </text>
    </comment>
    <comment ref="BA11" authorId="0" shapeId="0" xr:uid="{BC6017AD-2BD1-48A9-893D-D2395C085736}">
      <text>
        <r>
          <rPr>
            <b/>
            <sz val="9"/>
            <color indexed="81"/>
            <rFont val="Tahoma"/>
            <family val="2"/>
          </rPr>
          <t>Author:</t>
        </r>
        <r>
          <rPr>
            <sz val="9"/>
            <color indexed="81"/>
            <rFont val="Tahoma"/>
            <family val="2"/>
          </rPr>
          <t xml:space="preserve">
Core opex less Exceptional costs</t>
        </r>
      </text>
    </comment>
    <comment ref="BB11" authorId="0" shapeId="0" xr:uid="{83362A50-5F1D-44D9-9F00-AB9FC4A5E49D}">
      <text>
        <r>
          <rPr>
            <b/>
            <sz val="9"/>
            <color indexed="81"/>
            <rFont val="Tahoma"/>
            <family val="2"/>
          </rPr>
          <t>Author:</t>
        </r>
        <r>
          <rPr>
            <sz val="9"/>
            <color indexed="81"/>
            <rFont val="Tahoma"/>
            <family val="2"/>
          </rPr>
          <t xml:space="preserve">
NB: Watercare opex is sourced from AMP 2022</t>
        </r>
      </text>
    </comment>
    <comment ref="BD11" authorId="0" shapeId="0" xr:uid="{CDC95180-9C2D-4D91-9E48-42800F23967A}">
      <text>
        <r>
          <rPr>
            <b/>
            <sz val="9"/>
            <color indexed="81"/>
            <rFont val="Tahoma"/>
            <family val="2"/>
          </rPr>
          <t>Author:</t>
        </r>
        <r>
          <rPr>
            <sz val="9"/>
            <color indexed="81"/>
            <rFont val="Tahoma"/>
            <family val="2"/>
          </rPr>
          <t xml:space="preserve">
NB: Watercare opex inflation is sourced from AMP 2022, 'Other CPI' inflation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<sst xmlns="http://schemas.openxmlformats.org/spreadsheetml/2006/main" count="2807" uniqueCount="587">
  <si>
    <t>WICS model developed for the DIA project 'Economic analysis of water services aggregation'</t>
  </si>
  <si>
    <t>Entity scenario</t>
  </si>
  <si>
    <t>Entity</t>
  </si>
  <si>
    <t>Investment scenario</t>
  </si>
  <si>
    <t xml:space="preserve">Centralised entity scenario </t>
  </si>
  <si>
    <t>Starting debt</t>
  </si>
  <si>
    <t>FFO: Debt</t>
  </si>
  <si>
    <t>Model name</t>
  </si>
  <si>
    <t>10 entity (Northland with Auckland and West Coast with Canterbury)</t>
  </si>
  <si>
    <t>A</t>
  </si>
  <si>
    <t xml:space="preserve">Important note: </t>
  </si>
  <si>
    <t xml:space="preserve">Model needs to have circularities enabled. Select File &gt;&gt;&gt; Options &gt;&gt;&gt; Formulas &gt;&gt;&gt; Enable iterative calculations </t>
  </si>
  <si>
    <t>Overview of model</t>
  </si>
  <si>
    <t>Sheet</t>
  </si>
  <si>
    <t>Description</t>
  </si>
  <si>
    <t>Data</t>
  </si>
  <si>
    <t>Database for New Zealand Councils</t>
  </si>
  <si>
    <t>Assumptions</t>
  </si>
  <si>
    <t>Input the model assumptions in this sheet</t>
  </si>
  <si>
    <t>Price and Financial Ratios</t>
  </si>
  <si>
    <t>This sheet is used to set prices by targeting the relevant financial ratio (FFO: Debt in the amalgamation scenarios)</t>
  </si>
  <si>
    <t>Model outputs</t>
  </si>
  <si>
    <t>Provides the average household bills</t>
  </si>
  <si>
    <t>Instructions</t>
  </si>
  <si>
    <t>Step</t>
  </si>
  <si>
    <t xml:space="preserve">The model needs to have iterative calculations enabled in order to function correctly. To do this, select: 
- File
- Options
- Formulas
- Enable iterative calculations (see the extract opposite)
</t>
  </si>
  <si>
    <r>
      <t>Open the 'Model outputs' sheet first. 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t>
    </r>
    <r>
      <rPr>
        <sz val="12"/>
        <rFont val="Calibri"/>
        <family val="2"/>
        <scheme val="minor"/>
      </rPr>
      <t xml:space="preserve">r. Assumed annual growth rate is derived from the councils' RFI table submissions, calculated from additional properties connected, divided by properties served in 2019-20. </t>
    </r>
    <r>
      <rPr>
        <sz val="12"/>
        <color rgb="FFFF0000"/>
        <rFont val="Calibri"/>
        <family val="2"/>
        <scheme val="minor"/>
      </rPr>
      <t xml:space="preserve">
</t>
    </r>
    <r>
      <rPr>
        <sz val="12"/>
        <color theme="1"/>
        <rFont val="Calibri"/>
        <family val="2"/>
        <scheme val="minor"/>
      </rPr>
      <t xml:space="preserve">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</si>
  <si>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In the 'Price and Financial Ratios' sheet, we input the annual price changes in nominal terms in row 4 to achieve the targeted financial strength.</t>
  </si>
  <si>
    <t xml:space="preserve">In the 'Assumptions' sheet, the user can change any of the inputs.
</t>
  </si>
  <si>
    <t>After changing any of the assumptions, repeat Step 3 and observe the impact on the average cost per household as per Step 2.</t>
  </si>
  <si>
    <t>Average cost per household</t>
  </si>
  <si>
    <r>
      <rPr>
        <b/>
        <sz val="12"/>
        <rFont val="Calibri"/>
        <family val="2"/>
        <scheme val="minor"/>
      </rPr>
      <t xml:space="preserve">Read this sheet first:
</t>
    </r>
    <r>
      <rPr>
        <sz val="12"/>
        <rFont val="Calibri"/>
        <family val="2"/>
        <scheme val="minor"/>
      </rPr>
      <t xml:space="preserve">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year. Assumed annual growth rate is derived from the councils' RFI table submissions, calculated from additional properties connected, divided by properties served in 2019-20. 
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</si>
  <si>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Average cost per household in 2022</t>
  </si>
  <si>
    <t>Revenue in 2022</t>
  </si>
  <si>
    <t>Assumed revenue split to households</t>
  </si>
  <si>
    <t>Assumed connected population in 2022</t>
  </si>
  <si>
    <t>Assumed average occupancy rate per household</t>
  </si>
  <si>
    <t>Assumed household properties in 2022</t>
  </si>
  <si>
    <t>Estimated current average household bill (2021-22 prices)</t>
  </si>
  <si>
    <t>Average cost per household in 2024</t>
  </si>
  <si>
    <t>Revenue in 2024 in projected 2024 prices</t>
  </si>
  <si>
    <t>Assumed connected population in 2024</t>
  </si>
  <si>
    <t>Assumed household properties in 2024</t>
  </si>
  <si>
    <t>Estimated average household bill in 2024 (projected outturn prices)</t>
  </si>
  <si>
    <t>Inflation factor (projected outturn to 2021-22 prices)</t>
  </si>
  <si>
    <t>Estimated average household bill in 2024 (2021-22 prices)</t>
  </si>
  <si>
    <t>Average cost per household in 2034</t>
  </si>
  <si>
    <t>Revenue in 2034 in projected 2034 prices</t>
  </si>
  <si>
    <t>Assumed connected population in 2034</t>
  </si>
  <si>
    <t>Assumed household properties in 2034</t>
  </si>
  <si>
    <t>Estimated average household bill in 2034 (projected outturn prices)</t>
  </si>
  <si>
    <t>Estimated average household bill in 2034 (2021-22 prices)</t>
  </si>
  <si>
    <t>Average cost per household in 2054</t>
  </si>
  <si>
    <t>Revenue in 2054 in projected 2054 prices</t>
  </si>
  <si>
    <t>Assumed connected population in 2054</t>
  </si>
  <si>
    <t>Assumed household properties in 2054</t>
  </si>
  <si>
    <t>Estimated average household bill in 2054 (projected outturn prices)</t>
  </si>
  <si>
    <t>Estimated average household bill in 2054 (2021-22 prices)</t>
  </si>
  <si>
    <t>Excluding interest</t>
  </si>
  <si>
    <t>Including interest</t>
  </si>
  <si>
    <t>Net present cost per connected citizen per year from 2025 to 2054 (2021-22 prices)</t>
  </si>
  <si>
    <t>Estimated average household bill (projected outturn prices)</t>
  </si>
  <si>
    <t>Estimated average household bill (2021-22 prices)</t>
  </si>
  <si>
    <t>A1.47</t>
  </si>
  <si>
    <t>A3.58</t>
  </si>
  <si>
    <t>A3b.55</t>
  </si>
  <si>
    <t>Period modelled</t>
  </si>
  <si>
    <t>Hardcoded for the relevant entity. This would need to be updated to run the model for a different entity.</t>
  </si>
  <si>
    <t/>
  </si>
  <si>
    <t>Amalgamation Scenarios</t>
  </si>
  <si>
    <t>DIA Requested Scenarios</t>
  </si>
  <si>
    <t>Additional WICS Scenarios</t>
  </si>
  <si>
    <t>Water revenue</t>
  </si>
  <si>
    <t>Wastewater revenue</t>
  </si>
  <si>
    <t>Stormwater revenue</t>
  </si>
  <si>
    <t>Revenue from developer contributions</t>
  </si>
  <si>
    <t>Revenue</t>
  </si>
  <si>
    <t>Revenue reported in 2022 (outturn prices)</t>
  </si>
  <si>
    <t>Developer contributions reported in 2022 (outturn prices)</t>
  </si>
  <si>
    <t>Total Revenue reported in 2022 (outturn prices)</t>
  </si>
  <si>
    <t>LTP revenue in 2022 (outturn prices)</t>
  </si>
  <si>
    <t>LTP revenue in 2024 (outturn prices)</t>
  </si>
  <si>
    <t>% nominal change in revenue: 2022-24</t>
  </si>
  <si>
    <t>LTP developer contributions in 2022 (outturn prices)</t>
  </si>
  <si>
    <t>LTP developer contributions in 2024 (outturn prices)</t>
  </si>
  <si>
    <t>% nominal change in developer contributions: 2022-24</t>
  </si>
  <si>
    <t>Implied revenue in 2024</t>
  </si>
  <si>
    <t>Implied developer contributions in 2024</t>
  </si>
  <si>
    <t>Implied total revenue in 2024</t>
  </si>
  <si>
    <t>Revenue reported in 2020</t>
  </si>
  <si>
    <t>Operating expenditure reported in 2020</t>
  </si>
  <si>
    <t>Operating expenditure reported in 2022 
 (2021-22 prices)</t>
  </si>
  <si>
    <t>LTP opex in 2022 
(2021-22 prices)</t>
  </si>
  <si>
    <t>LTP opex in 2024 
(2023-24)</t>
  </si>
  <si>
    <t>LTP forecast opex inflation in 2023</t>
  </si>
  <si>
    <t>LTP forecast opex inflation in 2024</t>
  </si>
  <si>
    <t>LTP opex in 2024 (2021-22 prices)</t>
  </si>
  <si>
    <t>% real change in opex: 2022-24</t>
  </si>
  <si>
    <t>Implied opex in 2024 
(2021-22 prices)</t>
  </si>
  <si>
    <t>Interest reported in 2020</t>
  </si>
  <si>
    <t>Interest reported in 2022 (outturn prices)</t>
  </si>
  <si>
    <t>Enhancement and growth
2022-51 (2019-20 prices)</t>
  </si>
  <si>
    <t>Enhancement and Growth: Method 2</t>
  </si>
  <si>
    <t>Enhancement and Growth: Method 3</t>
  </si>
  <si>
    <t>Asset values (low estimate)</t>
  </si>
  <si>
    <t>Asset values (high estimate)</t>
  </si>
  <si>
    <t>Asset values (central estimate)</t>
  </si>
  <si>
    <t>Economic Depreciation (2019-20 values)</t>
  </si>
  <si>
    <t>Water population</t>
  </si>
  <si>
    <t>Wastewater population</t>
  </si>
  <si>
    <t>Average population in 2020</t>
  </si>
  <si>
    <t>Annual growth rate (30 year scenario)</t>
  </si>
  <si>
    <t>2050 Population</t>
  </si>
  <si>
    <t>Councils</t>
  </si>
  <si>
    <t>Island</t>
  </si>
  <si>
    <t>LGNZ</t>
  </si>
  <si>
    <t>Territory</t>
  </si>
  <si>
    <t>5 entities: Waka Kotahi Regions</t>
  </si>
  <si>
    <t>4 entities: North Island split</t>
  </si>
  <si>
    <r>
      <t xml:space="preserve">4 entities: latitudinal split
</t>
    </r>
    <r>
      <rPr>
        <sz val="11"/>
        <rFont val="Calibri"/>
        <family val="2"/>
        <scheme val="minor"/>
      </rPr>
      <t>WICS Scenario 1</t>
    </r>
    <r>
      <rPr>
        <u/>
        <sz val="11"/>
        <rFont val="Calibri"/>
        <family val="2"/>
        <scheme val="minor"/>
      </rPr>
      <t xml:space="preserve">
</t>
    </r>
    <r>
      <rPr>
        <sz val="11"/>
        <rFont val="Calibri"/>
        <family val="2"/>
        <scheme val="minor"/>
      </rPr>
      <t>(North Island in 3, 1 on South Island)</t>
    </r>
  </si>
  <si>
    <r>
      <t xml:space="preserve">4 entities: top of South
</t>
    </r>
    <r>
      <rPr>
        <sz val="11"/>
        <rFont val="Calibri"/>
        <family val="2"/>
        <scheme val="minor"/>
      </rPr>
      <t>WICS Scenario 5</t>
    </r>
    <r>
      <rPr>
        <u/>
        <sz val="11"/>
        <rFont val="Calibri"/>
        <family val="2"/>
        <scheme val="minor"/>
      </rPr>
      <t xml:space="preserve">
</t>
    </r>
    <r>
      <rPr>
        <sz val="11"/>
        <rFont val="Calibri"/>
        <family val="2"/>
        <scheme val="minor"/>
      </rPr>
      <t>(top of South with North Island )</t>
    </r>
  </si>
  <si>
    <t>3 entities: Auckland separate</t>
  </si>
  <si>
    <r>
      <t xml:space="preserve">3 entities: Hauraki approach
</t>
    </r>
    <r>
      <rPr>
        <sz val="11"/>
        <rFont val="Calibri"/>
        <family val="2"/>
        <scheme val="minor"/>
      </rPr>
      <t>(Top of North Island by itself)</t>
    </r>
  </si>
  <si>
    <r>
      <t>3 entities: Top of South</t>
    </r>
    <r>
      <rPr>
        <sz val="11"/>
        <rFont val="Calibri"/>
        <family val="2"/>
        <scheme val="minor"/>
      </rPr>
      <t xml:space="preserve">
WICS Scenario 6
(Wellington with South Island)</t>
    </r>
  </si>
  <si>
    <r>
      <t xml:space="preserve">2 entities: Taupo North
</t>
    </r>
    <r>
      <rPr>
        <sz val="11"/>
        <rFont val="Calibri"/>
        <family val="2"/>
        <scheme val="minor"/>
      </rPr>
      <t>WICS Scenario 8</t>
    </r>
  </si>
  <si>
    <t>2 entities: North and South Islands separate</t>
  </si>
  <si>
    <r>
      <rPr>
        <u/>
        <sz val="11"/>
        <rFont val="Calibri"/>
        <family val="2"/>
        <scheme val="minor"/>
      </rPr>
      <t>5 entities (3 on North, 2 on South)</t>
    </r>
    <r>
      <rPr>
        <sz val="11"/>
        <rFont val="Calibri"/>
        <family val="2"/>
        <scheme val="minor"/>
      </rPr>
      <t xml:space="preserve">
WICS Scenario 2</t>
    </r>
  </si>
  <si>
    <r>
      <rPr>
        <u/>
        <sz val="11"/>
        <rFont val="Calibri"/>
        <family val="2"/>
        <scheme val="minor"/>
      </rPr>
      <t>8 entities (6 on North, 2 on South)</t>
    </r>
    <r>
      <rPr>
        <sz val="11"/>
        <rFont val="Calibri"/>
        <family val="2"/>
        <scheme val="minor"/>
      </rPr>
      <t xml:space="preserve">
WICS Scenario 3</t>
    </r>
  </si>
  <si>
    <r>
      <t xml:space="preserve"> 13 regional entities (8 on North Island and 5 on South Island)
</t>
    </r>
    <r>
      <rPr>
        <sz val="11"/>
        <rFont val="Calibri"/>
        <family val="2"/>
        <scheme val="minor"/>
      </rPr>
      <t>WICS Scenario 4</t>
    </r>
  </si>
  <si>
    <r>
      <t xml:space="preserve">3 entities (one serving top of North Island)
</t>
    </r>
    <r>
      <rPr>
        <sz val="11"/>
        <rFont val="Calibri"/>
        <family val="2"/>
        <scheme val="minor"/>
      </rPr>
      <t>WICS Scenario 7</t>
    </r>
  </si>
  <si>
    <r>
      <t xml:space="preserve">2 entities (North of North Island with all of South Island)
</t>
    </r>
    <r>
      <rPr>
        <sz val="11"/>
        <rFont val="Calibri"/>
        <family val="2"/>
        <scheme val="minor"/>
      </rPr>
      <t>WICS Scenario 9</t>
    </r>
  </si>
  <si>
    <r>
      <t xml:space="preserve">4 entities (2 on North Island, 2 on South Island)
</t>
    </r>
    <r>
      <rPr>
        <sz val="11"/>
        <rFont val="Calibri"/>
        <family val="2"/>
        <scheme val="minor"/>
      </rPr>
      <t>WICS Scenario 11</t>
    </r>
  </si>
  <si>
    <r>
      <t xml:space="preserve">4 entities (2 on North Island, 2 on South Island)
</t>
    </r>
    <r>
      <rPr>
        <sz val="11"/>
        <rFont val="Calibri"/>
        <family val="2"/>
        <scheme val="minor"/>
      </rPr>
      <t>WICS Scenario 12</t>
    </r>
  </si>
  <si>
    <r>
      <t xml:space="preserve">4 entities (2 on North Island, 2 on South Island)
</t>
    </r>
    <r>
      <rPr>
        <sz val="11"/>
        <rFont val="Calibri"/>
        <family val="2"/>
        <scheme val="minor"/>
      </rPr>
      <t>WICS Scenario 13</t>
    </r>
  </si>
  <si>
    <r>
      <t xml:space="preserve">4 entities (2 on North Island, 2 on South Island)
</t>
    </r>
    <r>
      <rPr>
        <sz val="11"/>
        <rFont val="Calibri"/>
        <family val="2"/>
        <scheme val="minor"/>
      </rPr>
      <t>WICS Scenario 14</t>
    </r>
  </si>
  <si>
    <r>
      <t xml:space="preserve">4 entities (2 on North Island, 2 on South Island)
</t>
    </r>
    <r>
      <rPr>
        <sz val="11"/>
        <rFont val="Calibri"/>
        <family val="2"/>
        <scheme val="minor"/>
      </rPr>
      <t>WICS Scenario 15</t>
    </r>
  </si>
  <si>
    <r>
      <t xml:space="preserve">4 entities (2 on North Island, 2 on South Island)
</t>
    </r>
    <r>
      <rPr>
        <sz val="11"/>
        <rFont val="Calibri"/>
        <family val="2"/>
        <scheme val="minor"/>
      </rPr>
      <t>WICS Scenario 16</t>
    </r>
  </si>
  <si>
    <r>
      <t xml:space="preserve">4 entities (2 on North Island, 2 on South Island)
</t>
    </r>
    <r>
      <rPr>
        <sz val="11"/>
        <rFont val="Calibri"/>
        <family val="2"/>
        <scheme val="minor"/>
      </rPr>
      <t>WICS Scenario 17</t>
    </r>
  </si>
  <si>
    <r>
      <t xml:space="preserve">4 entities (2 on North Island, 2 on South Island)
</t>
    </r>
    <r>
      <rPr>
        <sz val="11"/>
        <rFont val="Calibri"/>
        <family val="2"/>
        <scheme val="minor"/>
      </rPr>
      <t>WICS Scenario 18</t>
    </r>
  </si>
  <si>
    <r>
      <t xml:space="preserve">4 entities (2 on North Island, 2 on South Island)
</t>
    </r>
    <r>
      <rPr>
        <sz val="11"/>
        <rFont val="Calibri"/>
        <family val="2"/>
        <scheme val="minor"/>
      </rPr>
      <t>WICS Scenario 19</t>
    </r>
  </si>
  <si>
    <t>Scenario 30
Cabinet scenario
(4 entities)</t>
  </si>
  <si>
    <t>2023 Scenario 11a (West Coast with Canterbury) (11 entities)</t>
  </si>
  <si>
    <t>2023 Scenario 11b (West Coast with Nelson/Tasman/Marlborough) (11 entities)</t>
  </si>
  <si>
    <t>2023 Scenario 15 (NBA regions) (15 entities)</t>
  </si>
  <si>
    <t>2023 Scenario 11c (clear mapping to Cabinet scenario) (11 entities)</t>
  </si>
  <si>
    <t>2023 Scenario 10 (Northland with Auckland and West Coast with Canterbury) (10 entities)</t>
  </si>
  <si>
    <t>RFI Table F10</t>
  </si>
  <si>
    <t>Calculated</t>
  </si>
  <si>
    <t>Annual Report 2022, LTP 2021-2031, Information Return 2022</t>
  </si>
  <si>
    <t>Council annual report and accounts</t>
  </si>
  <si>
    <t>RFI Table E</t>
  </si>
  <si>
    <t>Annual Report 2022, LTP 2021-2031</t>
  </si>
  <si>
    <t>RFI G tables</t>
  </si>
  <si>
    <t>Input from model</t>
  </si>
  <si>
    <t>RFI Table J1</t>
  </si>
  <si>
    <t>RFI Table A1</t>
  </si>
  <si>
    <t>RFI Table A3</t>
  </si>
  <si>
    <t>RFI Table G1</t>
  </si>
  <si>
    <t>Auckland (Stormwater)</t>
  </si>
  <si>
    <t>Watercare</t>
  </si>
  <si>
    <t>Metro</t>
  </si>
  <si>
    <t>Auckland</t>
  </si>
  <si>
    <t>North</t>
  </si>
  <si>
    <t>B</t>
  </si>
  <si>
    <t>Ashburton</t>
  </si>
  <si>
    <t>South</t>
  </si>
  <si>
    <t>Provincial</t>
  </si>
  <si>
    <t>Canterbury</t>
  </si>
  <si>
    <t>E</t>
  </si>
  <si>
    <t>D</t>
  </si>
  <si>
    <t>C</t>
  </si>
  <si>
    <t>G</t>
  </si>
  <si>
    <t>K</t>
  </si>
  <si>
    <t>J</t>
  </si>
  <si>
    <t>M</t>
  </si>
  <si>
    <t>I</t>
  </si>
  <si>
    <t>Buller</t>
  </si>
  <si>
    <t>Rural</t>
  </si>
  <si>
    <t>West Coast</t>
  </si>
  <si>
    <t>L</t>
  </si>
  <si>
    <t>Carterton</t>
  </si>
  <si>
    <t>Wellington</t>
  </si>
  <si>
    <t>F</t>
  </si>
  <si>
    <t>H</t>
  </si>
  <si>
    <t>Central Hawke's Bay</t>
  </si>
  <si>
    <t>Hawke's Bay</t>
  </si>
  <si>
    <t>Central Otago</t>
  </si>
  <si>
    <t>Otago</t>
  </si>
  <si>
    <t>N</t>
  </si>
  <si>
    <t>Chatham Islands</t>
  </si>
  <si>
    <t>O</t>
  </si>
  <si>
    <t>Christchurch</t>
  </si>
  <si>
    <t>Clutha</t>
  </si>
  <si>
    <t>Dunedin</t>
  </si>
  <si>
    <t>Far North</t>
  </si>
  <si>
    <t>Northland</t>
  </si>
  <si>
    <t>Gisborne</t>
  </si>
  <si>
    <t>Gore</t>
  </si>
  <si>
    <t>Southland</t>
  </si>
  <si>
    <t>Grey</t>
  </si>
  <si>
    <t>Hamilton</t>
  </si>
  <si>
    <t>Waikato</t>
  </si>
  <si>
    <t>Hastings</t>
  </si>
  <si>
    <t>Hauraki</t>
  </si>
  <si>
    <t>Horowhenua</t>
  </si>
  <si>
    <t>Manawatu-Wanganui</t>
  </si>
  <si>
    <t>Hurunui</t>
  </si>
  <si>
    <t>Invercargill</t>
  </si>
  <si>
    <t>Kaikoura</t>
  </si>
  <si>
    <t>Kaipara</t>
  </si>
  <si>
    <t>Kapiti Coast</t>
  </si>
  <si>
    <t>Kawerau</t>
  </si>
  <si>
    <t xml:space="preserve">Bay of Plenty </t>
  </si>
  <si>
    <t>Lower Hutt</t>
  </si>
  <si>
    <t>Mackenzie</t>
  </si>
  <si>
    <t>Manawatu</t>
  </si>
  <si>
    <t>Marlborough</t>
  </si>
  <si>
    <t>Masterton</t>
  </si>
  <si>
    <t>Matamata-Piako</t>
  </si>
  <si>
    <t>Napier</t>
  </si>
  <si>
    <t>Nelson</t>
  </si>
  <si>
    <t>New Plymouth</t>
  </si>
  <si>
    <t>Taranaki</t>
  </si>
  <si>
    <t>Opotiki</t>
  </si>
  <si>
    <t>Otorohanga</t>
  </si>
  <si>
    <t>Palmerston North</t>
  </si>
  <si>
    <t>Porirua</t>
  </si>
  <si>
    <t>Queenstown Lakes</t>
  </si>
  <si>
    <t>Rangitikei</t>
  </si>
  <si>
    <t>Manawatu-Wanganui/Hawke's Bay</t>
  </si>
  <si>
    <t>Rotorua Lakes</t>
  </si>
  <si>
    <t>Waikato/BoP</t>
  </si>
  <si>
    <t>Ruapehu</t>
  </si>
  <si>
    <t>Selwyn</t>
  </si>
  <si>
    <t>South Taranaki</t>
  </si>
  <si>
    <t>South Waikato</t>
  </si>
  <si>
    <t>South Wairarapa</t>
  </si>
  <si>
    <t>Stratford</t>
  </si>
  <si>
    <t>Taranaki/M-W</t>
  </si>
  <si>
    <t>Tararua</t>
  </si>
  <si>
    <t>Tasman</t>
  </si>
  <si>
    <t>Taupo</t>
  </si>
  <si>
    <t>Waikato/BoP/Hawke's Bay</t>
  </si>
  <si>
    <t>Tauranga</t>
  </si>
  <si>
    <t>Bay of Plenty (BoP)</t>
  </si>
  <si>
    <t>Thames-Coromandel</t>
  </si>
  <si>
    <t>Timaru</t>
  </si>
  <si>
    <t>Upper Hutt</t>
  </si>
  <si>
    <t>Waimakariri</t>
  </si>
  <si>
    <t>Waimate</t>
  </si>
  <si>
    <t>Canterbury/Otago</t>
  </si>
  <si>
    <t>Waipa</t>
  </si>
  <si>
    <t>Wairoa</t>
  </si>
  <si>
    <t>Waitaki</t>
  </si>
  <si>
    <t>Waitomo</t>
  </si>
  <si>
    <t>Wellington City</t>
  </si>
  <si>
    <t>Western Bay of Plenty</t>
  </si>
  <si>
    <t>Westland</t>
  </si>
  <si>
    <t>Whakatane</t>
  </si>
  <si>
    <t>Whanganui</t>
  </si>
  <si>
    <t>Whangarei</t>
  </si>
  <si>
    <t>Subtotal</t>
  </si>
  <si>
    <t>Input council or amalgamation scenario</t>
  </si>
  <si>
    <t>Base case or Best case --&gt;</t>
  </si>
  <si>
    <t>No centralised services entity (CSE)</t>
  </si>
  <si>
    <t>Select 'No centralised services entity'; 'Base case' or 'Best case'</t>
  </si>
  <si>
    <t>Amalgamation or council --&gt;</t>
  </si>
  <si>
    <t>Amalgamation</t>
  </si>
  <si>
    <t>Select 'Council' or 'Amalgamation'</t>
  </si>
  <si>
    <t>Modelling period for Enhancement and Growth --&gt;</t>
  </si>
  <si>
    <t>Always select 30</t>
  </si>
  <si>
    <t>Investment method --&gt;</t>
  </si>
  <si>
    <t>Method 3: Revised NZ$185bn</t>
  </si>
  <si>
    <t>1 = RFI G tables; 2 = NZ$185bn</t>
  </si>
  <si>
    <t>Starting debt --&gt;</t>
  </si>
  <si>
    <t>Option 1 (based on mid-point estimate)</t>
  </si>
  <si>
    <t>Select 'Option 1 (based on mid-point estimate)' or 'Option 2 (based on high estimate)'</t>
  </si>
  <si>
    <t>Capital Goods Price Inflation over CPI (in amalgamation)--&gt;</t>
  </si>
  <si>
    <t>Select '0%' or '1%'</t>
  </si>
  <si>
    <t>Entity Scenario (in amalgamation)--&gt;</t>
  </si>
  <si>
    <t>10 entities - Auckland entity</t>
  </si>
  <si>
    <t>Select the filtered scenario and entity</t>
  </si>
  <si>
    <t>Sensitivity (75% of investment) --&gt;</t>
  </si>
  <si>
    <t>Always select 100%</t>
  </si>
  <si>
    <t>Year</t>
  </si>
  <si>
    <t>Item</t>
  </si>
  <si>
    <t>Value</t>
  </si>
  <si>
    <t>General Assumptions</t>
  </si>
  <si>
    <t>Year number</t>
  </si>
  <si>
    <t>Inflation</t>
  </si>
  <si>
    <t>NZ Treasury CPI inflation forecast</t>
  </si>
  <si>
    <t>Inflation applied to FY22 actuals (fixed from 2028 onwards)</t>
  </si>
  <si>
    <t>Inflation index (2024 to outturn prices)</t>
  </si>
  <si>
    <t>Inflation index (2022 to outturn prices)</t>
  </si>
  <si>
    <t>Inflation index (2020 to outturn prices)</t>
  </si>
  <si>
    <t>Capital Real Price Effect (applies in council scenario)</t>
  </si>
  <si>
    <t>Capital Price Inflation (2022 to outturn prices)</t>
  </si>
  <si>
    <t>Growth in connections</t>
  </si>
  <si>
    <t>Growth in connections (2024 base year)</t>
  </si>
  <si>
    <t>Modelling starts in year</t>
  </si>
  <si>
    <t>Modelling ends in year</t>
  </si>
  <si>
    <t>Balance Sheet</t>
  </si>
  <si>
    <t>Asset value</t>
  </si>
  <si>
    <t>Estimated MEAV (based on SW benchmark)</t>
  </si>
  <si>
    <t>Accumulated Depreciation</t>
  </si>
  <si>
    <t>Inherited debt</t>
  </si>
  <si>
    <t xml:space="preserve">Additional Starting Debt </t>
  </si>
  <si>
    <t>Used in original analysis</t>
  </si>
  <si>
    <t>Connected population of selected entity/council</t>
  </si>
  <si>
    <t>NZ connected population - total</t>
  </si>
  <si>
    <t>Pro-rata adjustment</t>
  </si>
  <si>
    <t>NZ connected population - less Auckland</t>
  </si>
  <si>
    <t>NZ connected population - less Auckland and Northland</t>
  </si>
  <si>
    <t>Connected population pro-rata adjustment</t>
  </si>
  <si>
    <t>4 entities - Auckland entity</t>
  </si>
  <si>
    <t>4 entities - non-Auckland entity</t>
  </si>
  <si>
    <t>8 entities - Auckland entity</t>
  </si>
  <si>
    <t>8 entities - non-Auckland entity</t>
  </si>
  <si>
    <t>10 entities - non-Auckland entity</t>
  </si>
  <si>
    <t>11 entities - Auckland entity</t>
  </si>
  <si>
    <t>11 entities - non-Auckland entity</t>
  </si>
  <si>
    <t>New Zealand total additional set up costs</t>
  </si>
  <si>
    <t>No worse off</t>
  </si>
  <si>
    <t>Additional set up costs</t>
  </si>
  <si>
    <t>No worse off + additional set up costs</t>
  </si>
  <si>
    <t>Set up costs for new centralised entity</t>
  </si>
  <si>
    <t>Year in which starting debt applies (under amalgamation)</t>
  </si>
  <si>
    <t>Additional Starting Debt</t>
  </si>
  <si>
    <t>Additional Starting Debt used in model (applies in amalgamation)</t>
  </si>
  <si>
    <t>Repayment term</t>
  </si>
  <si>
    <t>Spend-to-save</t>
  </si>
  <si>
    <t>Spend-to-save used in model (applies in amalgamation)</t>
  </si>
  <si>
    <t>Connected population</t>
  </si>
  <si>
    <t>NZ connected population</t>
  </si>
  <si>
    <t>Period over which spend-to-save applies</t>
  </si>
  <si>
    <t>Spend-to-save allowance (applies in amalgamation)</t>
  </si>
  <si>
    <t>Profit and Loss Assumptions (Real prices)</t>
  </si>
  <si>
    <t>Treasury projected base (nominal) interest rate (10 year bond yield)</t>
  </si>
  <si>
    <t>Real interest rate modelled from 2028 onwards</t>
  </si>
  <si>
    <t>Starting revenue</t>
  </si>
  <si>
    <t>Cabinet Scenario 30, Entity B, Connected population in 2020</t>
  </si>
  <si>
    <t>Starting opex (outturn prices)</t>
  </si>
  <si>
    <t>Interest rate premium</t>
  </si>
  <si>
    <t>Social rate of time preference</t>
  </si>
  <si>
    <t xml:space="preserve">Interest rate </t>
  </si>
  <si>
    <t>Interest on cash</t>
  </si>
  <si>
    <t>Efficiency assumptions</t>
  </si>
  <si>
    <t>Regulatory effectiveness</t>
  </si>
  <si>
    <t>Operating efficiency (if 800,000 pop.)</t>
  </si>
  <si>
    <t>Operating efficiency (actual entity pop.)</t>
  </si>
  <si>
    <t>Operating efficiency including recovery in</t>
  </si>
  <si>
    <t>Percentage of full efficiency potential recovered in</t>
  </si>
  <si>
    <t>Operating expenditure efficiency</t>
  </si>
  <si>
    <t>Scope for capital expenditure efficiency for NZ</t>
  </si>
  <si>
    <t>Capital expenditure efficiency for 20% of Enhancement and Growth</t>
  </si>
  <si>
    <t xml:space="preserve"> </t>
  </si>
  <si>
    <t>Capital expenditure efficiency for 80% of Enhancement and Growth</t>
  </si>
  <si>
    <t xml:space="preserve">TFP in New Zealand </t>
  </si>
  <si>
    <t>Percentage of TFP achieved</t>
  </si>
  <si>
    <t>Population</t>
  </si>
  <si>
    <t>Population adjustment to TFP</t>
  </si>
  <si>
    <t>TFP for three waters (if &gt;800,000 population)</t>
  </si>
  <si>
    <t>TFP for three waters (with actual population)</t>
  </si>
  <si>
    <t>TFP for three waters (applies in amalgamation)</t>
  </si>
  <si>
    <t>Operating expenditure efficiency position today</t>
  </si>
  <si>
    <t>Operating expenditure efficiency position in year 20</t>
  </si>
  <si>
    <t>Efficiency gap</t>
  </si>
  <si>
    <t>60% closure</t>
  </si>
  <si>
    <t>Efficiency gap closed between years 5 and 10</t>
  </si>
  <si>
    <t>Operating expenditure efficiency position in year 10</t>
  </si>
  <si>
    <t>Efficiency gap closed between years 10 and 15</t>
  </si>
  <si>
    <t>Operating expenditure efficiency position in year 15</t>
  </si>
  <si>
    <t>Efficiency gap closed between years 15 and 20</t>
  </si>
  <si>
    <t>Operating expenditure efficiency (per annum) between years 5 and 10</t>
  </si>
  <si>
    <t>Operating expenditure efficiency (per annum) between years 10 and 15</t>
  </si>
  <si>
    <t>Operating expenditure efficiency (per annum) between years 15 and 20</t>
  </si>
  <si>
    <t>Asset management portion of Enhancement and Growth investment (20%)</t>
  </si>
  <si>
    <t>Capital planning and delivery portion of Enhancement and Growth investment (80%)</t>
  </si>
  <si>
    <t>Capital expenditure efficiency position today</t>
  </si>
  <si>
    <t>Capital expenditure efficiency position in year 20</t>
  </si>
  <si>
    <t>Capital expenditure efficiency position in year 10</t>
  </si>
  <si>
    <t>Capital expenditure efficiency position in year 15</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</si>
  <si>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</si>
  <si>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</si>
  <si>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</si>
  <si>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</si>
  <si>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 for 20% of Enhancement and Growth</t>
  </si>
  <si>
    <t>Capital expenditure efficiency factor for 80% of Enhancement and Growth</t>
  </si>
  <si>
    <t xml:space="preserve">TFP efficiency factor </t>
  </si>
  <si>
    <t>Asset and Investment Assumptions (Real prices)</t>
  </si>
  <si>
    <t>Total economic depreciation (outturn prices)</t>
  </si>
  <si>
    <t>Total enhancement and growth investment (outturn prices)</t>
  </si>
  <si>
    <t>Sensitivity adjustment (75% of scenario)</t>
  </si>
  <si>
    <t>Total enhancement and growth investment (post-sensitivity)</t>
  </si>
  <si>
    <t>Number of years delivered over</t>
  </si>
  <si>
    <t>Enhancement and growth investment (annual)</t>
  </si>
  <si>
    <t>Enhancement and growth percentage (years 1-10)</t>
  </si>
  <si>
    <t>Enhancement and growth investment (years 1 - 10)</t>
  </si>
  <si>
    <t>Enhancement short and medium life percentage</t>
  </si>
  <si>
    <t>Enhancement long life percentage</t>
  </si>
  <si>
    <t>Short and medium asset life</t>
  </si>
  <si>
    <t>Long asset life</t>
  </si>
  <si>
    <t xml:space="preserve">New opex </t>
  </si>
  <si>
    <t>Percentage of new opex allowed for</t>
  </si>
  <si>
    <t>New opex used in model (applies in council scenarios)</t>
  </si>
  <si>
    <t>Opening capital maintenance (2021-22 real prices)</t>
  </si>
  <si>
    <t>Investment to 2054 (2021-22 real prices)</t>
  </si>
  <si>
    <t>Investment between 2054 to 2061 (40 year scenario)</t>
  </si>
  <si>
    <t>Required enhancement and growth capital expenditure (real prices)</t>
  </si>
  <si>
    <t>20% required enhancement and growth capital expenditure (real prices)</t>
  </si>
  <si>
    <t>80% required enhancement and growth capital expenditure (real prices)</t>
  </si>
  <si>
    <t>Catch-up efficiency on 20% E+G capital expenditure (real prices)</t>
  </si>
  <si>
    <t>Catch-up efficiency on 80% E+G capital expenditure (real prices)</t>
  </si>
  <si>
    <t>TFP on capital expenditure (real prices)</t>
  </si>
  <si>
    <t>Enhancement and growth expenditure post efficiency (real prices)</t>
  </si>
  <si>
    <t>Cumulative new depreciation (real prices)</t>
  </si>
  <si>
    <t>New operating expenditure (real prices)</t>
  </si>
  <si>
    <t>NPC assumptions</t>
  </si>
  <si>
    <t>Years</t>
  </si>
  <si>
    <t>Discount rate</t>
  </si>
  <si>
    <t>Customer base assumptions</t>
  </si>
  <si>
    <t>Connected Population</t>
  </si>
  <si>
    <t>References for switch</t>
  </si>
  <si>
    <t>Method 1: RFI G tables</t>
  </si>
  <si>
    <t>Method 2: Original NZ$185bn</t>
  </si>
  <si>
    <t>Council</t>
  </si>
  <si>
    <t>1 CSE - Base case</t>
  </si>
  <si>
    <t>1 CSE - Best case</t>
  </si>
  <si>
    <t>4 CSE - Base case</t>
  </si>
  <si>
    <t>4 CSE - Best case</t>
  </si>
  <si>
    <t>Option 2 (based on high estimate)</t>
  </si>
  <si>
    <t>Outcomes</t>
  </si>
  <si>
    <t>Ratio Value</t>
  </si>
  <si>
    <t>Annual price increase</t>
  </si>
  <si>
    <t>Debt to Revenue</t>
  </si>
  <si>
    <t>Minimum Free Cash Flow to Debt</t>
  </si>
  <si>
    <t>Maximum Leverage</t>
  </si>
  <si>
    <t>Minimum Interest Cover</t>
  </si>
  <si>
    <t>Thresholds for FFO/debt for different connected populations</t>
  </si>
  <si>
    <t>FFO:Debt target (incl 2% resilience)</t>
  </si>
  <si>
    <t>Entity population</t>
  </si>
  <si>
    <t>&gt;800,000</t>
  </si>
  <si>
    <t>&gt;500,000</t>
  </si>
  <si>
    <t>&gt;200,000</t>
  </si>
  <si>
    <t>&gt;100,000</t>
  </si>
  <si>
    <t>&lt;100,000</t>
  </si>
  <si>
    <t>Capital Maintenance on existing assets (2021-22 prices)</t>
  </si>
  <si>
    <t>Required enhancement and growth capital expenditure (2021-22 prices)</t>
  </si>
  <si>
    <t>20% required enhancement and growth capital expenditure (2021-22 prices)</t>
  </si>
  <si>
    <t>80% required enhancement and growth capital expenditure (2021-22 prices)</t>
  </si>
  <si>
    <t>Cumulative economic depreciation on new assets (2021-22 prices)</t>
  </si>
  <si>
    <t>Capital price inflation</t>
  </si>
  <si>
    <t>Capital Maintenance/ asset replacement (projected outturn prices)</t>
  </si>
  <si>
    <t>Required enhancement and growth capital expenditure (projected outturn prices)</t>
  </si>
  <si>
    <t>20% required enhancement and growth capital expenditure (projected outturn prices)</t>
  </si>
  <si>
    <t>80% required enhancement and growth capital expenditure (projected outturn prices)</t>
  </si>
  <si>
    <t>Cumulative economic depreciation on new assets (projected outturn prices)</t>
  </si>
  <si>
    <t>TFP efficiency factor</t>
  </si>
  <si>
    <t>TFP on Capital Maintenance on existing assets (projected outturn prices)</t>
  </si>
  <si>
    <t>Catch-up efficiency on 20% enhancement and growth capital expenditure</t>
  </si>
  <si>
    <t>Catch-up efficiency on 80% enhancement and growth capital expenditure</t>
  </si>
  <si>
    <t>TFP efficiency on required enhancement and growth capital expenditure (projected outturn prices)</t>
  </si>
  <si>
    <t>TFP efficiency on economic depreciation on new assets (projected outturn prices)</t>
  </si>
  <si>
    <t>Net Investment (projected outturn prices)</t>
  </si>
  <si>
    <t>Operating Costs Not including Depreciation</t>
  </si>
  <si>
    <t>Depreciation</t>
  </si>
  <si>
    <t>Interest charges</t>
  </si>
  <si>
    <t>Profit/ (loss)</t>
  </si>
  <si>
    <t>Base operating costs (projected outturn prices)</t>
  </si>
  <si>
    <t>Spend-to-save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</si>
  <si>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</si>
  <si>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</si>
  <si>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</si>
  <si>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</si>
  <si>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TFP efficiency on spend-to-save operating costs (projected outturn prices)</t>
  </si>
  <si>
    <t>Catch-up efficiency on new operating costs</t>
  </si>
  <si>
    <t>TFP efficiency on new operating costs</t>
  </si>
  <si>
    <t>Total operating costs post efficiency</t>
  </si>
  <si>
    <t>Assets plus year on year additions</t>
  </si>
  <si>
    <t>Total asset depreciation</t>
  </si>
  <si>
    <t>Net Total Assets</t>
  </si>
  <si>
    <t>Community Equity</t>
  </si>
  <si>
    <r>
      <rPr>
        <b/>
        <sz val="12"/>
        <color theme="1"/>
        <rFont val="Calibri"/>
        <family val="2"/>
        <scheme val="minor"/>
      </rPr>
      <t>CLOSING</t>
    </r>
    <r>
      <rPr>
        <sz val="12"/>
        <color theme="1"/>
        <rFont val="Calibri"/>
        <family val="2"/>
        <scheme val="minor"/>
      </rPr>
      <t xml:space="preserve"> Debt</t>
    </r>
  </si>
  <si>
    <t>Net Income</t>
  </si>
  <si>
    <t>Net Cash Flow from Operations</t>
  </si>
  <si>
    <t>Repayment of debt principal</t>
  </si>
  <si>
    <t>Total investment</t>
  </si>
  <si>
    <t>Net cashflow from operations and investment</t>
  </si>
  <si>
    <t>Net Cashflow</t>
  </si>
  <si>
    <t>MEAV</t>
  </si>
  <si>
    <t>Starting Depreciation</t>
  </si>
  <si>
    <t>Charged Depreciation on old assets</t>
  </si>
  <si>
    <t>Charged depreciation on new assets</t>
  </si>
  <si>
    <t>Cumulative Depreciation</t>
  </si>
  <si>
    <t>Ending depreciation</t>
  </si>
  <si>
    <t>Asset additions</t>
  </si>
  <si>
    <t>Total assets before new depreciation</t>
  </si>
  <si>
    <t>Outstanding debt</t>
  </si>
  <si>
    <t>Unlevered assets</t>
  </si>
  <si>
    <t>Opening debt</t>
  </si>
  <si>
    <t>Additional borrowing at restructuring</t>
  </si>
  <si>
    <t>New Debt</t>
  </si>
  <si>
    <t>Closing debt</t>
  </si>
  <si>
    <t>Interest charge</t>
  </si>
  <si>
    <t>Outturn prices</t>
  </si>
  <si>
    <t>Investment</t>
  </si>
  <si>
    <t>Total expenditure excluding interest</t>
  </si>
  <si>
    <t xml:space="preserve">Total expenditure </t>
  </si>
  <si>
    <t>Real 2021- 22 prices</t>
  </si>
  <si>
    <t>Period</t>
  </si>
  <si>
    <t>Average connected population between 2025 and 2054</t>
  </si>
  <si>
    <t>Net present cost: total expenditure excluding interest between 2025 and 2054</t>
  </si>
  <si>
    <t>Net present cost: total expenditure between 2025 and 2054</t>
  </si>
  <si>
    <t>Net present cost per year: total expenditure excluding interest between 2025 and 2054</t>
  </si>
  <si>
    <t>Net present cost per year: total expenditure between 2025 and 2054</t>
  </si>
  <si>
    <t>Net present cost per year per head (excluding interest) between 2025 and 2054</t>
  </si>
  <si>
    <t>Net present cost per year per head (including interest) between 2025 and 2054</t>
  </si>
  <si>
    <t>This sheet is intentionally left blank</t>
  </si>
  <si>
    <t>F3</t>
  </si>
  <si>
    <t>F7a</t>
  </si>
  <si>
    <t>Debt reported in the RFI</t>
  </si>
  <si>
    <t>Interest reported in the RFI</t>
  </si>
  <si>
    <t>Finance costs reported in the FIS</t>
  </si>
  <si>
    <t>Greater Wellington</t>
  </si>
  <si>
    <t>Aligns with Annual Report p.8</t>
  </si>
  <si>
    <t>Allocation of Greater Wellington</t>
  </si>
  <si>
    <t>Lower Hutt City</t>
  </si>
  <si>
    <t>Porirua City</t>
  </si>
  <si>
    <t>South Wairarapa District</t>
  </si>
  <si>
    <t>Upper Hutt City</t>
  </si>
  <si>
    <t>Wellington Greater</t>
  </si>
  <si>
    <t>GW no worse off/better off</t>
  </si>
  <si>
    <t>Consumers price index</t>
  </si>
  <si>
    <t>Forecast</t>
  </si>
  <si>
    <t>Base: June 2017 quarter (=1000)</t>
  </si>
  <si>
    <t>Source:</t>
  </si>
  <si>
    <t>https://www.treasury.govt.nz/publications/efu/half-year-economic-and-fiscal-update-2022</t>
  </si>
  <si>
    <t>Executive summary figure</t>
  </si>
  <si>
    <t>Quarter</t>
  </si>
  <si>
    <t>Jun-17</t>
  </si>
  <si>
    <t>Sep-17</t>
  </si>
  <si>
    <t>Dec-17</t>
  </si>
  <si>
    <t>Mar-18</t>
  </si>
  <si>
    <t>Jun-18</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</si>
  <si>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</si>
  <si>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</si>
  <si>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</si>
  <si>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</si>
  <si>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</si>
  <si>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</si>
  <si>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</si>
  <si>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</si>
  <si>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</si>
  <si>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</si>
  <si>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</si>
  <si>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</si>
  <si>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</si>
  <si>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</si>
  <si>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</si>
  <si>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</si>
  <si>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</si>
  <si>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</si>
  <si>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</si>
  <si>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</si>
  <si>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Jun-24</t>
  </si>
  <si>
    <t>Sep-24</t>
  </si>
  <si>
    <t>Dec-24</t>
  </si>
  <si>
    <t>Mar-25</t>
  </si>
  <si>
    <t>Jun-25</t>
  </si>
  <si>
    <t>Sep-25</t>
  </si>
  <si>
    <t>Dec-25</t>
  </si>
  <si>
    <t>Mar-26</t>
  </si>
  <si>
    <t>Jun-26</t>
  </si>
  <si>
    <t>Sep-26</t>
  </si>
  <si>
    <t>Dec-26</t>
  </si>
  <si>
    <t>Mar-27</t>
  </si>
  <si>
    <t>Jun-27</t>
  </si>
  <si>
    <t>All groups</t>
  </si>
  <si>
    <t>SE9A</t>
  </si>
  <si>
    <t>FY average inflation index value</t>
  </si>
  <si>
    <t>FY average inflation %</t>
  </si>
  <si>
    <t>Note: Forecast inflation is assumed to be from June to June, not a FY average</t>
  </si>
  <si>
    <t>Capital goods price index</t>
  </si>
  <si>
    <t>Base: September 1999 quarter (=1000)</t>
  </si>
  <si>
    <t>S2GG</t>
  </si>
  <si>
    <t>2024 revenue adjustment</t>
  </si>
  <si>
    <t>2024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</si>
</sst>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quot;£&quot;#,##0;[Red]\-&quot;£&quot;#,##0"/>
    <numFmt numFmtId="165" formatCode="&quot;£&quot;#,##0.00;[Red]\-&quot;£&quot;#,##0.00"/>
    <numFmt numFmtId="166" formatCode="_-&quot;£&quot;* #,##0.00_-;\-&quot;£&quot;* #,##0.00_-;_-&quot;£&quot;* &quot;-&quot;??_-;_-@_-"/>
    <numFmt numFmtId="167" formatCode="_(&quot;£&quot;* #,##0.00_);_(&quot;£&quot;* \(#,##0.00\);_(&quot;£&quot;* &quot;-&quot;??_);_(@_)"/>
    <numFmt numFmtId="168" formatCode="_(* #,##0.00_);_(* \(#,##0.00\);_(* &quot;-&quot;??_);_(@_)"/>
    <numFmt numFmtId="169" formatCode="_([$$-409]* #,##0_);_([$$-409]* \(#,##0\);_([$$-409]* &quot;-&quot;??_);_(@_)"/>
    <numFmt numFmtId="170" formatCode="_(* #,##0_);_(* \(#,##0\);_(* &quot;-&quot;??_);_(@_)"/>
    <numFmt numFmtId="171" formatCode="_(* #,##0.0000_);_(* \(#,##0.0000\);_(* &quot;-&quot;??_);_(@_)"/>
    <numFmt numFmtId="172" formatCode="0.0%"/>
    <numFmt numFmtId="173" formatCode="0.000"/>
    <numFmt numFmtId="174" formatCode="_([$$-409]* #,##0.00_);_([$$-409]* \(#,##0.00\);_([$$-409]* &quot;-&quot;??_);_(@_)"/>
    <numFmt numFmtId="175" formatCode="_-[$$-409]* #,##0.00_ ;_-[$$-409]* \-#,##0.00\ ;_-[$$-409]* &quot;-&quot;??_ ;_-@_ "/>
    <numFmt numFmtId="176" formatCode="_-[$$-409]* #,##0_ ;_-[$$-409]* \-#,##0\ ;_-[$$-409]* &quot;-&quot;??_ ;_-@_ "/>
    <numFmt numFmtId="177" formatCode="_-* #,##0_-;\-* #,##0_-;_-* &quot;-&quot;??_-;_-@_-"/>
    <numFmt numFmtId="178" formatCode="0.0"/>
    <numFmt numFmtId="179" formatCode="[$$-1409]#,##0"/>
    <numFmt numFmtId="180" formatCode="0.0000"/>
    <numFmt numFmtId="181" formatCode="_-* #,##0.000_-;\-* #,##0.000_-;_-* &quot;-&quot;??_-;_-@_-"/>
    <numFmt numFmtId="182" formatCode="_-[$$-1409]* #,##0_-;\-[$$-1409]* #,##0_-;_-[$$-1409]* &quot;-&quot;_-;_-@_-"/>
    <numFmt numFmtId="183" formatCode="[$$-1409]#,##0.00"/>
    <numFmt numFmtId="184" formatCode="0.000%"/>
    <numFmt numFmtId="185" formatCode="0.00000%"/>
    <numFmt numFmtId="186" formatCode="_-* #,##0_-;\-* #,##0_-;_-* &quot;-&quot;?????_-;_-@_-"/>
    <numFmt numFmtId="187" formatCode="_(* #,##0.000_);_(* \(#,##0.000\);_(* &quot;-&quot;??_);_(@_)"/>
    <numFmt numFmtId="188" formatCode="[$$-1409]#,##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2"/>
      <color rgb="FFFF0000"/>
      <name val="Calibri"/>
      <family val="2"/>
      <scheme val="minor"/>
    </font>
    <font>
      <b/>
      <sz val="11"/>
      <name val="Calibri"/>
      <family val="2"/>
      <scheme val="minor"/>
    </font>
    <font>
      <u/>
      <sz val="11"/>
      <name val="Calibri"/>
      <family val="2"/>
      <scheme val="minor"/>
    </font>
    <font>
      <b/>
      <sz val="16"/>
      <name val="Calibri"/>
      <family val="2"/>
      <scheme val="minor"/>
    </font>
    <font>
      <u/>
      <sz val="12"/>
      <color theme="10"/>
      <name val="Calibri"/>
      <family val="2"/>
      <scheme val="minor"/>
    </font>
    <font>
      <i/>
      <sz val="12"/>
      <color theme="1"/>
      <name val="Calibri"/>
      <family val="2"/>
      <scheme val="minor"/>
    </font>
    <font>
      <b/>
      <sz val="20"/>
      <color theme="4"/>
      <name val="Calibri"/>
      <family val="2"/>
      <scheme val="minor"/>
    </font>
    <font>
      <i/>
      <sz val="12"/>
      <color rgb="FFFF0000"/>
      <name val="Calibri"/>
      <family val="2"/>
      <scheme val="minor"/>
    </font>
    <font>
      <sz val="12"/>
      <color theme="0" tint="-0.249977111117893"/>
      <name val="Calibri"/>
      <family val="2"/>
      <scheme val="minor"/>
    </font>
    <font>
      <i/>
      <sz val="12"/>
      <color theme="0" tint="-0.249977111117893"/>
      <name val="Calibri"/>
      <family val="2"/>
      <scheme val="minor"/>
    </font>
    <font>
      <i/>
      <sz val="12"/>
      <name val="Calibri"/>
      <family val="2"/>
      <scheme val="minor"/>
    </font>
    <font>
      <b/>
      <i/>
      <sz val="12"/>
      <color theme="1"/>
      <name val="Calibri"/>
      <family val="2"/>
      <scheme val="minor"/>
    </font>
    <font>
      <sz val="12"/>
      <color rgb="FF00B050"/>
      <name val="Calibri"/>
      <family val="2"/>
      <scheme val="minor"/>
    </font>
    <font>
      <b/>
      <sz val="9"/>
      <color indexed="81"/>
      <name val="Tahoma"/>
      <family val="2"/>
    </font>
    <font>
      <sz val="9"/>
      <color indexed="81"/>
      <name val="Tahoma"/>
      <family val="2"/>
    </font>
    <font>
      <i/>
      <sz val="12"/>
      <color theme="4"/>
      <name val="Calibri"/>
      <family val="2"/>
      <scheme val="minor"/>
    </font>
    <font>
      <b/>
      <u/>
      <sz val="12"/>
      <color theme="1"/>
      <name val="Calibri"/>
      <family val="2"/>
      <scheme val="minor"/>
    </font>
    <font>
      <sz val="16"/>
      <color rgb="FF00B050"/>
      <name val="Calibri"/>
      <family val="2"/>
      <scheme val="minor"/>
    </font>
    <font>
      <sz val="14"/>
      <color theme="1"/>
      <name val="Calibri"/>
      <family val="2"/>
      <scheme val="minor"/>
    </font>
    <font>
      <u/>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6">
    <xf numFmtId="0" fontId="0" fillId="0" borderId="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applyNumberFormat="0" applyFill="0" applyBorder="0" applyAlignment="0" applyProtection="0"/>
    <xf numFmtId="0" fontId="8" fillId="0" borderId="0"/>
    <xf numFmtId="0" fontId="4" fillId="0" borderId="0"/>
    <xf numFmtId="9" fontId="4" fillId="0" borderId="0" applyFont="0" applyFill="0" applyBorder="0" applyAlignment="0" applyProtection="0"/>
    <xf numFmtId="0" fontId="3" fillId="3" borderId="0" applyNumberFormat="0" applyBorder="0" applyAlignment="0" applyProtection="0"/>
    <xf numFmtId="43"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9">
    <xf numFmtId="0" fontId="0" fillId="0" borderId="0" xfId="0"/>
    <xf numFmtId="169" fontId="0" fillId="0" borderId="0" xfId="0" applyNumberFormat="1"/>
    <xf numFmtId="169" fontId="0" fillId="0" borderId="0" xfId="2" applyNumberFormat="1" applyFont="1"/>
    <xf numFmtId="170" fontId="0" fillId="0" borderId="0" xfId="1" applyNumberFormat="1" applyFont="1"/>
    <xf numFmtId="168" fontId="0" fillId="0" borderId="0" xfId="0" applyNumberFormat="1"/>
    <xf numFmtId="175" fontId="0" fillId="0" borderId="0" xfId="0" applyNumberFormat="1"/>
    <xf numFmtId="176" fontId="0" fillId="0" borderId="0" xfId="0" applyNumberFormat="1"/>
    <xf numFmtId="0" fontId="9" fillId="0" borderId="0" xfId="0" applyFont="1"/>
    <xf numFmtId="0" fontId="10" fillId="0" borderId="0" xfId="0" applyFont="1"/>
    <xf numFmtId="0" fontId="10" fillId="0" borderId="2" xfId="1" applyNumberFormat="1" applyFont="1" applyFill="1" applyBorder="1"/>
    <xf numFmtId="0" fontId="10" fillId="0" borderId="2" xfId="0" applyFont="1" applyBorder="1"/>
    <xf numFmtId="0" fontId="10" fillId="0" borderId="0" xfId="1" applyNumberFormat="1" applyFont="1" applyFill="1" applyBorder="1"/>
    <xf numFmtId="169" fontId="0" fillId="0" borderId="5" xfId="0" applyNumberFormat="1" applyBorder="1"/>
    <xf numFmtId="0" fontId="0" fillId="0" borderId="5" xfId="0" applyBorder="1"/>
    <xf numFmtId="0" fontId="0" fillId="0" borderId="6" xfId="0" applyBorder="1"/>
    <xf numFmtId="0" fontId="10" fillId="0" borderId="1" xfId="0" applyFont="1" applyBorder="1"/>
    <xf numFmtId="0" fontId="10" fillId="0" borderId="11" xfId="0" applyFont="1" applyBorder="1"/>
    <xf numFmtId="0" fontId="0" fillId="0" borderId="11" xfId="0" applyBorder="1"/>
    <xf numFmtId="0" fontId="0" fillId="0" borderId="4" xfId="0" applyBorder="1"/>
    <xf numFmtId="0" fontId="11" fillId="0" borderId="0" xfId="0" applyFont="1"/>
    <xf numFmtId="172" fontId="0" fillId="0" borderId="0" xfId="0" applyNumberFormat="1"/>
    <xf numFmtId="0" fontId="15" fillId="0" borderId="7" xfId="0" applyFont="1" applyBorder="1"/>
    <xf numFmtId="0" fontId="15" fillId="0" borderId="9" xfId="0" applyFont="1" applyBorder="1"/>
    <xf numFmtId="0" fontId="14" fillId="0" borderId="8" xfId="0" applyFont="1" applyBorder="1"/>
    <xf numFmtId="179" fontId="0" fillId="0" borderId="0" xfId="0" applyNumberFormat="1"/>
    <xf numFmtId="0" fontId="0" fillId="0" borderId="0" xfId="0" applyAlignment="1">
      <alignment horizontal="center"/>
    </xf>
    <xf numFmtId="0" fontId="14" fillId="0" borderId="0" xfId="0" applyFont="1"/>
    <xf numFmtId="0" fontId="10" fillId="0" borderId="7" xfId="0" applyFont="1" applyBorder="1"/>
    <xf numFmtId="0" fontId="14" fillId="0" borderId="9" xfId="0" applyFont="1" applyBorder="1"/>
    <xf numFmtId="170" fontId="0" fillId="0" borderId="0" xfId="1" applyNumberFormat="1" applyFont="1" applyFill="1" applyBorder="1"/>
    <xf numFmtId="0" fontId="0" fillId="0" borderId="10" xfId="0" applyBorder="1"/>
    <xf numFmtId="171" fontId="0" fillId="0" borderId="0" xfId="0" applyNumberFormat="1"/>
    <xf numFmtId="0" fontId="14" fillId="0" borderId="7" xfId="0" applyFont="1" applyBorder="1"/>
    <xf numFmtId="176" fontId="14" fillId="0" borderId="9" xfId="1" applyNumberFormat="1" applyFont="1" applyFill="1" applyBorder="1"/>
    <xf numFmtId="169" fontId="0" fillId="0" borderId="2" xfId="0" applyNumberFormat="1" applyBorder="1"/>
    <xf numFmtId="0" fontId="0" fillId="0" borderId="2" xfId="0" applyBorder="1"/>
    <xf numFmtId="0" fontId="0" fillId="0" borderId="3" xfId="0" applyBorder="1"/>
    <xf numFmtId="9" fontId="0" fillId="0" borderId="0" xfId="3" applyFont="1" applyFill="1" applyBorder="1"/>
    <xf numFmtId="170" fontId="0" fillId="0" borderId="0" xfId="1" applyNumberFormat="1" applyFont="1" applyFill="1"/>
    <xf numFmtId="170" fontId="0" fillId="0" borderId="0" xfId="0" applyNumberFormat="1"/>
    <xf numFmtId="9" fontId="0" fillId="0" borderId="0" xfId="3" applyFont="1" applyFill="1"/>
    <xf numFmtId="168" fontId="0" fillId="0" borderId="0" xfId="1" applyFont="1" applyFill="1"/>
    <xf numFmtId="173" fontId="0" fillId="0" borderId="0" xfId="0" applyNumberFormat="1"/>
    <xf numFmtId="2" fontId="0" fillId="0" borderId="0" xfId="0" applyNumberFormat="1"/>
    <xf numFmtId="174" fontId="0" fillId="0" borderId="0" xfId="0" applyNumberFormat="1"/>
    <xf numFmtId="181" fontId="0" fillId="0" borderId="0" xfId="0" applyNumberFormat="1"/>
    <xf numFmtId="170" fontId="14" fillId="0" borderId="9" xfId="1" applyNumberFormat="1" applyFont="1" applyFill="1" applyBorder="1"/>
    <xf numFmtId="0" fontId="15" fillId="0" borderId="0" xfId="0" applyFont="1"/>
    <xf numFmtId="0" fontId="17" fillId="0" borderId="0" xfId="0" applyFont="1"/>
    <xf numFmtId="179" fontId="14" fillId="0" borderId="0" xfId="0" applyNumberFormat="1" applyFont="1"/>
    <xf numFmtId="169" fontId="11" fillId="0" borderId="2" xfId="0" applyNumberFormat="1" applyFont="1" applyBorder="1"/>
    <xf numFmtId="0" fontId="0" fillId="0" borderId="9" xfId="0" applyBorder="1"/>
    <xf numFmtId="170" fontId="10" fillId="0" borderId="0" xfId="1" applyNumberFormat="1" applyFont="1"/>
    <xf numFmtId="170" fontId="14" fillId="0" borderId="0" xfId="1" applyNumberFormat="1" applyFont="1"/>
    <xf numFmtId="170" fontId="8" fillId="0" borderId="0" xfId="1" applyNumberFormat="1" applyFont="1"/>
    <xf numFmtId="165" fontId="0" fillId="0" borderId="0" xfId="0" applyNumberFormat="1"/>
    <xf numFmtId="164" fontId="0" fillId="0" borderId="0" xfId="0" applyNumberFormat="1"/>
    <xf numFmtId="172" fontId="14" fillId="0" borderId="0" xfId="3" applyNumberFormat="1" applyFont="1"/>
    <xf numFmtId="0" fontId="14" fillId="0" borderId="0" xfId="0" applyFont="1" applyAlignment="1">
      <alignment horizontal="center"/>
    </xf>
    <xf numFmtId="0" fontId="19" fillId="0" borderId="0" xfId="0" applyFont="1" applyAlignment="1">
      <alignment horizontal="center" vertical="center" wrapText="1"/>
    </xf>
    <xf numFmtId="0" fontId="13" fillId="0" borderId="0" xfId="0" applyFont="1" applyAlignment="1">
      <alignment horizontal="center"/>
    </xf>
    <xf numFmtId="172" fontId="0" fillId="0" borderId="0" xfId="3" applyNumberFormat="1" applyFont="1"/>
    <xf numFmtId="43" fontId="0" fillId="0" borderId="0" xfId="0" applyNumberFormat="1"/>
    <xf numFmtId="0" fontId="13" fillId="0" borderId="0" xfId="0" applyFont="1"/>
    <xf numFmtId="176" fontId="0" fillId="0" borderId="10" xfId="0" applyNumberFormat="1" applyBorder="1"/>
    <xf numFmtId="169" fontId="0" fillId="0" borderId="10" xfId="0" applyNumberFormat="1" applyBorder="1"/>
    <xf numFmtId="176" fontId="0" fillId="0" borderId="9" xfId="0" applyNumberFormat="1" applyBorder="1"/>
    <xf numFmtId="0" fontId="0" fillId="0" borderId="8" xfId="0" applyBorder="1"/>
    <xf numFmtId="9" fontId="14" fillId="0" borderId="9" xfId="3" applyFont="1" applyFill="1" applyBorder="1"/>
    <xf numFmtId="170" fontId="0" fillId="0" borderId="5" xfId="1" applyNumberFormat="1" applyFont="1" applyBorder="1"/>
    <xf numFmtId="0" fontId="10" fillId="0" borderId="9" xfId="0" applyFont="1" applyBorder="1"/>
    <xf numFmtId="0" fontId="10" fillId="0" borderId="3" xfId="0" applyFont="1" applyBorder="1"/>
    <xf numFmtId="0" fontId="10" fillId="0" borderId="10" xfId="0" applyFont="1" applyBorder="1"/>
    <xf numFmtId="0" fontId="0" fillId="0" borderId="1" xfId="0" applyBorder="1"/>
    <xf numFmtId="176" fontId="0" fillId="0" borderId="2" xfId="0" applyNumberFormat="1" applyBorder="1"/>
    <xf numFmtId="170" fontId="0" fillId="0" borderId="2" xfId="0" applyNumberFormat="1" applyBorder="1"/>
    <xf numFmtId="170" fontId="0" fillId="0" borderId="6" xfId="1" applyNumberFormat="1" applyFont="1" applyBorder="1"/>
    <xf numFmtId="169" fontId="0" fillId="0" borderId="0" xfId="2" applyNumberFormat="1" applyFont="1" applyFill="1"/>
    <xf numFmtId="0" fontId="0" fillId="0" borderId="0" xfId="0" applyAlignment="1">
      <alignment horizontal="center" vertical="center" wrapText="1"/>
    </xf>
    <xf numFmtId="179" fontId="0" fillId="0" borderId="16" xfId="0" applyNumberFormat="1" applyBorder="1"/>
    <xf numFmtId="0" fontId="14" fillId="0" borderId="0" xfId="0" applyFont="1" applyAlignment="1">
      <alignment horizontal="center" vertical="center"/>
    </xf>
    <xf numFmtId="170" fontId="14" fillId="0" borderId="16" xfId="1" applyNumberFormat="1" applyFont="1" applyBorder="1"/>
    <xf numFmtId="172" fontId="14" fillId="0" borderId="16" xfId="3" applyNumberFormat="1" applyFont="1" applyBorder="1"/>
    <xf numFmtId="177" fontId="14" fillId="0" borderId="0" xfId="0" applyNumberFormat="1" applyFont="1"/>
    <xf numFmtId="168" fontId="0" fillId="0" borderId="0" xfId="1" applyFont="1" applyFill="1" applyBorder="1"/>
    <xf numFmtId="182" fontId="14" fillId="0" borderId="0" xfId="0" applyNumberFormat="1" applyFont="1"/>
    <xf numFmtId="170" fontId="14" fillId="0" borderId="0" xfId="1" applyNumberFormat="1" applyFont="1" applyFill="1"/>
    <xf numFmtId="0" fontId="15" fillId="0" borderId="0" xfId="0" applyFont="1" applyAlignment="1">
      <alignment horizontal="center" vertical="center"/>
    </xf>
    <xf numFmtId="0" fontId="18" fillId="0" borderId="0" xfId="0" applyFont="1" applyAlignment="1">
      <alignment horizontal="center" vertical="center"/>
    </xf>
    <xf numFmtId="179" fontId="14" fillId="0" borderId="16" xfId="0" applyNumberFormat="1" applyFont="1" applyBorder="1"/>
    <xf numFmtId="0" fontId="14" fillId="0" borderId="0" xfId="0" applyFont="1" applyAlignment="1">
      <alignment horizontal="center" vertical="center" wrapText="1"/>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top" wrapText="1"/>
    </xf>
    <xf numFmtId="0" fontId="19"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170" fontId="0" fillId="0" borderId="5" xfId="1" applyNumberFormat="1" applyFont="1" applyFill="1" applyBorder="1"/>
    <xf numFmtId="0" fontId="10" fillId="0" borderId="0" xfId="0" applyFont="1" applyAlignment="1">
      <alignment horizontal="left"/>
    </xf>
    <xf numFmtId="172" fontId="0" fillId="0" borderId="0" xfId="3" applyNumberFormat="1" applyFont="1" applyFill="1"/>
    <xf numFmtId="170" fontId="17" fillId="0" borderId="0" xfId="0" applyNumberFormat="1" applyFont="1"/>
    <xf numFmtId="43" fontId="14" fillId="0" borderId="0" xfId="0" applyNumberFormat="1" applyFont="1"/>
    <xf numFmtId="183" fontId="14" fillId="0" borderId="0" xfId="0" applyNumberFormat="1" applyFont="1"/>
    <xf numFmtId="0" fontId="18" fillId="0" borderId="0" xfId="0" applyFont="1" applyAlignment="1">
      <alignment horizontal="center"/>
    </xf>
    <xf numFmtId="0" fontId="21" fillId="0" borderId="0" xfId="11"/>
    <xf numFmtId="0" fontId="0" fillId="0" borderId="0" xfId="0" quotePrefix="1"/>
    <xf numFmtId="0" fontId="23" fillId="0" borderId="0" xfId="0" applyFont="1"/>
    <xf numFmtId="169" fontId="24" fillId="0" borderId="0" xfId="0" applyNumberFormat="1" applyFont="1"/>
    <xf numFmtId="176" fontId="25" fillId="0" borderId="9" xfId="1" applyNumberFormat="1" applyFont="1" applyFill="1" applyBorder="1"/>
    <xf numFmtId="0" fontId="28" fillId="0" borderId="0" xfId="0" applyFont="1" applyAlignment="1">
      <alignment horizontal="center"/>
    </xf>
    <xf numFmtId="169" fontId="24" fillId="0" borderId="0" xfId="0" applyNumberFormat="1" applyFont="1" applyAlignment="1">
      <alignment horizontal="left" vertical="center"/>
    </xf>
    <xf numFmtId="184" fontId="14" fillId="0" borderId="0" xfId="3" applyNumberFormat="1" applyFont="1" applyFill="1" applyBorder="1"/>
    <xf numFmtId="184" fontId="0" fillId="0" borderId="0" xfId="3" applyNumberFormat="1" applyFont="1" applyBorder="1"/>
    <xf numFmtId="1" fontId="0" fillId="0" borderId="0" xfId="0" applyNumberFormat="1"/>
    <xf numFmtId="186" fontId="0" fillId="0" borderId="3" xfId="0" applyNumberFormat="1" applyBorder="1"/>
    <xf numFmtId="186" fontId="0" fillId="0" borderId="10" xfId="0" applyNumberFormat="1" applyBorder="1"/>
    <xf numFmtId="170" fontId="0" fillId="0" borderId="10" xfId="1" applyNumberFormat="1" applyFont="1" applyBorder="1"/>
    <xf numFmtId="43" fontId="0" fillId="0" borderId="3" xfId="0" applyNumberFormat="1" applyBorder="1"/>
    <xf numFmtId="43" fontId="0" fillId="0" borderId="10" xfId="0" applyNumberFormat="1" applyBorder="1"/>
    <xf numFmtId="43" fontId="0" fillId="0" borderId="6" xfId="0" applyNumberFormat="1" applyBorder="1"/>
    <xf numFmtId="185" fontId="0" fillId="0" borderId="10" xfId="3" applyNumberFormat="1" applyFont="1" applyBorder="1"/>
    <xf numFmtId="9" fontId="0" fillId="0" borderId="5" xfId="3" applyFont="1" applyBorder="1"/>
    <xf numFmtId="0" fontId="0" fillId="0" borderId="2" xfId="0" applyBorder="1" applyAlignment="1">
      <alignment horizontal="center"/>
    </xf>
    <xf numFmtId="170" fontId="0" fillId="0" borderId="0" xfId="1" applyNumberFormat="1" applyFont="1" applyBorder="1"/>
    <xf numFmtId="0" fontId="15" fillId="5" borderId="0" xfId="30" applyFont="1" applyFill="1" applyAlignment="1">
      <alignment horizontal="left" vertical="center"/>
    </xf>
    <xf numFmtId="0" fontId="0" fillId="5" borderId="0" xfId="0" applyFill="1"/>
    <xf numFmtId="0" fontId="14" fillId="0" borderId="0" xfId="30" applyFont="1" applyAlignment="1">
      <alignment horizontal="left" vertical="center"/>
    </xf>
    <xf numFmtId="0" fontId="14" fillId="0" borderId="0" xfId="30" applyFont="1" applyAlignment="1">
      <alignment horizontal="centerContinuous" vertical="center" wrapText="1"/>
    </xf>
    <xf numFmtId="17" fontId="14" fillId="0" borderId="15" xfId="0" applyNumberFormat="1" applyFont="1" applyBorder="1" applyAlignment="1">
      <alignment horizontal="centerContinuous" vertical="center" wrapText="1"/>
    </xf>
    <xf numFmtId="0" fontId="14" fillId="0" borderId="15" xfId="0" applyFont="1" applyBorder="1" applyAlignment="1">
      <alignment horizontal="centerContinuous" vertical="center" wrapText="1"/>
    </xf>
    <xf numFmtId="0" fontId="15" fillId="0" borderId="21" xfId="30" applyFont="1" applyBorder="1"/>
    <xf numFmtId="0" fontId="14" fillId="0" borderId="21" xfId="30" applyFont="1" applyBorder="1"/>
    <xf numFmtId="0" fontId="14" fillId="0" borderId="21" xfId="30" applyFont="1" applyBorder="1" applyAlignment="1">
      <alignment horizontal="left" vertical="center"/>
    </xf>
    <xf numFmtId="1" fontId="14" fillId="0" borderId="21" xfId="30" applyNumberFormat="1" applyFont="1" applyBorder="1" applyAlignment="1">
      <alignment horizontal="center"/>
    </xf>
    <xf numFmtId="0" fontId="15" fillId="0" borderId="0" xfId="30" applyFont="1"/>
    <xf numFmtId="0" fontId="14" fillId="0" borderId="0" xfId="30" applyFont="1"/>
    <xf numFmtId="2" fontId="14" fillId="0" borderId="0" xfId="30" applyNumberFormat="1" applyFont="1" applyAlignment="1">
      <alignment horizontal="center"/>
    </xf>
    <xf numFmtId="0" fontId="15" fillId="5" borderId="0" xfId="0" applyFont="1" applyFill="1" applyAlignment="1">
      <alignment horizontal="left" vertical="center"/>
    </xf>
    <xf numFmtId="0" fontId="14" fillId="0" borderId="0" xfId="0" applyFont="1" applyAlignment="1">
      <alignment horizontal="left" vertical="center"/>
    </xf>
    <xf numFmtId="2" fontId="15" fillId="0" borderId="21" xfId="0" applyNumberFormat="1" applyFont="1" applyBorder="1"/>
    <xf numFmtId="2" fontId="14" fillId="0" borderId="21" xfId="0" applyNumberFormat="1" applyFont="1" applyBorder="1"/>
    <xf numFmtId="2" fontId="14" fillId="0" borderId="21" xfId="0" applyNumberFormat="1" applyFont="1" applyBorder="1" applyAlignment="1">
      <alignment horizontal="left" vertical="center" wrapText="1"/>
    </xf>
    <xf numFmtId="2" fontId="0" fillId="0" borderId="21" xfId="0" applyNumberFormat="1" applyBorder="1"/>
    <xf numFmtId="1" fontId="14" fillId="0" borderId="0" xfId="0" applyNumberFormat="1" applyFont="1" applyAlignment="1">
      <alignment horizontal="right"/>
    </xf>
    <xf numFmtId="2" fontId="15" fillId="0" borderId="0" xfId="0" applyNumberFormat="1" applyFont="1"/>
    <xf numFmtId="2" fontId="14" fillId="0" borderId="0" xfId="0" applyNumberFormat="1" applyFont="1"/>
    <xf numFmtId="2" fontId="14" fillId="0" borderId="0" xfId="0" applyNumberFormat="1" applyFont="1" applyAlignment="1">
      <alignment horizontal="left" vertical="center" wrapText="1"/>
    </xf>
    <xf numFmtId="0" fontId="0" fillId="0" borderId="0" xfId="30" applyFont="1"/>
    <xf numFmtId="0" fontId="25" fillId="0" borderId="0" xfId="0" applyFont="1"/>
    <xf numFmtId="0" fontId="0" fillId="6" borderId="0" xfId="0" applyFill="1"/>
    <xf numFmtId="0" fontId="32" fillId="0" borderId="0" xfId="0" applyFont="1" applyAlignment="1">
      <alignment horizontal="left" vertical="center"/>
    </xf>
    <xf numFmtId="9" fontId="25" fillId="0" borderId="9" xfId="3" applyFont="1" applyFill="1" applyBorder="1"/>
    <xf numFmtId="0" fontId="32" fillId="0" borderId="0" xfId="0" applyFont="1"/>
    <xf numFmtId="168" fontId="0" fillId="7" borderId="0" xfId="1" applyFont="1" applyFill="1"/>
    <xf numFmtId="170" fontId="0" fillId="7" borderId="0" xfId="1" applyNumberFormat="1" applyFont="1" applyFill="1"/>
    <xf numFmtId="169" fontId="0" fillId="7" borderId="0" xfId="0" applyNumberFormat="1" applyFill="1"/>
    <xf numFmtId="179" fontId="0" fillId="7" borderId="0" xfId="0" applyNumberFormat="1" applyFill="1"/>
    <xf numFmtId="188" fontId="0" fillId="0" borderId="0" xfId="0" applyNumberFormat="1"/>
    <xf numFmtId="183" fontId="0" fillId="0" borderId="0" xfId="0" applyNumberFormat="1"/>
    <xf numFmtId="176" fontId="0" fillId="7" borderId="0" xfId="0" applyNumberFormat="1" applyFill="1"/>
    <xf numFmtId="169" fontId="0" fillId="7" borderId="0" xfId="2" applyNumberFormat="1" applyFont="1" applyFill="1"/>
    <xf numFmtId="170" fontId="0" fillId="7" borderId="0" xfId="0" applyNumberFormat="1" applyFill="1"/>
    <xf numFmtId="9" fontId="14" fillId="0" borderId="0" xfId="3" applyFont="1" applyFill="1"/>
    <xf numFmtId="176" fontId="14" fillId="0" borderId="0" xfId="3" applyNumberFormat="1" applyFont="1" applyFill="1"/>
    <xf numFmtId="172" fontId="14" fillId="0" borderId="0" xfId="3" applyNumberFormat="1" applyFont="1" applyFill="1"/>
    <xf numFmtId="0" fontId="0" fillId="0" borderId="0" xfId="0" applyAlignment="1">
      <alignment vertical="center"/>
    </xf>
    <xf numFmtId="172" fontId="0" fillId="0" borderId="0" xfId="3" applyNumberFormat="1" applyFont="1" applyFill="1" applyAlignment="1">
      <alignment vertical="center"/>
    </xf>
    <xf numFmtId="0" fontId="22" fillId="0" borderId="0" xfId="0" applyFont="1"/>
    <xf numFmtId="170" fontId="8" fillId="0" borderId="0" xfId="1" applyNumberFormat="1" applyFont="1" applyFill="1"/>
    <xf numFmtId="172" fontId="14" fillId="0" borderId="9" xfId="0" applyNumberFormat="1" applyFont="1" applyBorder="1"/>
    <xf numFmtId="171" fontId="10" fillId="0" borderId="10" xfId="0" applyNumberFormat="1" applyFont="1" applyBorder="1"/>
    <xf numFmtId="172" fontId="0" fillId="0" borderId="10" xfId="3" applyNumberFormat="1" applyFont="1" applyFill="1" applyBorder="1"/>
    <xf numFmtId="169" fontId="14" fillId="0" borderId="9" xfId="0" applyNumberFormat="1" applyFont="1" applyBorder="1"/>
    <xf numFmtId="0" fontId="25" fillId="0" borderId="11" xfId="0" applyFont="1" applyBorder="1"/>
    <xf numFmtId="169" fontId="26" fillId="0" borderId="11" xfId="0" applyNumberFormat="1" applyFont="1" applyBorder="1" applyAlignment="1">
      <alignment vertical="center"/>
    </xf>
    <xf numFmtId="169" fontId="26" fillId="0" borderId="11" xfId="0" applyNumberFormat="1" applyFont="1" applyBorder="1" applyAlignment="1">
      <alignment vertical="center" wrapText="1"/>
    </xf>
    <xf numFmtId="0" fontId="14" fillId="0" borderId="11" xfId="0" applyFont="1" applyBorder="1"/>
    <xf numFmtId="0" fontId="22" fillId="0" borderId="11" xfId="0" applyFont="1" applyBorder="1" applyAlignment="1">
      <alignment horizontal="left" indent="2"/>
    </xf>
    <xf numFmtId="169" fontId="14" fillId="0" borderId="0" xfId="0" applyNumberFormat="1" applyFont="1"/>
    <xf numFmtId="172" fontId="0" fillId="0" borderId="0" xfId="3" applyNumberFormat="1" applyFont="1" applyFill="1" applyBorder="1"/>
    <xf numFmtId="172" fontId="14" fillId="0" borderId="9" xfId="3" applyNumberFormat="1" applyFont="1" applyFill="1" applyBorder="1"/>
    <xf numFmtId="169" fontId="0" fillId="0" borderId="4" xfId="0" applyNumberFormat="1" applyBorder="1"/>
    <xf numFmtId="170" fontId="0" fillId="0" borderId="6" xfId="1" applyNumberFormat="1" applyFont="1" applyFill="1" applyBorder="1"/>
    <xf numFmtId="172" fontId="27" fillId="0" borderId="9" xfId="3" applyNumberFormat="1" applyFont="1" applyFill="1" applyBorder="1"/>
    <xf numFmtId="9" fontId="0" fillId="0" borderId="10" xfId="3" applyFont="1" applyFill="1" applyBorder="1"/>
    <xf numFmtId="172" fontId="27" fillId="0" borderId="9" xfId="0" applyNumberFormat="1" applyFont="1" applyBorder="1"/>
    <xf numFmtId="172" fontId="17" fillId="0" borderId="9" xfId="0" applyNumberFormat="1" applyFont="1" applyBorder="1"/>
    <xf numFmtId="170" fontId="14" fillId="0" borderId="9" xfId="0" applyNumberFormat="1" applyFont="1" applyBorder="1"/>
    <xf numFmtId="184" fontId="14" fillId="0" borderId="9" xfId="3" applyNumberFormat="1" applyFont="1" applyFill="1" applyBorder="1"/>
    <xf numFmtId="184" fontId="14" fillId="0" borderId="9" xfId="0" applyNumberFormat="1" applyFont="1" applyBorder="1"/>
    <xf numFmtId="184" fontId="27" fillId="0" borderId="9" xfId="0" applyNumberFormat="1" applyFont="1" applyBorder="1"/>
    <xf numFmtId="9" fontId="14" fillId="0" borderId="9" xfId="0" applyNumberFormat="1" applyFont="1" applyBorder="1"/>
    <xf numFmtId="184" fontId="0" fillId="0" borderId="0" xfId="3" applyNumberFormat="1" applyFont="1" applyFill="1" applyBorder="1"/>
    <xf numFmtId="9" fontId="0" fillId="0" borderId="9" xfId="0" applyNumberFormat="1" applyBorder="1"/>
    <xf numFmtId="169" fontId="0" fillId="0" borderId="11" xfId="0" applyNumberFormat="1" applyBorder="1"/>
    <xf numFmtId="172" fontId="15" fillId="0" borderId="7" xfId="0" applyNumberFormat="1" applyFont="1" applyBorder="1" applyAlignment="1">
      <alignment horizontal="center" wrapText="1"/>
    </xf>
    <xf numFmtId="172" fontId="0" fillId="0" borderId="9" xfId="3" applyNumberFormat="1" applyFont="1" applyFill="1" applyBorder="1"/>
    <xf numFmtId="172" fontId="14" fillId="0" borderId="8" xfId="0" applyNumberFormat="1" applyFont="1" applyBorder="1"/>
    <xf numFmtId="172" fontId="0" fillId="0" borderId="8" xfId="3" applyNumberFormat="1" applyFont="1" applyFill="1" applyBorder="1"/>
    <xf numFmtId="0" fontId="25" fillId="0" borderId="10" xfId="0" applyFont="1" applyBorder="1"/>
    <xf numFmtId="168" fontId="0" fillId="0" borderId="10" xfId="0" applyNumberFormat="1" applyBorder="1"/>
    <xf numFmtId="187" fontId="0" fillId="0" borderId="0" xfId="0" applyNumberFormat="1"/>
    <xf numFmtId="172" fontId="17" fillId="0" borderId="8" xfId="0" applyNumberFormat="1" applyFont="1" applyBorder="1"/>
    <xf numFmtId="169" fontId="25" fillId="0" borderId="0" xfId="0" applyNumberFormat="1" applyFont="1"/>
    <xf numFmtId="0" fontId="25" fillId="0" borderId="9" xfId="0" applyFont="1" applyBorder="1"/>
    <xf numFmtId="9" fontId="14" fillId="0" borderId="10" xfId="3" applyFont="1" applyFill="1" applyBorder="1" applyAlignment="1">
      <alignment horizontal="center"/>
    </xf>
    <xf numFmtId="170" fontId="17" fillId="0" borderId="10" xfId="0" applyNumberFormat="1" applyFont="1" applyBorder="1" applyAlignment="1">
      <alignment horizontal="center"/>
    </xf>
    <xf numFmtId="3" fontId="14" fillId="0" borderId="10" xfId="1" applyNumberFormat="1" applyFont="1" applyFill="1" applyBorder="1" applyAlignment="1">
      <alignment horizontal="center"/>
    </xf>
    <xf numFmtId="178" fontId="14" fillId="0" borderId="10" xfId="0" applyNumberFormat="1" applyFont="1" applyBorder="1" applyAlignment="1">
      <alignment horizontal="center"/>
    </xf>
    <xf numFmtId="169" fontId="15" fillId="0" borderId="10" xfId="2" applyNumberFormat="1" applyFont="1" applyFill="1" applyBorder="1" applyAlignment="1">
      <alignment horizontal="center"/>
    </xf>
    <xf numFmtId="9" fontId="0" fillId="0" borderId="10" xfId="3" applyFont="1" applyFill="1" applyBorder="1" applyAlignment="1">
      <alignment horizontal="center"/>
    </xf>
    <xf numFmtId="3" fontId="0" fillId="0" borderId="10" xfId="1" applyNumberFormat="1" applyFont="1" applyFill="1" applyBorder="1" applyAlignment="1">
      <alignment horizontal="center"/>
    </xf>
    <xf numFmtId="169" fontId="14" fillId="0" borderId="10" xfId="2" applyNumberFormat="1" applyFont="1" applyFill="1" applyBorder="1" applyAlignment="1">
      <alignment horizontal="center"/>
    </xf>
    <xf numFmtId="0" fontId="17" fillId="0" borderId="6" xfId="0" applyFont="1" applyBorder="1"/>
    <xf numFmtId="177" fontId="0" fillId="0" borderId="0" xfId="0" applyNumberFormat="1"/>
    <xf numFmtId="0" fontId="0" fillId="0" borderId="0" xfId="0" applyAlignment="1">
      <alignment horizontal="left" wrapText="1"/>
    </xf>
    <xf numFmtId="10" fontId="0" fillId="0" borderId="0" xfId="0" applyNumberFormat="1" applyAlignment="1">
      <alignment horizontal="center"/>
    </xf>
    <xf numFmtId="170" fontId="0" fillId="0" borderId="0" xfId="0" applyNumberFormat="1" applyAlignment="1">
      <alignment horizontal="center"/>
    </xf>
    <xf numFmtId="2" fontId="0" fillId="0" borderId="0" xfId="2" applyNumberFormat="1" applyFont="1" applyFill="1"/>
    <xf numFmtId="0" fontId="27" fillId="0" borderId="11" xfId="0" applyFont="1" applyBorder="1" applyAlignment="1">
      <alignment horizontal="left" indent="2"/>
    </xf>
    <xf numFmtId="0" fontId="27" fillId="0" borderId="11" xfId="0" applyFont="1" applyBorder="1" applyAlignment="1">
      <alignment horizontal="left" wrapText="1" indent="2"/>
    </xf>
    <xf numFmtId="0" fontId="0" fillId="0" borderId="0" xfId="0" applyAlignment="1">
      <alignment wrapText="1"/>
    </xf>
    <xf numFmtId="169" fontId="11" fillId="0" borderId="1" xfId="0" applyNumberFormat="1" applyFont="1" applyBorder="1"/>
    <xf numFmtId="0" fontId="10" fillId="0" borderId="11" xfId="1" applyNumberFormat="1" applyFont="1" applyFill="1" applyBorder="1"/>
    <xf numFmtId="0" fontId="10" fillId="0" borderId="1" xfId="1" applyNumberFormat="1" applyFont="1" applyFill="1" applyBorder="1"/>
    <xf numFmtId="170" fontId="0" fillId="0" borderId="11" xfId="1" applyNumberFormat="1" applyFont="1" applyFill="1" applyBorder="1"/>
    <xf numFmtId="10" fontId="0" fillId="0" borderId="11" xfId="3" applyNumberFormat="1" applyFont="1" applyFill="1" applyBorder="1"/>
    <xf numFmtId="10" fontId="8" fillId="0" borderId="0" xfId="3" applyNumberFormat="1" applyFont="1" applyFill="1" applyBorder="1"/>
    <xf numFmtId="10" fontId="0" fillId="0" borderId="0" xfId="3" applyNumberFormat="1" applyFont="1" applyFill="1" applyBorder="1"/>
    <xf numFmtId="171" fontId="10" fillId="0" borderId="0" xfId="0" applyNumberFormat="1" applyFont="1"/>
    <xf numFmtId="2" fontId="10" fillId="0" borderId="0" xfId="0" applyNumberFormat="1" applyFont="1"/>
    <xf numFmtId="2" fontId="10" fillId="0" borderId="10" xfId="0" applyNumberFormat="1" applyFont="1" applyBorder="1"/>
    <xf numFmtId="171" fontId="10" fillId="0" borderId="11" xfId="0" applyNumberFormat="1" applyFont="1" applyBorder="1"/>
    <xf numFmtId="187" fontId="10" fillId="0" borderId="0" xfId="0" applyNumberFormat="1" applyFont="1"/>
    <xf numFmtId="187" fontId="10" fillId="0" borderId="10" xfId="0" applyNumberFormat="1" applyFont="1" applyBorder="1"/>
    <xf numFmtId="169" fontId="0" fillId="0" borderId="1" xfId="0" applyNumberFormat="1" applyBorder="1"/>
    <xf numFmtId="169" fontId="26" fillId="0" borderId="11" xfId="0" applyNumberFormat="1" applyFont="1" applyBorder="1" applyAlignment="1">
      <alignment horizontal="center" vertical="center" wrapText="1"/>
    </xf>
    <xf numFmtId="169" fontId="14" fillId="0" borderId="11" xfId="0" applyNumberFormat="1" applyFont="1" applyBorder="1"/>
    <xf numFmtId="169" fontId="14" fillId="0" borderId="10" xfId="0" applyNumberFormat="1" applyFont="1" applyBorder="1"/>
    <xf numFmtId="0" fontId="0" fillId="0" borderId="0" xfId="0" applyAlignment="1">
      <alignment horizontal="left" vertical="top" wrapText="1"/>
    </xf>
    <xf numFmtId="0" fontId="0" fillId="0" borderId="0" xfId="0" applyAlignment="1">
      <alignment vertical="top" wrapText="1"/>
    </xf>
    <xf numFmtId="0" fontId="10" fillId="0" borderId="0" xfId="0" applyFont="1" applyAlignment="1">
      <alignment horizontal="left" vertical="top"/>
    </xf>
    <xf numFmtId="0" fontId="35" fillId="0" borderId="0" xfId="0" applyFont="1"/>
    <xf numFmtId="0" fontId="15" fillId="0" borderId="0" xfId="0" applyFont="1" applyAlignment="1">
      <alignment horizontal="left"/>
    </xf>
    <xf numFmtId="0" fontId="14" fillId="0" borderId="0" xfId="0" applyFont="1" applyAlignment="1">
      <alignment wrapText="1"/>
    </xf>
    <xf numFmtId="0" fontId="14" fillId="0" borderId="0" xfId="0" applyFont="1" applyAlignment="1">
      <alignment vertical="top" wrapText="1"/>
    </xf>
    <xf numFmtId="170" fontId="14" fillId="0" borderId="0" xfId="1" applyNumberFormat="1" applyFont="1" applyFill="1" applyBorder="1"/>
    <xf numFmtId="169" fontId="15" fillId="0" borderId="0" xfId="0" applyNumberFormat="1" applyFont="1"/>
    <xf numFmtId="9" fontId="14" fillId="0" borderId="0" xfId="3" applyFont="1" applyFill="1" applyBorder="1"/>
    <xf numFmtId="170" fontId="14" fillId="0" borderId="0" xfId="0" applyNumberFormat="1" applyFont="1"/>
    <xf numFmtId="172" fontId="14" fillId="0" borderId="9" xfId="3" applyNumberFormat="1" applyFont="1" applyFill="1" applyBorder="1" applyProtection="1">
      <protection locked="0"/>
    </xf>
    <xf numFmtId="169" fontId="14" fillId="0" borderId="9" xfId="0" applyNumberFormat="1" applyFont="1" applyBorder="1" applyProtection="1">
      <protection locked="0"/>
    </xf>
    <xf numFmtId="170" fontId="14" fillId="0" borderId="9" xfId="1" applyNumberFormat="1" applyFont="1" applyFill="1" applyBorder="1" applyProtection="1">
      <protection locked="0"/>
    </xf>
    <xf numFmtId="0" fontId="14" fillId="0" borderId="9" xfId="0" applyFont="1" applyBorder="1" applyProtection="1">
      <protection locked="0"/>
    </xf>
    <xf numFmtId="176" fontId="25" fillId="0" borderId="9" xfId="1" applyNumberFormat="1" applyFont="1" applyFill="1" applyBorder="1" applyProtection="1">
      <protection locked="0"/>
    </xf>
    <xf numFmtId="172" fontId="14" fillId="0" borderId="9" xfId="0" applyNumberFormat="1" applyFont="1" applyBorder="1" applyProtection="1">
      <protection locked="0"/>
    </xf>
    <xf numFmtId="10" fontId="14" fillId="0" borderId="9" xfId="3" applyNumberFormat="1" applyFont="1" applyFill="1" applyBorder="1" applyProtection="1">
      <protection locked="0"/>
    </xf>
    <xf numFmtId="0" fontId="20" fillId="0" borderId="0" xfId="0" applyFont="1" applyAlignment="1" applyProtection="1">
      <alignment horizontal="left" vertical="center"/>
      <protection locked="0"/>
    </xf>
    <xf numFmtId="9" fontId="20" fillId="0" borderId="0" xfId="3" applyFont="1" applyFill="1" applyAlignment="1" applyProtection="1">
      <alignment horizontal="center" vertical="center"/>
      <protection locked="0"/>
    </xf>
    <xf numFmtId="0" fontId="0" fillId="0" borderId="11" xfId="0" applyBorder="1" applyAlignment="1">
      <alignment horizontal="left" indent="2"/>
    </xf>
    <xf numFmtId="172" fontId="0" fillId="0" borderId="9" xfId="0" applyNumberFormat="1" applyBorder="1"/>
    <xf numFmtId="172" fontId="22" fillId="0" borderId="9" xfId="0" applyNumberFormat="1" applyFont="1" applyBorder="1" applyAlignment="1">
      <alignment horizontal="left" indent="2"/>
    </xf>
    <xf numFmtId="9" fontId="14" fillId="0" borderId="9" xfId="3" applyFont="1" applyFill="1" applyBorder="1" applyProtection="1">
      <protection locked="0"/>
    </xf>
    <xf numFmtId="170" fontId="0" fillId="0" borderId="8" xfId="1" applyNumberFormat="1" applyFont="1" applyFill="1" applyBorder="1" applyProtection="1">
      <protection locked="0"/>
    </xf>
    <xf numFmtId="0" fontId="14" fillId="0" borderId="0" xfId="0" applyFont="1" applyAlignment="1">
      <alignment horizontal="left"/>
    </xf>
    <xf numFmtId="169" fontId="0" fillId="0" borderId="10" xfId="2" applyNumberFormat="1" applyFont="1" applyFill="1" applyBorder="1" applyAlignment="1">
      <alignment horizontal="center"/>
    </xf>
    <xf numFmtId="169" fontId="14" fillId="0" borderId="0" xfId="2" applyNumberFormat="1" applyFont="1" applyFill="1" applyBorder="1" applyAlignment="1">
      <alignment horizontal="center"/>
    </xf>
    <xf numFmtId="169" fontId="15" fillId="0" borderId="0" xfId="2" applyNumberFormat="1" applyFont="1" applyFill="1" applyBorder="1" applyAlignment="1">
      <alignment horizontal="center"/>
    </xf>
    <xf numFmtId="0" fontId="33" fillId="0" borderId="1" xfId="0" applyFont="1" applyBorder="1"/>
    <xf numFmtId="0" fontId="17" fillId="0" borderId="10" xfId="0" applyFont="1" applyBorder="1"/>
    <xf numFmtId="170" fontId="0" fillId="0" borderId="10" xfId="0" applyNumberFormat="1" applyBorder="1" applyAlignment="1">
      <alignment horizontal="center"/>
    </xf>
    <xf numFmtId="178"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14" fillId="0" borderId="10" xfId="0" applyFont="1" applyBorder="1" applyAlignment="1">
      <alignment horizontal="center"/>
    </xf>
    <xf numFmtId="176" fontId="8" fillId="0" borderId="0" xfId="1" applyNumberFormat="1" applyFont="1" applyFill="1"/>
    <xf numFmtId="9" fontId="14" fillId="0" borderId="12" xfId="3" applyFont="1" applyBorder="1"/>
    <xf numFmtId="0" fontId="14" fillId="0" borderId="14" xfId="0" applyFont="1" applyBorder="1" applyAlignment="1">
      <alignment horizontal="left" vertical="top" wrapText="1"/>
    </xf>
    <xf numFmtId="0" fontId="20" fillId="0" borderId="0" xfId="0" applyFont="1" applyAlignment="1">
      <alignment horizontal="center" vertical="center"/>
    </xf>
    <xf numFmtId="9" fontId="20" fillId="0" borderId="0" xfId="3" applyFont="1" applyFill="1" applyAlignment="1">
      <alignment horizontal="center" vertical="center"/>
    </xf>
    <xf numFmtId="175" fontId="14" fillId="0" borderId="9" xfId="0" applyNumberFormat="1" applyFont="1" applyBorder="1"/>
    <xf numFmtId="169" fontId="27" fillId="0" borderId="9" xfId="0" applyNumberFormat="1" applyFont="1" applyBorder="1"/>
    <xf numFmtId="0" fontId="14" fillId="0" borderId="9" xfId="1" applyNumberFormat="1" applyFont="1" applyFill="1" applyBorder="1"/>
    <xf numFmtId="168" fontId="14" fillId="0" borderId="9" xfId="0" applyNumberFormat="1" applyFont="1" applyBorder="1"/>
    <xf numFmtId="170" fontId="14" fillId="0" borderId="9" xfId="1" applyNumberFormat="1" applyFont="1" applyFill="1" applyBorder="1" applyProtection="1"/>
    <xf numFmtId="0" fontId="14" fillId="0" borderId="9" xfId="3" applyNumberFormat="1" applyFont="1" applyFill="1" applyBorder="1" applyProtection="1"/>
    <xf numFmtId="176" fontId="0" fillId="0" borderId="0" xfId="0" applyNumberFormat="1" applyAlignment="1">
      <alignment horizontal="center"/>
    </xf>
    <xf numFmtId="9" fontId="14" fillId="0" borderId="0" xfId="3" applyFont="1" applyFill="1" applyProtection="1"/>
    <xf numFmtId="9" fontId="0" fillId="0" borderId="0" xfId="3" applyFont="1" applyFill="1" applyProtection="1"/>
    <xf numFmtId="9" fontId="14" fillId="0" borderId="9" xfId="3" applyFont="1" applyFill="1" applyBorder="1" applyProtection="1"/>
    <xf numFmtId="0" fontId="10" fillId="0" borderId="0" xfId="0" applyFont="1" applyAlignment="1">
      <alignment horizontal="center"/>
    </xf>
    <xf numFmtId="0" fontId="27" fillId="0" borderId="9" xfId="0" applyFont="1" applyBorder="1"/>
    <xf numFmtId="0" fontId="36" fillId="0" borderId="0" xfId="0" applyFont="1"/>
    <xf numFmtId="169" fontId="14" fillId="0" borderId="11" xfId="0" applyNumberFormat="1" applyFont="1" applyBorder="1" applyAlignment="1">
      <alignment vertical="center"/>
    </xf>
    <xf numFmtId="169" fontId="14" fillId="0" borderId="0" xfId="0" applyNumberFormat="1" applyFont="1" applyAlignment="1">
      <alignment vertical="center"/>
    </xf>
    <xf numFmtId="1" fontId="0" fillId="0" borderId="0" xfId="0" applyNumberFormat="1" applyAlignment="1">
      <alignment horizontal="center"/>
    </xf>
    <xf numFmtId="1" fontId="14" fillId="0" borderId="22" xfId="0" applyNumberFormat="1" applyFont="1" applyBorder="1" applyAlignment="1">
      <alignment horizontal="right"/>
    </xf>
    <xf numFmtId="9" fontId="10" fillId="0" borderId="0" xfId="0" applyNumberFormat="1" applyFont="1" applyAlignment="1">
      <alignment horizontal="center"/>
    </xf>
    <xf numFmtId="9" fontId="20" fillId="0" borderId="0" xfId="3" applyFont="1" applyFill="1" applyAlignment="1">
      <alignment horizontal="left" vertical="center"/>
    </xf>
    <xf numFmtId="0" fontId="20" fillId="0" borderId="0" xfId="0" applyFont="1" applyAlignment="1">
      <alignment horizontal="left" vertical="center"/>
    </xf>
    <xf numFmtId="176" fontId="14" fillId="0" borderId="9" xfId="1" applyNumberFormat="1" applyFont="1" applyFill="1" applyBorder="1" applyProtection="1"/>
    <xf numFmtId="9" fontId="0" fillId="0" borderId="9" xfId="3" applyFont="1" applyFill="1" applyBorder="1" applyProtection="1">
      <protection locked="0"/>
    </xf>
    <xf numFmtId="0" fontId="10" fillId="0" borderId="0" xfId="0" applyFont="1" applyProtection="1">
      <protection hidden="1"/>
    </xf>
    <xf numFmtId="0" fontId="0" fillId="0" borderId="0" xfId="0" applyProtection="1">
      <protection hidden="1"/>
    </xf>
    <xf numFmtId="169" fontId="0" fillId="7" borderId="0" xfId="0" applyNumberFormat="1" applyFill="1" applyProtection="1">
      <protection hidden="1"/>
    </xf>
    <xf numFmtId="169" fontId="0" fillId="0" borderId="0" xfId="0" applyNumberFormat="1" applyProtection="1">
      <protection hidden="1"/>
    </xf>
    <xf numFmtId="176" fontId="0" fillId="0" borderId="0" xfId="0" applyNumberFormat="1" applyProtection="1">
      <protection hidden="1"/>
    </xf>
    <xf numFmtId="10" fontId="0" fillId="0" borderId="0" xfId="3" applyNumberFormat="1" applyFont="1" applyFill="1" applyProtection="1">
      <protection hidden="1"/>
    </xf>
    <xf numFmtId="0" fontId="14" fillId="0" borderId="0" xfId="0" applyFont="1" applyProtection="1">
      <protection hidden="1"/>
    </xf>
    <xf numFmtId="0" fontId="14" fillId="0" borderId="11" xfId="0" applyFont="1" applyBorder="1" applyProtection="1">
      <protection hidden="1"/>
    </xf>
    <xf numFmtId="9" fontId="0" fillId="0" borderId="0" xfId="0" applyNumberFormat="1" applyProtection="1">
      <protection hidden="1"/>
    </xf>
    <xf numFmtId="2" fontId="0" fillId="0" borderId="0" xfId="0" applyNumberFormat="1" applyProtection="1">
      <protection hidden="1"/>
    </xf>
    <xf numFmtId="0" fontId="0" fillId="0" borderId="11" xfId="0" applyBorder="1" applyProtection="1">
      <protection hidden="1"/>
    </xf>
    <xf numFmtId="173" fontId="0" fillId="0" borderId="0" xfId="0" applyNumberFormat="1" applyAlignment="1" applyProtection="1">
      <alignment horizontal="center"/>
      <protection hidden="1"/>
    </xf>
    <xf numFmtId="173" fontId="0" fillId="0" borderId="0" xfId="3" applyNumberFormat="1" applyFont="1" applyFill="1" applyAlignment="1" applyProtection="1">
      <alignment horizontal="center"/>
      <protection hidden="1"/>
    </xf>
    <xf numFmtId="0" fontId="9" fillId="0" borderId="0" xfId="0" applyFont="1" applyProtection="1">
      <protection hidden="1"/>
    </xf>
    <xf numFmtId="3" fontId="0" fillId="0" borderId="0" xfId="0" applyNumberFormat="1" applyProtection="1">
      <protection hidden="1"/>
    </xf>
    <xf numFmtId="9" fontId="0" fillId="0" borderId="0" xfId="0" applyNumberFormat="1" applyAlignment="1" applyProtection="1">
      <alignment horizontal="left" vertical="center"/>
      <protection hidden="1"/>
    </xf>
    <xf numFmtId="9" fontId="0" fillId="0" borderId="0" xfId="0" applyNumberFormat="1" applyAlignment="1" applyProtection="1">
      <alignment horizontal="center" vertical="center"/>
      <protection hidden="1"/>
    </xf>
    <xf numFmtId="0" fontId="11" fillId="2" borderId="7" xfId="0" applyFont="1" applyFill="1" applyBorder="1" applyProtection="1">
      <protection hidden="1"/>
    </xf>
    <xf numFmtId="0" fontId="11" fillId="2" borderId="17" xfId="0" applyFont="1" applyFill="1" applyBorder="1" applyProtection="1">
      <protection hidden="1"/>
    </xf>
    <xf numFmtId="0" fontId="11" fillId="2" borderId="2" xfId="0" applyFont="1" applyFill="1" applyBorder="1" applyProtection="1">
      <protection hidden="1"/>
    </xf>
    <xf numFmtId="0" fontId="11" fillId="2" borderId="3" xfId="0" applyFont="1" applyFill="1" applyBorder="1" applyProtection="1">
      <protection hidden="1"/>
    </xf>
    <xf numFmtId="0" fontId="11" fillId="2" borderId="14" xfId="0" applyFont="1" applyFill="1" applyBorder="1" applyProtection="1">
      <protection hidden="1"/>
    </xf>
    <xf numFmtId="0" fontId="11" fillId="2" borderId="13" xfId="0" applyFont="1" applyFill="1" applyBorder="1" applyProtection="1">
      <protection hidden="1"/>
    </xf>
    <xf numFmtId="0" fontId="11" fillId="2" borderId="12" xfId="0" applyFont="1" applyFill="1" applyBorder="1" applyProtection="1">
      <protection hidden="1"/>
    </xf>
    <xf numFmtId="0" fontId="11" fillId="0" borderId="0" xfId="0" applyFont="1" applyProtection="1">
      <protection hidden="1"/>
    </xf>
    <xf numFmtId="0" fontId="12" fillId="0" borderId="1" xfId="0" applyFont="1" applyBorder="1" applyAlignment="1" applyProtection="1">
      <alignment wrapText="1"/>
      <protection hidden="1"/>
    </xf>
    <xf numFmtId="172" fontId="12" fillId="0" borderId="17" xfId="3" applyNumberFormat="1" applyFont="1" applyFill="1" applyBorder="1" applyProtection="1">
      <protection hidden="1"/>
    </xf>
    <xf numFmtId="172" fontId="12" fillId="0" borderId="2" xfId="3" applyNumberFormat="1" applyFont="1" applyFill="1" applyBorder="1" applyProtection="1">
      <protection hidden="1"/>
    </xf>
    <xf numFmtId="172" fontId="12" fillId="0" borderId="3" xfId="3" applyNumberFormat="1" applyFont="1" applyFill="1" applyBorder="1" applyProtection="1">
      <protection hidden="1"/>
    </xf>
    <xf numFmtId="172" fontId="12" fillId="8" borderId="13" xfId="0" applyNumberFormat="1" applyFont="1" applyFill="1" applyBorder="1" applyProtection="1">
      <protection hidden="1"/>
    </xf>
    <xf numFmtId="172" fontId="12" fillId="4" borderId="13" xfId="0" applyNumberFormat="1" applyFont="1" applyFill="1" applyBorder="1" applyProtection="1">
      <protection locked="0" hidden="1"/>
    </xf>
    <xf numFmtId="172" fontId="12" fillId="0" borderId="13" xfId="0" applyNumberFormat="1" applyFont="1" applyBorder="1" applyProtection="1">
      <protection hidden="1"/>
    </xf>
    <xf numFmtId="0" fontId="12" fillId="0" borderId="6" xfId="0" applyFont="1" applyBorder="1" applyProtection="1">
      <protection hidden="1"/>
    </xf>
    <xf numFmtId="0" fontId="12" fillId="0" borderId="0" xfId="0" applyFont="1" applyProtection="1">
      <protection hidden="1"/>
    </xf>
    <xf numFmtId="0" fontId="12" fillId="0" borderId="11" xfId="0" applyFont="1" applyBorder="1" applyAlignment="1" applyProtection="1">
      <alignment wrapText="1"/>
      <protection hidden="1"/>
    </xf>
    <xf numFmtId="172" fontId="12" fillId="0" borderId="18" xfId="3" applyNumberFormat="1" applyFont="1" applyFill="1" applyBorder="1" applyProtection="1">
      <protection hidden="1"/>
    </xf>
    <xf numFmtId="172" fontId="12" fillId="0" borderId="0" xfId="3" applyNumberFormat="1" applyFont="1" applyFill="1" applyBorder="1" applyProtection="1">
      <protection hidden="1"/>
    </xf>
    <xf numFmtId="172" fontId="12" fillId="0" borderId="10" xfId="3" applyNumberFormat="1" applyFont="1" applyFill="1" applyBorder="1" applyProtection="1">
      <protection hidden="1"/>
    </xf>
    <xf numFmtId="0" fontId="12" fillId="8" borderId="1" xfId="0" applyFont="1" applyFill="1" applyBorder="1" applyProtection="1">
      <protection hidden="1"/>
    </xf>
    <xf numFmtId="0" fontId="12" fillId="8" borderId="2" xfId="0" applyFont="1" applyFill="1" applyBorder="1" applyProtection="1">
      <protection hidden="1"/>
    </xf>
    <xf numFmtId="0" fontId="12" fillId="2" borderId="2" xfId="0" applyFont="1" applyFill="1" applyBorder="1" applyProtection="1">
      <protection hidden="1"/>
    </xf>
    <xf numFmtId="0" fontId="12" fillId="2" borderId="3" xfId="0" applyFont="1" applyFill="1" applyBorder="1" applyProtection="1">
      <protection hidden="1"/>
    </xf>
    <xf numFmtId="170" fontId="12" fillId="0" borderId="2" xfId="1" applyNumberFormat="1" applyFont="1" applyFill="1" applyBorder="1" applyProtection="1">
      <protection hidden="1"/>
    </xf>
    <xf numFmtId="2" fontId="12" fillId="8" borderId="1" xfId="0" applyNumberFormat="1" applyFont="1" applyFill="1" applyBorder="1" applyProtection="1">
      <protection hidden="1"/>
    </xf>
    <xf numFmtId="2" fontId="12" fillId="8" borderId="2" xfId="0" applyNumberFormat="1" applyFont="1" applyFill="1" applyBorder="1" applyProtection="1">
      <protection hidden="1"/>
    </xf>
    <xf numFmtId="2" fontId="12" fillId="0" borderId="2" xfId="0" applyNumberFormat="1" applyFont="1" applyBorder="1" applyProtection="1">
      <protection hidden="1"/>
    </xf>
    <xf numFmtId="2" fontId="12" fillId="0" borderId="3" xfId="0" applyNumberFormat="1" applyFont="1" applyBorder="1" applyProtection="1">
      <protection hidden="1"/>
    </xf>
    <xf numFmtId="0" fontId="0" fillId="2" borderId="9" xfId="0" applyFill="1" applyBorder="1" applyProtection="1">
      <protection hidden="1"/>
    </xf>
    <xf numFmtId="0" fontId="12" fillId="0" borderId="11" xfId="0" applyFont="1" applyBorder="1" applyProtection="1">
      <protection hidden="1"/>
    </xf>
    <xf numFmtId="10" fontId="12" fillId="0" borderId="0" xfId="0" applyNumberFormat="1" applyFont="1" applyProtection="1">
      <protection hidden="1"/>
    </xf>
    <xf numFmtId="10" fontId="12" fillId="8" borderId="11" xfId="3" applyNumberFormat="1" applyFont="1" applyFill="1" applyBorder="1" applyProtection="1">
      <protection hidden="1"/>
    </xf>
    <xf numFmtId="10" fontId="12" fillId="8" borderId="0" xfId="3" applyNumberFormat="1" applyFont="1" applyFill="1" applyBorder="1" applyProtection="1">
      <protection hidden="1"/>
    </xf>
    <xf numFmtId="10" fontId="12" fillId="8" borderId="0" xfId="3" applyNumberFormat="1" applyFont="1" applyFill="1" applyProtection="1">
      <protection hidden="1"/>
    </xf>
    <xf numFmtId="10" fontId="12" fillId="0" borderId="0" xfId="3" applyNumberFormat="1" applyFont="1" applyFill="1" applyBorder="1" applyProtection="1">
      <protection hidden="1"/>
    </xf>
    <xf numFmtId="10" fontId="12" fillId="0" borderId="0" xfId="3" applyNumberFormat="1" applyFont="1" applyBorder="1" applyProtection="1">
      <protection hidden="1"/>
    </xf>
    <xf numFmtId="10" fontId="12" fillId="0" borderId="10" xfId="3" applyNumberFormat="1" applyFont="1" applyBorder="1" applyProtection="1">
      <protection hidden="1"/>
    </xf>
    <xf numFmtId="0" fontId="12" fillId="2" borderId="9" xfId="0" applyFont="1" applyFill="1" applyBorder="1" applyProtection="1">
      <protection hidden="1"/>
    </xf>
    <xf numFmtId="0" fontId="12" fillId="0" borderId="4" xfId="0" applyFont="1" applyBorder="1" applyProtection="1">
      <protection hidden="1"/>
    </xf>
    <xf numFmtId="168" fontId="12" fillId="0" borderId="5" xfId="1" applyFont="1" applyBorder="1" applyProtection="1">
      <protection hidden="1"/>
    </xf>
    <xf numFmtId="168" fontId="12" fillId="8" borderId="4" xfId="1" applyFont="1" applyFill="1" applyBorder="1" applyProtection="1">
      <protection hidden="1"/>
    </xf>
    <xf numFmtId="168" fontId="12" fillId="8" borderId="5" xfId="1" applyFont="1" applyFill="1" applyBorder="1" applyProtection="1">
      <protection hidden="1"/>
    </xf>
    <xf numFmtId="168" fontId="12" fillId="0" borderId="6" xfId="1" applyFont="1" applyBorder="1" applyProtection="1">
      <protection hidden="1"/>
    </xf>
    <xf numFmtId="0" fontId="12" fillId="2" borderId="8" xfId="0" applyFont="1" applyFill="1" applyBorder="1" applyProtection="1">
      <protection hidden="1"/>
    </xf>
    <xf numFmtId="0" fontId="17" fillId="0" borderId="0" xfId="0" applyFont="1" applyProtection="1">
      <protection hidden="1"/>
    </xf>
    <xf numFmtId="170" fontId="0" fillId="0" borderId="0" xfId="1" applyNumberFormat="1" applyFont="1" applyFill="1" applyProtection="1">
      <protection hidden="1"/>
    </xf>
    <xf numFmtId="0" fontId="34" fillId="0" borderId="0" xfId="0" applyFont="1" applyProtection="1">
      <protection hidden="1"/>
    </xf>
    <xf numFmtId="172" fontId="0" fillId="8" borderId="0" xfId="0" applyNumberFormat="1" applyFill="1" applyProtection="1">
      <protection hidden="1"/>
    </xf>
    <xf numFmtId="172" fontId="0" fillId="0" borderId="0" xfId="0" applyNumberFormat="1" applyProtection="1">
      <protection hidden="1"/>
    </xf>
    <xf numFmtId="180" fontId="0" fillId="0" borderId="0" xfId="0" applyNumberFormat="1" applyProtection="1">
      <protection hidden="1"/>
    </xf>
    <xf numFmtId="9" fontId="14" fillId="0" borderId="0" xfId="3" applyFont="1" applyFill="1" applyProtection="1">
      <protection hidden="1"/>
    </xf>
    <xf numFmtId="172" fontId="14" fillId="0" borderId="0" xfId="3" applyNumberFormat="1" applyFont="1" applyFill="1" applyProtection="1">
      <protection hidden="1"/>
    </xf>
    <xf numFmtId="0" fontId="28" fillId="0" borderId="1"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10"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172" fontId="0" fillId="0" borderId="0" xfId="0" applyNumberFormat="1" applyAlignment="1" applyProtection="1">
      <alignment horizontal="center" vertical="center"/>
      <protection hidden="1"/>
    </xf>
    <xf numFmtId="3" fontId="0" fillId="0" borderId="10" xfId="1" applyNumberFormat="1" applyFont="1"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9" fillId="0" borderId="0" xfId="0" applyFont="1" applyProtection="1">
      <protection hidden="1"/>
    </xf>
    <xf numFmtId="0" fontId="0" fillId="0" borderId="0" xfId="0" applyAlignment="1" applyProtection="1">
      <alignment horizontal="left"/>
      <protection hidden="1"/>
    </xf>
    <xf numFmtId="0" fontId="14" fillId="0" borderId="0" xfId="0" applyFont="1" applyAlignment="1" applyProtection="1">
      <alignment horizontal="left"/>
      <protection hidden="1"/>
    </xf>
    <xf numFmtId="0" fontId="14" fillId="0" borderId="0" xfId="0" applyFont="1" applyAlignment="1" applyProtection="1">
      <alignment horizontal="center"/>
      <protection hidden="1"/>
    </xf>
    <xf numFmtId="170" fontId="14" fillId="0" borderId="0" xfId="1" applyNumberFormat="1" applyFont="1" applyFill="1" applyProtection="1">
      <protection hidden="1"/>
    </xf>
    <xf numFmtId="170" fontId="14" fillId="0" borderId="0" xfId="1" applyNumberFormat="1" applyFont="1" applyProtection="1">
      <protection hidden="1"/>
    </xf>
    <xf numFmtId="175" fontId="0" fillId="0" borderId="0" xfId="0" applyNumberFormat="1" applyProtection="1">
      <protection hidden="1"/>
    </xf>
    <xf numFmtId="0" fontId="18" fillId="0" borderId="14"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4" fillId="0" borderId="15" xfId="0" applyFont="1" applyBorder="1" applyAlignment="1">
      <alignment horizontal="center" vertical="center" wrapText="1"/>
    </xf>
  </cellXfs>
  <cellStyles count="36">
    <cellStyle name="60% - Accent3 2" xfId="15" xr:uid="{8FF91C72-E7AD-4FAD-B84C-DEB8D2D969AD}"/>
    <cellStyle name="Comma" xfId="1" builtinId="3"/>
    <cellStyle name="Comma 2" xfId="6" xr:uid="{1DD84528-3A25-4B61-B63D-3F1AB74D3197}"/>
    <cellStyle name="Comma 2 2" xfId="16" xr:uid="{D63545E4-F48D-4870-B64D-EDF61B91E17A}"/>
    <cellStyle name="Comma 3" xfId="17" xr:uid="{5CDB7ACB-BA4B-48DC-A837-05A715C16D37}"/>
    <cellStyle name="Comma 4" xfId="32" xr:uid="{D8EA5485-D3C3-460D-9D00-D6664E91965C}"/>
    <cellStyle name="Comma 6" xfId="28" xr:uid="{2912B79E-5631-4290-A744-0B18ECD112F3}"/>
    <cellStyle name="Comma 6 2" xfId="34" xr:uid="{E21B0EF8-44AA-4D2F-A40A-A288F6D4F7C1}"/>
    <cellStyle name="Currency" xfId="2" builtinId="4"/>
    <cellStyle name="Currency 2" xfId="18" xr:uid="{1EE653B4-DDA5-4B55-A0BE-3CEBE61CA5C5}"/>
    <cellStyle name="Hyperlink" xfId="11" builtinId="8"/>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9" xr:uid="{99D39241-B15F-4648-936C-CF865A73934B}"/>
    <cellStyle name="Normal 2 2 3" xfId="20" xr:uid="{2E2E4189-229E-48DC-9AF6-910E0BD91EA7}"/>
    <cellStyle name="Normal 2 3" xfId="12" xr:uid="{283D1230-56A2-4AED-847E-4D54743C54ED}"/>
    <cellStyle name="Normal 2 4" xfId="21" xr:uid="{31064DB8-14BE-441E-A119-214B7843C637}"/>
    <cellStyle name="Normal 3" xfId="13" xr:uid="{E44BAF24-73C5-43CE-9F05-AA78C3C3E0F9}"/>
    <cellStyle name="Normal 3 2" xfId="22" xr:uid="{4B2BE739-9C31-42B4-9140-F9584165397A}"/>
    <cellStyle name="Normal 4" xfId="31" xr:uid="{43001800-DC4B-4070-82E7-513E59F03F9A}"/>
    <cellStyle name="Normal 6" xfId="27" xr:uid="{B273037E-802B-4A7A-A90A-5943FF1E5182}"/>
    <cellStyle name="Normal 6 2" xfId="33" xr:uid="{16D7919E-7AFA-4B5C-B7E0-A3ED460832C0}"/>
    <cellStyle name="Normal 9" xfId="30" xr:uid="{A352D2F3-1060-4033-9E90-84487AE75EC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23" xr:uid="{BC066B60-3910-4FF9-9FEF-4FFFB5E9B8D5}"/>
    <cellStyle name="Percent 2 2 3" xfId="24" xr:uid="{FD6C22DA-9742-473F-B9D0-DFE9BA0A3A08}"/>
    <cellStyle name="Percent 2 3" xfId="25" xr:uid="{4EAF1FE3-6EDA-465B-966B-E24700BB5C71}"/>
    <cellStyle name="Percent 3" xfId="14" xr:uid="{9950DE39-35F2-410D-9371-9F11678BC4A5}"/>
    <cellStyle name="Percent 3 2" xfId="26" xr:uid="{3C4CFAB1-0D80-439E-90DE-2F8804796FA9}"/>
    <cellStyle name="Percent 4" xfId="29" xr:uid="{38A9DCB3-B1A9-46A3-9510-8D8304DABF3E}"/>
    <cellStyle name="Percent 4 2" xfId="35" xr:uid="{63BE93AF-2FA0-4722-B946-9BE9BF7581F9}"/>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styles" Target="styles.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sharedStrings" Target="sharedStrings.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theme" Target="theme/theme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profile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'Price and Financial Ratios'!$I$3:$AK$3</c:f>
              <c:numCache>
                <c:formatCode>General</c:formatCode>
                <c:ptCount val="29"/>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numCache>
            </c:numRef>
          </c:cat>
          <c:val>
            <c:numRef>
              <c:f>'Price and Financial Ratios'!$I$4:$AK$4</c:f>
              <c:numCache>
                <c:formatCode>0.0%</c:formatCode>
                <c:ptCount val="29"/>
                <c:pt idx="0">
                  <c:v>0.08</c:v>
                </c:pt>
                <c:pt idx="1">
                  <c:v>0.03</c:v>
                </c:pt>
                <c:pt idx="2">
                  <c:v>0.02</c:v>
                </c:pt>
                <c:pt idx="3">
                  <c:v>0.01</c:v>
                </c:pt>
                <c:pt idx="4">
                  <c:v>0</c:v>
                </c:pt>
                <c:pt idx="5">
                  <c:v>0</c:v>
                </c:pt>
                <c:pt idx="6">
                  <c:v>0</c:v>
                </c:pt>
                <c:pt idx="7">
                  <c:v>-0.01</c:v>
                </c:pt>
                <c:pt idx="8">
                  <c:v>-0.01</c:v>
                </c:pt>
                <c:pt idx="9">
                  <c:v>0.06</c:v>
                </c:pt>
                <c:pt idx="10">
                  <c:v>0.04</c:v>
                </c:pt>
                <c:pt idx="11">
                  <c:v>0.04</c:v>
                </c:pt>
                <c:pt idx="12">
                  <c:v>0.03</c:v>
                </c:pt>
                <c:pt idx="13">
                  <c:v>0.03</c:v>
                </c:pt>
                <c:pt idx="14">
                  <c:v>0.02</c:v>
                </c:pt>
                <c:pt idx="15">
                  <c:v>0.02</c:v>
                </c:pt>
                <c:pt idx="16">
                  <c:v>0.02</c:v>
                </c:pt>
                <c:pt idx="17">
                  <c:v>0.02</c:v>
                </c:pt>
                <c:pt idx="18">
                  <c:v>0.02</c:v>
                </c:pt>
                <c:pt idx="19">
                  <c:v>0.05</c:v>
                </c:pt>
                <c:pt idx="20">
                  <c:v>0.04</c:v>
                </c:pt>
                <c:pt idx="21">
                  <c:v>0.04</c:v>
                </c:pt>
                <c:pt idx="22">
                  <c:v>0.03</c:v>
                </c:pt>
                <c:pt idx="23">
                  <c:v>0.03</c:v>
                </c:pt>
                <c:pt idx="24">
                  <c:v>0.03</c:v>
                </c:pt>
                <c:pt idx="25">
                  <c:v>0.02</c:v>
                </c:pt>
                <c:pt idx="26">
                  <c:v>0.02</c:v>
                </c:pt>
                <c:pt idx="27">
                  <c:v>0.01</c:v>
                </c:pt>
                <c:pt idx="28">
                  <c:v>0.01</c:v>
                </c:pt>
              </c:numCache>
            </c:numRef>
          </c:val>
          <c:smooth val="0"/>
          <c:extLst>
            <c:ext xmlns:c16="http://schemas.microsoft.com/office/drawing/2014/chart" uri="{C3380CC4-5D6E-409C-BE32-E72D297353CC}">
              <c16:uniqueId val="{00000000-B173-429C-94B7-6B5D6B05F58F}"/>
            </c:ext>
          </c:extLst>
        </c:ser>
        <c:dLbls>
          <c:showLegendKey val="0"/>
          <c:showVal val="0"/>
          <c:showCatName val="0"/>
          <c:showSerName val="0"/>
          <c:showPercent val="0"/>
          <c:showBubbleSize val="0"/>
        </c:dLbls>
        <c:smooth val="0"/>
        <c:axId val="1389150112"/>
        <c:axId val="1389157656"/>
      </c:lineChart>
      <c:catAx>
        <c:axId val="13891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7656"/>
        <c:crosses val="autoZero"/>
        <c:auto val="1"/>
        <c:lblAlgn val="ctr"/>
        <c:lblOffset val="100"/>
        <c:noMultiLvlLbl val="0"/>
      </c:catAx>
      <c:valAx>
        <c:axId val="1389157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0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3675529</xdr:colOff>
      <xdr:row>17</xdr:row>
      <xdr:rowOff>186764</xdr:rowOff>
    </xdr:from>
    <xdr:to>
      <xdr:col>2</xdr:col>
      <xdr:colOff>7244229</xdr:colOff>
      <xdr:row>17</xdr:row>
      <xdr:rowOff>3109591</xdr:rowOff>
    </xdr:to>
    <xdr:pic>
      <xdr:nvPicPr>
        <xdr:cNvPr id="2" name="Picture 1">
          <a:extLst>
            <a:ext uri="{FF2B5EF4-FFF2-40B4-BE49-F238E27FC236}">
              <a16:creationId xmlns:a16="http://schemas.microsoft.com/office/drawing/2014/main" id="{32CEAB0F-7AC9-48EC-A1C7-F7F9EF8AE202}"/>
            </a:ext>
          </a:extLst>
        </xdr:cNvPr>
        <xdr:cNvPicPr>
          <a:picLocks noChangeAspect="1"/>
        </xdr:cNvPicPr>
      </xdr:nvPicPr>
      <xdr:blipFill>
        <a:blip xmlns:r="http://schemas.openxmlformats.org/officeDocument/2006/relationships" r:embed="rId1"/>
        <a:stretch>
          <a:fillRect/>
        </a:stretch>
      </xdr:blipFill>
      <xdr:spPr>
        <a:xfrm>
          <a:off x="5580529" y="3757705"/>
          <a:ext cx="3568700" cy="2928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4123</xdr:colOff>
      <xdr:row>15</xdr:row>
      <xdr:rowOff>5773</xdr:rowOff>
    </xdr:from>
    <xdr:to>
      <xdr:col>22</xdr:col>
      <xdr:colOff>719941</xdr:colOff>
      <xdr:row>43</xdr:row>
      <xdr:rowOff>170707</xdr:rowOff>
    </xdr:to>
    <xdr:graphicFrame macro="">
      <xdr:nvGraphicFramePr>
        <xdr:cNvPr id="5" name="Chart 1">
          <a:extLst>
            <a:ext uri="{FF2B5EF4-FFF2-40B4-BE49-F238E27FC236}">
              <a16:creationId xmlns:a16="http://schemas.microsoft.com/office/drawing/2014/main" id="{69571305-19D5-4857-9B7E-343BBC2B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ater%20Resources\Demand%20Management\2000\LNO%20Bulk%20Supply%20Met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P\Water%20Resources\Monthly%20Reports\WR%20Month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21\12%20June%202021\Labour%20Reporting\Labour%20Reporting_2106%20Jun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Budgets\2015-16\Forecast\Forecast2\ATEED%2019mth%20Forecast-Budget%20Dec15%20Final%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OARD\NEW\CON_SS\Con_ss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baoj\Local%20Settings\Temporary%20Internet%20Files\OLK68\MLS%20revenue%20error%20-%20LTP%20refresh%202%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CORP1\VOL1\SHARED\HR_GROUP\DATA\PROFGLM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OARD\Monthly%20Reporting%2005-06\1_July\OPM_EBIT_PostExtreport_2005(2006version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eams.at.govt.nz/sites/fi/EMUProject/Complete%20EMU%20budget%20-%20update%20Jan%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FO\Finance\Planning%20and%20Policy\Annual%20Plan\Annual%20Plan%202014-2015\4-Financials\02%20Capex%20Data\#Capex DBase - Final AP (June 20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Q:\OPM\Shared%20Reports\ECL%20Reports\ECL%20Gross%20Margin%20Reporting%20-%20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Perf_D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acintranet.aklc.govt.nz/EN/departments/finance/Forms%20and%20templates/MD3%20WBS%20Project%20For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Eva\Contract%20FTE\Report\Report\Workforce%20Planning%20Report_Master%20File_20180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LAN99\992000_PL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Patelas\Local%20Settings\Temporary%20Internet%20Files\OLKF8\LTCCP%20capex%20plan%20revised13%20-COPY-Depn%20Che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atercareserviceslimited-my.sharepoint.com/ASB/FI/Management%20Accounting/2019/12%20June%202019/Infrastructure/201912%20Full%20Project%20Summary%20AM%20Report%20(EXCL%20PYCL).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VA\Models\AnnEVAMode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2\TuckerR\Documents\simple%20capex%20calculator%202_5%20per%20cent.xlsm"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K:\ASB\FI\Commercial\Reform%20project%202020\3.%20DIA%20RFI%20Feb2020\RFI%20project%20file%20(taken%20from%20Teams)\Final%20information%20for%20DIA\Watercare%20RFI%20submission\Request%20for%20Information%20Template%20Workbook%20I%20(v3.1%20-%20change%20as%20result%20of%20questions).xlsx?94D46F73" TargetMode="External"/><Relationship Id="rId1" Type="http://schemas.openxmlformats.org/officeDocument/2006/relationships/externalLinkPath" Target="file:///\\94D46F73\Request%20for%20Information%20Template%20Workbook%20I%20(v3.1%20-%20change%20as%20result%20of%20questions).xlsx"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file:///C:\CFO\Finance\Planning%20and%20Policy\Annual%20Plan\Annual%20Plan%202016-2017\04%20Financial\Modelling\Consolidation%20modelling\Starting%20point%20-%20LTP%201July2015\Financial%20statements%20workings%20with%20scenario%20modelling%2030-06-2015.xlsx?87B374ED" TargetMode="External"/><Relationship Id="rId1" Type="http://schemas.openxmlformats.org/officeDocument/2006/relationships/externalLinkPath" Target="file:///\\87B374ED\Financial%20statements%20workings%20with%20scenario%20modelling%2030-06-201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kittot\LOCALS~1\Temp\Copy%20of%20Debt%20Repor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inance\Finance%20Reports\FY16\ATEED%20finance%20report%20FY16%20-%20curren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Analytics%20Core%20Data\FTE\09%20SEP\AC_Statutory%20FTE_Reconciliation_20180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naidum\Local%20Settings\Temporary%20Internet%20Files\OLK4\ata008rst.Results%20tables_All%20Councils_Dynami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atercareserviceslimited-my.sharepoint.com/ASB/FI/FINACC/June%2020/Year%20End/Auckland%20Council%20Reporting%20Pack/WCS%202020_Q4%20Reporting%20pack.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inance\Finance%20Reports\FY14\201412%20-%20June%202014\Working\ATEED%20finance%20report%20-%20June%202014%20(FINAL)%20Adjust%20for%20Prod%20Fe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PM\Shared%20Reports\WIP\Monthly%20Reporting\Test_Monthly_Repor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klc.govt.nz\Data\CFO\Finance\Planning%20and%20Policy\Long%20term%20plan%202018\04%20Financials\Budget%20Refresh\Template\Current%20Mapping\LTP%20101%20Toolkit%20data\LTP%20toolkit%20Parent%20&amp;%20CCO%20v4%20(May%20End%20on%209%20Jun).xlsb"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HL\Shervon%20Zhou\ECL\Forecast\DOS%20Forecast%202004%20EC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ater.internal\org\Common\Monthly\Dashboards%20and%20PSR's\Dashboards\Board%20Report%20(Revised).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Sue%20and%20Dario\AppData\Local\Microsoft\Windows\Temporary%20Internet%20Files\Content.IE5\R0P1NMUQ\Budget%20template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zzid\Application%20Data\Microsoft\Excel\Change%20template%20-%2026March%20v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fionaree1\Documents\Reference%20Data\Ptr%20GL%20ac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Rootmaa1\AppData\Local\Microsoft\Windows\Temporary%20Internet%20Files\Content.Outlook\HZ9K214P\Detailed%20calculation%20model_AR_23Jan%202015%20FINAL%20v3.xlsx"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Documents%20and%20Settings\jeffreyd\Local%20Settings\Temporary%20Internet%20Files\OLK154\Impact%20on%20rates%20-%20Transport%20projects%202009-2016%20v5%20%20(2).xls?30858E31" TargetMode="External"/><Relationship Id="rId1" Type="http://schemas.openxmlformats.org/officeDocument/2006/relationships/externalLinkPath" Target="file:///\\30858E31\Impact%20on%20rates%20-%20Transport%20projects%202009-2016%20v5%2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EPT\FINPLAN\INFORMAT\STAMP\STAMP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CityWide\Reporting%20&amp;%20Planning%20Project%20(RAPP)\24.%20Process%20&amp;%20Sys\04.40%20HFM%20App%20Files\HFM%20ACPLAN%20-%20Andy's%20App\Journals\Nath\NY_5028_ARTAOH_30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ites\analysis\Data\Annual%20Return\AR_V22_(18-19)\OMD_CEM_OPA\OPA%20Calculator%20-%202018-19%20-%20March%20-%20v2.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Corporate%20Finance%20&amp;%20Planning\Corporate%20Planning\01_FinStrategy_Modelling\01_2008_09\Revenue&amp;Financing\Old%20Models\AT%20Targeted%20rates%20for%20RevFin%20Policy%20050?29D3CFDF" TargetMode="External"/><Relationship Id="rId1" Type="http://schemas.openxmlformats.org/officeDocument/2006/relationships/externalLinkPath" Target="file:///\\29D3CFDF\AT%20Targeted%20rates%20for%20RevFin%20Policy%20050"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ityWide\Permanent\Business%20Planning\Business%20planning%2013-14\CPO\BP%20FY14%20Regional%20and%20Local%20Planning%20final%20vers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klc.govt.nz\shared\CFO\Finance\Planning%20and%20Policy\03%20Bus%20plan&amp;%20eval\Annual%20Plan\Annual%20Plan%202011-2012\Models\Data%20Migration%20Template%20v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EVA\Results\EVAModelNov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Youngs3\AppData\Local\Microsoft\Windows\Temporary%20Internet%20Files\Content.Outlook\MYY51QZA\Budget%20Calc_Model_V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LAN99\Letters\PlanTemp\FT99_L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LAN99\Core\Annual\CAPITALX.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PLAN99\Core\Performance\Annual9900Ou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PLAN99\Distribution\PlanTemp\MT99_D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18\P03%20September%202017\Infrastructure\504%20Capital%20Project%20Variances%206%20October%202017.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LAN99\Core\Performance\Annual9900Ac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CFO\Finance\Planning%20and%20Policy\Long%20term%20plan%202015\04%20Financials\Models\Scenario%20modelling\July-Aug%20Workshops%20and%20mayoral%20proposal\Mayoral%20proposal%20consolidated%20model%20%20FINAL_28August2014.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CCO\Tourism%20Events%20and%20Economic%20Development%20(CCO)\Finance\Budgets\2014-15\Annual%20Plan%20detailed%20phasing\Annual%20Plan%202014-15%20FINAL%20-%20post%20Managers%20phasing%20V5.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Finance\Budgets\2015-16\Budget\Budget\Budget%20template\Budget%20template%20V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cvdata2\jeffreyd$\Corporate%20Finance%20&amp;%20Planning\Corporate%20Planning\Anplan\2008-2009\Budget%20Review\High%20Level%20Changes\Summary%20Spreadsheets\ALL%20High%20Level%20Budget%20Review%20SUMMARY%201710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lan_01\Plan\Documents\2000_01PlanEVA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lan_01\Monthly%20Reporting\December\2001Ac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RECONS\2002\Recs%2012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Misc\Copy%20of%20financial_statements_sample.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nkoch\Downloads\tfgld3509m000_1000_20190910-152646.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ater.internal\ORG\02%20-%20Asset%20Development\Common\Monthly\Dashboards%20and%20PSR's\Dashboards\Dashboard%20MaterData\P11_May%202020\Day%2011_Final\tppss2120m000_1000_20200612-114652_baseline.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Finance\Budgets\LTP%202015-2025\LTP%20Budget%20Jan15%20review.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gregoryg\Local%20Settings\Temporary%20Internet%20Files\Content.Outlook\6QAFCUR3\Recreation_LTP_refresh_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3%20Waters%20RFI%20for%20DIA\Request%20for%20Information%20Template%20Workbook_CHBMaster.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sites\commission-business\Hydro%20Nation\International%20projects\New%20Zealand\Analysis\Watercare%20-%202009%20O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ater Balance "/>
      <sheetName val="LNO Monthly Sheet "/>
      <sheetName val="Budget Data - 2000-01"/>
      <sheetName val="LNO m3day"/>
      <sheetName val="All LNOs"/>
      <sheetName val="All LNOs - Budget A"/>
      <sheetName val="All LNOs - Budget B"/>
      <sheetName val="Metrowater"/>
      <sheetName val="Manukau"/>
      <sheetName val="North Shore"/>
      <sheetName val="Waitakere"/>
      <sheetName val="United"/>
      <sheetName val="Rodney"/>
      <sheetName val="Region"/>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rms"/>
      <sheetName val="Input davg avg"/>
      <sheetName val="To model"/>
      <sheetName val="Input TPs"/>
      <sheetName val="Bulk Meters"/>
      <sheetName val="TPs"/>
      <sheetName val="Key"/>
      <sheetName val="Lake chart"/>
      <sheetName val="Lake Storage"/>
      <sheetName val="Per capita cht"/>
      <sheetName val="Tot lpcd"/>
      <sheetName val="Demand Forecast"/>
      <sheetName val="forwrss"/>
      <sheetName val="fow wr ss"/>
      <sheetName val="Qrtr 1 Current"/>
      <sheetName val="Qtr 2"/>
      <sheetName val="To LNOs 1"/>
      <sheetName val="To LNOs 2"/>
      <sheetName val="To LNOs 3"/>
      <sheetName val="Qtr 2 - New"/>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actors"/>
      <sheetName val="Labour Reporting"/>
      <sheetName val="Staff List"/>
      <sheetName val="GMPack"/>
      <sheetName val="Headcount_Budget File FY21"/>
      <sheetName val="Data"/>
      <sheetName val="Mapping"/>
      <sheetName val="Process"/>
      <sheetName val="LU"/>
      <sheetName val="Sheet1"/>
      <sheetName val="FY20_Budget_Pivot"/>
      <sheetName val="Headcount_Budget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S - GROUP"/>
      <sheetName val="Forecast IS"/>
      <sheetName val="Major Events project"/>
      <sheetName val="Board Rpt IncStmt-Columns corr)"/>
      <sheetName val="Funding"/>
      <sheetName val="2017 Budget"/>
      <sheetName val="Q2 Forecast"/>
      <sheetName val="Forecast template"/>
      <sheetName val="Board Rpt SumIncStmt"/>
      <sheetName val="Board Rpt IncStmt"/>
      <sheetName val="ATEED summary P&amp;L"/>
      <sheetName val="Pivot IncStmt"/>
      <sheetName val="Forecast Pivot"/>
      <sheetName val="D&amp;M summary P&amp;L"/>
      <sheetName val="COO summary P&amp;L"/>
      <sheetName val="ER summary P&amp;L"/>
      <sheetName val="BIS summary P&amp;L"/>
      <sheetName val="D&amp;M summary CC+Projects"/>
      <sheetName val="Corporate alone summary P&amp;L"/>
      <sheetName val="Actual FY15"/>
      <sheetName val="Forecast template NOSUBT"/>
      <sheetName val="Risks&amp;Opportunities"/>
      <sheetName val="Instructions"/>
      <sheetName val="Forecast FY16 (2)"/>
      <sheetName val="SAP actuals"/>
      <sheetName val="Forecast FY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_cm"/>
      <sheetName val="AnnRep"/>
      <sheetName val="StatFinPerf"/>
      <sheetName val="StatFinPos"/>
      <sheetName val="StatCF"/>
      <sheetName val="RecCF"/>
      <sheetName val="MvmtEquity"/>
      <sheetName val="Acc Policies"/>
      <sheetName val=" Notes to Fin Stats"/>
      <sheetName val="Fin Instruments"/>
      <sheetName val="To Do"/>
      <sheetName val="DL_FORMAT"/>
      <sheetName val="CHECKLIST"/>
      <sheetName val="Earning_Stmt_Act"/>
      <sheetName val="Earning_Stmt_Outturn"/>
      <sheetName val="Fin_Pos"/>
      <sheetName val="Fin_Pos_Outturn"/>
      <sheetName val="Funding"/>
      <sheetName val="NewCF"/>
      <sheetName val="Funding_Outturn"/>
      <sheetName val="Fin_Per_ActII"/>
      <sheetName val="Fin_Per_OutturnII"/>
      <sheetName val="EBIT Graphs"/>
      <sheetName val="Text Tables"/>
      <sheetName val="Balance_Sheet"/>
      <sheetName val="CashFlow"/>
      <sheetName val="Stmt_Fin_Per"/>
      <sheetName val="Subs_Contrib"/>
      <sheetName val="Revenue"/>
      <sheetName val="Expenditure"/>
      <sheetName val="Rev_Summary"/>
      <sheetName val="Graph_data"/>
      <sheetName val="Fin_Per_Act"/>
      <sheetName val="Fin_Per_Outturn"/>
      <sheetName val="BUD_FIN_POS"/>
      <sheetName val="Revised_BUD_FIN_POS"/>
      <sheetName val="BUD_FUNDING"/>
      <sheetName val="Revised_BUD_FUNDING"/>
      <sheetName val="DL_KIWIMAIL"/>
      <sheetName val="DL_XP"/>
      <sheetName val="DL_AEL"/>
      <sheetName val="DL_SkyRoad"/>
      <sheetName val="DL_TTL"/>
      <sheetName val="DL_DATAMAIL"/>
      <sheetName val="DL_SMOT"/>
      <sheetName val="DL_PACE"/>
      <sheetName val="DL_SUBS_ELIM"/>
      <sheetName val="DL_REV_ACT"/>
      <sheetName val="DL_REV_BUD"/>
      <sheetName val="DL_REV_ELIM_ACT"/>
      <sheetName val="DL_REV_ELIM_BUD"/>
      <sheetName val="DL_PL_ACT"/>
      <sheetName val="DL_BS_ACT"/>
      <sheetName val="DL_BUD_YTD"/>
      <sheetName val="DL_BUD_ANL"/>
      <sheetName val="DL_LAST_YR"/>
      <sheetName val="DL_LAST_YR_ANL"/>
      <sheetName val="DL_BS_LAST_YR"/>
      <sheetName val="DL_BS_AN_LAST_YR"/>
      <sheetName val="DL_REV_CHECK"/>
      <sheetName val="DL_PL_GGRSM"/>
      <sheetName val="DL_BS_GGRSM"/>
      <sheetName val="Tax"/>
      <sheetName val="Revised_Budgets"/>
      <sheetName val="Budgets"/>
      <sheetName val="Elim."/>
      <sheetName val="Last_Year"/>
      <sheetName val="Input"/>
      <sheetName val="Notes"/>
      <sheetName val="Sheet1"/>
      <sheetName val="Module6"/>
      <sheetName val="Module10"/>
      <sheetName val="Module1"/>
      <sheetName val="Module2"/>
      <sheetName val="CG"/>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sheetData sheetId="57" refreshError="1"/>
      <sheetData sheetId="58"/>
      <sheetData sheetId="59"/>
      <sheetData sheetId="60" refreshError="1"/>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 val="ICP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Monthly Source Data"/>
      <sheetName val="Macro_Update_Levels"/>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ny_Summ"/>
      <sheetName val="Perf stmt"/>
      <sheetName val="Exp Table (Hstory)"/>
      <sheetName val="Exp Table"/>
      <sheetName val="MthBud_BG (Manual)"/>
      <sheetName val="MthBud_BG"/>
      <sheetName val="MthBud_Accnt"/>
      <sheetName val="Waterfall"/>
      <sheetName val="EBITGraphs"/>
      <sheetName val="EBITReport_BG"/>
      <sheetName val="EBITReport_Accnt"/>
      <sheetName val="Revenue"/>
      <sheetName val="Expense_old"/>
      <sheetName val="Control"/>
      <sheetName val="New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U Purchase Budget"/>
      <sheetName val="Far dates"/>
      <sheetName val="EMU + Depot Other Budget"/>
      <sheetName val="Depot Budget"/>
      <sheetName val="KiwiRail Payment"/>
      <sheetName val="FX Transactions"/>
      <sheetName val="loan info for NZTA"/>
      <sheetName val="sent to NZTA 16-03-2015"/>
      <sheetName val="sent to NZTA 16-01-2015"/>
      <sheetName val="IRS"/>
      <sheetName val="AC Loan 2"/>
      <sheetName val="AC Loan 1"/>
      <sheetName val="NZTA update"/>
      <sheetName val="Cashflow - updated with Actuals"/>
      <sheetName val="Cashflow - original updated"/>
      <sheetName val="Numbers for Ahmed"/>
      <sheetName val="Assumptions and data"/>
      <sheetName val="Cashflow - working version"/>
      <sheetName val="TB"/>
      <sheetName val="IntPri by year"/>
      <sheetName val="Fiona sum"/>
      <sheetName val="Cashflow - with actuals"/>
      <sheetName val="Cashflow - for Rachael"/>
      <sheetName val="jnl check"/>
      <sheetName val="SAP"/>
      <sheetName val="For Rachael"/>
      <sheetName val="EMU 12"/>
      <sheetName val="EMU 12.2"/>
      <sheetName val="EMU 11"/>
      <sheetName val="EMU 11.2"/>
      <sheetName val="EMU 16"/>
      <sheetName val="EMU 15"/>
      <sheetName val="EMU 14"/>
      <sheetName val="EMU 13"/>
      <sheetName val="EMU 10"/>
      <sheetName val="EMU 9"/>
      <sheetName val="EMU 8"/>
      <sheetName val="EMU Loan1"/>
      <sheetName val="EMU Loan2"/>
      <sheetName val="EMU Loan3"/>
      <sheetName val="EMU Loan4"/>
      <sheetName val="EMU Loan5"/>
      <sheetName val="EMU Loan6"/>
      <sheetName val="EMU Loan7"/>
      <sheetName val="EMU Loan8"/>
      <sheetName val="EMU Loan9"/>
      <sheetName val="EMU Loan10"/>
      <sheetName val="EMU Loan11"/>
      <sheetName val="EMU Loan12"/>
      <sheetName val="EMU Loan13"/>
      <sheetName val="EMU Loan14"/>
      <sheetName val="EMU Loan15"/>
      <sheetName val="EMU Loan16"/>
      <sheetName val="EMU Loan17"/>
      <sheetName val="EMU Loan18"/>
      <sheetName val="EMU Loan19"/>
      <sheetName val="EMU Loan20"/>
      <sheetName val="EMU Loan21"/>
      <sheetName val="EMU Loan22"/>
      <sheetName val="EMU Loan23"/>
      <sheetName val="EMU Loan24"/>
      <sheetName val="Depot Loan1"/>
      <sheetName val="Depot Loan2"/>
      <sheetName val="Depot Loan3"/>
      <sheetName val="Depot Loan4"/>
      <sheetName val="Depot Loan5"/>
      <sheetName val="Depot Loan6"/>
      <sheetName val="Depot Loan7"/>
      <sheetName val="Depot Loan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Shifts"/>
      <sheetName val="DBase"/>
      <sheetName val="Inflation"/>
      <sheetName val="EPMO"/>
      <sheetName val="Guidance"/>
      <sheetName val="Ranked Capex Schedule"/>
      <sheetName val="Evaluation factors"/>
      <sheetName val="GoA split"/>
      <sheetName val="LB project list"/>
      <sheetName val="Group project list"/>
      <sheetName val="Group List"/>
      <sheetName val="Geographi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CL P&amp;L"/>
      <sheetName val="Run Report"/>
      <sheetName val="Evaluation factors"/>
      <sheetName val="Geographic"/>
    </sheetNames>
    <sheetDataSet>
      <sheetData sheetId="0" refreshError="1"/>
      <sheetData sheetId="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turn"/>
      <sheetName val="Capex"/>
      <sheetName val="Print"/>
      <sheetName val="OpUp"/>
      <sheetName val="GREBIT"/>
      <sheetName val="GREVA"/>
      <sheetName val="BdYTD"/>
      <sheetName val="BdANN"/>
      <sheetName val="BdSUM"/>
      <sheetName val="Half Year"/>
      <sheetName val="vBud"/>
      <sheetName val="vLYr"/>
      <sheetName val="BudvLyr"/>
      <sheetName val="Act"/>
      <sheetName val="Bud"/>
      <sheetName val="Bud2"/>
      <sheetName val="Pro"/>
      <sheetName val="Tar"/>
      <sheetName val="Out"/>
      <sheetName val="Out2"/>
      <sheetName val="Oup"/>
      <sheetName val="Lyr"/>
      <sheetName val="Lyr2"/>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3"/>
      <sheetName val="Activity_List"/>
      <sheetName val="MD3_Setup"/>
      <sheetName val="Capex"/>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List"/>
      <sheetName val="Dashboard Data"/>
      <sheetName val="ELT Monthly Graph"/>
      <sheetName val="Report"/>
      <sheetName val="AC"/>
      <sheetName val="Dashboard AC"/>
      <sheetName val="Operations"/>
      <sheetName val="CFO"/>
      <sheetName val="CE"/>
      <sheetName val="CPO"/>
      <sheetName val="Dashboard CPO"/>
      <sheetName val="Governance"/>
      <sheetName val="P&amp;P"/>
      <sheetName val="Dashboard RegService"/>
      <sheetName val="Dashboard PP"/>
      <sheetName val="Regulatory Service"/>
      <sheetName val="Dashboard CommService"/>
      <sheetName val="Community Service"/>
      <sheetName val="Dashboard IES"/>
      <sheetName val="I&amp;ES"/>
      <sheetName val="Dashboard CEO"/>
      <sheetName val="CEO"/>
      <sheetName val="Dashboard LR"/>
      <sheetName val="L&amp;R"/>
      <sheetName val="Dashboard CommEng"/>
      <sheetName val="Comm&amp;Eng"/>
      <sheetName val="Dashboard Mayoff"/>
      <sheetName val="Mayoral Office"/>
      <sheetName val="Dashboard Governance"/>
      <sheetName val="Dashboard CE"/>
      <sheetName val="Dashboard CFO"/>
      <sheetName val="Dashboard Opeartions"/>
      <sheetName val="Workforce Planning Report_Maste"/>
      <sheetName val="MD3_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U"/>
      <sheetName val="Rev.Exp Sum Paul"/>
      <sheetName val="Margin Plan"/>
      <sheetName val="Scenarios"/>
      <sheetName val="Actual Values"/>
      <sheetName val="Actual Recon"/>
      <sheetName val="Margins"/>
      <sheetName val="Graphs"/>
      <sheetName val="Presentation"/>
      <sheetName val="Monte Carlo"/>
      <sheetName val="Subsidiaries - Recon"/>
      <sheetName val="Business Direction"/>
      <sheetName val="Statements"/>
      <sheetName val="Sheets"/>
      <sheetName val="Dividend_Calc."/>
      <sheetName val="Int.dep.tax"/>
      <sheetName val="Balance Sheet "/>
      <sheetName val="Rev.Exp"/>
      <sheetName val="Vol_Postage"/>
      <sheetName val="Forecasts_inp"/>
      <sheetName val="Assumptions"/>
      <sheetName val="99_2000"/>
      <sheetName val="1998_99"/>
      <sheetName val="1997_98"/>
      <sheetName val="1996_97"/>
      <sheetName val="Sheet10"/>
      <sheetName val="Sheet11"/>
      <sheetName val="Sheet12"/>
      <sheetName val="Sheet13"/>
      <sheetName val="Sheet14"/>
      <sheetName val="Sheet15"/>
      <sheetName val="Sheet16"/>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Change"/>
      <sheetName val="Capex Original"/>
      <sheetName val="App 1"/>
      <sheetName val="App2"/>
      <sheetName val="App 3"/>
      <sheetName val="App 4"/>
      <sheetName val="App 5"/>
      <sheetName val="Index"/>
      <sheetName val="Dashboard 1"/>
      <sheetName val="Revised misc"/>
      <sheetName val="Capex revised"/>
      <sheetName val="Total Depreciation"/>
      <sheetName val="Capitalised interest - Depn"/>
      <sheetName val="Depreciation 0809"/>
      <sheetName val="Depn Calc &lt;10yr"/>
      <sheetName val="Depreciation 0910 onwards"/>
      <sheetName val="C Opex"/>
      <sheetName val="Summary"/>
      <sheetName val="Opex"/>
      <sheetName val="Revised by group"/>
      <sheetName val="Revised 0809"/>
      <sheetName val="Original"/>
      <sheetName val="Change"/>
      <sheetName val="Rev LTNZ"/>
      <sheetName val="Rev DC"/>
      <sheetName val="Rev other"/>
      <sheetName val="Rev total"/>
      <sheetName val="Net Capex"/>
      <sheetName val="Interest"/>
      <sheetName val="Principal repayment"/>
      <sheetName val="Dep C Opex Capex summary"/>
      <sheetName val="Total opex"/>
      <sheetName val="Assumptions"/>
      <sheetName val="Strategies"/>
      <sheetName val="Data 28 Aug"/>
      <sheetName val="Divisions"/>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ard Report EXCL cap int"/>
      <sheetName val="Control"/>
      <sheetName val="Board Report input by BU"/>
      <sheetName val="Fcst Adjustment Dec"/>
      <sheetName val="Reduction Adjustment Sheet"/>
      <sheetName val="ZPS_PSR"/>
      <sheetName val="YTD Analysis For Pack"/>
      <sheetName val="Classification"/>
      <sheetName val="Mapping"/>
      <sheetName val="WA_WW_Spli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tructure"/>
      <sheetName val="Control"/>
      <sheetName val="Input_Data"/>
      <sheetName val="Calc_BU_EVA"/>
      <sheetName val="Output_BU_EVA"/>
      <sheetName val="Output_Check"/>
      <sheetName val="Output_Stmts1"/>
      <sheetName val="Output_Stmts2"/>
      <sheetName val="Output_Stmts3"/>
      <sheetName val="Output_Graphs"/>
      <sheetName val="Output_ExtEVA"/>
      <sheetName val="Output_AnnRep"/>
      <sheetName val="X_Summary"/>
      <sheetName val="POST"/>
      <sheetName val="LB"/>
      <sheetName val="RB"/>
      <sheetName val="EG"/>
      <sheetName val="EB"/>
      <sheetName val="EC"/>
      <sheetName val="EV"/>
      <sheetName val="ES"/>
      <sheetName val="EE"/>
      <sheetName val="ED"/>
      <sheetName val="EA"/>
      <sheetName val="EO1"/>
      <sheetName val="EM"/>
      <sheetName val="TG"/>
      <sheetName val="TT"/>
      <sheetName val="TM"/>
      <sheetName val="RP"/>
      <sheetName val="DG"/>
      <sheetName val="DC"/>
      <sheetName val="DL"/>
      <sheetName val="DS"/>
      <sheetName val="DM"/>
      <sheetName val="XG"/>
      <sheetName val="XC"/>
      <sheetName val="XK"/>
      <sheetName val="XM"/>
      <sheetName val="AC"/>
      <sheetName val="IG"/>
      <sheetName val="IM"/>
      <sheetName val="IC"/>
      <sheetName val="IMM"/>
      <sheetName val="PP"/>
      <sheetName val="PL"/>
      <sheetName val="PR"/>
      <sheetName val="PS"/>
      <sheetName val="CG"/>
      <sheetName val="CF"/>
      <sheetName val="CR"/>
      <sheetName val="CH"/>
      <sheetName val="CC"/>
      <sheetName val="CI"/>
      <sheetName val="CE"/>
      <sheetName val="OC"/>
      <sheetName val="OR"/>
      <sheetName val="OB"/>
      <sheetName val="RES"/>
      <sheetName val="ELIM"/>
      <sheetName val="NZ"/>
      <sheetName val="PG"/>
      <sheetName val="PE"/>
      <sheetName val="PC"/>
      <sheetName val="PN"/>
      <sheetName val="PK"/>
      <sheetName val="PM"/>
      <sheetName val="DR"/>
      <sheetName val="DT"/>
      <sheetName val="DA"/>
      <sheetName val="DU"/>
      <sheetName val="DV"/>
      <sheetName val="DX"/>
      <sheetName val="SB"/>
      <sheetName val="ZG"/>
      <sheetName val="ZP"/>
      <sheetName val="ZR"/>
      <sheetName val="HG"/>
      <sheetName val="HD"/>
      <sheetName val="HP"/>
      <sheetName val="SS"/>
      <sheetName val="CN"/>
      <sheetName val="CO"/>
      <sheetName val="CX"/>
      <sheetName val="AD"/>
      <sheetName val="RE"/>
      <sheetName val="TX"/>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Shadow form"/>
      <sheetName val="Form"/>
      <sheetName val="Reference"/>
    </sheetNames>
    <sheetDataSet>
      <sheetData sheetId="0"/>
      <sheetData sheetId="1"/>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5 (b)"/>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SuppInfo- AC Group borrowings  "/>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To do"/>
      <sheetName val="Debt review"/>
      <sheetName val="pivot"/>
      <sheetName val="Entity mapping"/>
      <sheetName val="Note 6 - reserves old"/>
      <sheetName val="Matt model"/>
      <sheetName val="Mapping"/>
      <sheetName val="Div elim &amp; POAL"/>
      <sheetName val="Rates Elim"/>
      <sheetName val="Revaluation and deferred tax"/>
      <sheetName val="WDA PPL"/>
      <sheetName val="Transport depreciation funding"/>
      <sheetName val="Debt funded interest"/>
      <sheetName val="Principal repayments"/>
      <sheetName val="DC interest"/>
      <sheetName val="Borrowings CCO opex"/>
      <sheetName val="Borrowings Council opex"/>
      <sheetName val="Targeted rates"/>
      <sheetName val="LGFA investment"/>
      <sheetName val="Asset Sales"/>
      <sheetName val="Weathertightness and debt fundi"/>
      <sheetName val="Trend analysis group"/>
      <sheetName val="SOCI Group by theme"/>
      <sheetName val="SOCI Group"/>
      <sheetName val="CFS Group"/>
      <sheetName val="PBS Group"/>
      <sheetName val="PBS Parent"/>
      <sheetName val="Equi Parent"/>
      <sheetName val="SOCI Parent"/>
      <sheetName val="CFS Parent"/>
      <sheetName val="Equi Group"/>
      <sheetName val="Note 4 - Recon"/>
      <sheetName val="Treasury ratios"/>
      <sheetName val="Prudential Ratios -LTP schedule"/>
      <sheetName val="Prudential ratios -AP schedule"/>
      <sheetName val="Reserves note - new"/>
      <sheetName val="Revenue note"/>
      <sheetName val="Fin Strat"/>
      <sheetName val="Financial overview tables"/>
      <sheetName val="Looking ahead tables"/>
      <sheetName val="Surplus recon"/>
      <sheetName val="S&amp;P workings"/>
      <sheetName val="Moody's"/>
      <sheetName val="Inv in CCO"/>
      <sheetName val="Recon FIS-SOCI-CFS"/>
      <sheetName val="LB FISs"/>
      <sheetName val="Group SOF"/>
      <sheetName val="Parent SOF &amp; rates calc"/>
      <sheetName val="Scenario modelling"/>
      <sheetName val="Inflated capex sensitivities"/>
      <sheetName val="Data"/>
      <sheetName val="Debt and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Debt Performance"/>
      <sheetName val="Worksheet"/>
      <sheetName val="WOff Provision"/>
      <sheetName val="Debt By Business Group"/>
      <sheetName val="OLAP PERSIST"/>
      <sheetName val="Debt by Business Group-Crystal"/>
      <sheetName val="Sales ATB Worksheet"/>
      <sheetName val="Total Post Group Debt"/>
      <sheetName val="Post Group Debt"/>
      <sheetName val="BG Debt History"/>
      <sheetName val="Bad Debt Write-offs"/>
      <sheetName val="ATB Analysis"/>
      <sheetName val="Debt Coll Figs for grph"/>
      <sheetName val="Debt Graphs"/>
      <sheetName val="Total debt figs for grph"/>
      <sheetName val="Debt Collection Trend Graph"/>
      <sheetName val="Copy of Debt Repor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report"/>
      <sheetName val="Forecast Pivot (DO NOT DELETE)"/>
      <sheetName val="iSITES"/>
      <sheetName val="Contents"/>
      <sheetName val="CHECK SHEET"/>
      <sheetName val="Working sheet summary"/>
      <sheetName val="Working sheet detail"/>
      <sheetName val="Pivot - Funding jrnl"/>
      <sheetName val="Graphs"/>
      <sheetName val="Pivot SAP actuals"/>
      <sheetName val="SAP actuals"/>
      <sheetName val="Variance report"/>
      <sheetName val="Sentient Data"/>
      <sheetName val="Forecast FY16"/>
      <sheetName val="Forecast FY16 (no Subtotals)"/>
      <sheetName val="Forecast FY16 pivot data"/>
      <sheetName val="Forecast FY16 Q1"/>
      <sheetName val="Budget FY16"/>
      <sheetName val="Budget FY16 no subtotals"/>
      <sheetName val="Budget FY15"/>
      <sheetName val="Actual FY15"/>
      <sheetName val="Act-Bud comparison Worksheet"/>
      <sheetName val="Act-Fcast var - GrpObjGL"/>
      <sheetName val="OpsRpt (Dept) - COO only"/>
      <sheetName val="OpsRpt (Dept) - Corp&amp;COO"/>
      <sheetName val="OpsRpt (Dept) - ExternalRel"/>
      <sheetName val="OpsRpt (Grp) - Corporate"/>
      <sheetName val="OpsRpt (Grp) - BA&amp;I"/>
      <sheetName val="OpsRpt (Grp) - Dest&amp;Mark"/>
      <sheetName val="OpsRpt (Grp) - BIS"/>
      <sheetName val="GridAKL"/>
      <sheetName val="WMG2017"/>
      <sheetName val="StaffCosts_ATEED"/>
      <sheetName val="StaffCosts_Dest&amp;Mark"/>
      <sheetName val="StaffCosts_BIS"/>
      <sheetName val="StaffCosts_CORPGrp"/>
      <sheetName val="StaffCosts_BA&amp;I"/>
      <sheetName val="StaffCosts_Corp&amp;COO"/>
      <sheetName val="StaffCosts_ER"/>
      <sheetName val="GrahpListName"/>
      <sheetName val="Sheet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Data"/>
      <sheetName val="ELT Monthly Graph"/>
      <sheetName val="Sheet4"/>
      <sheetName val="Report"/>
      <sheetName val="Report_ELT"/>
      <sheetName val="1. MD"/>
      <sheetName val="2. MD Pivot"/>
      <sheetName val="PivotDrillActive"/>
      <sheetName val="3. MD_Active_Only"/>
      <sheetName val="HCPOSMAP"/>
      <sheetName val="4. Pivot Rec"/>
      <sheetName val="5. Pivot_AC"/>
      <sheetName val="5. Pivot_AC_GrpFinance"/>
      <sheetName val="6. Pivot_AC COO"/>
      <sheetName val="7. Pivot_CCO"/>
      <sheetName val="8. Pivot_IMSB"/>
      <sheetName val="Pivot_AC (2)"/>
      <sheetName val="Pivot_AC (3)"/>
      <sheetName val="MPR Format Employees"/>
      <sheetName val="MPR Format Non Employees"/>
      <sheetName val="Active"/>
      <sheetName val="HCPOSMAP_MD"/>
      <sheetName val="Duplicates"/>
      <sheetName val="Work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ssumptions"/>
      <sheetName val="R1"/>
      <sheetName val="R2"/>
      <sheetName val="R3"/>
      <sheetName val="U1"/>
      <sheetName val="U2"/>
      <sheetName val="U3"/>
      <sheetName val="T1"/>
      <sheetName val="T2"/>
      <sheetName val="UData"/>
      <sheetName val="RData"/>
      <sheetName val="AData"/>
      <sheetName val="SettlementPatte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ecklist"/>
      <sheetName val="Validation summary"/>
      <sheetName val="TB input"/>
      <sheetName val="Mapping TB"/>
      <sheetName val="Stat - Balance sheet"/>
      <sheetName val="Stat - P&amp;L"/>
      <sheetName val="Forecast"/>
      <sheetName val="Stat - Changes in Equity"/>
      <sheetName val="Stat - Cashflow"/>
      <sheetName val="A2-6 Expenses"/>
      <sheetName val="A7 &amp; F2 Tax notes"/>
      <sheetName val="B1 PP&amp;E"/>
      <sheetName val="B1 SCA"/>
      <sheetName val="B1 PPE - LGA"/>
      <sheetName val="B2 Intangibles"/>
      <sheetName val="B3 Investment property"/>
      <sheetName val="C1 Borrowings"/>
      <sheetName val="C2 Derivatives"/>
      <sheetName val="C3 Other financial assets"/>
      <sheetName val="C4 FRM Fair value "/>
      <sheetName val="D1 Cash &amp; D2 Receivables"/>
      <sheetName val="D3 Payables D4 Employee"/>
      <sheetName val="D5 Provisions"/>
      <sheetName val="D6 Ratepayer equity"/>
      <sheetName val="E1- E2 FRM FX &amp; IR risk"/>
      <sheetName val="E3-E4 Credit &amp; CMA"/>
      <sheetName val="F3 Investments Other Entities"/>
      <sheetName val="F4 Contingencies"/>
      <sheetName val="F4 Commitments &amp; leases"/>
      <sheetName val="Additional disclosure"/>
      <sheetName val=" F5 Rem and Severance"/>
      <sheetName val="F5 Related parties"/>
      <sheetName val="F7 Regional Fuel Tax "/>
      <sheetName val="Business combinations"/>
      <sheetName val="Benchmarks"/>
      <sheetName val="App One - Related parties"/>
      <sheetName val="Mapping table"/>
      <sheetName val="Lists"/>
      <sheetName val="Contact list"/>
      <sheetName val="Dashboard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s Split"/>
      <sheetName val="Year End Funding Journal"/>
      <sheetName val="Year End Funding Journal UPDTED"/>
      <sheetName val="Board report - Year End"/>
      <sheetName val="Board report"/>
      <sheetName val="Variance report against budget"/>
      <sheetName val="Summary of major projects"/>
      <sheetName val="Sheet2"/>
      <sheetName val="Variance report"/>
      <sheetName val="Contents"/>
      <sheetName val="Board report old"/>
      <sheetName val="CHECK SHEET"/>
      <sheetName val="Sheet4"/>
      <sheetName val="SAP actuals"/>
      <sheetName val="Funding Journal"/>
      <sheetName val="Reporting pack exp groups"/>
      <sheetName val="Working sheet summary"/>
      <sheetName val="Working sheet detail"/>
      <sheetName val="Sheet1"/>
      <sheetName val="Project Report"/>
      <sheetName val="Cost Centre Report"/>
      <sheetName val="Budget FY14"/>
      <sheetName val="Sheet3"/>
      <sheetName val="Forecast Q3"/>
      <sheetName val="Forecast Q2"/>
      <sheetName val="Forecast Q1"/>
      <sheetName val="Rpt ATEED Group"/>
      <sheetName val="Rpt Corporate"/>
      <sheetName val="Rpt CorpRelationsGrp"/>
      <sheetName val="Rpt CommPartnerships"/>
      <sheetName val="Rpt BusAtt&amp;investGrp"/>
      <sheetName val="Rpt Strat&amp;Perf"/>
      <sheetName val="Rpt Economic Growth old FULL"/>
      <sheetName val="Rpt Economic Growth old ex AO"/>
      <sheetName val="Rpt Economic Growth Group"/>
      <sheetName val="Rpt Economic Growth ex AO &amp; VS"/>
      <sheetName val="Rpt Area Offices"/>
      <sheetName val="Rpt Visitor Services"/>
      <sheetName val="Rpt Destination&amp;Mktg"/>
      <sheetName val="Rpt Tourism"/>
      <sheetName val="Rpt Brand and Marktg"/>
      <sheetName val="Rpt ACB"/>
      <sheetName val="Rpt Major Events"/>
      <sheetName val="Rpt WMG2017"/>
      <sheetName val="Rpt Customer Ops"/>
      <sheetName val="AL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
      <sheetName val="Letters"/>
      <sheetName val="PostEBIT"/>
      <sheetName val="Post"/>
      <sheetName val="ECLBud"/>
      <sheetName val="ECL"/>
      <sheetName val="Core"/>
      <sheetName val="Transport"/>
      <sheetName val="Pace"/>
      <sheetName val="CLog"/>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Dashboard"/>
      <sheetName val="Group Position"/>
      <sheetName val="Summary Opex"/>
      <sheetName val="CE Objectives"/>
      <sheetName val="Capex Projects"/>
      <sheetName val="Opex Projects"/>
      <sheetName val="1. OPEX"/>
      <sheetName val="2. CAPEX"/>
      <sheetName val="Enitty Map v2"/>
      <sheetName val="GL Map v2"/>
      <sheetName val="Activity Map"/>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Revenue"/>
      <sheetName val="dos adj for duty cash"/>
      <sheetName val="input"/>
      <sheetName val="check"/>
      <sheetName val="reports"/>
      <sheetName val="print_macr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Graphs"/>
      <sheetName val="Data"/>
      <sheetName val="YY_New Board Report"/>
      <sheetName val="Programmes"/>
      <sheetName val="Mapping"/>
      <sheetName val="Updates"/>
      <sheetName val="Financial Reconciliation"/>
      <sheetName val="ZPS_PSR Original"/>
      <sheetName val="Intl"/>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820015"/>
      <sheetName val="Finance #820020"/>
      <sheetName val="Exec #820410"/>
      <sheetName val="Drop Down"/>
    </sheetNames>
    <sheetDataSet>
      <sheetData sheetId="0"/>
      <sheetData sheetId="1"/>
      <sheetData sheetId="2"/>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emplate"/>
      <sheetName val="Sheet1"/>
      <sheetName val="Correction"/>
      <sheetName val="Upload template hardcoded"/>
      <sheetName val="Upload template"/>
      <sheetName val="A-Pivot increase in shared serv"/>
      <sheetName val="B - Pivot iSite COS adjust"/>
      <sheetName val="C-Pivot ZERO bottom line chnges"/>
      <sheetName val="D-Pivot by Activity change"/>
      <sheetName val="Pivot Overall"/>
      <sheetName val="Pivot Summary"/>
      <sheetName val="Pivot - iSite review"/>
      <sheetName val="Pivot Overall by Acct Grp"/>
      <sheetName val="Combined"/>
      <sheetName val="Corporate"/>
      <sheetName val="Bus&amp;Sec"/>
      <sheetName val="Destination"/>
      <sheetName val="MarComms"/>
      <sheetName val="Plan&amp;Perf"/>
      <sheetName val="lists"/>
      <sheetName val="Pivot-iSite COS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
      <sheetName val="GL"/>
      <sheetName val="L2 new"/>
      <sheetName val="L3 new"/>
      <sheetName val="L4 new"/>
      <sheetName val="Activity"/>
      <sheetName val="check"/>
      <sheetName val="ActCom"/>
      <sheetName val="projG"/>
      <sheetName val="progR"/>
      <sheetName val="WBS"/>
      <sheetName val="wbs s"/>
      <sheetName val="Far table"/>
      <sheetName val="report tab"/>
      <sheetName val="SAP Activity"/>
      <sheetName val="Hyperion GL map"/>
      <sheetName val="AC funding ptr"/>
      <sheetName val="Hyperion GL"/>
      <sheetName val="Ptr GL activ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ranges"/>
      <sheetName val="Calc"/>
      <sheetName val="Inflated capex sensitivities"/>
      <sheetName val="Assumptions"/>
      <sheetName val="Question 15"/>
      <sheetName val="Question 17"/>
      <sheetName val="Question 18"/>
    </sheetNames>
    <sheetDataSet>
      <sheetData sheetId="0"/>
      <sheetData sheetId="1"/>
      <sheetData sheetId="2"/>
      <sheetData sheetId="3"/>
      <sheetData sheetId="4"/>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ew works summary"/>
      <sheetName val="Renewals summary"/>
      <sheetName val="New works calcs"/>
      <sheetName val="Renewals calcs"/>
      <sheetName val="DC"/>
      <sheetName val="Project data"/>
      <sheetName val="Check"/>
      <sheetName val="Reconciliation to SAP"/>
      <sheetName val="example borrowings calc"/>
      <sheetName val="Useful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march.96"/>
      <sheetName val="Export"/>
      <sheetName val="15.nov.96"/>
      <sheetName val="30.jul.97"/>
    </sheetNames>
    <sheetDataSet>
      <sheetData sheetId="0" refreshError="1"/>
      <sheetData sheetId="1" refreshError="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structions for Jnl Sheet"/>
      <sheetName val="Journals"/>
      <sheetName val="Validations"/>
      <sheetName val="2011"/>
      <sheetName val="2012"/>
      <sheetName val="2013"/>
      <sheetName val="2014"/>
      <sheetName val="2015"/>
      <sheetName val="2016"/>
      <sheetName val="2017"/>
      <sheetName val="2018"/>
      <sheetName val="2019"/>
      <sheetName val="Accounts"/>
      <sheetName val="Instructions for Lists"/>
      <sheetName val="Account"/>
      <sheetName val="Entity"/>
      <sheetName val="Custom1"/>
      <sheetName val="Custom2"/>
      <sheetName val="Custom3"/>
      <sheetName val="Custom4"/>
      <sheetName val="ICPLis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PA Steering Group"/>
      <sheetName val="Business_Delivery Plan_Forecast"/>
      <sheetName val="Low Pressure"/>
      <sheetName val="DWQ Total Compliance"/>
      <sheetName val="User Guidelines"/>
      <sheetName val="ALP Data"/>
      <sheetName val="Year to Year Variance"/>
      <sheetName val="Summary Indicator Progress"/>
      <sheetName val="Dropdown data"/>
      <sheetName val="OPA Summary"/>
      <sheetName val="Definitions"/>
      <sheetName val="Indicator Performance"/>
      <sheetName val="ITS"/>
      <sheetName val="Hosepipe Restrictions"/>
      <sheetName val="Leakage"/>
      <sheetName val="SOSI Absolute"/>
      <sheetName val="SOSI v Target"/>
      <sheetName val="IFOS"/>
      <sheetName val="IFOC"/>
      <sheetName val="Sewer Flooding at Risk"/>
      <sheetName val="Sludge Disposal"/>
      <sheetName val="WwTW Failing Works"/>
      <sheetName val="EPI WW Cat 1&amp;2"/>
      <sheetName val="EPI WW Cat 3"/>
      <sheetName val="EPI Water"/>
      <sheetName val="Complaints"/>
      <sheetName val="Telephone 2"/>
      <sheetName val="Customer Contact"/>
      <sheetName val="Assessed CS"/>
      <sheetName val="Annual Return Info"/>
      <sheetName val="ALP 14_15"/>
      <sheetName val="High Risk Trend"/>
      <sheetName val="Failing Works YTD"/>
      <sheetName val="ITS In Month Performance"/>
      <sheetName val="ITS YTD Performance"/>
      <sheetName val="EPI Cat 1&amp;2 YTD Performance"/>
      <sheetName val="EPI Cat 3 YTD Performance"/>
      <sheetName val="Responsible Managers"/>
      <sheetName val="Losing ONE OPA Po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ocumentation"/>
      <sheetName val="ROUNDED"/>
      <sheetName val="TRANSPOSE"/>
      <sheetName val="REPORT"/>
      <sheetName val="ADJ"/>
      <sheetName val="Cashflow"/>
      <sheetName val="P&amp;L"/>
      <sheetName val="BOS"/>
      <sheetName val="TR"/>
      <sheetName val="RecCapitalRev"/>
      <sheetName val="CapexGeneralRates"/>
      <sheetName val="RecOpexToFinStat"/>
      <sheetName val="UAGCAdj"/>
      <sheetName val="CBDRatios"/>
      <sheetName val="KEY"/>
      <sheetName val="DATA"/>
      <sheetName val="CapexFunding"/>
      <sheetName val="Whar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erformance"/>
      <sheetName val="Resources, Risks &amp; Dependencies"/>
      <sheetName val="Local Board variations"/>
      <sheetName val="Reference lists"/>
      <sheetName val="Albert-Eden LB"/>
      <sheetName val="Units"/>
      <sheetName val="PMs"/>
      <sheetName val="PC"/>
      <sheetName val="GL"/>
      <sheetName val="Devonport-Takapuna LB"/>
      <sheetName val="Franklin LB"/>
      <sheetName val="Great Barrier LB"/>
      <sheetName val="Henderson-Massey LB"/>
      <sheetName val="Hibiscus &amp; Bays LB"/>
      <sheetName val="Howick LB"/>
      <sheetName val="Kaipatiki LB"/>
      <sheetName val="Mangere-Otahuhu LB"/>
      <sheetName val="Manurewa LB"/>
      <sheetName val="Maungakiekie-Tamaki LB"/>
      <sheetName val="Orakei LB"/>
      <sheetName val="Otara-Papatoetoe LB"/>
      <sheetName val="Papakura LB"/>
      <sheetName val="Puketapapa LB"/>
      <sheetName val="Rodney LB"/>
      <sheetName val="Upper Harbour LB"/>
      <sheetName val="Waiheke LB"/>
      <sheetName val="Waitakere Ranges LB"/>
      <sheetName val="Waitemata"/>
      <sheetName val="Whau LB"/>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Control"/>
      <sheetName val="Audit"/>
      <sheetName val="Entity"/>
      <sheetName val="Entity Mapping changes20101015"/>
      <sheetName val="ProjectMappingChanges20101019"/>
      <sheetName val="Custom1"/>
      <sheetName val="Custom1Lookup"/>
      <sheetName val="Custom2"/>
      <sheetName val="Custom3"/>
      <sheetName val="Entity re map Temp entities"/>
      <sheetName val="Sheet1"/>
      <sheetName val="ACPLAN Entity"/>
      <sheetName val="ACHFM Entity"/>
      <sheetName val="ACPLAN Projects"/>
      <sheetName val="ACHFM"/>
      <sheetName val="Export"/>
      <sheetName val="29.march.96"/>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nput_History"/>
      <sheetName val="Output_Statements1"/>
      <sheetName val="Output_Statements2"/>
      <sheetName val="Output_ExternalEVA"/>
      <sheetName val="Output_Graphs"/>
      <sheetName val="Output_BUSummary1"/>
      <sheetName val="Output_BUSummary2"/>
      <sheetName val="Output_BUSummary3"/>
      <sheetName val="X_Contents2"/>
      <sheetName val="Control"/>
      <sheetName val="Check"/>
      <sheetName val="Print"/>
      <sheetName val="Input_CoC"/>
      <sheetName val="Input_Data"/>
      <sheetName val="AdjCalcs_Tax"/>
      <sheetName val="AdjCalcs_EVA"/>
      <sheetName val="Output_Statements3"/>
      <sheetName val="Output_AnnRep99"/>
      <sheetName val="X_9900Targets"/>
      <sheetName val="X_Rates"/>
      <sheetName val="X_Movement"/>
      <sheetName val="X_Summary"/>
      <sheetName val="X_Ranking"/>
      <sheetName val="X_OpeningBS"/>
      <sheetName val="X_ClosingBS"/>
      <sheetName val="X_MovementBS"/>
      <sheetName val="X_Header1"/>
      <sheetName val="X_Header2"/>
      <sheetName val="X_Header3"/>
      <sheetName val="X_Contents1"/>
      <sheetName val="X_Contents3"/>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 val="KEY"/>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file"/>
      <sheetName val="BUDGET CALC"/>
      <sheetName val="Assumptions"/>
      <sheetName val="Tables for charts"/>
      <sheetName val="Sheet1"/>
      <sheetName val="Sheet2"/>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PI"/>
      <sheetName val="EVA_SummaryPlan"/>
      <sheetName val="Actg_SummaryYr1"/>
      <sheetName val="Actg_BO"/>
      <sheetName val="Actg_P1"/>
      <sheetName val="Actg_P2"/>
      <sheetName val="Actg_P3"/>
      <sheetName val="Actg_P4"/>
      <sheetName val="Actg_P5"/>
      <sheetName val="Actg_P6"/>
      <sheetName val="EVA_Output1"/>
      <sheetName val="Overview"/>
      <sheetName val="Print"/>
      <sheetName val="Control"/>
      <sheetName val="Actg_SummaryPlan"/>
      <sheetName val="EVA_Calc"/>
      <sheetName val="EVA_Output2"/>
      <sheetName val="Check"/>
      <sheetName val="FPT_Header"/>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_SummaryPlan"/>
      <sheetName val="Recon"/>
      <sheetName val="March98"/>
      <sheetName val="March99"/>
      <sheetName val="BSLink_Opening"/>
      <sheetName val="BSLink_Closing"/>
      <sheetName val="RevalHoldingAcc"/>
      <sheetName val="23NovO"/>
      <sheetName val="23NovC"/>
      <sheetName val="March00"/>
      <sheetName val="March01"/>
      <sheetName val="March02"/>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Output_Statements3"/>
      <sheetName val="Raj"/>
      <sheetName val="Consoli"/>
      <sheetName val="FinPerf"/>
      <sheetName val="Tax"/>
      <sheetName val="ACC"/>
      <sheetName val="Curr_Outturn"/>
      <sheetName val="Prev_Outturn"/>
      <sheetName val="Out_Calc"/>
      <sheetName val="Rev_9900"/>
      <sheetName val="Eliminations"/>
      <sheetName val="PhasedEBIT"/>
      <sheetName val="EVA_Targets"/>
      <sheetName val="BalSheet"/>
      <sheetName val="Control"/>
      <sheetName val="Half_Year"/>
      <sheetName val="FinQuarter"/>
      <sheetName val="ElmarAnalysis"/>
      <sheetName val="NZpost"/>
      <sheetName val="LG"/>
      <sheetName val="LL"/>
      <sheetName val="LB"/>
      <sheetName val="LR"/>
      <sheetName val="LK"/>
      <sheetName val="LD"/>
      <sheetName val="LM"/>
      <sheetName val="LE"/>
      <sheetName val="DD"/>
      <sheetName val="DG"/>
      <sheetName val="DX"/>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X"/>
      <sheetName val="CN"/>
      <sheetName val="CO"/>
      <sheetName val="Elim"/>
      <sheetName val="PD"/>
      <sheetName val="EE"/>
      <sheetName val="XP"/>
      <sheetName val="Residual"/>
      <sheetName val="Report"/>
      <sheetName val="Check"/>
      <sheetName val="Annual9900Ou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ducts Summary"/>
      <sheetName val="Overview"/>
      <sheetName val="Instructions"/>
      <sheetName val="TextTable"/>
      <sheetName val="T_Next Day Env"/>
      <sheetName val="T_Next day Parcels"/>
      <sheetName val="T_New Next Day Prod"/>
      <sheetName val="T_Economy Parcels"/>
      <sheetName val="T_New Economy Parcel Prod"/>
      <sheetName val="T_Overnight Envelopes"/>
      <sheetName val="T_Overnight Parcels"/>
      <sheetName val="T_New Overnight Prod"/>
      <sheetName val="T_Pick Up Mail"/>
      <sheetName val="T_Delivery Mail"/>
      <sheetName val="T_Other Mail Service"/>
      <sheetName val="T_Overnight Interbranch"/>
      <sheetName val="T_New Product"/>
      <sheetName val="T_Post Large Parcels"/>
      <sheetName val="T_FastPost Large Parcels"/>
      <sheetName val="T_Telegrams"/>
      <sheetName val="T_Registered Dom"/>
      <sheetName val="T_New Prod"/>
      <sheetName val="T_CPOther 1"/>
      <sheetName val="T_CPOther 2"/>
      <sheetName val="T_CPOther 3"/>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Budget Summary"/>
      <sheetName val="Variance Fcst Summary"/>
      <sheetName val="Variance Detail Budget"/>
      <sheetName val="Variance Detail Fcst"/>
      <sheetName val="GR55"/>
      <sheetName val="Top 10 Variance"/>
      <sheetName val="ZPS_PSR"/>
      <sheetName val="Budget Pivot"/>
      <sheetName val="Infra Budget"/>
      <sheetName val="Budget"/>
      <sheetName val="Look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Raj"/>
      <sheetName val="Out_Calc"/>
      <sheetName val="Input"/>
      <sheetName val="Control"/>
      <sheetName val="Consultancy"/>
      <sheetName val="Report"/>
      <sheetName val="BusGrp_var"/>
      <sheetName val="Lyr"/>
      <sheetName val="Variance"/>
      <sheetName val="Quarterly"/>
      <sheetName val="NZpost"/>
      <sheetName val="LG"/>
      <sheetName val="LD"/>
      <sheetName val="LL"/>
      <sheetName val="LB"/>
      <sheetName val="LR"/>
      <sheetName val="LK"/>
      <sheetName val="LM"/>
      <sheetName val="LE"/>
      <sheetName val="DD"/>
      <sheetName val="DX"/>
      <sheetName val="DG"/>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N"/>
      <sheetName val="CO"/>
      <sheetName val="CX"/>
      <sheetName val="Elim"/>
      <sheetName val="PD"/>
      <sheetName val="EE"/>
      <sheetName val="XP"/>
      <sheetName val="Residual"/>
      <sheetName val="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17">
          <cell r="U17">
            <v>141.881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 overview"/>
      <sheetName val="TS - Proposal indiv tables"/>
      <sheetName val="TS - Indiv tables - starting pt"/>
      <sheetName val="Summary RF"/>
      <sheetName val="Summary"/>
      <sheetName val="Proposal summary table"/>
      <sheetName val="TS - overview (old)"/>
      <sheetName val="Consolidated"/>
      <sheetName val="PCL"/>
      <sheetName val="Sensitivities"/>
      <sheetName val="Env Mgmt and Reg"/>
      <sheetName val="Planning"/>
      <sheetName val="Governance and Support"/>
      <sheetName val="Transport"/>
      <sheetName val="Transport (CRL)"/>
      <sheetName val="ATEED"/>
      <sheetName val="RFA"/>
      <sheetName val="Waterfront"/>
      <sheetName val="ACPL"/>
      <sheetName val="ACIL"/>
      <sheetName val="Watercare"/>
      <sheetName val="Spare"/>
      <sheetName val="Spare (2)"/>
      <sheetName val="Spare (3)"/>
      <sheetName val="Debt and ratios"/>
      <sheetName val="rates target"/>
      <sheetName val="Cost pressures"/>
      <sheetName val="Efficiency Savings"/>
      <sheetName val="Inflated capex sensi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to Original AP Submis"/>
      <sheetName val="Variance to Budget Sent Out"/>
      <sheetName val="Phasing by month(excl gl codes)"/>
      <sheetName val="Adhoc"/>
      <sheetName val="Phasing by month"/>
      <sheetName val="Phasing data"/>
      <sheetName val="Salary variance"/>
      <sheetName val="AP Data raw"/>
      <sheetName val="AP Data"/>
      <sheetName val="Sheet2"/>
      <sheetName val="Sheet3"/>
      <sheetName val="Budget FY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 ATEED"/>
      <sheetName val="Budget Template - WMG2017"/>
      <sheetName val="Budget Template - Major Events"/>
      <sheetName val="Budget Template - EconGth ALL"/>
      <sheetName val="Budget Template - Economic Gth"/>
      <sheetName val="Budget Template -Bus&amp;Ent"/>
      <sheetName val="Budget Template -Innov&amp;Ent"/>
      <sheetName val="Budget Template -Skills&amp;Emp"/>
      <sheetName val="Budget Template - Corporate ALL"/>
      <sheetName val="Budget Template - Corporate"/>
      <sheetName val="Budget Template - FACS"/>
      <sheetName val="Budget Template - Corp&amp;CouncRel"/>
      <sheetName val="Budget Template - CorpPartner"/>
      <sheetName val="Budget Template - BA&amp;I"/>
      <sheetName val="Budget Template - Dest&amp;Mark"/>
      <sheetName val="Budget Template - GM Dest&amp;Mark"/>
      <sheetName val="Budget Template - Student Att"/>
      <sheetName val="Pivot temp"/>
      <sheetName val="Budget Template  - ACB"/>
      <sheetName val="Budget Template - Brand&amp;Mark"/>
      <sheetName val="Budget Template - Tourism"/>
      <sheetName val="Budget Template - iSites"/>
      <sheetName val="Prof Fees &amp; Contractors"/>
      <sheetName val="Travel and Entertainment"/>
      <sheetName val="Sheet2"/>
      <sheetName val="Sheet2 (2)"/>
      <sheetName val="Fcast2 template"/>
      <sheetName val="Sheet11"/>
      <sheetName val="Project Manager Report"/>
      <sheetName val="Budget Template"/>
      <sheetName val="Variance report"/>
      <sheetName val="Sheet5"/>
      <sheetName val="LTP pivot"/>
      <sheetName val="LTP based on FY15 fcast"/>
      <sheetName val="FY14 actual"/>
      <sheetName val="Sheet4"/>
      <sheetName val="Sheet4 (2)"/>
      <sheetName val="Sheet1"/>
      <sheetName val="Sheet6"/>
      <sheetName val="Sheet7"/>
      <sheetName val="Sheet8"/>
      <sheetName val="Pivot te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Detailed"/>
      <sheetName val="Database"/>
      <sheetName val="Lists"/>
      <sheetName val="ACR Services"/>
      <sheetName val="Art Gallery"/>
      <sheetName val="ACR Policy"/>
      <sheetName val="City Events"/>
      <sheetName val="Libraries"/>
      <sheetName val="Special Projects"/>
      <sheetName val="Zoo"/>
      <sheetName val="Mgmt"/>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ontrol"/>
      <sheetName val="Input_Data"/>
      <sheetName val="Statements"/>
      <sheetName val="Calc_BU_EVA"/>
      <sheetName val="Output_BU_EVA"/>
      <sheetName val="Raj"/>
      <sheetName val="Output_ExtEVA"/>
      <sheetName val="Output_AnnRep"/>
      <sheetName val="Output_Graphs"/>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J_Topline"/>
      <sheetName val="TransferPricing"/>
      <sheetName val="Capex2"/>
      <sheetName val="Control"/>
      <sheetName val="Check"/>
      <sheetName val="Input"/>
      <sheetName val="POST"/>
      <sheetName val="DW"/>
      <sheetName val="LB"/>
      <sheetName val="RB"/>
      <sheetName val="XG"/>
      <sheetName val="XC"/>
      <sheetName val="XK"/>
      <sheetName val="XM"/>
      <sheetName val="DG"/>
      <sheetName val="DC"/>
      <sheetName val="DM"/>
      <sheetName val="DS"/>
      <sheetName val="DL"/>
      <sheetName val="TG"/>
      <sheetName val="TT"/>
      <sheetName val="TX"/>
      <sheetName val="TI"/>
      <sheetName val="TM"/>
      <sheetName val="RP"/>
      <sheetName val="EG"/>
      <sheetName val="EB"/>
      <sheetName val="EC"/>
      <sheetName val="EV"/>
      <sheetName val="ED"/>
      <sheetName val="EE"/>
      <sheetName val="ES"/>
      <sheetName val="EA"/>
      <sheetName val="EM"/>
      <sheetName val="EO1"/>
      <sheetName val="EO2"/>
      <sheetName val="DO"/>
      <sheetName val="AC"/>
      <sheetName val="IG"/>
      <sheetName val="IM"/>
      <sheetName val="IC"/>
      <sheetName val="IMM"/>
      <sheetName val="ICM"/>
      <sheetName val="COR"/>
      <sheetName val="PS"/>
      <sheetName val="PP"/>
      <sheetName val="CG"/>
      <sheetName val="CE"/>
      <sheetName val="CI"/>
      <sheetName val="CF"/>
      <sheetName val="CH"/>
      <sheetName val="CR"/>
      <sheetName val="CC"/>
      <sheetName val="OC"/>
      <sheetName val="OR"/>
      <sheetName val="OB"/>
      <sheetName val="ELIM"/>
      <sheetName val="Z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BRE11"/>
      <sheetName val="MS Query"/>
      <sheetName val="6010"/>
      <sheetName val="6040"/>
      <sheetName val="6080"/>
      <sheetName val="6090"/>
      <sheetName val="6095"/>
      <sheetName val="6100"/>
      <sheetName val="6120"/>
      <sheetName val="6165"/>
      <sheetName val="7110"/>
      <sheetName val="8040"/>
      <sheetName val="8050"/>
      <sheetName val="8070"/>
      <sheetName val="8072"/>
      <sheetName val="8080"/>
      <sheetName val="8083"/>
      <sheetName val="8085"/>
      <sheetName val="8100"/>
      <sheetName val="8120"/>
      <sheetName val="8140"/>
      <sheetName val="8160"/>
      <sheetName val="8999"/>
      <sheetName val="9410"/>
      <sheetName val="TR8030"/>
      <sheetName val="TR8035"/>
      <sheetName val="TR9030"/>
      <sheetName val="Template xx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Set-up"/>
      <sheetName val="Classes"/>
      <sheetName val="TB"/>
      <sheetName val="FinInfo"/>
      <sheetName val="AFS"/>
      <sheetName val="TBImport"/>
      <sheetName val="Lists"/>
      <sheetName val="Cover"/>
      <sheetName val="Mapping table"/>
      <sheetName val="Sheet1"/>
    </sheetNames>
    <sheetDataSet>
      <sheetData sheetId="0" refreshError="1"/>
      <sheetData sheetId="1" refreshError="1"/>
      <sheetData sheetId="2"/>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sheetData sheetId="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 val="ALL Detailed"/>
    </sheetNames>
    <sheetDataSet>
      <sheetData sheetId="0"/>
      <sheetData sheetId="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Event Commitment"/>
      <sheetName val="GRAPH"/>
      <sheetName val="Graph data"/>
      <sheetName val="Pivot Strategic Priority"/>
      <sheetName val="Pivot LTP"/>
      <sheetName val="TEMP"/>
      <sheetName val="LTP based on FY15 fcast"/>
      <sheetName val="FY14 actual"/>
      <sheetName val="ME Fund - Commitments"/>
      <sheetName val="Sheet1"/>
      <sheetName val="Travel-Telecoms template"/>
      <sheetName val="LTP - Combined"/>
      <sheetName val="Commitments-etcs"/>
      <sheetName val="LTP - Corporate"/>
      <sheetName val="LTP - Major Events"/>
      <sheetName val="LTP - WMG2017"/>
      <sheetName val="LTP - Dest&amp;Mark (x iSites)"/>
      <sheetName val="LTP - iSites"/>
      <sheetName val="LTP - BA&amp;I"/>
      <sheetName val="LTP - CorpRel"/>
      <sheetName val="LTP - Fin&amp;CorpServ"/>
      <sheetName val="LTP - Econ Growth"/>
      <sheetName val="Pivot Actual FY14"/>
      <sheetName val="Pivot Fcast FY15"/>
      <sheetName val="Sheet6"/>
      <sheetName val="Sheet2 (2)"/>
      <sheetName val="ATEED (New)"/>
      <sheetName val="Budget FY15"/>
      <sheetName val="Summary for template"/>
      <sheetName val="Summary"/>
      <sheetName val="Detailed review"/>
      <sheetName val="WMG"/>
      <sheetName val="WMG trans"/>
      <sheetName val="Sheet4"/>
      <sheetName val="Sheet3"/>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W raw data"/>
      <sheetName val="SW Review"/>
      <sheetName val="Watercare raw data"/>
      <sheetName val="Watercare Points"/>
      <sheetName val="NIW data"/>
      <sheetName val="NIW Points"/>
      <sheetName val="Definitions"/>
      <sheetName val="08-09 Data"/>
      <sheetName val="I Minimum"/>
      <sheetName val="I Maximum"/>
      <sheetName val="Lookup"/>
      <sheetName val="Changes since FD"/>
      <sheetName val="version notes"/>
      <sheetName val="I General"/>
      <sheetName val="I Weighting"/>
      <sheetName val="OPA output"/>
      <sheetName val="OPA and OPEX comparison"/>
      <sheetName val="OPA weightings"/>
      <sheetName val="I Company data WaSC"/>
      <sheetName val="I OFwat Component OPA scores"/>
      <sheetName val="P WaSC Individual Measures"/>
      <sheetName val="P WaSC Weighted Individual"/>
      <sheetName val="O OPA"/>
      <sheetName val="Retail-Wholesale OPA"/>
      <sheetName val="Forecast OPA High"/>
      <sheetName val="Forecast OPA 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y.govt.nz/publications/efu/half-year-economic-and-fiscal-updat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dimension ref="A1:H22"/>
  <sheetViews>
    <sheetView tabSelected="1" zoomScaleNormal="100" workbookViewId="0">
      <selection sqref="A1:XFD1048576"/>
    </sheetView>
  </sheetViews>
  <sheetFormatPr defaultColWidth="23.25" defaultRowHeight="15.5" x14ac:dyDescent="0.35"/>
  <cols>
    <col min="2" max="2" width="1.75" bestFit="1" customWidth="1"/>
    <col min="3" max="3" width="95.33203125" bestFit="1" customWidth="1"/>
    <col min="4" max="4" width="8.75" customWidth="1"/>
    <col min="5" max="5" width="25.5" bestFit="1" customWidth="1"/>
    <col min="6" max="6" width="30.08203125" bestFit="1" customWidth="1"/>
    <col min="7" max="7" width="17" bestFit="1" customWidth="1"/>
    <col min="8" max="8" width="8.83203125" bestFit="1" customWidth="1"/>
  </cols>
  <sheetData>
    <row r="1" spans="1:8" x14ac:dyDescent="0.35">
      <c r="A1" t="s">
        <v>0</v>
      </c>
    </row>
    <row r="3" spans="1:8" x14ac:dyDescent="0.35">
      <c r="C3" s="100" t="s">
        <v>1</v>
      </c>
      <c r="D3" s="100" t="s">
        <v>2</v>
      </c>
      <c r="E3" s="100" t="s">
        <v>3</v>
      </c>
      <c r="F3" s="100" t="s">
        <v>4</v>
      </c>
      <c r="G3" s="100" t="s">
        <v>5</v>
      </c>
      <c r="H3" s="100" t="s">
        <v>6</v>
      </c>
    </row>
    <row r="4" spans="1:8" x14ac:dyDescent="0.35">
      <c r="A4" t="s">
        <v>7</v>
      </c>
      <c r="C4" s="100" t="s">
        <v>8</v>
      </c>
      <c r="D4" s="292" t="s">
        <v>9</v>
      </c>
      <c r="E4" s="292" t="str">
        <f>Assumptions!B6</f>
        <v>Method 3: Revised NZ$185bn</v>
      </c>
      <c r="F4" s="100" t="str">
        <f>Assumptions!B3</f>
        <v>No centralised services entity (CSE)</v>
      </c>
      <c r="G4" s="100" t="str">
        <f>IF(Assumptions!B7=Assumptions!B325, "Mid-point estimate", IF(Assumptions!B7=Assumptions!B326, "High estimate", ""))</f>
        <v>Mid-point estimate</v>
      </c>
      <c r="H4" s="299">
        <v>0.1</v>
      </c>
    </row>
    <row r="5" spans="1:8" x14ac:dyDescent="0.35">
      <c r="C5" s="8"/>
      <c r="D5" s="8"/>
    </row>
    <row r="6" spans="1:8" x14ac:dyDescent="0.35">
      <c r="A6" s="8" t="s">
        <v>10</v>
      </c>
      <c r="B6" s="8"/>
      <c r="C6" t="s">
        <v>11</v>
      </c>
      <c r="D6" s="8"/>
    </row>
    <row r="8" spans="1:8" x14ac:dyDescent="0.35">
      <c r="A8" s="294" t="s">
        <v>12</v>
      </c>
    </row>
    <row r="9" spans="1:8" x14ac:dyDescent="0.35">
      <c r="A9" t="s">
        <v>13</v>
      </c>
      <c r="C9" t="s">
        <v>14</v>
      </c>
    </row>
    <row r="10" spans="1:8" x14ac:dyDescent="0.35">
      <c r="A10" t="s">
        <v>15</v>
      </c>
      <c r="C10" t="s">
        <v>16</v>
      </c>
    </row>
    <row r="11" spans="1:8" x14ac:dyDescent="0.35">
      <c r="A11" t="s">
        <v>17</v>
      </c>
      <c r="C11" t="s">
        <v>18</v>
      </c>
    </row>
    <row r="12" spans="1:8" x14ac:dyDescent="0.35">
      <c r="A12" t="s">
        <v>19</v>
      </c>
      <c r="C12" t="s">
        <v>20</v>
      </c>
    </row>
    <row r="13" spans="1:8" x14ac:dyDescent="0.35">
      <c r="A13" t="s">
        <v>21</v>
      </c>
      <c r="C13" t="s">
        <v>22</v>
      </c>
      <c r="E13" s="111"/>
    </row>
    <row r="14" spans="1:8" x14ac:dyDescent="0.35">
      <c r="E14" s="111"/>
    </row>
    <row r="15" spans="1:8" x14ac:dyDescent="0.35">
      <c r="B15" s="8"/>
      <c r="D15" s="8"/>
      <c r="E15" s="111"/>
    </row>
    <row r="16" spans="1:8" x14ac:dyDescent="0.35">
      <c r="A16" s="294" t="s">
        <v>23</v>
      </c>
      <c r="E16" s="111"/>
    </row>
    <row r="17" spans="1:7" x14ac:dyDescent="0.35">
      <c r="A17" s="8" t="s">
        <v>24</v>
      </c>
      <c r="E17" s="111"/>
    </row>
    <row r="18" spans="1:7" ht="260.5" customHeight="1" x14ac:dyDescent="0.35">
      <c r="A18" s="243">
        <v>1</v>
      </c>
      <c r="C18" s="241" t="s">
        <v>25</v>
      </c>
    </row>
    <row r="19" spans="1:7" ht="260.14999999999998" customHeight="1" x14ac:dyDescent="0.35">
      <c r="A19" s="243">
        <v>2</v>
      </c>
      <c r="C19" s="241" t="s">
        <v>26</v>
      </c>
      <c r="E19" s="242"/>
      <c r="F19" s="242"/>
      <c r="G19" s="223"/>
    </row>
    <row r="20" spans="1:7" ht="38.5" customHeight="1" x14ac:dyDescent="0.35">
      <c r="A20" s="243">
        <f>A19+1</f>
        <v>3</v>
      </c>
      <c r="C20" s="242" t="s">
        <v>27</v>
      </c>
    </row>
    <row r="21" spans="1:7" ht="31" x14ac:dyDescent="0.35">
      <c r="A21" s="243">
        <v>4</v>
      </c>
      <c r="C21" s="242" t="s">
        <v>28</v>
      </c>
    </row>
    <row r="22" spans="1:7" ht="31" x14ac:dyDescent="0.35">
      <c r="A22" s="243">
        <f>A21+1</f>
        <v>5</v>
      </c>
      <c r="C22" s="223" t="s">
        <v>29</v>
      </c>
    </row>
  </sheetData>
  <sheetProtection algorithmName="SHA-512" hashValue="O0qUW0d5BcFK687uJCRdM0xm0Ft4E3cU7cbBeyFvRJsxj6gs/OxpoEaKjqMZcTr9y2i6URcMypX+/uAw9jaNtQ==" saltValue="xBS6l5vmfXTARdnJugxqM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99D9-0F90-4D5F-95AD-8F154FEDD9BB}">
  <dimension ref="A1:E78"/>
  <sheetViews>
    <sheetView zoomScaleNormal="100" workbookViewId="0">
      <selection sqref="A1:XFD1048576"/>
    </sheetView>
  </sheetViews>
  <sheetFormatPr defaultColWidth="8.58203125" defaultRowHeight="18.5" x14ac:dyDescent="0.45"/>
  <cols>
    <col min="1" max="1" width="81.5" customWidth="1"/>
    <col min="2" max="2" width="18.08203125" bestFit="1" customWidth="1"/>
    <col min="3" max="3" width="16.08203125" style="244" bestFit="1" customWidth="1"/>
  </cols>
  <sheetData>
    <row r="1" spans="1:3" ht="26" x14ac:dyDescent="0.6">
      <c r="A1" s="7" t="s">
        <v>30</v>
      </c>
    </row>
    <row r="2" spans="1:3" ht="26" x14ac:dyDescent="0.6">
      <c r="A2" s="7"/>
    </row>
    <row r="3" spans="1:3" ht="326.14999999999998" customHeight="1" x14ac:dyDescent="0.35">
      <c r="A3" s="247" t="s">
        <v>31</v>
      </c>
      <c r="C3" s="246"/>
    </row>
    <row r="4" spans="1:3" ht="26.5" thickBot="1" x14ac:dyDescent="0.65">
      <c r="A4" s="7"/>
    </row>
    <row r="5" spans="1:3" x14ac:dyDescent="0.45">
      <c r="A5" s="270" t="s">
        <v>32</v>
      </c>
      <c r="B5" s="36"/>
    </row>
    <row r="6" spans="1:3" x14ac:dyDescent="0.45">
      <c r="A6" s="17"/>
      <c r="B6" s="30"/>
    </row>
    <row r="7" spans="1:3" ht="15.5" x14ac:dyDescent="0.35">
      <c r="A7" s="17" t="s">
        <v>33</v>
      </c>
      <c r="B7" s="214">
        <f>Assumptions!C100</f>
        <v>1145864890.416733</v>
      </c>
      <c r="C7"/>
    </row>
    <row r="8" spans="1:3" ht="15.5" x14ac:dyDescent="0.35">
      <c r="A8" s="17" t="s">
        <v>34</v>
      </c>
      <c r="B8" s="207">
        <v>0.7</v>
      </c>
      <c r="C8"/>
    </row>
    <row r="9" spans="1:3" ht="15.5" x14ac:dyDescent="0.35">
      <c r="A9" s="17"/>
      <c r="B9" s="208"/>
      <c r="C9"/>
    </row>
    <row r="10" spans="1:3" ht="15.5" x14ac:dyDescent="0.35">
      <c r="A10" s="17" t="s">
        <v>35</v>
      </c>
      <c r="B10" s="209">
        <f>Assumptions!C302</f>
        <v>1798799.4166520992</v>
      </c>
      <c r="C10"/>
    </row>
    <row r="11" spans="1:3" ht="15.5" x14ac:dyDescent="0.35">
      <c r="A11" s="17" t="s">
        <v>36</v>
      </c>
      <c r="B11" s="210">
        <v>2.7</v>
      </c>
      <c r="C11"/>
    </row>
    <row r="12" spans="1:3" ht="15.5" x14ac:dyDescent="0.35">
      <c r="A12" s="17" t="s">
        <v>37</v>
      </c>
      <c r="B12" s="209">
        <f>B10/B11</f>
        <v>666222.00616744417</v>
      </c>
      <c r="C12"/>
    </row>
    <row r="13" spans="1:3" ht="15.5" x14ac:dyDescent="0.35">
      <c r="A13" s="17"/>
      <c r="B13" s="271"/>
      <c r="C13"/>
    </row>
    <row r="14" spans="1:3" ht="15.5" x14ac:dyDescent="0.35">
      <c r="A14" s="16" t="s">
        <v>38</v>
      </c>
      <c r="B14" s="211">
        <f>(B7*B8)/B12</f>
        <v>1203.9611658971783</v>
      </c>
      <c r="C14"/>
    </row>
    <row r="15" spans="1:3" ht="16" thickBot="1" x14ac:dyDescent="0.4">
      <c r="A15" s="18"/>
      <c r="B15" s="14"/>
      <c r="C15"/>
    </row>
    <row r="16" spans="1:3" ht="15.5" x14ac:dyDescent="0.35">
      <c r="A16" s="270" t="s">
        <v>39</v>
      </c>
      <c r="B16" s="30"/>
      <c r="C16"/>
    </row>
    <row r="17" spans="1:3" ht="15.5" x14ac:dyDescent="0.35">
      <c r="A17" s="17"/>
      <c r="B17" s="30"/>
      <c r="C17"/>
    </row>
    <row r="18" spans="1:3" ht="15.5" x14ac:dyDescent="0.35">
      <c r="A18" s="17" t="s">
        <v>40</v>
      </c>
      <c r="B18" s="267">
        <f>Assumptions!E100</f>
        <v>1285677792.56885</v>
      </c>
      <c r="C18"/>
    </row>
    <row r="19" spans="1:3" ht="15.5" x14ac:dyDescent="0.35">
      <c r="A19" s="17" t="s">
        <v>34</v>
      </c>
      <c r="B19" s="212">
        <f>B8</f>
        <v>0.7</v>
      </c>
      <c r="C19"/>
    </row>
    <row r="20" spans="1:3" ht="15.5" x14ac:dyDescent="0.35">
      <c r="A20" s="17"/>
      <c r="B20" s="272"/>
      <c r="C20"/>
    </row>
    <row r="21" spans="1:3" ht="15.5" x14ac:dyDescent="0.35">
      <c r="A21" s="17" t="s">
        <v>41</v>
      </c>
      <c r="B21" s="213">
        <f>Assumptions!E302</f>
        <v>1874828.9799212618</v>
      </c>
      <c r="C21"/>
    </row>
    <row r="22" spans="1:3" ht="15.5" x14ac:dyDescent="0.35">
      <c r="A22" s="17" t="s">
        <v>36</v>
      </c>
      <c r="B22" s="273">
        <f>B11</f>
        <v>2.7</v>
      </c>
      <c r="C22"/>
    </row>
    <row r="23" spans="1:3" ht="15.5" x14ac:dyDescent="0.35">
      <c r="A23" s="17" t="s">
        <v>42</v>
      </c>
      <c r="B23" s="209">
        <f>B21/B22</f>
        <v>694381.10367454134</v>
      </c>
      <c r="C23"/>
    </row>
    <row r="24" spans="1:3" ht="15.5" x14ac:dyDescent="0.35">
      <c r="A24" s="17"/>
      <c r="B24" s="274"/>
      <c r="C24"/>
    </row>
    <row r="25" spans="1:3" ht="15.5" x14ac:dyDescent="0.35">
      <c r="A25" s="17" t="s">
        <v>43</v>
      </c>
      <c r="B25" s="214">
        <f>(B18*B19)/B23</f>
        <v>1296.0814314152419</v>
      </c>
      <c r="C25"/>
    </row>
    <row r="26" spans="1:3" ht="15.5" x14ac:dyDescent="0.35">
      <c r="A26" s="16"/>
      <c r="B26" s="211"/>
      <c r="C26"/>
    </row>
    <row r="27" spans="1:3" ht="15.5" x14ac:dyDescent="0.35">
      <c r="A27" s="17" t="s">
        <v>44</v>
      </c>
      <c r="B27" s="275">
        <v>1.10124</v>
      </c>
      <c r="C27"/>
    </row>
    <row r="28" spans="1:3" ht="15.5" x14ac:dyDescent="0.35">
      <c r="A28" s="17"/>
      <c r="B28" s="211"/>
      <c r="C28"/>
    </row>
    <row r="29" spans="1:3" ht="15.5" x14ac:dyDescent="0.35">
      <c r="A29" s="16" t="s">
        <v>45</v>
      </c>
      <c r="B29" s="211">
        <f>B25/B27</f>
        <v>1176.9291266347407</v>
      </c>
      <c r="C29"/>
    </row>
    <row r="30" spans="1:3" ht="16" thickBot="1" x14ac:dyDescent="0.4">
      <c r="A30" s="17"/>
      <c r="B30" s="30"/>
      <c r="C30"/>
    </row>
    <row r="31" spans="1:3" ht="15.5" x14ac:dyDescent="0.35">
      <c r="A31" s="270" t="s">
        <v>46</v>
      </c>
      <c r="B31" s="36"/>
      <c r="C31"/>
    </row>
    <row r="32" spans="1:3" ht="15.5" x14ac:dyDescent="0.35">
      <c r="A32" s="17"/>
      <c r="B32" s="30"/>
      <c r="C32"/>
    </row>
    <row r="33" spans="1:3" ht="15.5" x14ac:dyDescent="0.35">
      <c r="A33" s="17" t="s">
        <v>47</v>
      </c>
      <c r="B33" s="214">
        <f>'Profit and Loss'!O3</f>
        <v>2024811077.6847923</v>
      </c>
      <c r="C33"/>
    </row>
    <row r="34" spans="1:3" ht="15.5" x14ac:dyDescent="0.35">
      <c r="A34" s="17" t="str">
        <f>A8</f>
        <v>Assumed revenue split to households</v>
      </c>
      <c r="B34" s="207">
        <f>B8</f>
        <v>0.7</v>
      </c>
      <c r="C34"/>
    </row>
    <row r="35" spans="1:3" ht="15.5" x14ac:dyDescent="0.35">
      <c r="A35" s="17"/>
      <c r="B35" s="271"/>
      <c r="C35"/>
    </row>
    <row r="36" spans="1:3" ht="15.5" x14ac:dyDescent="0.35">
      <c r="A36" s="17" t="s">
        <v>48</v>
      </c>
      <c r="B36" s="209">
        <f>Assumptions!O302</f>
        <v>2305983.8289912618</v>
      </c>
      <c r="C36"/>
    </row>
    <row r="37" spans="1:3" ht="15.5" x14ac:dyDescent="0.35">
      <c r="A37" s="17" t="str">
        <f>A11</f>
        <v>Assumed average occupancy rate per household</v>
      </c>
      <c r="B37" s="210">
        <f>B11</f>
        <v>2.7</v>
      </c>
      <c r="C37"/>
    </row>
    <row r="38" spans="1:3" ht="15.5" x14ac:dyDescent="0.35">
      <c r="A38" s="17" t="s">
        <v>49</v>
      </c>
      <c r="B38" s="209">
        <f>B36/B37</f>
        <v>854068.08481157839</v>
      </c>
      <c r="C38"/>
    </row>
    <row r="39" spans="1:3" ht="15.5" x14ac:dyDescent="0.35">
      <c r="A39" s="17"/>
      <c r="B39" s="271"/>
      <c r="C39"/>
    </row>
    <row r="40" spans="1:3" ht="15.5" x14ac:dyDescent="0.35">
      <c r="A40" s="17" t="s">
        <v>50</v>
      </c>
      <c r="B40" s="214">
        <f>(B33*B34)/B38</f>
        <v>1659.5489043382875</v>
      </c>
      <c r="C40"/>
    </row>
    <row r="41" spans="1:3" ht="15.5" x14ac:dyDescent="0.35">
      <c r="A41" s="17"/>
      <c r="B41" s="214"/>
      <c r="C41"/>
    </row>
    <row r="42" spans="1:3" ht="15.5" x14ac:dyDescent="0.35">
      <c r="A42" s="17" t="s">
        <v>44</v>
      </c>
      <c r="B42" s="275">
        <v>1.3489858337763749</v>
      </c>
      <c r="C42"/>
    </row>
    <row r="43" spans="1:3" ht="15.5" x14ac:dyDescent="0.35">
      <c r="A43" s="16"/>
      <c r="B43" s="211"/>
      <c r="C43"/>
    </row>
    <row r="44" spans="1:3" ht="15.5" x14ac:dyDescent="0.35">
      <c r="A44" s="16" t="s">
        <v>51</v>
      </c>
      <c r="B44" s="211">
        <f>B40/B42</f>
        <v>1230.2196678318828</v>
      </c>
      <c r="C44"/>
    </row>
    <row r="45" spans="1:3" ht="16" thickBot="1" x14ac:dyDescent="0.4">
      <c r="A45" s="18"/>
      <c r="B45" s="14"/>
      <c r="C45"/>
    </row>
    <row r="46" spans="1:3" ht="15.5" x14ac:dyDescent="0.35">
      <c r="A46" s="270" t="s">
        <v>52</v>
      </c>
      <c r="B46" s="36"/>
      <c r="C46"/>
    </row>
    <row r="47" spans="1:3" ht="15.5" x14ac:dyDescent="0.35">
      <c r="A47" s="17"/>
      <c r="B47" s="267"/>
      <c r="C47"/>
    </row>
    <row r="48" spans="1:3" ht="15.5" x14ac:dyDescent="0.35">
      <c r="A48" s="17" t="s">
        <v>53</v>
      </c>
      <c r="B48" s="214">
        <f>'Profit and Loss'!AI3</f>
        <v>5417916432.569458</v>
      </c>
      <c r="C48"/>
    </row>
    <row r="49" spans="1:3" ht="15.5" x14ac:dyDescent="0.35">
      <c r="A49" s="17" t="str">
        <f>A34</f>
        <v>Assumed revenue split to households</v>
      </c>
      <c r="B49" s="207">
        <f>B34</f>
        <v>0.7</v>
      </c>
      <c r="C49"/>
    </row>
    <row r="50" spans="1:3" ht="15.5" x14ac:dyDescent="0.35">
      <c r="A50" s="17"/>
      <c r="B50" s="271"/>
      <c r="C50"/>
    </row>
    <row r="51" spans="1:3" ht="15.5" x14ac:dyDescent="0.35">
      <c r="A51" s="17" t="s">
        <v>54</v>
      </c>
      <c r="B51" s="209">
        <f>Assumptions!AI302</f>
        <v>3488554.052016099</v>
      </c>
      <c r="C51"/>
    </row>
    <row r="52" spans="1:3" ht="15.5" x14ac:dyDescent="0.35">
      <c r="A52" s="17" t="str">
        <f>A37</f>
        <v>Assumed average occupancy rate per household</v>
      </c>
      <c r="B52" s="276">
        <v>2.7</v>
      </c>
      <c r="C52"/>
    </row>
    <row r="53" spans="1:3" ht="15.5" x14ac:dyDescent="0.35">
      <c r="A53" s="17" t="s">
        <v>55</v>
      </c>
      <c r="B53" s="209">
        <f>B51/B52</f>
        <v>1292057.0563022587</v>
      </c>
      <c r="C53"/>
    </row>
    <row r="54" spans="1:3" ht="15.5" x14ac:dyDescent="0.35">
      <c r="A54" s="17"/>
      <c r="B54" s="271"/>
      <c r="C54"/>
    </row>
    <row r="55" spans="1:3" ht="15.5" x14ac:dyDescent="0.35">
      <c r="A55" s="17" t="s">
        <v>56</v>
      </c>
      <c r="B55" s="214">
        <f>(B48*B49)/B53</f>
        <v>2935.2740146418178</v>
      </c>
      <c r="C55"/>
    </row>
    <row r="56" spans="1:3" ht="15.5" x14ac:dyDescent="0.35">
      <c r="A56" s="16"/>
      <c r="B56" s="211"/>
      <c r="C56"/>
    </row>
    <row r="57" spans="1:3" ht="15.5" x14ac:dyDescent="0.35">
      <c r="A57" s="17" t="s">
        <v>44</v>
      </c>
      <c r="B57" s="275">
        <v>2.0045219869116941</v>
      </c>
      <c r="C57"/>
    </row>
    <row r="58" spans="1:3" ht="15.5" x14ac:dyDescent="0.35">
      <c r="A58" s="16"/>
      <c r="B58" s="211"/>
      <c r="C58"/>
    </row>
    <row r="59" spans="1:3" ht="15.5" x14ac:dyDescent="0.35">
      <c r="A59" s="16" t="s">
        <v>57</v>
      </c>
      <c r="B59" s="211">
        <f>B55/B57</f>
        <v>1464.3261754210564</v>
      </c>
      <c r="C59"/>
    </row>
    <row r="60" spans="1:3" ht="16" thickBot="1" x14ac:dyDescent="0.4">
      <c r="A60" s="18"/>
      <c r="B60" s="215"/>
      <c r="C60"/>
    </row>
    <row r="63" spans="1:3" ht="15.5" x14ac:dyDescent="0.35">
      <c r="A63" s="26"/>
      <c r="B63" s="111" t="s">
        <v>58</v>
      </c>
      <c r="C63" s="111" t="s">
        <v>59</v>
      </c>
    </row>
    <row r="64" spans="1:3" ht="15.5" x14ac:dyDescent="0.35">
      <c r="A64" s="245" t="s">
        <v>60</v>
      </c>
      <c r="B64" s="288">
        <f>NPC!B29</f>
        <v>708.55148142818894</v>
      </c>
      <c r="C64" s="288">
        <f ca="1">NPC!B30</f>
        <v>895.83698386674132</v>
      </c>
    </row>
    <row r="66" spans="1:5" ht="15.5" x14ac:dyDescent="0.35">
      <c r="B66" s="111">
        <v>2022</v>
      </c>
      <c r="C66" s="111">
        <v>2024</v>
      </c>
      <c r="D66" s="111">
        <v>2034</v>
      </c>
      <c r="E66" s="111">
        <v>2054</v>
      </c>
    </row>
    <row r="67" spans="1:5" ht="15.5" x14ac:dyDescent="0.35">
      <c r="A67" s="245" t="s">
        <v>61</v>
      </c>
      <c r="B67" s="277">
        <f>'Model outputs'!B14</f>
        <v>1203.9611658971783</v>
      </c>
      <c r="C67" s="277">
        <f>'Model outputs'!B25</f>
        <v>1296.0814314152419</v>
      </c>
      <c r="D67" s="277">
        <f>'Model outputs'!B40</f>
        <v>1659.5489043382875</v>
      </c>
      <c r="E67" s="1">
        <f>'Model outputs'!B55</f>
        <v>2935.2740146418178</v>
      </c>
    </row>
    <row r="68" spans="1:5" ht="15.5" x14ac:dyDescent="0.35">
      <c r="A68" s="245" t="s">
        <v>62</v>
      </c>
      <c r="B68" s="268">
        <f>B14</f>
        <v>1203.9611658971783</v>
      </c>
      <c r="C68" s="268">
        <f>B29</f>
        <v>1176.9291266347407</v>
      </c>
      <c r="D68" s="268">
        <f>B44</f>
        <v>1230.2196678318828</v>
      </c>
      <c r="E68" s="268">
        <f>B59</f>
        <v>1464.3261754210564</v>
      </c>
    </row>
    <row r="74" spans="1:5" x14ac:dyDescent="0.45">
      <c r="B74" s="269"/>
    </row>
    <row r="75" spans="1:5" x14ac:dyDescent="0.45">
      <c r="B75" s="269"/>
    </row>
    <row r="76" spans="1:5" x14ac:dyDescent="0.45">
      <c r="B76" s="269"/>
    </row>
    <row r="77" spans="1:5" x14ac:dyDescent="0.45">
      <c r="B77" s="269"/>
    </row>
    <row r="78" spans="1:5" x14ac:dyDescent="0.45">
      <c r="B78" s="269"/>
    </row>
  </sheetData>
  <sheetProtection algorithmName="SHA-512" hashValue="JlMHmL0WkBOyWS35uJcPYPJ7OruK79oQfmqW+le9q5HYhx2ZMiUmRlnXJo8f3lfHgP6k6/Rxqk/mwMwdVp6Ikw==" saltValue="lW8+kztlSFmRyAeezyqV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162-69F8-4B24-B62E-28ABFE5E44B1}">
  <sheetPr filterMode="1"/>
  <dimension ref="A1:BX559"/>
  <sheetViews>
    <sheetView zoomScaleNormal="100" workbookViewId="0">
      <pane xSplit="1" ySplit="9" topLeftCell="B10" activePane="bottomRight" state="frozen"/>
      <selection pane="topRight" sqref="A1:XFD1048576"/>
      <selection pane="bottomLeft" sqref="A1:XFD1048576"/>
      <selection pane="bottomRight" sqref="A1:XFD1048576"/>
    </sheetView>
  </sheetViews>
  <sheetFormatPr defaultRowHeight="15.75" customHeight="1" outlineLevelCol="1" x14ac:dyDescent="0.35"/>
  <cols>
    <col min="1" max="1" width="20.33203125" style="26" bestFit="1" customWidth="1"/>
    <col min="2" max="2" width="9" customWidth="1"/>
    <col min="3" max="3" width="17.83203125" customWidth="1"/>
    <col min="4" max="4" width="30.58203125" bestFit="1" customWidth="1"/>
    <col min="5" max="5" width="30.08203125" style="48" hidden="1" customWidth="1" outlineLevel="1"/>
    <col min="6" max="6" width="27.33203125" style="48" hidden="1" customWidth="1" outlineLevel="1"/>
    <col min="7" max="7" width="22.25" style="48" hidden="1" customWidth="1" outlineLevel="1"/>
    <col min="8" max="8" width="18.83203125" style="48" hidden="1" customWidth="1" outlineLevel="1"/>
    <col min="9" max="9" width="28.33203125" style="48" hidden="1" customWidth="1" outlineLevel="1"/>
    <col min="10" max="10" width="20.08203125" style="48" hidden="1" customWidth="1" outlineLevel="1"/>
    <col min="11" max="11" width="17.25" style="48" hidden="1" customWidth="1" outlineLevel="1"/>
    <col min="12" max="12" width="15.83203125" style="48" hidden="1" customWidth="1" outlineLevel="1"/>
    <col min="13" max="14" width="16.5" style="48" hidden="1" customWidth="1" outlineLevel="1"/>
    <col min="15" max="15" width="22.25" style="48" customWidth="1" collapsed="1"/>
    <col min="16" max="27" width="16.5" style="48" hidden="1" customWidth="1" outlineLevel="1"/>
    <col min="28" max="28" width="16.5" style="48" customWidth="1" collapsed="1"/>
    <col min="29" max="29" width="16.5" style="48" customWidth="1"/>
    <col min="30" max="31" width="16.5" style="48" hidden="1" customWidth="1" outlineLevel="1"/>
    <col min="32" max="32" width="17.25" hidden="1" customWidth="1" outlineLevel="1"/>
    <col min="33" max="33" width="20.58203125" customWidth="1" collapsed="1"/>
    <col min="34" max="34" width="15.58203125" style="26" customWidth="1"/>
    <col min="35" max="35" width="20.58203125" style="26" customWidth="1"/>
    <col min="36" max="36" width="20.33203125" style="26" customWidth="1"/>
    <col min="37" max="37" width="20.75" style="26" customWidth="1"/>
    <col min="38" max="38" width="14.08203125" style="26" customWidth="1"/>
    <col min="39" max="39" width="19.08203125" style="26" customWidth="1"/>
    <col min="40" max="40" width="22" style="26" customWidth="1"/>
    <col min="41" max="44" width="16.83203125" style="26" customWidth="1"/>
    <col min="45" max="47" width="20.33203125" style="26" customWidth="1"/>
    <col min="48" max="50" width="16.83203125" style="26" customWidth="1"/>
    <col min="51" max="51" width="14.58203125" customWidth="1"/>
    <col min="52" max="52" width="19.58203125" bestFit="1" customWidth="1"/>
    <col min="53" max="57" width="19.58203125" customWidth="1"/>
    <col min="58" max="58" width="18.08203125" customWidth="1"/>
    <col min="59" max="61" width="19.58203125" customWidth="1"/>
    <col min="62" max="63" width="15.58203125" customWidth="1"/>
    <col min="64" max="64" width="15.75" customWidth="1"/>
    <col min="65" max="65" width="26.08203125" customWidth="1"/>
    <col min="66" max="66" width="16.5" bestFit="1" customWidth="1"/>
    <col min="67" max="67" width="16.5" customWidth="1"/>
    <col min="68" max="70" width="19.5" style="26" customWidth="1"/>
    <col min="71" max="71" width="22.33203125" style="26" customWidth="1"/>
    <col min="72" max="72" width="17.83203125" customWidth="1"/>
    <col min="73" max="73" width="23.58203125" bestFit="1" customWidth="1"/>
    <col min="74" max="74" width="23.58203125" style="26" customWidth="1"/>
    <col min="75" max="76" width="23.33203125" style="26" bestFit="1" customWidth="1"/>
    <col min="77" max="77" width="18.83203125" bestFit="1" customWidth="1"/>
  </cols>
  <sheetData>
    <row r="1" spans="1:76" ht="15.5" x14ac:dyDescent="0.35">
      <c r="BK1" s="167"/>
      <c r="BL1" s="168"/>
      <c r="BT1" s="25" t="s">
        <v>63</v>
      </c>
      <c r="BU1" s="25" t="s">
        <v>64</v>
      </c>
      <c r="BV1" s="58" t="s">
        <v>65</v>
      </c>
      <c r="BW1" s="26" t="s">
        <v>66</v>
      </c>
      <c r="BX1" s="26">
        <v>30</v>
      </c>
    </row>
    <row r="2" spans="1:76" ht="15.5" x14ac:dyDescent="0.35">
      <c r="BF2" s="159"/>
      <c r="BG2" s="160"/>
      <c r="BL2" s="101"/>
      <c r="BT2" s="25"/>
      <c r="BU2" s="25"/>
      <c r="BV2" s="58"/>
    </row>
    <row r="3" spans="1:76" ht="15.5" x14ac:dyDescent="0.35">
      <c r="BL3" s="101"/>
      <c r="BT3" s="25"/>
      <c r="BU3" s="25"/>
      <c r="BV3" s="58"/>
    </row>
    <row r="4" spans="1:76" ht="15.5" x14ac:dyDescent="0.35">
      <c r="C4" s="24"/>
      <c r="D4" s="24"/>
      <c r="E4" s="102"/>
      <c r="BL4" s="101"/>
      <c r="BM4" s="26"/>
      <c r="BT4" s="25"/>
      <c r="BU4" s="25"/>
      <c r="BV4" s="58"/>
    </row>
    <row r="5" spans="1:76" ht="15.5" x14ac:dyDescent="0.35">
      <c r="AX5" s="266"/>
      <c r="AY5" s="296"/>
      <c r="BL5" s="101"/>
      <c r="BT5" s="25"/>
      <c r="BU5" s="25"/>
      <c r="BV5" s="58"/>
    </row>
    <row r="6" spans="1:76" ht="16" thickBot="1" x14ac:dyDescent="0.4">
      <c r="AP6" s="154"/>
      <c r="BB6" s="26"/>
      <c r="BC6" s="26"/>
      <c r="BD6" s="26"/>
      <c r="BL6" s="101"/>
      <c r="BM6" s="169"/>
      <c r="BN6" s="107" t="s">
        <v>68</v>
      </c>
      <c r="BT6" s="25"/>
      <c r="BU6" s="25"/>
      <c r="BV6" s="58"/>
    </row>
    <row r="7" spans="1:76" ht="16" thickBot="1" x14ac:dyDescent="0.4">
      <c r="E7" s="396" t="s">
        <v>69</v>
      </c>
      <c r="F7" s="397"/>
      <c r="G7" s="397"/>
      <c r="H7" s="397"/>
      <c r="I7" s="397"/>
      <c r="J7" s="397"/>
      <c r="K7" s="397"/>
      <c r="L7" s="397"/>
      <c r="M7" s="397"/>
      <c r="N7" s="397"/>
      <c r="O7" s="397"/>
      <c r="P7" s="397"/>
      <c r="Q7" s="397"/>
      <c r="R7" s="397"/>
      <c r="S7" s="397"/>
      <c r="T7" s="397"/>
      <c r="U7" s="397"/>
      <c r="V7" s="397"/>
      <c r="W7" s="397"/>
      <c r="X7" s="397"/>
      <c r="Y7" s="397"/>
      <c r="Z7" s="397"/>
      <c r="AA7" s="398"/>
      <c r="AB7" s="105"/>
      <c r="AC7" s="105"/>
      <c r="AD7" s="105"/>
      <c r="AE7" s="105"/>
      <c r="BA7" s="26"/>
      <c r="BB7" s="26"/>
      <c r="BC7" s="26"/>
      <c r="BD7" s="26"/>
      <c r="BE7" s="26"/>
      <c r="BF7" s="26"/>
      <c r="BG7" s="150"/>
      <c r="BH7" s="150"/>
      <c r="BI7" s="150"/>
      <c r="BJ7" s="26"/>
      <c r="BK7" s="26"/>
      <c r="BL7" s="166"/>
      <c r="BM7" s="26"/>
      <c r="BN7" s="107" t="s">
        <v>68</v>
      </c>
      <c r="BT7" s="25"/>
      <c r="BU7" s="25"/>
      <c r="BV7" s="58"/>
    </row>
    <row r="8" spans="1:76" ht="71.150000000000006" customHeight="1" thickBot="1" x14ac:dyDescent="0.4">
      <c r="E8" s="399" t="s">
        <v>70</v>
      </c>
      <c r="F8" s="400"/>
      <c r="G8" s="400"/>
      <c r="H8" s="400"/>
      <c r="I8" s="400"/>
      <c r="J8" s="400"/>
      <c r="K8" s="400"/>
      <c r="L8" s="400"/>
      <c r="M8" s="403"/>
      <c r="N8" s="399" t="s">
        <v>71</v>
      </c>
      <c r="O8" s="400"/>
      <c r="P8" s="400"/>
      <c r="Q8" s="400"/>
      <c r="R8" s="400"/>
      <c r="S8" s="401"/>
      <c r="T8" s="401"/>
      <c r="U8" s="401"/>
      <c r="V8" s="401"/>
      <c r="W8" s="401"/>
      <c r="X8" s="401"/>
      <c r="Y8" s="401"/>
      <c r="Z8" s="401"/>
      <c r="AA8" s="402"/>
      <c r="AB8" s="88"/>
      <c r="AC8" s="88"/>
      <c r="AD8" s="88"/>
      <c r="AE8" s="88"/>
      <c r="AH8" s="80" t="s">
        <v>72</v>
      </c>
      <c r="AI8" s="80" t="s">
        <v>73</v>
      </c>
      <c r="AJ8" s="80" t="s">
        <v>74</v>
      </c>
      <c r="AK8" s="90" t="s">
        <v>75</v>
      </c>
      <c r="AL8" s="80" t="s">
        <v>76</v>
      </c>
      <c r="AM8" s="78" t="s">
        <v>77</v>
      </c>
      <c r="AN8" s="78" t="s">
        <v>78</v>
      </c>
      <c r="AO8" s="78" t="s">
        <v>79</v>
      </c>
      <c r="AP8" s="78" t="s">
        <v>80</v>
      </c>
      <c r="AQ8" s="78" t="s">
        <v>81</v>
      </c>
      <c r="AR8" s="78" t="s">
        <v>82</v>
      </c>
      <c r="AS8" s="78" t="s">
        <v>83</v>
      </c>
      <c r="AT8" s="78" t="s">
        <v>84</v>
      </c>
      <c r="AU8" s="78" t="s">
        <v>85</v>
      </c>
      <c r="AV8" s="78" t="s">
        <v>86</v>
      </c>
      <c r="AW8" s="78" t="s">
        <v>87</v>
      </c>
      <c r="AX8" s="78" t="s">
        <v>88</v>
      </c>
      <c r="AY8" s="78" t="s">
        <v>89</v>
      </c>
      <c r="AZ8" s="78" t="s">
        <v>90</v>
      </c>
      <c r="BA8" s="78" t="s">
        <v>91</v>
      </c>
      <c r="BB8" s="78" t="s">
        <v>92</v>
      </c>
      <c r="BC8" s="78" t="s">
        <v>93</v>
      </c>
      <c r="BD8" s="78" t="s">
        <v>94</v>
      </c>
      <c r="BE8" s="78" t="s">
        <v>95</v>
      </c>
      <c r="BF8" s="78" t="s">
        <v>96</v>
      </c>
      <c r="BG8" s="78" t="s">
        <v>97</v>
      </c>
      <c r="BH8" s="78" t="s">
        <v>98</v>
      </c>
      <c r="BI8" s="78"/>
      <c r="BJ8" s="78" t="s">
        <v>99</v>
      </c>
      <c r="BK8" s="78" t="s">
        <v>100</v>
      </c>
      <c r="BL8" s="78"/>
      <c r="BM8" s="90" t="s">
        <v>101</v>
      </c>
      <c r="BN8" s="78" t="s">
        <v>102</v>
      </c>
      <c r="BO8" s="78" t="s">
        <v>103</v>
      </c>
      <c r="BP8" s="78" t="s">
        <v>104</v>
      </c>
      <c r="BQ8" s="78" t="s">
        <v>105</v>
      </c>
      <c r="BR8" s="78" t="s">
        <v>106</v>
      </c>
      <c r="BS8" s="90" t="s">
        <v>107</v>
      </c>
      <c r="BT8" s="78" t="s">
        <v>108</v>
      </c>
      <c r="BU8" s="78" t="s">
        <v>109</v>
      </c>
      <c r="BV8" s="78" t="s">
        <v>110</v>
      </c>
      <c r="BW8" s="78" t="s">
        <v>111</v>
      </c>
      <c r="BX8" s="78" t="s">
        <v>112</v>
      </c>
    </row>
    <row r="9" spans="1:76" ht="73" thickBot="1" x14ac:dyDescent="0.4">
      <c r="A9" s="47" t="s">
        <v>113</v>
      </c>
      <c r="B9" s="8" t="s">
        <v>114</v>
      </c>
      <c r="C9" s="8" t="s">
        <v>115</v>
      </c>
      <c r="D9" s="8" t="s">
        <v>116</v>
      </c>
      <c r="E9" s="91" t="s">
        <v>117</v>
      </c>
      <c r="F9" s="92" t="s">
        <v>118</v>
      </c>
      <c r="G9" s="93" t="s">
        <v>119</v>
      </c>
      <c r="H9" s="93" t="s">
        <v>120</v>
      </c>
      <c r="I9" s="92" t="s">
        <v>121</v>
      </c>
      <c r="J9" s="94" t="s">
        <v>122</v>
      </c>
      <c r="K9" s="94" t="s">
        <v>123</v>
      </c>
      <c r="L9" s="94" t="s">
        <v>124</v>
      </c>
      <c r="M9" s="94" t="s">
        <v>125</v>
      </c>
      <c r="N9" s="95" t="s">
        <v>126</v>
      </c>
      <c r="O9" s="96" t="s">
        <v>127</v>
      </c>
      <c r="P9" s="94" t="s">
        <v>128</v>
      </c>
      <c r="Q9" s="94" t="s">
        <v>129</v>
      </c>
      <c r="R9" s="94" t="s">
        <v>130</v>
      </c>
      <c r="S9" s="97" t="s">
        <v>131</v>
      </c>
      <c r="T9" s="94" t="s">
        <v>132</v>
      </c>
      <c r="U9" s="94" t="s">
        <v>133</v>
      </c>
      <c r="V9" s="94" t="s">
        <v>134</v>
      </c>
      <c r="W9" s="94" t="s">
        <v>135</v>
      </c>
      <c r="X9" s="94" t="s">
        <v>136</v>
      </c>
      <c r="Y9" s="94" t="s">
        <v>137</v>
      </c>
      <c r="Z9" s="94" t="s">
        <v>138</v>
      </c>
      <c r="AA9" s="98" t="s">
        <v>139</v>
      </c>
      <c r="AB9" s="59" t="s">
        <v>140</v>
      </c>
      <c r="AC9" s="59" t="s">
        <v>141</v>
      </c>
      <c r="AD9" s="59" t="s">
        <v>142</v>
      </c>
      <c r="AE9" s="59" t="s">
        <v>143</v>
      </c>
      <c r="AF9" s="59" t="s">
        <v>144</v>
      </c>
      <c r="AG9" s="59" t="s">
        <v>145</v>
      </c>
      <c r="AH9" s="90" t="s">
        <v>146</v>
      </c>
      <c r="AI9" s="90" t="s">
        <v>146</v>
      </c>
      <c r="AJ9" s="90" t="s">
        <v>146</v>
      </c>
      <c r="AK9" s="90" t="s">
        <v>146</v>
      </c>
      <c r="AL9" s="87" t="s">
        <v>147</v>
      </c>
      <c r="AM9" s="78" t="s">
        <v>148</v>
      </c>
      <c r="AN9" s="78" t="s">
        <v>148</v>
      </c>
      <c r="AO9" s="78" t="s">
        <v>147</v>
      </c>
      <c r="AP9" s="78"/>
      <c r="AQ9" s="78"/>
      <c r="AR9" s="78"/>
      <c r="AS9" s="78"/>
      <c r="AT9" s="78"/>
      <c r="AU9" s="78"/>
      <c r="AV9" s="78"/>
      <c r="AW9" s="78"/>
      <c r="AX9" s="78"/>
      <c r="AY9" s="78" t="s">
        <v>149</v>
      </c>
      <c r="AZ9" s="78" t="s">
        <v>150</v>
      </c>
      <c r="BA9" s="78" t="s">
        <v>148</v>
      </c>
      <c r="BB9" s="78"/>
      <c r="BC9" s="78"/>
      <c r="BD9" s="78"/>
      <c r="BE9" s="78"/>
      <c r="BF9" s="78"/>
      <c r="BG9" s="78"/>
      <c r="BH9" s="78"/>
      <c r="BI9" s="78"/>
      <c r="BJ9" s="78" t="s">
        <v>149</v>
      </c>
      <c r="BK9" s="78" t="s">
        <v>151</v>
      </c>
      <c r="BL9" s="78"/>
      <c r="BM9" s="78" t="s">
        <v>152</v>
      </c>
      <c r="BN9" s="78" t="s">
        <v>153</v>
      </c>
      <c r="BO9" s="78" t="s">
        <v>153</v>
      </c>
      <c r="BP9" s="80" t="s">
        <v>154</v>
      </c>
      <c r="BQ9" s="80" t="s">
        <v>154</v>
      </c>
      <c r="BR9" s="80" t="s">
        <v>154</v>
      </c>
      <c r="BS9" s="80" t="s">
        <v>154</v>
      </c>
      <c r="BT9" s="80" t="s">
        <v>155</v>
      </c>
      <c r="BU9" s="80" t="s">
        <v>156</v>
      </c>
      <c r="BV9" s="78" t="s">
        <v>147</v>
      </c>
      <c r="BW9" s="80" t="s">
        <v>157</v>
      </c>
      <c r="BX9" s="78" t="s">
        <v>147</v>
      </c>
    </row>
    <row r="10" spans="1:76" ht="15.5" hidden="1" x14ac:dyDescent="0.35">
      <c r="A10" s="26" t="s">
        <v>158</v>
      </c>
      <c r="B10" s="8"/>
      <c r="C10" s="8"/>
      <c r="D10" s="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H10" s="47"/>
      <c r="AI10" s="47"/>
      <c r="AJ10" s="47"/>
      <c r="AK10" s="47"/>
      <c r="AL10" s="49">
        <v>163000000</v>
      </c>
      <c r="AM10" s="24">
        <v>174000000</v>
      </c>
      <c r="AN10" s="24">
        <v>33000000</v>
      </c>
      <c r="AO10" s="49">
        <f>SUM(AM10:AN10)</f>
        <v>207000000</v>
      </c>
      <c r="AP10" s="49">
        <v>172635000</v>
      </c>
      <c r="AQ10" s="49">
        <v>202895000</v>
      </c>
      <c r="AR10" s="164">
        <f t="shared" ref="AR10:AR41" si="0">AQ10/AP10-1</f>
        <v>0.17528311176760214</v>
      </c>
      <c r="AS10" s="49">
        <v>35254000</v>
      </c>
      <c r="AT10" s="49">
        <v>37402000</v>
      </c>
      <c r="AU10" s="164">
        <f>IFERROR(AT10/AS10-1, 0)</f>
        <v>6.0929256254609321E-2</v>
      </c>
      <c r="AV10" s="49">
        <f t="shared" ref="AV10:AV41" si="1">AM10*(1+AR10)</f>
        <v>204499261.44756278</v>
      </c>
      <c r="AW10" s="165">
        <f t="shared" ref="AW10:AW41" si="2">AN10*(1+AU10)</f>
        <v>35010665.456402108</v>
      </c>
      <c r="AX10" s="49">
        <f t="shared" ref="AX10:AX41" si="3">SUM(AV10:AW10)</f>
        <v>239509926.90396488</v>
      </c>
      <c r="AY10" s="53">
        <f>(122+42)*1000000</f>
        <v>164000000</v>
      </c>
      <c r="AZ10" s="24">
        <v>26849000</v>
      </c>
      <c r="BA10" s="24">
        <v>72000000</v>
      </c>
      <c r="BB10" s="49">
        <v>64039000</v>
      </c>
      <c r="BC10" s="49">
        <v>71259000</v>
      </c>
      <c r="BD10" s="166">
        <v>1.4999999999999999E-2</v>
      </c>
      <c r="BE10" s="166">
        <v>1.6E-2</v>
      </c>
      <c r="BF10" s="49">
        <f>BC10/((1+BD10)*(1+BE10))</f>
        <v>69100306.427213848</v>
      </c>
      <c r="BG10" s="40">
        <f>BF10/BB10-1</f>
        <v>7.9034751123750357E-2</v>
      </c>
      <c r="BH10" s="6">
        <f>BA10*(1+BG10)</f>
        <v>77690502.080910027</v>
      </c>
      <c r="BI10" s="24"/>
      <c r="BJ10" s="24">
        <f>16000*1000</f>
        <v>16000000</v>
      </c>
      <c r="BK10" s="24">
        <v>17000000</v>
      </c>
      <c r="BL10" s="24"/>
      <c r="BM10" s="38">
        <v>2841812174.476306</v>
      </c>
      <c r="BN10" s="3">
        <v>4388570118.3705359</v>
      </c>
      <c r="BO10" s="54"/>
      <c r="BP10" s="53">
        <v>6036599999.999999</v>
      </c>
      <c r="BQ10" s="86">
        <v>7545100000</v>
      </c>
      <c r="BR10" s="86">
        <f>AVERAGE(BP10:BQ10)</f>
        <v>6790850000</v>
      </c>
      <c r="BS10" s="53">
        <v>144881731.08601663</v>
      </c>
      <c r="BT10" s="54">
        <v>0</v>
      </c>
      <c r="BU10" s="54">
        <v>0</v>
      </c>
      <c r="BV10" s="53">
        <v>1488000</v>
      </c>
      <c r="BW10" s="57">
        <v>2.1165487837558006E-2</v>
      </c>
      <c r="BX10" s="83">
        <f t="shared" ref="BX10:BX41" si="4">BV10*(1+BW10)^$BX$1</f>
        <v>2789245.809241029</v>
      </c>
    </row>
    <row r="11" spans="1:76" ht="15.5" hidden="1" x14ac:dyDescent="0.35">
      <c r="A11" s="26" t="s">
        <v>159</v>
      </c>
      <c r="B11" s="8"/>
      <c r="C11" t="s">
        <v>160</v>
      </c>
      <c r="D11" s="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H11" s="47"/>
      <c r="AI11" s="47"/>
      <c r="AJ11" s="47"/>
      <c r="AK11" s="47"/>
      <c r="AL11" s="49">
        <v>752292686.88999999</v>
      </c>
      <c r="AM11" s="49">
        <v>607015000</v>
      </c>
      <c r="AN11" s="49">
        <v>240482488.86000001</v>
      </c>
      <c r="AO11" s="49">
        <f>SUM(AM11:AN11)</f>
        <v>847497488.86000001</v>
      </c>
      <c r="AP11" s="49">
        <v>650000000</v>
      </c>
      <c r="AQ11" s="49">
        <v>799000000</v>
      </c>
      <c r="AR11" s="164">
        <f t="shared" si="0"/>
        <v>0.22923076923076913</v>
      </c>
      <c r="AS11" s="49"/>
      <c r="AT11" s="49"/>
      <c r="AU11" s="164"/>
      <c r="AV11" s="26">
        <f>AM11*(1+AR11)</f>
        <v>746161515.3846153</v>
      </c>
      <c r="AW11" s="165">
        <v>201414081.26347828</v>
      </c>
      <c r="AX11" s="49">
        <f t="shared" si="3"/>
        <v>947575596.64809358</v>
      </c>
      <c r="AY11" s="53">
        <v>752293000</v>
      </c>
      <c r="AZ11" s="24">
        <v>268560308.83789998</v>
      </c>
      <c r="BA11" s="24">
        <f>357993608.783469-39429644.97</f>
        <v>318563963.81346905</v>
      </c>
      <c r="BB11" s="24">
        <v>308920000</v>
      </c>
      <c r="BC11" s="24">
        <v>326280000</v>
      </c>
      <c r="BD11" s="166">
        <v>0.02</v>
      </c>
      <c r="BE11" s="166">
        <v>0.02</v>
      </c>
      <c r="BF11" s="49">
        <f>BC11/((1+BD11)*(1+BE11))</f>
        <v>313610149.94232988</v>
      </c>
      <c r="BG11" s="40">
        <f>BF11/BB11-1</f>
        <v>1.5182409498672333E-2</v>
      </c>
      <c r="BH11" s="6">
        <f>BA11*(1+BG11)</f>
        <v>323400532.36360538</v>
      </c>
      <c r="BI11" s="24"/>
      <c r="BJ11" s="24">
        <f>81688*1000</f>
        <v>81688000</v>
      </c>
      <c r="BK11" s="24">
        <v>94848000</v>
      </c>
      <c r="BL11" s="24"/>
      <c r="BM11" s="38">
        <v>12050402043.995678</v>
      </c>
      <c r="BN11" s="3">
        <v>22240596891.588425</v>
      </c>
      <c r="BO11" s="54"/>
      <c r="BP11" s="53">
        <v>16171446470.130537</v>
      </c>
      <c r="BQ11" s="86">
        <v>16673327334.308329</v>
      </c>
      <c r="BR11" s="86">
        <f t="shared" ref="BR11:BR73" si="5">AVERAGE(BP11:BQ11)</f>
        <v>16422386902.219433</v>
      </c>
      <c r="BS11" s="53">
        <v>329028007.28244239</v>
      </c>
      <c r="BT11" s="54">
        <v>1629000</v>
      </c>
      <c r="BU11" s="54">
        <v>1629000</v>
      </c>
      <c r="BV11" s="53">
        <f>AVERAGE(BT11:BU11)</f>
        <v>1629000</v>
      </c>
      <c r="BW11" s="57">
        <v>2.1211402024470472E-2</v>
      </c>
      <c r="BX11" s="83">
        <f t="shared" si="4"/>
        <v>3057670.8894206514</v>
      </c>
    </row>
    <row r="12" spans="1:76" ht="15.5" x14ac:dyDescent="0.35">
      <c r="A12" s="26" t="s">
        <v>161</v>
      </c>
      <c r="B12" t="s">
        <v>162</v>
      </c>
      <c r="C12" t="s">
        <v>160</v>
      </c>
      <c r="D12" t="s">
        <v>161</v>
      </c>
      <c r="E12" s="60" t="s">
        <v>9</v>
      </c>
      <c r="F12" s="60" t="s">
        <v>9</v>
      </c>
      <c r="G12" s="60" t="s">
        <v>9</v>
      </c>
      <c r="H12" s="60" t="s">
        <v>9</v>
      </c>
      <c r="I12" s="60" t="s">
        <v>9</v>
      </c>
      <c r="J12" s="60" t="s">
        <v>9</v>
      </c>
      <c r="K12" s="60" t="s">
        <v>9</v>
      </c>
      <c r="L12" s="60" t="s">
        <v>9</v>
      </c>
      <c r="M12" s="60" t="s">
        <v>9</v>
      </c>
      <c r="N12" s="60" t="s">
        <v>9</v>
      </c>
      <c r="O12" s="60" t="s">
        <v>9</v>
      </c>
      <c r="P12" s="60" t="s">
        <v>163</v>
      </c>
      <c r="Q12" s="60" t="s">
        <v>9</v>
      </c>
      <c r="R12" s="60" t="s">
        <v>9</v>
      </c>
      <c r="S12" s="60" t="s">
        <v>9</v>
      </c>
      <c r="T12" s="60" t="s">
        <v>9</v>
      </c>
      <c r="U12" s="60" t="s">
        <v>9</v>
      </c>
      <c r="V12" s="60" t="s">
        <v>9</v>
      </c>
      <c r="W12" s="60" t="s">
        <v>9</v>
      </c>
      <c r="X12" s="60" t="s">
        <v>9</v>
      </c>
      <c r="Y12" s="60" t="s">
        <v>9</v>
      </c>
      <c r="Z12" s="60" t="s">
        <v>9</v>
      </c>
      <c r="AA12" s="60" t="s">
        <v>9</v>
      </c>
      <c r="AB12" s="60" t="s">
        <v>9</v>
      </c>
      <c r="AC12" s="60" t="s">
        <v>163</v>
      </c>
      <c r="AD12" s="60" t="s">
        <v>163</v>
      </c>
      <c r="AE12" s="60" t="s">
        <v>163</v>
      </c>
      <c r="AF12" s="60" t="s">
        <v>163</v>
      </c>
      <c r="AG12" s="60" t="s">
        <v>9</v>
      </c>
      <c r="AH12" s="85"/>
      <c r="AI12" s="85"/>
      <c r="AJ12" s="85"/>
      <c r="AK12" s="85"/>
      <c r="AL12" s="49">
        <v>915292686.88999999</v>
      </c>
      <c r="AM12" s="24">
        <f>SUM(AM10:AM11)</f>
        <v>781015000</v>
      </c>
      <c r="AN12" s="24">
        <f>SUM(AN10:AN11)</f>
        <v>273482488.86000001</v>
      </c>
      <c r="AO12" s="49">
        <f t="shared" ref="AO12:AO74" si="6">SUM(AM12:AN12)</f>
        <v>1054497488.86</v>
      </c>
      <c r="AP12" s="24">
        <f>SUM(AP10:AP11)</f>
        <v>822635000</v>
      </c>
      <c r="AQ12" s="24">
        <f>SUM(AQ10:AQ11)</f>
        <v>1001895000</v>
      </c>
      <c r="AR12" s="164">
        <f t="shared" si="0"/>
        <v>0.21790952244920292</v>
      </c>
      <c r="AS12" s="24">
        <f>SUM(AS10:AS11)</f>
        <v>35254000</v>
      </c>
      <c r="AT12" s="24">
        <f>SUM(AT10:AT11)</f>
        <v>37402000</v>
      </c>
      <c r="AU12" s="164">
        <f t="shared" ref="AU12" si="7">AT12/AS12-1</f>
        <v>6.0929256254609321E-2</v>
      </c>
      <c r="AV12" s="49">
        <f>SUM(AV10:AV11)</f>
        <v>950660776.83217812</v>
      </c>
      <c r="AW12" s="165">
        <f>SUM(AW10:AW11)</f>
        <v>236424746.7198804</v>
      </c>
      <c r="AX12" s="49">
        <f>SUM(AX10:AX11)</f>
        <v>1187085523.5520585</v>
      </c>
      <c r="AY12" s="54">
        <f>AY10+AY11</f>
        <v>916293000</v>
      </c>
      <c r="AZ12" s="24">
        <v>295409308.83789998</v>
      </c>
      <c r="BA12" s="24">
        <f>SUM(BA10:BA11)</f>
        <v>390563963.81346905</v>
      </c>
      <c r="BB12" s="24">
        <f t="shared" ref="BB12:BC12" si="8">SUM(BB10:BB11)</f>
        <v>372959000</v>
      </c>
      <c r="BC12" s="24">
        <f t="shared" si="8"/>
        <v>397539000</v>
      </c>
      <c r="BD12" s="158"/>
      <c r="BE12" s="158"/>
      <c r="BF12" s="24">
        <f>SUM(BF10:BF11)</f>
        <v>382710456.36954373</v>
      </c>
      <c r="BG12" s="40">
        <f>BF12/BB12-1</f>
        <v>2.6146188641495982E-2</v>
      </c>
      <c r="BH12" s="6">
        <f>SUM(BH10:BH11)</f>
        <v>401091034.44451541</v>
      </c>
      <c r="BI12" s="24"/>
      <c r="BJ12" s="24">
        <f>BJ10+BJ11</f>
        <v>97688000</v>
      </c>
      <c r="BK12" s="24">
        <f>SUM(BK10:BK11)</f>
        <v>111848000</v>
      </c>
      <c r="BL12" s="24"/>
      <c r="BM12" s="24">
        <f>SUM(BM10:BM11)</f>
        <v>14892214218.471985</v>
      </c>
      <c r="BN12" s="3">
        <v>26629167009.958961</v>
      </c>
      <c r="BO12" s="54">
        <v>30216036399.500858</v>
      </c>
      <c r="BP12" s="53">
        <v>22208046470.130539</v>
      </c>
      <c r="BQ12" s="86">
        <v>24218427334.308327</v>
      </c>
      <c r="BR12" s="86">
        <f t="shared" si="5"/>
        <v>23213236902.219433</v>
      </c>
      <c r="BS12" s="53">
        <v>473909738.36845905</v>
      </c>
      <c r="BT12" s="54">
        <v>1629000</v>
      </c>
      <c r="BU12" s="54">
        <v>1629000</v>
      </c>
      <c r="BV12" s="53">
        <f t="shared" ref="BV12:BV74" si="9">AVERAGE(BT12:BU12)</f>
        <v>1629000</v>
      </c>
      <c r="BW12" s="57">
        <v>2.1211402024470472E-2</v>
      </c>
      <c r="BX12" s="83">
        <f t="shared" si="4"/>
        <v>3057670.8894206514</v>
      </c>
    </row>
    <row r="13" spans="1:76" ht="15.5" hidden="1" x14ac:dyDescent="0.35">
      <c r="A13" s="26" t="s">
        <v>164</v>
      </c>
      <c r="B13" t="s">
        <v>165</v>
      </c>
      <c r="C13" t="s">
        <v>166</v>
      </c>
      <c r="D13" t="s">
        <v>167</v>
      </c>
      <c r="E13" s="60" t="s">
        <v>168</v>
      </c>
      <c r="F13" s="60" t="s">
        <v>169</v>
      </c>
      <c r="G13" s="60" t="s">
        <v>169</v>
      </c>
      <c r="H13" s="60" t="s">
        <v>169</v>
      </c>
      <c r="I13" s="60" t="s">
        <v>170</v>
      </c>
      <c r="J13" s="60" t="s">
        <v>170</v>
      </c>
      <c r="K13" s="60" t="s">
        <v>170</v>
      </c>
      <c r="L13" s="60" t="s">
        <v>163</v>
      </c>
      <c r="M13" s="60" t="s">
        <v>163</v>
      </c>
      <c r="N13" s="60" t="s">
        <v>169</v>
      </c>
      <c r="O13" s="60" t="s">
        <v>171</v>
      </c>
      <c r="P13" s="60" t="s">
        <v>172</v>
      </c>
      <c r="Q13" s="60" t="s">
        <v>170</v>
      </c>
      <c r="R13" s="60" t="s">
        <v>9</v>
      </c>
      <c r="S13" s="60" t="s">
        <v>170</v>
      </c>
      <c r="T13" s="60" t="s">
        <v>170</v>
      </c>
      <c r="U13" s="60" t="s">
        <v>169</v>
      </c>
      <c r="V13" s="60" t="s">
        <v>170</v>
      </c>
      <c r="W13" s="60" t="s">
        <v>170</v>
      </c>
      <c r="X13" s="60" t="s">
        <v>169</v>
      </c>
      <c r="Y13" s="60" t="s">
        <v>170</v>
      </c>
      <c r="Z13" s="60" t="s">
        <v>170</v>
      </c>
      <c r="AA13" s="60" t="s">
        <v>169</v>
      </c>
      <c r="AB13" s="60" t="s">
        <v>169</v>
      </c>
      <c r="AC13" s="60" t="s">
        <v>173</v>
      </c>
      <c r="AD13" s="60" t="s">
        <v>173</v>
      </c>
      <c r="AE13" s="60" t="s">
        <v>174</v>
      </c>
      <c r="AF13" s="60" t="s">
        <v>173</v>
      </c>
      <c r="AG13" s="60" t="s">
        <v>175</v>
      </c>
      <c r="AH13" s="85">
        <v>5239000</v>
      </c>
      <c r="AI13" s="85">
        <v>550000</v>
      </c>
      <c r="AJ13" s="85">
        <v>1108000</v>
      </c>
      <c r="AK13" s="49">
        <v>458000</v>
      </c>
      <c r="AL13" s="49">
        <v>7355000</v>
      </c>
      <c r="AM13" s="24">
        <v>11353000</v>
      </c>
      <c r="AN13" s="24">
        <v>838000</v>
      </c>
      <c r="AO13" s="49">
        <f t="shared" si="6"/>
        <v>12191000</v>
      </c>
      <c r="AP13" s="49">
        <v>11036000</v>
      </c>
      <c r="AQ13" s="49">
        <v>12573000</v>
      </c>
      <c r="AR13" s="164">
        <f t="shared" si="0"/>
        <v>0.13927147517216376</v>
      </c>
      <c r="AS13" s="49">
        <v>503000</v>
      </c>
      <c r="AT13" s="49">
        <v>530000</v>
      </c>
      <c r="AU13" s="164">
        <f>IFERROR(AT13/AS13-1, 0)</f>
        <v>5.3677932405566509E-2</v>
      </c>
      <c r="AV13" s="26">
        <f t="shared" si="1"/>
        <v>12934149.057629576</v>
      </c>
      <c r="AW13" s="165">
        <f t="shared" si="2"/>
        <v>882982.10735586472</v>
      </c>
      <c r="AX13" s="49">
        <f t="shared" si="3"/>
        <v>13817131.164985441</v>
      </c>
      <c r="AY13" s="53">
        <v>10543000</v>
      </c>
      <c r="AZ13" s="24">
        <v>6413000</v>
      </c>
      <c r="BA13" s="24">
        <v>5590000</v>
      </c>
      <c r="BB13" s="49">
        <v>5837000</v>
      </c>
      <c r="BC13" s="49">
        <v>6277000</v>
      </c>
      <c r="BD13" s="166">
        <v>2.9000000000000001E-2</v>
      </c>
      <c r="BE13" s="166">
        <v>2.5000000000000001E-2</v>
      </c>
      <c r="BF13" s="49">
        <f t="shared" ref="BF13:BF74" si="10">BC13/((1+BD13)*(1+BE13))</f>
        <v>5951314.3236388639</v>
      </c>
      <c r="BG13" s="40">
        <f t="shared" ref="BG13:BG74" si="11">BF13/BB13-1</f>
        <v>1.958443098147411E-2</v>
      </c>
      <c r="BH13" s="6">
        <f>BA13*(1+BG13)</f>
        <v>5699476.9691864401</v>
      </c>
      <c r="BI13" s="24"/>
      <c r="BJ13" s="24">
        <v>837000</v>
      </c>
      <c r="BK13" s="24">
        <v>775000</v>
      </c>
      <c r="BL13" s="24"/>
      <c r="BM13" s="38">
        <v>90740634.5</v>
      </c>
      <c r="BN13" s="3">
        <v>1548825581.5571883</v>
      </c>
      <c r="BO13" s="54">
        <v>1141200000</v>
      </c>
      <c r="BP13" s="53">
        <v>334847918.33000004</v>
      </c>
      <c r="BQ13" s="86">
        <v>419041147.9124999</v>
      </c>
      <c r="BR13" s="86">
        <f t="shared" si="5"/>
        <v>376944533.12124997</v>
      </c>
      <c r="BS13" s="53">
        <v>5342640.1417519702</v>
      </c>
      <c r="BT13" s="54">
        <v>23658</v>
      </c>
      <c r="BU13" s="54">
        <v>21990</v>
      </c>
      <c r="BV13" s="53">
        <f t="shared" si="9"/>
        <v>22824</v>
      </c>
      <c r="BW13" s="57">
        <v>6.1818243373799042E-3</v>
      </c>
      <c r="BX13" s="83">
        <f t="shared" si="4"/>
        <v>27459.068322525443</v>
      </c>
    </row>
    <row r="14" spans="1:76" ht="15.5" hidden="1" x14ac:dyDescent="0.35">
      <c r="A14" s="26" t="s">
        <v>176</v>
      </c>
      <c r="B14" t="s">
        <v>165</v>
      </c>
      <c r="C14" s="63" t="s">
        <v>177</v>
      </c>
      <c r="D14" t="s">
        <v>178</v>
      </c>
      <c r="E14" s="60" t="s">
        <v>168</v>
      </c>
      <c r="F14" s="60" t="s">
        <v>169</v>
      </c>
      <c r="G14" s="60" t="s">
        <v>169</v>
      </c>
      <c r="H14" s="60" t="s">
        <v>169</v>
      </c>
      <c r="I14" s="60" t="s">
        <v>170</v>
      </c>
      <c r="J14" s="60" t="s">
        <v>170</v>
      </c>
      <c r="K14" s="60" t="s">
        <v>170</v>
      </c>
      <c r="L14" s="60" t="s">
        <v>163</v>
      </c>
      <c r="M14" s="60" t="s">
        <v>163</v>
      </c>
      <c r="N14" s="60" t="s">
        <v>169</v>
      </c>
      <c r="O14" s="60" t="s">
        <v>171</v>
      </c>
      <c r="P14" s="60" t="s">
        <v>173</v>
      </c>
      <c r="Q14" s="60" t="s">
        <v>170</v>
      </c>
      <c r="R14" s="60" t="s">
        <v>9</v>
      </c>
      <c r="S14" s="60" t="s">
        <v>170</v>
      </c>
      <c r="T14" s="60" t="s">
        <v>169</v>
      </c>
      <c r="U14" s="60" t="s">
        <v>170</v>
      </c>
      <c r="V14" s="60" t="s">
        <v>170</v>
      </c>
      <c r="W14" s="60" t="s">
        <v>169</v>
      </c>
      <c r="X14" s="60" t="s">
        <v>170</v>
      </c>
      <c r="Y14" s="60" t="s">
        <v>170</v>
      </c>
      <c r="Z14" s="60" t="s">
        <v>169</v>
      </c>
      <c r="AA14" s="60" t="s">
        <v>170</v>
      </c>
      <c r="AB14" s="60" t="s">
        <v>169</v>
      </c>
      <c r="AC14" s="60" t="s">
        <v>173</v>
      </c>
      <c r="AD14" s="60" t="s">
        <v>175</v>
      </c>
      <c r="AE14" s="60" t="s">
        <v>179</v>
      </c>
      <c r="AF14" s="60" t="s">
        <v>173</v>
      </c>
      <c r="AG14" s="60" t="s">
        <v>175</v>
      </c>
      <c r="AH14" s="85">
        <v>3041000</v>
      </c>
      <c r="AI14" s="85">
        <v>2630000</v>
      </c>
      <c r="AJ14" s="85">
        <v>18000</v>
      </c>
      <c r="AK14" s="85">
        <v>0</v>
      </c>
      <c r="AL14" s="49">
        <v>5689000</v>
      </c>
      <c r="AM14" s="24">
        <v>6664000</v>
      </c>
      <c r="AN14" s="24">
        <v>0</v>
      </c>
      <c r="AO14" s="49">
        <f t="shared" si="6"/>
        <v>6664000</v>
      </c>
      <c r="AP14" s="49">
        <v>6698000</v>
      </c>
      <c r="AQ14" s="49">
        <v>7336000</v>
      </c>
      <c r="AR14" s="164">
        <f>AQ14/AP14-1</f>
        <v>9.5252314123619009E-2</v>
      </c>
      <c r="AS14" s="49">
        <v>0</v>
      </c>
      <c r="AT14" s="49">
        <v>0</v>
      </c>
      <c r="AU14" s="164">
        <f t="shared" ref="AU14:AU77" si="12">IFERROR(AT14/AS14-1, 0)</f>
        <v>0</v>
      </c>
      <c r="AV14" s="26">
        <f t="shared" si="1"/>
        <v>7298761.4213197967</v>
      </c>
      <c r="AW14" s="165">
        <f t="shared" si="2"/>
        <v>0</v>
      </c>
      <c r="AX14" s="49">
        <f t="shared" si="3"/>
        <v>7298761.4213197967</v>
      </c>
      <c r="AY14" s="54">
        <v>6083000</v>
      </c>
      <c r="AZ14" s="24">
        <v>3234000</v>
      </c>
      <c r="BA14" s="24">
        <v>3861000</v>
      </c>
      <c r="BB14" s="49">
        <v>3771000</v>
      </c>
      <c r="BC14" s="49">
        <v>4245000</v>
      </c>
      <c r="BD14" s="166">
        <v>3.5000000000000003E-2</v>
      </c>
      <c r="BE14" s="166">
        <v>2.5999999999999999E-2</v>
      </c>
      <c r="BF14" s="49">
        <f t="shared" si="10"/>
        <v>3997513.9136084984</v>
      </c>
      <c r="BG14" s="40">
        <f t="shared" si="11"/>
        <v>6.0067333229514297E-2</v>
      </c>
      <c r="BH14" s="6">
        <f t="shared" ref="BH14:BH44" si="13">BA14*(1+BG14)</f>
        <v>4092919.9735991545</v>
      </c>
      <c r="BI14" s="24"/>
      <c r="BJ14" s="24">
        <v>519000</v>
      </c>
      <c r="BK14" s="24">
        <v>372000</v>
      </c>
      <c r="BL14" s="24"/>
      <c r="BM14" s="38">
        <v>29290000</v>
      </c>
      <c r="BN14" s="3">
        <v>464975000</v>
      </c>
      <c r="BO14" s="54">
        <v>332125000</v>
      </c>
      <c r="BP14" s="53">
        <v>131630199.99999999</v>
      </c>
      <c r="BQ14" s="86">
        <v>197445300</v>
      </c>
      <c r="BR14" s="86">
        <f t="shared" si="5"/>
        <v>164537750</v>
      </c>
      <c r="BS14" s="53">
        <v>2412125.0399636487</v>
      </c>
      <c r="BT14" s="54">
        <v>7210</v>
      </c>
      <c r="BU14" s="54">
        <v>6075</v>
      </c>
      <c r="BV14" s="53">
        <f t="shared" si="9"/>
        <v>6642.5</v>
      </c>
      <c r="BW14" s="57">
        <v>1.5246008397444832E-2</v>
      </c>
      <c r="BX14" s="83">
        <f t="shared" si="4"/>
        <v>10458.521248421606</v>
      </c>
    </row>
    <row r="15" spans="1:76" ht="15.5" hidden="1" x14ac:dyDescent="0.35">
      <c r="A15" s="26" t="s">
        <v>180</v>
      </c>
      <c r="B15" t="s">
        <v>162</v>
      </c>
      <c r="C15" s="63" t="s">
        <v>177</v>
      </c>
      <c r="D15" t="s">
        <v>181</v>
      </c>
      <c r="E15" s="60" t="s">
        <v>169</v>
      </c>
      <c r="F15" s="60" t="s">
        <v>170</v>
      </c>
      <c r="G15" s="60" t="s">
        <v>170</v>
      </c>
      <c r="H15" s="60" t="s">
        <v>170</v>
      </c>
      <c r="I15" s="60" t="s">
        <v>163</v>
      </c>
      <c r="J15" s="60" t="s">
        <v>163</v>
      </c>
      <c r="K15" s="60" t="s">
        <v>170</v>
      </c>
      <c r="L15" s="60" t="s">
        <v>163</v>
      </c>
      <c r="M15" s="60" t="s">
        <v>9</v>
      </c>
      <c r="N15" s="60" t="s">
        <v>170</v>
      </c>
      <c r="O15" s="60" t="s">
        <v>182</v>
      </c>
      <c r="P15" s="60" t="s">
        <v>183</v>
      </c>
      <c r="Q15" s="60" t="s">
        <v>170</v>
      </c>
      <c r="R15" s="60" t="s">
        <v>163</v>
      </c>
      <c r="S15" s="60" t="s">
        <v>163</v>
      </c>
      <c r="T15" s="60" t="s">
        <v>163</v>
      </c>
      <c r="U15" s="60" t="s">
        <v>163</v>
      </c>
      <c r="V15" s="60" t="s">
        <v>163</v>
      </c>
      <c r="W15" s="60" t="s">
        <v>163</v>
      </c>
      <c r="X15" s="60" t="s">
        <v>163</v>
      </c>
      <c r="Y15" s="60" t="s">
        <v>163</v>
      </c>
      <c r="Z15" s="60" t="s">
        <v>163</v>
      </c>
      <c r="AA15" s="60" t="s">
        <v>163</v>
      </c>
      <c r="AB15" s="60" t="s">
        <v>170</v>
      </c>
      <c r="AC15" s="60" t="s">
        <v>183</v>
      </c>
      <c r="AD15" s="60" t="s">
        <v>183</v>
      </c>
      <c r="AE15" s="60" t="s">
        <v>175</v>
      </c>
      <c r="AF15" s="60" t="s">
        <v>183</v>
      </c>
      <c r="AG15" s="60" t="s">
        <v>171</v>
      </c>
      <c r="AH15" s="85">
        <v>372000</v>
      </c>
      <c r="AI15" s="85">
        <v>352000</v>
      </c>
      <c r="AJ15" s="85">
        <v>0</v>
      </c>
      <c r="AK15" s="85">
        <v>389000</v>
      </c>
      <c r="AL15" s="49">
        <v>1113000</v>
      </c>
      <c r="AM15" s="24">
        <v>6905000</v>
      </c>
      <c r="AN15" s="24">
        <v>271000</v>
      </c>
      <c r="AO15" s="49">
        <f t="shared" si="6"/>
        <v>7176000</v>
      </c>
      <c r="AP15" s="49">
        <v>6705720</v>
      </c>
      <c r="AQ15" s="49">
        <v>7793726.0000000009</v>
      </c>
      <c r="AR15" s="164">
        <f t="shared" si="0"/>
        <v>0.1622504369404032</v>
      </c>
      <c r="AS15" s="49">
        <v>210299.99999999997</v>
      </c>
      <c r="AT15" s="49">
        <v>216100</v>
      </c>
      <c r="AU15" s="164">
        <f t="shared" si="12"/>
        <v>2.7579648121730971E-2</v>
      </c>
      <c r="AV15" s="26">
        <f t="shared" si="1"/>
        <v>8025339.2670734841</v>
      </c>
      <c r="AW15" s="165">
        <f t="shared" si="2"/>
        <v>278474.08464098908</v>
      </c>
      <c r="AX15" s="49">
        <f t="shared" si="3"/>
        <v>8303813.3517144732</v>
      </c>
      <c r="AY15" s="54">
        <v>5483865</v>
      </c>
      <c r="AZ15" s="24">
        <v>3313000</v>
      </c>
      <c r="BA15" s="24">
        <v>4650000</v>
      </c>
      <c r="BB15" s="49">
        <v>4493767</v>
      </c>
      <c r="BC15" s="49">
        <v>4900618</v>
      </c>
      <c r="BD15" s="166">
        <v>0.02</v>
      </c>
      <c r="BE15" s="166">
        <v>2.8000000000000001E-2</v>
      </c>
      <c r="BF15" s="49">
        <f t="shared" si="10"/>
        <v>4673664.8355840398</v>
      </c>
      <c r="BG15" s="40">
        <f t="shared" si="11"/>
        <v>4.0032746598575253E-2</v>
      </c>
      <c r="BH15" s="6">
        <f t="shared" si="13"/>
        <v>4836152.2716833754</v>
      </c>
      <c r="BI15" s="24"/>
      <c r="BJ15" s="24">
        <v>185125</v>
      </c>
      <c r="BK15" s="24">
        <v>143000</v>
      </c>
      <c r="BL15" s="24"/>
      <c r="BM15" s="38">
        <v>51330000</v>
      </c>
      <c r="BN15" s="3">
        <v>381558710.05673552</v>
      </c>
      <c r="BO15" s="54">
        <v>354350287.26776588</v>
      </c>
      <c r="BP15" s="53">
        <v>191827200</v>
      </c>
      <c r="BQ15" s="86">
        <v>191827200</v>
      </c>
      <c r="BR15" s="86">
        <f t="shared" si="5"/>
        <v>191827200</v>
      </c>
      <c r="BS15" s="53">
        <v>2600875.8442779323</v>
      </c>
      <c r="BT15" s="54">
        <v>9888</v>
      </c>
      <c r="BU15" s="54">
        <v>9888</v>
      </c>
      <c r="BV15" s="53">
        <f t="shared" si="9"/>
        <v>9888</v>
      </c>
      <c r="BW15" s="57">
        <v>1.6671207030333202E-2</v>
      </c>
      <c r="BX15" s="83">
        <f t="shared" si="4"/>
        <v>16237.687623773138</v>
      </c>
    </row>
    <row r="16" spans="1:76" ht="15.5" hidden="1" x14ac:dyDescent="0.35">
      <c r="A16" s="26" t="s">
        <v>184</v>
      </c>
      <c r="B16" t="s">
        <v>162</v>
      </c>
      <c r="C16" t="s">
        <v>177</v>
      </c>
      <c r="D16" t="s">
        <v>185</v>
      </c>
      <c r="E16" s="60" t="s">
        <v>170</v>
      </c>
      <c r="F16" s="60" t="s">
        <v>170</v>
      </c>
      <c r="G16" s="60" t="s">
        <v>170</v>
      </c>
      <c r="H16" s="60" t="s">
        <v>170</v>
      </c>
      <c r="I16" s="60" t="s">
        <v>163</v>
      </c>
      <c r="J16" s="60" t="s">
        <v>163</v>
      </c>
      <c r="K16" s="60" t="s">
        <v>163</v>
      </c>
      <c r="L16" s="60" t="s">
        <v>163</v>
      </c>
      <c r="M16" s="60" t="s">
        <v>9</v>
      </c>
      <c r="N16" s="60" t="s">
        <v>170</v>
      </c>
      <c r="O16" s="60" t="s">
        <v>169</v>
      </c>
      <c r="P16" s="60" t="s">
        <v>168</v>
      </c>
      <c r="Q16" s="60" t="s">
        <v>170</v>
      </c>
      <c r="R16" s="60" t="s">
        <v>163</v>
      </c>
      <c r="S16" s="60" t="s">
        <v>163</v>
      </c>
      <c r="T16" s="60" t="s">
        <v>163</v>
      </c>
      <c r="U16" s="60" t="s">
        <v>163</v>
      </c>
      <c r="V16" s="60" t="s">
        <v>163</v>
      </c>
      <c r="W16" s="60" t="s">
        <v>163</v>
      </c>
      <c r="X16" s="60" t="s">
        <v>163</v>
      </c>
      <c r="Y16" s="60" t="s">
        <v>163</v>
      </c>
      <c r="Z16" s="60" t="s">
        <v>163</v>
      </c>
      <c r="AA16" s="60" t="s">
        <v>163</v>
      </c>
      <c r="AB16" s="60" t="s">
        <v>170</v>
      </c>
      <c r="AC16" s="60" t="s">
        <v>168</v>
      </c>
      <c r="AD16" s="60" t="s">
        <v>168</v>
      </c>
      <c r="AE16" s="60" t="s">
        <v>182</v>
      </c>
      <c r="AF16" s="60" t="s">
        <v>168</v>
      </c>
      <c r="AG16" s="60" t="s">
        <v>182</v>
      </c>
      <c r="AH16" s="85">
        <v>3160465.71</v>
      </c>
      <c r="AI16" s="85">
        <v>3732770.8</v>
      </c>
      <c r="AJ16" s="85">
        <v>688353.91999999993</v>
      </c>
      <c r="AK16" s="85">
        <v>92930.559999999998</v>
      </c>
      <c r="AL16" s="49">
        <v>7674520.9899999993</v>
      </c>
      <c r="AM16" s="24">
        <v>8201000</v>
      </c>
      <c r="AN16" s="24">
        <v>572000</v>
      </c>
      <c r="AO16" s="49">
        <f t="shared" si="6"/>
        <v>8773000</v>
      </c>
      <c r="AP16" s="49">
        <v>8394000</v>
      </c>
      <c r="AQ16" s="49">
        <v>10218000</v>
      </c>
      <c r="AR16" s="164">
        <f t="shared" si="0"/>
        <v>0.21729807005003576</v>
      </c>
      <c r="AS16" s="49">
        <v>1889000</v>
      </c>
      <c r="AT16" s="49">
        <v>2004000</v>
      </c>
      <c r="AU16" s="164">
        <f t="shared" si="12"/>
        <v>6.0878771836950785E-2</v>
      </c>
      <c r="AV16" s="26">
        <f t="shared" si="1"/>
        <v>9983061.4724803437</v>
      </c>
      <c r="AW16" s="165">
        <f t="shared" si="2"/>
        <v>606822.65749073587</v>
      </c>
      <c r="AX16" s="49">
        <f t="shared" si="3"/>
        <v>10589884.12997108</v>
      </c>
      <c r="AY16" s="54">
        <v>7397000</v>
      </c>
      <c r="AZ16" s="24">
        <v>4754445.4400000004</v>
      </c>
      <c r="BA16" s="24">
        <v>8140000</v>
      </c>
      <c r="BB16" s="49">
        <v>5641000</v>
      </c>
      <c r="BC16" s="49">
        <v>6214000</v>
      </c>
      <c r="BD16" s="166">
        <v>2.9000000000000001E-2</v>
      </c>
      <c r="BE16" s="166">
        <v>2.9000000000000001E-2</v>
      </c>
      <c r="BF16" s="49">
        <f>BC16/((1+BD16)*(1+BE16))</f>
        <v>5868680.9445421929</v>
      </c>
      <c r="BG16" s="40">
        <f t="shared" si="11"/>
        <v>4.0361805449777188E-2</v>
      </c>
      <c r="BH16" s="6">
        <f t="shared" si="13"/>
        <v>8468545.0963611864</v>
      </c>
      <c r="BI16" s="24"/>
      <c r="BJ16" s="24">
        <v>362000</v>
      </c>
      <c r="BK16" s="24">
        <v>475000</v>
      </c>
      <c r="BL16" s="24"/>
      <c r="BM16" s="38">
        <v>152569988.64541459</v>
      </c>
      <c r="BN16" s="3">
        <v>662165000</v>
      </c>
      <c r="BO16" s="54">
        <v>472975000</v>
      </c>
      <c r="BP16" s="53">
        <v>191880129.13000005</v>
      </c>
      <c r="BQ16" s="86">
        <v>193228620.13000003</v>
      </c>
      <c r="BR16" s="86">
        <f t="shared" si="5"/>
        <v>192554374.63000005</v>
      </c>
      <c r="BS16" s="53">
        <v>2614448.864473185</v>
      </c>
      <c r="BT16" s="54">
        <v>10589</v>
      </c>
      <c r="BU16" s="54">
        <v>8330</v>
      </c>
      <c r="BV16" s="53">
        <f t="shared" si="9"/>
        <v>9459.5</v>
      </c>
      <c r="BW16" s="57">
        <v>2.5727382481078864E-2</v>
      </c>
      <c r="BX16" s="83">
        <f t="shared" si="4"/>
        <v>20268.735958579502</v>
      </c>
    </row>
    <row r="17" spans="1:76" ht="15.5" hidden="1" x14ac:dyDescent="0.35">
      <c r="A17" s="26" t="s">
        <v>186</v>
      </c>
      <c r="B17" t="s">
        <v>165</v>
      </c>
      <c r="C17" t="s">
        <v>166</v>
      </c>
      <c r="D17" t="s">
        <v>187</v>
      </c>
      <c r="E17" s="60" t="s">
        <v>168</v>
      </c>
      <c r="F17" s="60" t="s">
        <v>169</v>
      </c>
      <c r="G17" s="60" t="s">
        <v>169</v>
      </c>
      <c r="H17" s="60" t="s">
        <v>169</v>
      </c>
      <c r="I17" s="60" t="s">
        <v>170</v>
      </c>
      <c r="J17" s="60" t="s">
        <v>170</v>
      </c>
      <c r="K17" s="60" t="s">
        <v>170</v>
      </c>
      <c r="L17" s="60" t="s">
        <v>163</v>
      </c>
      <c r="M17" s="60" t="s">
        <v>163</v>
      </c>
      <c r="N17" s="60" t="s">
        <v>168</v>
      </c>
      <c r="O17" s="60" t="s">
        <v>183</v>
      </c>
      <c r="P17" s="60" t="s">
        <v>179</v>
      </c>
      <c r="Q17" s="60" t="s">
        <v>170</v>
      </c>
      <c r="R17" s="60" t="s">
        <v>9</v>
      </c>
      <c r="S17" s="60" t="s">
        <v>169</v>
      </c>
      <c r="T17" s="60" t="s">
        <v>169</v>
      </c>
      <c r="U17" s="60" t="s">
        <v>169</v>
      </c>
      <c r="V17" s="60" t="s">
        <v>169</v>
      </c>
      <c r="W17" s="60" t="s">
        <v>169</v>
      </c>
      <c r="X17" s="60" t="s">
        <v>169</v>
      </c>
      <c r="Y17" s="60" t="s">
        <v>169</v>
      </c>
      <c r="Z17" s="60" t="s">
        <v>169</v>
      </c>
      <c r="AA17" s="60" t="s">
        <v>169</v>
      </c>
      <c r="AB17" s="60" t="s">
        <v>169</v>
      </c>
      <c r="AC17" s="60" t="s">
        <v>172</v>
      </c>
      <c r="AD17" s="60" t="s">
        <v>172</v>
      </c>
      <c r="AE17" s="60" t="s">
        <v>188</v>
      </c>
      <c r="AF17" s="60" t="s">
        <v>172</v>
      </c>
      <c r="AG17" s="60" t="s">
        <v>173</v>
      </c>
      <c r="AH17" s="85">
        <v>4585000</v>
      </c>
      <c r="AI17" s="85">
        <v>4133000</v>
      </c>
      <c r="AJ17" s="85">
        <v>719000</v>
      </c>
      <c r="AK17" s="85">
        <v>744000</v>
      </c>
      <c r="AL17" s="49">
        <v>10181000</v>
      </c>
      <c r="AM17" s="24">
        <v>9409000</v>
      </c>
      <c r="AN17" s="24">
        <v>1887000</v>
      </c>
      <c r="AO17" s="49">
        <f t="shared" si="6"/>
        <v>11296000</v>
      </c>
      <c r="AP17" s="49">
        <v>9266000</v>
      </c>
      <c r="AQ17" s="49">
        <v>11386000</v>
      </c>
      <c r="AR17" s="164">
        <f t="shared" si="0"/>
        <v>0.22879343837686172</v>
      </c>
      <c r="AS17" s="49">
        <v>1708000</v>
      </c>
      <c r="AT17" s="49">
        <v>1287000</v>
      </c>
      <c r="AU17" s="164">
        <f t="shared" si="12"/>
        <v>-0.24648711943793911</v>
      </c>
      <c r="AV17" s="26">
        <f t="shared" si="1"/>
        <v>11561717.461687893</v>
      </c>
      <c r="AW17" s="165">
        <f t="shared" si="2"/>
        <v>1421878.8056206089</v>
      </c>
      <c r="AX17" s="49">
        <f t="shared" si="3"/>
        <v>12983596.267308502</v>
      </c>
      <c r="AY17" s="54">
        <v>9443000</v>
      </c>
      <c r="AZ17" s="24">
        <v>5040346.5100000007</v>
      </c>
      <c r="BA17" s="24">
        <v>6560000</v>
      </c>
      <c r="BB17" s="49">
        <v>8075000</v>
      </c>
      <c r="BC17" s="49">
        <v>8226000</v>
      </c>
      <c r="BD17" s="166">
        <v>0</v>
      </c>
      <c r="BE17" s="166">
        <v>2.5600000000000001E-2</v>
      </c>
      <c r="BF17" s="49">
        <f t="shared" si="10"/>
        <v>8020670.826833073</v>
      </c>
      <c r="BG17" s="40">
        <f t="shared" si="11"/>
        <v>-6.7280709804243832E-3</v>
      </c>
      <c r="BH17" s="6">
        <f t="shared" si="13"/>
        <v>6515863.8543684157</v>
      </c>
      <c r="BI17" s="24"/>
      <c r="BJ17" s="24">
        <v>0</v>
      </c>
      <c r="BK17" s="24">
        <v>0</v>
      </c>
      <c r="BL17" s="24"/>
      <c r="BM17" s="38">
        <v>1465186200.0000002</v>
      </c>
      <c r="BN17" s="3">
        <v>1261750000</v>
      </c>
      <c r="BO17" s="54">
        <v>901250000</v>
      </c>
      <c r="BP17" s="53">
        <v>254840000.00000003</v>
      </c>
      <c r="BQ17" s="86">
        <v>509660000.00000006</v>
      </c>
      <c r="BR17" s="86">
        <f t="shared" si="5"/>
        <v>382250000.00000006</v>
      </c>
      <c r="BS17" s="53">
        <v>5884471.087068093</v>
      </c>
      <c r="BT17" s="54">
        <v>20435</v>
      </c>
      <c r="BU17" s="54">
        <v>15615</v>
      </c>
      <c r="BV17" s="53">
        <f t="shared" si="9"/>
        <v>18025</v>
      </c>
      <c r="BW17" s="57">
        <v>2.1172224835406261E-2</v>
      </c>
      <c r="BX17" s="83">
        <f t="shared" si="4"/>
        <v>33794.426991070119</v>
      </c>
    </row>
    <row r="18" spans="1:76" ht="15.5" hidden="1" x14ac:dyDescent="0.35">
      <c r="A18" s="26" t="s">
        <v>189</v>
      </c>
      <c r="B18" t="s">
        <v>165</v>
      </c>
      <c r="C18" t="s">
        <v>177</v>
      </c>
      <c r="D18" t="s">
        <v>189</v>
      </c>
      <c r="E18" s="60" t="s">
        <v>168</v>
      </c>
      <c r="F18" s="60" t="s">
        <v>169</v>
      </c>
      <c r="G18" s="60" t="s">
        <v>169</v>
      </c>
      <c r="H18" s="60" t="s">
        <v>169</v>
      </c>
      <c r="I18" s="60" t="s">
        <v>170</v>
      </c>
      <c r="J18" s="60" t="s">
        <v>170</v>
      </c>
      <c r="K18" s="60" t="s">
        <v>170</v>
      </c>
      <c r="L18" s="60" t="s">
        <v>163</v>
      </c>
      <c r="M18" s="60" t="s">
        <v>163</v>
      </c>
      <c r="N18" s="60" t="s">
        <v>168</v>
      </c>
      <c r="O18" s="60" t="s">
        <v>182</v>
      </c>
      <c r="P18" s="60" t="s">
        <v>174</v>
      </c>
      <c r="Q18" s="60" t="s">
        <v>170</v>
      </c>
      <c r="R18" s="60" t="s">
        <v>9</v>
      </c>
      <c r="S18" s="60" t="s">
        <v>169</v>
      </c>
      <c r="T18" s="60" t="s">
        <v>169</v>
      </c>
      <c r="U18" s="60" t="s">
        <v>169</v>
      </c>
      <c r="V18" s="60" t="s">
        <v>169</v>
      </c>
      <c r="W18" s="60" t="s">
        <v>169</v>
      </c>
      <c r="X18" s="60" t="s">
        <v>169</v>
      </c>
      <c r="Y18" s="60" t="s">
        <v>169</v>
      </c>
      <c r="Z18" s="60" t="s">
        <v>169</v>
      </c>
      <c r="AA18" s="60" t="s">
        <v>169</v>
      </c>
      <c r="AB18" s="60" t="s">
        <v>170</v>
      </c>
      <c r="AC18" s="60" t="s">
        <v>183</v>
      </c>
      <c r="AD18" s="60" t="s">
        <v>173</v>
      </c>
      <c r="AE18" s="60" t="s">
        <v>190</v>
      </c>
      <c r="AF18" s="60" t="s">
        <v>183</v>
      </c>
      <c r="AG18" s="60" t="s">
        <v>171</v>
      </c>
      <c r="AH18" s="85">
        <v>69000</v>
      </c>
      <c r="AI18" s="85">
        <v>66000</v>
      </c>
      <c r="AJ18" s="85">
        <v>0</v>
      </c>
      <c r="AK18" s="85">
        <v>0</v>
      </c>
      <c r="AL18" s="49">
        <v>135000</v>
      </c>
      <c r="AM18" s="24">
        <v>163000</v>
      </c>
      <c r="AN18" s="24">
        <v>0</v>
      </c>
      <c r="AO18" s="49">
        <f t="shared" si="6"/>
        <v>163000</v>
      </c>
      <c r="AP18" s="49">
        <v>141000</v>
      </c>
      <c r="AQ18" s="49">
        <v>147000</v>
      </c>
      <c r="AR18" s="164">
        <f t="shared" si="0"/>
        <v>4.2553191489361764E-2</v>
      </c>
      <c r="AS18" s="49">
        <v>0</v>
      </c>
      <c r="AT18" s="49">
        <v>0</v>
      </c>
      <c r="AU18" s="164">
        <f t="shared" si="12"/>
        <v>0</v>
      </c>
      <c r="AV18" s="26">
        <f t="shared" si="1"/>
        <v>169936.17021276598</v>
      </c>
      <c r="AW18" s="165">
        <f t="shared" si="2"/>
        <v>0</v>
      </c>
      <c r="AX18" s="49">
        <f t="shared" si="3"/>
        <v>169936.17021276598</v>
      </c>
      <c r="AY18" s="54">
        <v>135000</v>
      </c>
      <c r="AZ18" s="24">
        <v>429586.06030000001</v>
      </c>
      <c r="BA18" s="24">
        <v>824000</v>
      </c>
      <c r="BB18" s="49">
        <v>440000</v>
      </c>
      <c r="BC18" s="49">
        <v>482000</v>
      </c>
      <c r="BD18" s="166">
        <v>3.5000000000000003E-2</v>
      </c>
      <c r="BE18" s="166">
        <v>2.5999999999999999E-2</v>
      </c>
      <c r="BF18" s="49">
        <f t="shared" si="10"/>
        <v>453899.10632727825</v>
      </c>
      <c r="BG18" s="40">
        <f t="shared" si="11"/>
        <v>3.1588878016541422E-2</v>
      </c>
      <c r="BH18" s="6">
        <f t="shared" si="13"/>
        <v>850029.23548563011</v>
      </c>
      <c r="BI18" s="24"/>
      <c r="BJ18" s="24">
        <v>0</v>
      </c>
      <c r="BK18" s="24">
        <v>0</v>
      </c>
      <c r="BL18" s="24"/>
      <c r="BM18" s="38">
        <v>72348000</v>
      </c>
      <c r="BN18" s="3">
        <v>14000000</v>
      </c>
      <c r="BO18" s="54">
        <v>10000000</v>
      </c>
      <c r="BP18" s="53">
        <v>10938500</v>
      </c>
      <c r="BQ18" s="86">
        <v>21877000</v>
      </c>
      <c r="BR18" s="86">
        <f t="shared" si="5"/>
        <v>16407750</v>
      </c>
      <c r="BS18" s="53">
        <v>252587.39819463476</v>
      </c>
      <c r="BT18" s="54">
        <v>230</v>
      </c>
      <c r="BU18" s="54">
        <v>170</v>
      </c>
      <c r="BV18" s="53">
        <f t="shared" si="9"/>
        <v>200</v>
      </c>
      <c r="BW18" s="57">
        <v>0</v>
      </c>
      <c r="BX18" s="83">
        <f t="shared" si="4"/>
        <v>200</v>
      </c>
    </row>
    <row r="19" spans="1:76" ht="15.5" hidden="1" x14ac:dyDescent="0.35">
      <c r="A19" s="26" t="s">
        <v>191</v>
      </c>
      <c r="B19" t="s">
        <v>165</v>
      </c>
      <c r="C19" t="s">
        <v>160</v>
      </c>
      <c r="D19" t="s">
        <v>167</v>
      </c>
      <c r="E19" s="60" t="s">
        <v>168</v>
      </c>
      <c r="F19" s="60" t="s">
        <v>169</v>
      </c>
      <c r="G19" s="60" t="s">
        <v>169</v>
      </c>
      <c r="H19" s="60" t="s">
        <v>169</v>
      </c>
      <c r="I19" s="60" t="s">
        <v>170</v>
      </c>
      <c r="J19" s="60" t="s">
        <v>170</v>
      </c>
      <c r="K19" s="60" t="s">
        <v>170</v>
      </c>
      <c r="L19" s="60" t="s">
        <v>163</v>
      </c>
      <c r="M19" s="60" t="s">
        <v>163</v>
      </c>
      <c r="N19" s="60" t="s">
        <v>169</v>
      </c>
      <c r="O19" s="60" t="s">
        <v>171</v>
      </c>
      <c r="P19" s="60" t="s">
        <v>172</v>
      </c>
      <c r="Q19" s="60" t="s">
        <v>170</v>
      </c>
      <c r="R19" s="60" t="s">
        <v>9</v>
      </c>
      <c r="S19" s="60" t="s">
        <v>170</v>
      </c>
      <c r="T19" s="60" t="s">
        <v>170</v>
      </c>
      <c r="U19" s="60" t="s">
        <v>169</v>
      </c>
      <c r="V19" s="60" t="s">
        <v>170</v>
      </c>
      <c r="W19" s="60" t="s">
        <v>170</v>
      </c>
      <c r="X19" s="60" t="s">
        <v>169</v>
      </c>
      <c r="Y19" s="60" t="s">
        <v>170</v>
      </c>
      <c r="Z19" s="60" t="s">
        <v>170</v>
      </c>
      <c r="AA19" s="60" t="s">
        <v>169</v>
      </c>
      <c r="AB19" s="60" t="s">
        <v>169</v>
      </c>
      <c r="AC19" s="60" t="s">
        <v>173</v>
      </c>
      <c r="AD19" s="60" t="s">
        <v>173</v>
      </c>
      <c r="AE19" s="60" t="s">
        <v>174</v>
      </c>
      <c r="AF19" s="60" t="s">
        <v>173</v>
      </c>
      <c r="AG19" s="60" t="s">
        <v>175</v>
      </c>
      <c r="AH19" s="85">
        <v>57657000</v>
      </c>
      <c r="AI19" s="85">
        <v>76939000</v>
      </c>
      <c r="AJ19" s="85">
        <v>34648000</v>
      </c>
      <c r="AK19" s="85">
        <v>18640000</v>
      </c>
      <c r="AL19" s="49">
        <v>187884000</v>
      </c>
      <c r="AM19" s="24">
        <v>192233000</v>
      </c>
      <c r="AN19" s="24">
        <v>19164000</v>
      </c>
      <c r="AO19" s="49">
        <f t="shared" si="6"/>
        <v>211397000</v>
      </c>
      <c r="AP19" s="49">
        <v>194141000</v>
      </c>
      <c r="AQ19" s="49">
        <v>222428000</v>
      </c>
      <c r="AR19" s="164">
        <f t="shared" si="0"/>
        <v>0.14570338053270571</v>
      </c>
      <c r="AS19" s="49">
        <v>13402000</v>
      </c>
      <c r="AT19" s="49">
        <v>13562000</v>
      </c>
      <c r="AU19" s="164">
        <f t="shared" si="12"/>
        <v>1.1938516639307561E-2</v>
      </c>
      <c r="AV19" s="26">
        <f t="shared" si="1"/>
        <v>220241997.9499436</v>
      </c>
      <c r="AW19" s="165">
        <f t="shared" si="2"/>
        <v>19392789.73287569</v>
      </c>
      <c r="AX19" s="49">
        <f t="shared" si="3"/>
        <v>239634787.68281931</v>
      </c>
      <c r="AY19" s="54">
        <v>164136000</v>
      </c>
      <c r="AZ19" s="24">
        <v>85323317.000000015</v>
      </c>
      <c r="BA19" s="24">
        <v>111482000</v>
      </c>
      <c r="BB19" s="49">
        <v>100001000</v>
      </c>
      <c r="BC19" s="49">
        <v>105140000</v>
      </c>
      <c r="BD19" s="166">
        <v>2.1000000000000001E-2</v>
      </c>
      <c r="BE19" s="166">
        <v>2.1999999999999999E-2</v>
      </c>
      <c r="BF19" s="49">
        <f t="shared" si="10"/>
        <v>100760736.854816</v>
      </c>
      <c r="BG19" s="40">
        <f t="shared" si="11"/>
        <v>7.5972925752343379E-3</v>
      </c>
      <c r="BH19" s="6">
        <f t="shared" si="13"/>
        <v>112328961.37087227</v>
      </c>
      <c r="BI19" s="24"/>
      <c r="BJ19" s="24">
        <v>9642000</v>
      </c>
      <c r="BK19" s="24">
        <v>10797000</v>
      </c>
      <c r="BL19" s="24"/>
      <c r="BM19" s="38">
        <v>2710407000</v>
      </c>
      <c r="BN19" s="3">
        <v>4967950882.2276325</v>
      </c>
      <c r="BO19" s="54">
        <v>5798661672.3835697</v>
      </c>
      <c r="BP19" s="53">
        <v>7249480337.5199986</v>
      </c>
      <c r="BQ19" s="86">
        <v>10209886396.230003</v>
      </c>
      <c r="BR19" s="86">
        <f t="shared" si="5"/>
        <v>8729683366.875</v>
      </c>
      <c r="BS19" s="53">
        <v>126513611.4526449</v>
      </c>
      <c r="BT19" s="54">
        <v>375200</v>
      </c>
      <c r="BU19" s="54">
        <v>394700</v>
      </c>
      <c r="BV19" s="53">
        <f t="shared" si="9"/>
        <v>384950</v>
      </c>
      <c r="BW19" s="57">
        <v>9.3685238099892043E-3</v>
      </c>
      <c r="BX19" s="83">
        <f t="shared" si="4"/>
        <v>509210.14850839344</v>
      </c>
    </row>
    <row r="20" spans="1:76" ht="15.5" hidden="1" x14ac:dyDescent="0.35">
      <c r="A20" s="26" t="s">
        <v>192</v>
      </c>
      <c r="B20" t="s">
        <v>165</v>
      </c>
      <c r="C20" t="s">
        <v>177</v>
      </c>
      <c r="D20" t="s">
        <v>187</v>
      </c>
      <c r="E20" s="60" t="s">
        <v>168</v>
      </c>
      <c r="F20" s="60" t="s">
        <v>169</v>
      </c>
      <c r="G20" s="60" t="s">
        <v>169</v>
      </c>
      <c r="H20" s="60" t="s">
        <v>169</v>
      </c>
      <c r="I20" s="60" t="s">
        <v>170</v>
      </c>
      <c r="J20" s="60" t="s">
        <v>170</v>
      </c>
      <c r="K20" s="60" t="s">
        <v>170</v>
      </c>
      <c r="L20" s="60" t="s">
        <v>163</v>
      </c>
      <c r="M20" s="60" t="s">
        <v>163</v>
      </c>
      <c r="N20" s="60" t="s">
        <v>168</v>
      </c>
      <c r="O20" s="60" t="s">
        <v>183</v>
      </c>
      <c r="P20" s="60" t="s">
        <v>179</v>
      </c>
      <c r="Q20" s="60" t="s">
        <v>170</v>
      </c>
      <c r="R20" s="60" t="s">
        <v>9</v>
      </c>
      <c r="S20" s="60" t="s">
        <v>169</v>
      </c>
      <c r="T20" s="60" t="s">
        <v>169</v>
      </c>
      <c r="U20" s="60" t="s">
        <v>169</v>
      </c>
      <c r="V20" s="60" t="s">
        <v>169</v>
      </c>
      <c r="W20" s="60" t="s">
        <v>169</v>
      </c>
      <c r="X20" s="60" t="s">
        <v>169</v>
      </c>
      <c r="Y20" s="60" t="s">
        <v>169</v>
      </c>
      <c r="Z20" s="60" t="s">
        <v>169</v>
      </c>
      <c r="AA20" s="60" t="s">
        <v>169</v>
      </c>
      <c r="AB20" s="60" t="s">
        <v>169</v>
      </c>
      <c r="AC20" s="60" t="s">
        <v>172</v>
      </c>
      <c r="AD20" s="60" t="s">
        <v>172</v>
      </c>
      <c r="AE20" s="60" t="s">
        <v>188</v>
      </c>
      <c r="AF20" s="60" t="s">
        <v>172</v>
      </c>
      <c r="AG20" s="60" t="s">
        <v>173</v>
      </c>
      <c r="AH20" s="85">
        <v>7890000</v>
      </c>
      <c r="AI20" s="85">
        <v>2406000</v>
      </c>
      <c r="AJ20" s="85">
        <v>828000</v>
      </c>
      <c r="AK20" s="85">
        <v>0</v>
      </c>
      <c r="AL20" s="49">
        <v>11124000</v>
      </c>
      <c r="AM20" s="24">
        <v>13028000</v>
      </c>
      <c r="AN20" s="24">
        <v>0</v>
      </c>
      <c r="AO20" s="49">
        <f t="shared" si="6"/>
        <v>13028000</v>
      </c>
      <c r="AP20" s="49">
        <v>12887000</v>
      </c>
      <c r="AQ20" s="49">
        <v>15187000</v>
      </c>
      <c r="AR20" s="164">
        <f t="shared" si="0"/>
        <v>0.17847443159773424</v>
      </c>
      <c r="AS20" s="49">
        <v>0</v>
      </c>
      <c r="AT20" s="49">
        <v>0</v>
      </c>
      <c r="AU20" s="164">
        <f t="shared" si="12"/>
        <v>0</v>
      </c>
      <c r="AV20" s="26">
        <f t="shared" si="1"/>
        <v>15353164.894855281</v>
      </c>
      <c r="AW20" s="165">
        <f t="shared" si="2"/>
        <v>0</v>
      </c>
      <c r="AX20" s="49">
        <f t="shared" si="3"/>
        <v>15353164.894855281</v>
      </c>
      <c r="AY20" s="54">
        <v>11518000</v>
      </c>
      <c r="AZ20" s="24">
        <v>9206000</v>
      </c>
      <c r="BA20" s="24">
        <v>9097000</v>
      </c>
      <c r="BB20" s="49">
        <v>8053000</v>
      </c>
      <c r="BC20" s="49">
        <v>8626000</v>
      </c>
      <c r="BD20" s="166">
        <v>3.4000000000000002E-2</v>
      </c>
      <c r="BE20" s="166">
        <v>3.4000000000000002E-2</v>
      </c>
      <c r="BF20" s="49">
        <f t="shared" si="10"/>
        <v>8068046.1971873138</v>
      </c>
      <c r="BG20" s="40">
        <f t="shared" si="11"/>
        <v>1.8683965214596476E-3</v>
      </c>
      <c r="BH20" s="6">
        <f t="shared" si="13"/>
        <v>9113996.8031557184</v>
      </c>
      <c r="BI20" s="24"/>
      <c r="BJ20" s="24">
        <v>364000</v>
      </c>
      <c r="BK20" s="24">
        <v>230000</v>
      </c>
      <c r="BL20" s="24"/>
      <c r="BM20" s="38">
        <v>143622092</v>
      </c>
      <c r="BN20" s="3">
        <v>888930000</v>
      </c>
      <c r="BO20" s="54">
        <v>634950000</v>
      </c>
      <c r="BP20" s="53">
        <v>250930070.45000002</v>
      </c>
      <c r="BQ20" s="86">
        <v>501860140.90000004</v>
      </c>
      <c r="BR20" s="86">
        <f t="shared" si="5"/>
        <v>376395105.67500001</v>
      </c>
      <c r="BS20" s="53">
        <v>5794375.2455786364</v>
      </c>
      <c r="BT20" s="54">
        <v>14595</v>
      </c>
      <c r="BU20" s="54">
        <v>10803</v>
      </c>
      <c r="BV20" s="53">
        <f t="shared" si="9"/>
        <v>12699</v>
      </c>
      <c r="BW20" s="57">
        <v>0</v>
      </c>
      <c r="BX20" s="83">
        <f t="shared" si="4"/>
        <v>12699</v>
      </c>
    </row>
    <row r="21" spans="1:76" ht="15.5" hidden="1" x14ac:dyDescent="0.35">
      <c r="A21" s="26" t="s">
        <v>193</v>
      </c>
      <c r="B21" t="s">
        <v>165</v>
      </c>
      <c r="C21" t="s">
        <v>160</v>
      </c>
      <c r="D21" t="s">
        <v>187</v>
      </c>
      <c r="E21" s="60" t="s">
        <v>168</v>
      </c>
      <c r="F21" s="60" t="s">
        <v>169</v>
      </c>
      <c r="G21" s="60" t="s">
        <v>169</v>
      </c>
      <c r="H21" s="60" t="s">
        <v>169</v>
      </c>
      <c r="I21" s="60" t="s">
        <v>170</v>
      </c>
      <c r="J21" s="60" t="s">
        <v>170</v>
      </c>
      <c r="K21" s="60" t="s">
        <v>170</v>
      </c>
      <c r="L21" s="60" t="s">
        <v>163</v>
      </c>
      <c r="M21" s="60" t="s">
        <v>163</v>
      </c>
      <c r="N21" s="60" t="s">
        <v>168</v>
      </c>
      <c r="O21" s="60" t="s">
        <v>183</v>
      </c>
      <c r="P21" s="60" t="s">
        <v>179</v>
      </c>
      <c r="Q21" s="60" t="s">
        <v>170</v>
      </c>
      <c r="R21" s="60" t="s">
        <v>9</v>
      </c>
      <c r="S21" s="60" t="s">
        <v>169</v>
      </c>
      <c r="T21" s="60" t="s">
        <v>169</v>
      </c>
      <c r="U21" s="60" t="s">
        <v>169</v>
      </c>
      <c r="V21" s="60" t="s">
        <v>169</v>
      </c>
      <c r="W21" s="60" t="s">
        <v>169</v>
      </c>
      <c r="X21" s="60" t="s">
        <v>169</v>
      </c>
      <c r="Y21" s="60" t="s">
        <v>169</v>
      </c>
      <c r="Z21" s="60" t="s">
        <v>169</v>
      </c>
      <c r="AA21" s="60" t="s">
        <v>169</v>
      </c>
      <c r="AB21" s="60" t="s">
        <v>169</v>
      </c>
      <c r="AC21" s="60" t="s">
        <v>172</v>
      </c>
      <c r="AD21" s="60" t="s">
        <v>172</v>
      </c>
      <c r="AE21" s="60" t="s">
        <v>188</v>
      </c>
      <c r="AF21" s="60" t="s">
        <v>172</v>
      </c>
      <c r="AG21" s="60" t="s">
        <v>173</v>
      </c>
      <c r="AH21" s="85">
        <v>26797782.289999999</v>
      </c>
      <c r="AI21" s="85">
        <v>31525817.869999997</v>
      </c>
      <c r="AJ21" s="85">
        <v>5954375.7000000002</v>
      </c>
      <c r="AK21" s="85">
        <v>3265657.0100000007</v>
      </c>
      <c r="AL21" s="49">
        <v>67543632.870000005</v>
      </c>
      <c r="AM21" s="24">
        <v>72921994.566920906</v>
      </c>
      <c r="AN21" s="24">
        <v>2372000</v>
      </c>
      <c r="AO21" s="49">
        <f t="shared" si="6"/>
        <v>75293994.566920906</v>
      </c>
      <c r="AP21" s="49">
        <v>73090000</v>
      </c>
      <c r="AQ21" s="49">
        <v>77444000</v>
      </c>
      <c r="AR21" s="164">
        <f t="shared" si="0"/>
        <v>5.9570392666575378E-2</v>
      </c>
      <c r="AS21" s="49">
        <v>2372000</v>
      </c>
      <c r="AT21" s="49">
        <v>2560000</v>
      </c>
      <c r="AU21" s="164">
        <f t="shared" si="12"/>
        <v>7.9258010118043787E-2</v>
      </c>
      <c r="AV21" s="26">
        <f t="shared" si="1"/>
        <v>77265986.417302266</v>
      </c>
      <c r="AW21" s="165">
        <f t="shared" si="2"/>
        <v>2560000</v>
      </c>
      <c r="AX21" s="49">
        <f t="shared" si="3"/>
        <v>79825986.417302266</v>
      </c>
      <c r="AY21" s="54">
        <v>64279000</v>
      </c>
      <c r="AZ21" s="24">
        <v>35685570</v>
      </c>
      <c r="BA21" s="24">
        <v>41615475.955899596</v>
      </c>
      <c r="BB21" s="49">
        <v>37122000</v>
      </c>
      <c r="BC21" s="49">
        <v>39488000</v>
      </c>
      <c r="BD21" s="166">
        <v>2.8000000000000001E-2</v>
      </c>
      <c r="BE21" s="166">
        <v>2.5000000000000001E-2</v>
      </c>
      <c r="BF21" s="49">
        <f t="shared" si="10"/>
        <v>37475562.304261178</v>
      </c>
      <c r="BG21" s="40">
        <f t="shared" si="11"/>
        <v>9.52433339424541E-3</v>
      </c>
      <c r="BH21" s="6">
        <f t="shared" si="13"/>
        <v>42011835.623263791</v>
      </c>
      <c r="BI21" s="24"/>
      <c r="BJ21" s="24">
        <v>5917000</v>
      </c>
      <c r="BK21" s="24">
        <v>7051145.4044276001</v>
      </c>
      <c r="BL21" s="24"/>
      <c r="BM21" s="38">
        <v>312906000</v>
      </c>
      <c r="BN21" s="3">
        <v>1995125286.818198</v>
      </c>
      <c r="BO21" s="54">
        <v>2133778998.3698177</v>
      </c>
      <c r="BP21" s="53">
        <v>5958370000.0000019</v>
      </c>
      <c r="BQ21" s="86">
        <v>6092500000</v>
      </c>
      <c r="BR21" s="86">
        <f t="shared" si="5"/>
        <v>6025435000.000001</v>
      </c>
      <c r="BS21" s="53">
        <v>82064831.307357162</v>
      </c>
      <c r="BT21" s="54">
        <v>110473</v>
      </c>
      <c r="BU21" s="54">
        <v>132497</v>
      </c>
      <c r="BV21" s="53">
        <f t="shared" si="9"/>
        <v>121485</v>
      </c>
      <c r="BW21" s="57">
        <v>6.630123469996585E-3</v>
      </c>
      <c r="BX21" s="83">
        <f t="shared" si="4"/>
        <v>148122.26158070625</v>
      </c>
    </row>
    <row r="22" spans="1:76" ht="15.5" x14ac:dyDescent="0.35">
      <c r="A22" s="26" t="s">
        <v>194</v>
      </c>
      <c r="B22" t="s">
        <v>162</v>
      </c>
      <c r="C22" t="s">
        <v>166</v>
      </c>
      <c r="D22" t="s">
        <v>195</v>
      </c>
      <c r="E22" s="60" t="s">
        <v>9</v>
      </c>
      <c r="F22" s="60" t="s">
        <v>9</v>
      </c>
      <c r="G22" s="60" t="s">
        <v>9</v>
      </c>
      <c r="H22" s="60" t="s">
        <v>9</v>
      </c>
      <c r="I22" s="60" t="s">
        <v>163</v>
      </c>
      <c r="J22" s="60" t="s">
        <v>9</v>
      </c>
      <c r="K22" s="60" t="s">
        <v>9</v>
      </c>
      <c r="L22" s="60" t="s">
        <v>9</v>
      </c>
      <c r="M22" s="60" t="s">
        <v>9</v>
      </c>
      <c r="N22" s="60" t="s">
        <v>9</v>
      </c>
      <c r="O22" s="60" t="s">
        <v>9</v>
      </c>
      <c r="P22" s="60" t="s">
        <v>9</v>
      </c>
      <c r="Q22" s="60" t="s">
        <v>9</v>
      </c>
      <c r="R22" s="60" t="s">
        <v>9</v>
      </c>
      <c r="S22" s="60" t="s">
        <v>9</v>
      </c>
      <c r="T22" s="60" t="s">
        <v>9</v>
      </c>
      <c r="U22" s="60" t="s">
        <v>9</v>
      </c>
      <c r="V22" s="60" t="s">
        <v>9</v>
      </c>
      <c r="W22" s="60" t="s">
        <v>9</v>
      </c>
      <c r="X22" s="60" t="s">
        <v>9</v>
      </c>
      <c r="Y22" s="60" t="s">
        <v>9</v>
      </c>
      <c r="Z22" s="60" t="s">
        <v>9</v>
      </c>
      <c r="AA22" s="60" t="s">
        <v>9</v>
      </c>
      <c r="AB22" s="60" t="s">
        <v>9</v>
      </c>
      <c r="AC22" s="60" t="s">
        <v>9</v>
      </c>
      <c r="AD22" s="60" t="s">
        <v>9</v>
      </c>
      <c r="AE22" s="60" t="s">
        <v>9</v>
      </c>
      <c r="AF22" s="60" t="s">
        <v>9</v>
      </c>
      <c r="AG22" s="60" t="s">
        <v>9</v>
      </c>
      <c r="AH22" s="85">
        <v>2865070</v>
      </c>
      <c r="AI22" s="85">
        <v>11863675</v>
      </c>
      <c r="AJ22" s="85">
        <v>654238</v>
      </c>
      <c r="AK22" s="85">
        <v>0</v>
      </c>
      <c r="AL22" s="49">
        <v>15382983</v>
      </c>
      <c r="AM22" s="24">
        <v>30695032.11484386</v>
      </c>
      <c r="AN22" s="24">
        <v>0</v>
      </c>
      <c r="AO22" s="49">
        <f t="shared" si="6"/>
        <v>30695032.11484386</v>
      </c>
      <c r="AP22" s="49">
        <v>30483000</v>
      </c>
      <c r="AQ22" s="49">
        <v>32891000</v>
      </c>
      <c r="AR22" s="164">
        <f t="shared" si="0"/>
        <v>7.8994849588295057E-2</v>
      </c>
      <c r="AS22" s="49">
        <v>0</v>
      </c>
      <c r="AT22" s="49">
        <v>0</v>
      </c>
      <c r="AU22" s="164">
        <f t="shared" si="12"/>
        <v>0</v>
      </c>
      <c r="AV22" s="26">
        <f t="shared" si="1"/>
        <v>33119781.559863836</v>
      </c>
      <c r="AW22" s="165">
        <f t="shared" si="2"/>
        <v>0</v>
      </c>
      <c r="AX22" s="49">
        <f t="shared" si="3"/>
        <v>33119781.559863836</v>
      </c>
      <c r="AY22" s="54">
        <v>26128000</v>
      </c>
      <c r="AZ22" s="24">
        <v>20879034</v>
      </c>
      <c r="BA22" s="24">
        <v>22281933.849401828</v>
      </c>
      <c r="BB22" s="49">
        <v>21735000</v>
      </c>
      <c r="BC22" s="49">
        <v>22706000</v>
      </c>
      <c r="BD22" s="166">
        <v>2.9000000000000001E-2</v>
      </c>
      <c r="BE22" s="166">
        <v>2.5000000000000001E-2</v>
      </c>
      <c r="BF22" s="49">
        <f t="shared" si="10"/>
        <v>21527886.415890399</v>
      </c>
      <c r="BG22" s="40">
        <f t="shared" si="11"/>
        <v>-9.5290353857648835E-3</v>
      </c>
      <c r="BH22" s="6">
        <f t="shared" si="13"/>
        <v>22069608.513287604</v>
      </c>
      <c r="BI22" s="24"/>
      <c r="BJ22" s="24">
        <v>1582000</v>
      </c>
      <c r="BK22" s="24">
        <v>1235824.9038406338</v>
      </c>
      <c r="BL22" s="24"/>
      <c r="BM22" s="38">
        <v>473055888.37086529</v>
      </c>
      <c r="BN22" s="3">
        <v>1695630935.6725638</v>
      </c>
      <c r="BO22" s="54">
        <v>1300013750</v>
      </c>
      <c r="BP22" s="53">
        <v>499643000</v>
      </c>
      <c r="BQ22" s="86">
        <v>1157757999.9999998</v>
      </c>
      <c r="BR22" s="86">
        <f t="shared" si="5"/>
        <v>828700499.99999988</v>
      </c>
      <c r="BS22" s="53">
        <v>13048292.549917754</v>
      </c>
      <c r="BT22" s="54">
        <v>22360</v>
      </c>
      <c r="BU22" s="54">
        <v>29640.55</v>
      </c>
      <c r="BV22" s="53">
        <f t="shared" si="9"/>
        <v>26000.275000000001</v>
      </c>
      <c r="BW22" s="57">
        <v>1.0375570496765185E-2</v>
      </c>
      <c r="BX22" s="83">
        <f t="shared" si="4"/>
        <v>35437.498040702929</v>
      </c>
    </row>
    <row r="23" spans="1:76" ht="15.5" hidden="1" x14ac:dyDescent="0.35">
      <c r="A23" s="26" t="s">
        <v>196</v>
      </c>
      <c r="B23" t="s">
        <v>162</v>
      </c>
      <c r="C23" t="s">
        <v>166</v>
      </c>
      <c r="D23" t="s">
        <v>196</v>
      </c>
      <c r="E23" s="60" t="s">
        <v>170</v>
      </c>
      <c r="F23" s="60" t="s">
        <v>170</v>
      </c>
      <c r="G23" s="60" t="s">
        <v>170</v>
      </c>
      <c r="H23" s="60" t="s">
        <v>170</v>
      </c>
      <c r="I23" s="60" t="s">
        <v>163</v>
      </c>
      <c r="J23" s="60" t="s">
        <v>163</v>
      </c>
      <c r="K23" s="60" t="s">
        <v>163</v>
      </c>
      <c r="L23" s="60" t="s">
        <v>163</v>
      </c>
      <c r="M23" s="60" t="s">
        <v>9</v>
      </c>
      <c r="N23" s="60" t="s">
        <v>170</v>
      </c>
      <c r="O23" s="60" t="s">
        <v>169</v>
      </c>
      <c r="P23" s="60" t="s">
        <v>168</v>
      </c>
      <c r="Q23" s="60" t="s">
        <v>170</v>
      </c>
      <c r="R23" s="60" t="s">
        <v>163</v>
      </c>
      <c r="S23" s="60" t="s">
        <v>163</v>
      </c>
      <c r="T23" s="60" t="s">
        <v>163</v>
      </c>
      <c r="U23" s="60" t="s">
        <v>163</v>
      </c>
      <c r="V23" s="60" t="s">
        <v>163</v>
      </c>
      <c r="W23" s="60" t="s">
        <v>163</v>
      </c>
      <c r="X23" s="60" t="s">
        <v>163</v>
      </c>
      <c r="Y23" s="60" t="s">
        <v>163</v>
      </c>
      <c r="Z23" s="60" t="s">
        <v>163</v>
      </c>
      <c r="AA23" s="60" t="s">
        <v>163</v>
      </c>
      <c r="AB23" s="60" t="s">
        <v>170</v>
      </c>
      <c r="AC23" s="60" t="s">
        <v>168</v>
      </c>
      <c r="AD23" s="60" t="s">
        <v>168</v>
      </c>
      <c r="AE23" s="60" t="s">
        <v>168</v>
      </c>
      <c r="AF23" s="60" t="s">
        <v>168</v>
      </c>
      <c r="AG23" s="60" t="s">
        <v>182</v>
      </c>
      <c r="AH23" s="85">
        <v>8045000</v>
      </c>
      <c r="AI23" s="85">
        <v>8809000</v>
      </c>
      <c r="AJ23" s="85">
        <v>2988000</v>
      </c>
      <c r="AK23" s="85">
        <v>0</v>
      </c>
      <c r="AL23" s="49">
        <v>19842000</v>
      </c>
      <c r="AM23" s="24">
        <v>19283000</v>
      </c>
      <c r="AN23" s="24">
        <v>30000</v>
      </c>
      <c r="AO23" s="49">
        <f t="shared" si="6"/>
        <v>19313000</v>
      </c>
      <c r="AP23" s="49">
        <v>19203000</v>
      </c>
      <c r="AQ23" s="49">
        <v>22028000</v>
      </c>
      <c r="AR23" s="164">
        <f t="shared" si="0"/>
        <v>0.14711243034942467</v>
      </c>
      <c r="AS23" s="49">
        <v>0</v>
      </c>
      <c r="AT23" s="49">
        <v>0</v>
      </c>
      <c r="AU23" s="164">
        <f t="shared" si="12"/>
        <v>0</v>
      </c>
      <c r="AV23" s="26">
        <f t="shared" si="1"/>
        <v>22119768.994427957</v>
      </c>
      <c r="AW23" s="165">
        <f t="shared" si="2"/>
        <v>30000</v>
      </c>
      <c r="AX23" s="49">
        <f t="shared" si="3"/>
        <v>22149768.994427957</v>
      </c>
      <c r="AY23" s="54">
        <v>17692000</v>
      </c>
      <c r="AZ23" s="24">
        <v>13223850</v>
      </c>
      <c r="BA23" s="24">
        <v>14250000</v>
      </c>
      <c r="BB23" s="49">
        <v>13583000</v>
      </c>
      <c r="BC23" s="49">
        <v>15974000</v>
      </c>
      <c r="BD23" s="166">
        <v>3.5000000000000003E-2</v>
      </c>
      <c r="BE23" s="166">
        <v>2.5999999999999999E-2</v>
      </c>
      <c r="BF23" s="49">
        <f t="shared" si="10"/>
        <v>15042706.067369176</v>
      </c>
      <c r="BG23" s="40">
        <f t="shared" si="11"/>
        <v>0.10746566055872608</v>
      </c>
      <c r="BH23" s="6">
        <f t="shared" si="13"/>
        <v>15781385.662961846</v>
      </c>
      <c r="BI23" s="24"/>
      <c r="BJ23" s="24">
        <v>1185000</v>
      </c>
      <c r="BK23" s="24">
        <v>1283000</v>
      </c>
      <c r="BL23" s="24"/>
      <c r="BM23" s="38">
        <v>105245243.43682405</v>
      </c>
      <c r="BN23" s="3">
        <v>2170150350.5846286</v>
      </c>
      <c r="BO23" s="54">
        <v>1900000000</v>
      </c>
      <c r="BP23" s="53">
        <v>477537286.28228104</v>
      </c>
      <c r="BQ23" s="86">
        <v>573068564.26173735</v>
      </c>
      <c r="BR23" s="86">
        <f t="shared" si="5"/>
        <v>525302925.27200919</v>
      </c>
      <c r="BS23" s="53">
        <v>7385371.54473479</v>
      </c>
      <c r="BT23" s="54">
        <v>38000</v>
      </c>
      <c r="BU23" s="54">
        <v>38000</v>
      </c>
      <c r="BV23" s="53">
        <f t="shared" si="9"/>
        <v>38000</v>
      </c>
      <c r="BW23" s="57">
        <v>6.0000000000000001E-3</v>
      </c>
      <c r="BX23" s="83">
        <f t="shared" si="4"/>
        <v>45469.797305008324</v>
      </c>
    </row>
    <row r="24" spans="1:76" ht="15.5" hidden="1" x14ac:dyDescent="0.35">
      <c r="A24" s="26" t="s">
        <v>197</v>
      </c>
      <c r="B24" t="s">
        <v>165</v>
      </c>
      <c r="C24" t="s">
        <v>177</v>
      </c>
      <c r="D24" t="s">
        <v>198</v>
      </c>
      <c r="E24" s="60" t="s">
        <v>168</v>
      </c>
      <c r="F24" s="60" t="s">
        <v>169</v>
      </c>
      <c r="G24" s="60" t="s">
        <v>169</v>
      </c>
      <c r="H24" s="60" t="s">
        <v>169</v>
      </c>
      <c r="I24" s="60" t="s">
        <v>170</v>
      </c>
      <c r="J24" s="60" t="s">
        <v>170</v>
      </c>
      <c r="K24" s="60" t="s">
        <v>170</v>
      </c>
      <c r="L24" s="60" t="s">
        <v>163</v>
      </c>
      <c r="M24" s="60" t="s">
        <v>163</v>
      </c>
      <c r="N24" s="60" t="s">
        <v>168</v>
      </c>
      <c r="O24" s="60" t="s">
        <v>183</v>
      </c>
      <c r="P24" s="60" t="s">
        <v>174</v>
      </c>
      <c r="Q24" s="60" t="s">
        <v>170</v>
      </c>
      <c r="R24" s="60" t="s">
        <v>9</v>
      </c>
      <c r="S24" s="60" t="s">
        <v>169</v>
      </c>
      <c r="T24" s="60" t="s">
        <v>169</v>
      </c>
      <c r="U24" s="60" t="s">
        <v>169</v>
      </c>
      <c r="V24" s="60" t="s">
        <v>169</v>
      </c>
      <c r="W24" s="60" t="s">
        <v>169</v>
      </c>
      <c r="X24" s="60" t="s">
        <v>169</v>
      </c>
      <c r="Y24" s="60" t="s">
        <v>169</v>
      </c>
      <c r="Z24" s="60" t="s">
        <v>169</v>
      </c>
      <c r="AA24" s="60" t="s">
        <v>169</v>
      </c>
      <c r="AB24" s="60" t="s">
        <v>169</v>
      </c>
      <c r="AC24" s="60" t="s">
        <v>172</v>
      </c>
      <c r="AD24" s="60" t="s">
        <v>172</v>
      </c>
      <c r="AE24" s="60" t="s">
        <v>190</v>
      </c>
      <c r="AF24" s="60" t="s">
        <v>172</v>
      </c>
      <c r="AG24" s="60" t="s">
        <v>173</v>
      </c>
      <c r="AH24" s="85">
        <v>3885741.7217391301</v>
      </c>
      <c r="AI24" s="85">
        <v>2434000</v>
      </c>
      <c r="AJ24" s="85">
        <v>593000</v>
      </c>
      <c r="AK24" s="85">
        <v>0</v>
      </c>
      <c r="AL24" s="49">
        <v>6912741.7217391301</v>
      </c>
      <c r="AM24" s="24">
        <v>5745000</v>
      </c>
      <c r="AN24" s="24">
        <v>0</v>
      </c>
      <c r="AO24" s="49">
        <f t="shared" si="6"/>
        <v>5745000</v>
      </c>
      <c r="AP24" s="49">
        <v>5168000</v>
      </c>
      <c r="AQ24" s="49">
        <v>5939000</v>
      </c>
      <c r="AR24" s="164">
        <f t="shared" si="0"/>
        <v>0.14918730650154788</v>
      </c>
      <c r="AS24" s="49">
        <v>0</v>
      </c>
      <c r="AT24" s="49">
        <v>0</v>
      </c>
      <c r="AU24" s="164">
        <f t="shared" si="12"/>
        <v>0</v>
      </c>
      <c r="AV24" s="26">
        <f t="shared" si="1"/>
        <v>6602081.0758513929</v>
      </c>
      <c r="AW24" s="165">
        <f t="shared" si="2"/>
        <v>0</v>
      </c>
      <c r="AX24" s="49">
        <f t="shared" si="3"/>
        <v>6602081.0758513929</v>
      </c>
      <c r="AY24" s="54">
        <v>5165000</v>
      </c>
      <c r="AZ24" s="24">
        <v>3057000</v>
      </c>
      <c r="BA24" s="24">
        <v>3953000</v>
      </c>
      <c r="BB24" s="49">
        <v>2813000</v>
      </c>
      <c r="BC24" s="49">
        <v>3057000</v>
      </c>
      <c r="BD24" s="166">
        <v>2.9000000000000001E-2</v>
      </c>
      <c r="BE24" s="166">
        <v>2.5000000000000001E-2</v>
      </c>
      <c r="BF24" s="49">
        <f t="shared" si="10"/>
        <v>2898385.8351703053</v>
      </c>
      <c r="BG24" s="40">
        <f t="shared" si="11"/>
        <v>3.0354011791789981E-2</v>
      </c>
      <c r="BH24" s="6">
        <f t="shared" si="13"/>
        <v>4072989.4086129456</v>
      </c>
      <c r="BI24" s="24"/>
      <c r="BJ24" s="24">
        <v>365000</v>
      </c>
      <c r="BK24" s="24">
        <v>414000</v>
      </c>
      <c r="BL24" s="24"/>
      <c r="BM24" s="38">
        <v>185365500</v>
      </c>
      <c r="BN24" s="3">
        <v>206705206.65358207</v>
      </c>
      <c r="BO24" s="54">
        <v>177617115.491393</v>
      </c>
      <c r="BP24" s="53">
        <v>153725000</v>
      </c>
      <c r="BQ24" s="86">
        <v>205714699.99999997</v>
      </c>
      <c r="BR24" s="86">
        <f t="shared" si="5"/>
        <v>179719850</v>
      </c>
      <c r="BS24" s="53">
        <v>2579896.0709580197</v>
      </c>
      <c r="BT24" s="54">
        <v>9870</v>
      </c>
      <c r="BU24" s="54">
        <v>9672</v>
      </c>
      <c r="BV24" s="53">
        <f t="shared" si="9"/>
        <v>9771</v>
      </c>
      <c r="BW24" s="57">
        <v>1.5054854111855587E-3</v>
      </c>
      <c r="BX24" s="83">
        <f t="shared" si="4"/>
        <v>10222.073125791596</v>
      </c>
    </row>
    <row r="25" spans="1:76" ht="15.5" hidden="1" x14ac:dyDescent="0.35">
      <c r="A25" s="26" t="s">
        <v>199</v>
      </c>
      <c r="B25" t="s">
        <v>165</v>
      </c>
      <c r="C25" t="s">
        <v>177</v>
      </c>
      <c r="D25" t="s">
        <v>178</v>
      </c>
      <c r="E25" s="60" t="s">
        <v>168</v>
      </c>
      <c r="F25" s="60" t="s">
        <v>169</v>
      </c>
      <c r="G25" s="60" t="s">
        <v>169</v>
      </c>
      <c r="H25" s="60" t="s">
        <v>169</v>
      </c>
      <c r="I25" s="60" t="s">
        <v>170</v>
      </c>
      <c r="J25" s="60" t="s">
        <v>170</v>
      </c>
      <c r="K25" s="60" t="s">
        <v>170</v>
      </c>
      <c r="L25" s="60" t="s">
        <v>163</v>
      </c>
      <c r="M25" s="60" t="s">
        <v>163</v>
      </c>
      <c r="N25" s="60" t="s">
        <v>169</v>
      </c>
      <c r="O25" s="60" t="s">
        <v>171</v>
      </c>
      <c r="P25" s="60" t="s">
        <v>173</v>
      </c>
      <c r="Q25" s="60" t="s">
        <v>170</v>
      </c>
      <c r="R25" s="60" t="s">
        <v>9</v>
      </c>
      <c r="S25" s="60" t="s">
        <v>170</v>
      </c>
      <c r="T25" s="60" t="s">
        <v>169</v>
      </c>
      <c r="U25" s="60" t="s">
        <v>170</v>
      </c>
      <c r="V25" s="60" t="s">
        <v>170</v>
      </c>
      <c r="W25" s="60" t="s">
        <v>169</v>
      </c>
      <c r="X25" s="60" t="s">
        <v>170</v>
      </c>
      <c r="Y25" s="60" t="s">
        <v>170</v>
      </c>
      <c r="Z25" s="60" t="s">
        <v>169</v>
      </c>
      <c r="AA25" s="60" t="s">
        <v>170</v>
      </c>
      <c r="AB25" s="60" t="s">
        <v>169</v>
      </c>
      <c r="AC25" s="60" t="s">
        <v>173</v>
      </c>
      <c r="AD25" s="60" t="s">
        <v>175</v>
      </c>
      <c r="AE25" s="60" t="s">
        <v>179</v>
      </c>
      <c r="AF25" s="60" t="s">
        <v>173</v>
      </c>
      <c r="AG25" s="60" t="s">
        <v>175</v>
      </c>
      <c r="AH25" s="85">
        <v>2333000</v>
      </c>
      <c r="AI25" s="85">
        <v>2863000</v>
      </c>
      <c r="AJ25" s="85">
        <v>1158000</v>
      </c>
      <c r="AK25" s="85">
        <v>0</v>
      </c>
      <c r="AL25" s="49">
        <v>6354000</v>
      </c>
      <c r="AM25" s="24">
        <v>6542000</v>
      </c>
      <c r="AN25" s="24">
        <v>425000</v>
      </c>
      <c r="AO25" s="49">
        <f t="shared" si="6"/>
        <v>6967000</v>
      </c>
      <c r="AP25" s="49">
        <v>6859000</v>
      </c>
      <c r="AQ25" s="49">
        <v>7844000</v>
      </c>
      <c r="AR25" s="164">
        <f t="shared" si="0"/>
        <v>0.1436069397871409</v>
      </c>
      <c r="AS25" s="49">
        <v>0</v>
      </c>
      <c r="AT25" s="49">
        <v>0</v>
      </c>
      <c r="AU25" s="164">
        <f t="shared" si="12"/>
        <v>0</v>
      </c>
      <c r="AV25" s="26">
        <f t="shared" si="1"/>
        <v>7481476.600087476</v>
      </c>
      <c r="AW25" s="165">
        <f t="shared" si="2"/>
        <v>425000</v>
      </c>
      <c r="AX25" s="49">
        <f t="shared" si="3"/>
        <v>7906476.600087476</v>
      </c>
      <c r="AY25" s="54">
        <v>6220000</v>
      </c>
      <c r="AZ25" s="24">
        <v>3365000</v>
      </c>
      <c r="BA25" s="24">
        <v>3647000</v>
      </c>
      <c r="BB25" s="49">
        <v>4103000</v>
      </c>
      <c r="BC25" s="49">
        <v>4154000</v>
      </c>
      <c r="BD25" s="166">
        <v>2.9000000000000001E-2</v>
      </c>
      <c r="BE25" s="166">
        <v>2.5000000000000001E-2</v>
      </c>
      <c r="BF25" s="49">
        <f t="shared" si="10"/>
        <v>3938467.3730119229</v>
      </c>
      <c r="BG25" s="40">
        <f t="shared" si="11"/>
        <v>-4.0100567143084853E-2</v>
      </c>
      <c r="BH25" s="6">
        <f t="shared" si="13"/>
        <v>3500753.2316291695</v>
      </c>
      <c r="BI25" s="24"/>
      <c r="BJ25" s="24">
        <v>1074000</v>
      </c>
      <c r="BK25" s="24">
        <v>643000</v>
      </c>
      <c r="BL25" s="24"/>
      <c r="BM25" s="38">
        <v>435079.24548316369</v>
      </c>
      <c r="BN25" s="3">
        <v>723781450</v>
      </c>
      <c r="BO25" s="54">
        <v>516986750</v>
      </c>
      <c r="BP25" s="53">
        <v>249594999.99999997</v>
      </c>
      <c r="BQ25" s="86">
        <v>374393999.99999994</v>
      </c>
      <c r="BR25" s="86">
        <f t="shared" si="5"/>
        <v>311994499.99999994</v>
      </c>
      <c r="BS25" s="53">
        <v>4573845.755973299</v>
      </c>
      <c r="BT25" s="54">
        <v>9797.06</v>
      </c>
      <c r="BU25" s="54">
        <v>10882.41</v>
      </c>
      <c r="BV25" s="53">
        <f t="shared" si="9"/>
        <v>10339.735000000001</v>
      </c>
      <c r="BW25" s="57">
        <v>0</v>
      </c>
      <c r="BX25" s="83">
        <f t="shared" si="4"/>
        <v>10339.735000000001</v>
      </c>
    </row>
    <row r="26" spans="1:76" ht="15.5" hidden="1" x14ac:dyDescent="0.35">
      <c r="A26" s="26" t="s">
        <v>200</v>
      </c>
      <c r="B26" t="s">
        <v>162</v>
      </c>
      <c r="C26" t="s">
        <v>160</v>
      </c>
      <c r="D26" t="s">
        <v>201</v>
      </c>
      <c r="E26" s="60" t="s">
        <v>163</v>
      </c>
      <c r="F26" s="60" t="s">
        <v>163</v>
      </c>
      <c r="G26" s="60" t="s">
        <v>163</v>
      </c>
      <c r="H26" s="60" t="s">
        <v>163</v>
      </c>
      <c r="I26" s="60" t="s">
        <v>163</v>
      </c>
      <c r="J26" s="60" t="s">
        <v>163</v>
      </c>
      <c r="K26" s="60" t="s">
        <v>163</v>
      </c>
      <c r="L26" s="60" t="s">
        <v>9</v>
      </c>
      <c r="M26" s="60" t="s">
        <v>9</v>
      </c>
      <c r="N26" s="60" t="s">
        <v>163</v>
      </c>
      <c r="O26" s="60" t="s">
        <v>163</v>
      </c>
      <c r="P26" s="60" t="s">
        <v>170</v>
      </c>
      <c r="Q26" s="60" t="s">
        <v>163</v>
      </c>
      <c r="R26" s="60" t="s">
        <v>163</v>
      </c>
      <c r="S26" s="60" t="s">
        <v>9</v>
      </c>
      <c r="T26" s="60" t="s">
        <v>9</v>
      </c>
      <c r="U26" s="60" t="s">
        <v>9</v>
      </c>
      <c r="V26" s="60" t="s">
        <v>163</v>
      </c>
      <c r="W26" s="60" t="s">
        <v>163</v>
      </c>
      <c r="X26" s="60" t="s">
        <v>163</v>
      </c>
      <c r="Y26" s="60" t="s">
        <v>9</v>
      </c>
      <c r="Z26" s="60" t="s">
        <v>9</v>
      </c>
      <c r="AA26" s="60" t="s">
        <v>9</v>
      </c>
      <c r="AB26" s="60" t="s">
        <v>163</v>
      </c>
      <c r="AC26" s="60" t="s">
        <v>170</v>
      </c>
      <c r="AD26" s="60" t="s">
        <v>170</v>
      </c>
      <c r="AE26" s="60" t="s">
        <v>170</v>
      </c>
      <c r="AF26" s="60" t="s">
        <v>170</v>
      </c>
      <c r="AG26" s="60" t="s">
        <v>163</v>
      </c>
      <c r="AH26" s="85">
        <v>29314000</v>
      </c>
      <c r="AI26" s="85">
        <v>34029000</v>
      </c>
      <c r="AJ26" s="85">
        <v>7313000</v>
      </c>
      <c r="AK26" s="85">
        <v>21459000</v>
      </c>
      <c r="AL26" s="49">
        <v>92115000</v>
      </c>
      <c r="AM26" s="24">
        <v>76971000</v>
      </c>
      <c r="AN26" s="24">
        <v>17133000</v>
      </c>
      <c r="AO26" s="49">
        <f t="shared" si="6"/>
        <v>94104000</v>
      </c>
      <c r="AP26" s="49">
        <v>76231000</v>
      </c>
      <c r="AQ26" s="49">
        <v>85857000</v>
      </c>
      <c r="AR26" s="164">
        <f t="shared" si="0"/>
        <v>0.12627408796946127</v>
      </c>
      <c r="AS26" s="49">
        <v>19163000</v>
      </c>
      <c r="AT26" s="49">
        <v>22346000</v>
      </c>
      <c r="AU26" s="164">
        <f t="shared" si="12"/>
        <v>0.16610134112612851</v>
      </c>
      <c r="AV26" s="26">
        <f t="shared" si="1"/>
        <v>86690442.825097397</v>
      </c>
      <c r="AW26" s="165">
        <f t="shared" si="2"/>
        <v>19978814.277513959</v>
      </c>
      <c r="AX26" s="49">
        <f t="shared" si="3"/>
        <v>106669257.10261136</v>
      </c>
      <c r="AY26" s="54">
        <v>69594000</v>
      </c>
      <c r="AZ26" s="24">
        <v>39613000</v>
      </c>
      <c r="BA26" s="24">
        <v>58022000</v>
      </c>
      <c r="BB26" s="49">
        <v>50834000</v>
      </c>
      <c r="BC26" s="49">
        <v>54675000</v>
      </c>
      <c r="BD26" s="166">
        <v>2.9000000000000001E-2</v>
      </c>
      <c r="BE26" s="166">
        <v>2.5000000000000001E-2</v>
      </c>
      <c r="BF26" s="49">
        <f t="shared" si="10"/>
        <v>51838156.865533672</v>
      </c>
      <c r="BG26" s="40">
        <f t="shared" si="11"/>
        <v>1.9753646487265852E-2</v>
      </c>
      <c r="BH26" s="6">
        <f t="shared" si="13"/>
        <v>59168146.076484136</v>
      </c>
      <c r="BI26" s="24"/>
      <c r="BJ26" s="24">
        <v>8413000</v>
      </c>
      <c r="BK26" s="24">
        <v>5789000</v>
      </c>
      <c r="BL26" s="24"/>
      <c r="BM26" s="38">
        <v>3279503872.0100007</v>
      </c>
      <c r="BN26" s="3">
        <v>2895541025.9479303</v>
      </c>
      <c r="BO26" s="54">
        <v>3283216241.0790057</v>
      </c>
      <c r="BP26" s="53">
        <v>2209000649.9399996</v>
      </c>
      <c r="BQ26" s="86">
        <v>2713800312.4499998</v>
      </c>
      <c r="BR26" s="86">
        <f t="shared" si="5"/>
        <v>2461400481.1949997</v>
      </c>
      <c r="BS26" s="53">
        <v>34762920.131835751</v>
      </c>
      <c r="BT26" s="54">
        <v>147490</v>
      </c>
      <c r="BU26" s="54">
        <v>177000</v>
      </c>
      <c r="BV26" s="53">
        <f t="shared" si="9"/>
        <v>162245</v>
      </c>
      <c r="BW26" s="57">
        <v>1.6006669058583167E-2</v>
      </c>
      <c r="BX26" s="83">
        <f t="shared" si="4"/>
        <v>261257.08787472144</v>
      </c>
    </row>
    <row r="27" spans="1:76" ht="15.5" hidden="1" x14ac:dyDescent="0.35">
      <c r="A27" s="26" t="s">
        <v>202</v>
      </c>
      <c r="B27" t="s">
        <v>162</v>
      </c>
      <c r="C27" t="s">
        <v>166</v>
      </c>
      <c r="D27" t="s">
        <v>185</v>
      </c>
      <c r="E27" s="60" t="s">
        <v>170</v>
      </c>
      <c r="F27" s="60" t="s">
        <v>170</v>
      </c>
      <c r="G27" s="60" t="s">
        <v>170</v>
      </c>
      <c r="H27" s="60" t="s">
        <v>170</v>
      </c>
      <c r="I27" s="60" t="s">
        <v>163</v>
      </c>
      <c r="J27" s="60" t="s">
        <v>163</v>
      </c>
      <c r="K27" s="60" t="s">
        <v>163</v>
      </c>
      <c r="L27" s="60" t="s">
        <v>163</v>
      </c>
      <c r="M27" s="60" t="s">
        <v>9</v>
      </c>
      <c r="N27" s="60" t="s">
        <v>170</v>
      </c>
      <c r="O27" s="60" t="s">
        <v>169</v>
      </c>
      <c r="P27" s="60" t="s">
        <v>168</v>
      </c>
      <c r="Q27" s="60" t="s">
        <v>170</v>
      </c>
      <c r="R27" s="60" t="s">
        <v>163</v>
      </c>
      <c r="S27" s="60" t="s">
        <v>163</v>
      </c>
      <c r="T27" s="60" t="s">
        <v>163</v>
      </c>
      <c r="U27" s="60" t="s">
        <v>163</v>
      </c>
      <c r="V27" s="60" t="s">
        <v>163</v>
      </c>
      <c r="W27" s="60" t="s">
        <v>163</v>
      </c>
      <c r="X27" s="60" t="s">
        <v>163</v>
      </c>
      <c r="Y27" s="60" t="s">
        <v>163</v>
      </c>
      <c r="Z27" s="60" t="s">
        <v>163</v>
      </c>
      <c r="AA27" s="60" t="s">
        <v>163</v>
      </c>
      <c r="AB27" s="60" t="s">
        <v>170</v>
      </c>
      <c r="AC27" s="60" t="s">
        <v>168</v>
      </c>
      <c r="AD27" s="60" t="s">
        <v>168</v>
      </c>
      <c r="AE27" s="60" t="s">
        <v>182</v>
      </c>
      <c r="AF27" s="60" t="s">
        <v>168</v>
      </c>
      <c r="AG27" s="60" t="s">
        <v>182</v>
      </c>
      <c r="AH27" s="85">
        <v>11844544.5</v>
      </c>
      <c r="AI27" s="85">
        <v>9652480.0700000003</v>
      </c>
      <c r="AJ27" s="85">
        <v>2665950.46</v>
      </c>
      <c r="AK27" s="85">
        <v>2378787.77</v>
      </c>
      <c r="AL27" s="49">
        <v>26541762.800000001</v>
      </c>
      <c r="AM27" s="24">
        <v>27207000</v>
      </c>
      <c r="AN27" s="24">
        <v>2431000</v>
      </c>
      <c r="AO27" s="49">
        <f t="shared" si="6"/>
        <v>29638000</v>
      </c>
      <c r="AP27" s="49">
        <v>26009000</v>
      </c>
      <c r="AQ27" s="49">
        <v>29546000</v>
      </c>
      <c r="AR27" s="164">
        <f t="shared" si="0"/>
        <v>0.13599138759660123</v>
      </c>
      <c r="AS27" s="49">
        <v>3074000</v>
      </c>
      <c r="AT27" s="49">
        <v>3100000</v>
      </c>
      <c r="AU27" s="164">
        <f t="shared" si="12"/>
        <v>8.458035133376729E-3</v>
      </c>
      <c r="AV27" s="26">
        <f t="shared" si="1"/>
        <v>30906917.68234073</v>
      </c>
      <c r="AW27" s="165">
        <f t="shared" si="2"/>
        <v>2451561.483409239</v>
      </c>
      <c r="AX27" s="49">
        <f t="shared" si="3"/>
        <v>33358479.165749967</v>
      </c>
      <c r="AY27" s="54">
        <v>24369000</v>
      </c>
      <c r="AZ27" s="24">
        <v>14753185.372090848</v>
      </c>
      <c r="BA27" s="24">
        <v>24933000</v>
      </c>
      <c r="BB27" s="49">
        <v>23147000</v>
      </c>
      <c r="BC27" s="49">
        <v>24773000</v>
      </c>
      <c r="BD27" s="166">
        <v>3.5000000000000003E-2</v>
      </c>
      <c r="BE27" s="166">
        <v>2.5999999999999999E-2</v>
      </c>
      <c r="BF27" s="49">
        <f t="shared" si="10"/>
        <v>23328719.006318804</v>
      </c>
      <c r="BG27" s="40">
        <f t="shared" si="11"/>
        <v>7.8506504652353648E-3</v>
      </c>
      <c r="BH27" s="6">
        <f t="shared" si="13"/>
        <v>25128740.268049713</v>
      </c>
      <c r="BI27" s="24"/>
      <c r="BJ27" s="24">
        <v>2488000</v>
      </c>
      <c r="BK27" s="24">
        <v>3487000</v>
      </c>
      <c r="BL27" s="24"/>
      <c r="BM27" s="38">
        <v>644230500</v>
      </c>
      <c r="BN27" s="3">
        <v>1819698978.9881728</v>
      </c>
      <c r="BO27" s="54">
        <v>1744505682.4228508</v>
      </c>
      <c r="BP27" s="53">
        <v>1000484879.7399998</v>
      </c>
      <c r="BQ27" s="86">
        <v>1386517974.2024996</v>
      </c>
      <c r="BR27" s="86">
        <f t="shared" si="5"/>
        <v>1193501426.9712496</v>
      </c>
      <c r="BS27" s="53">
        <v>17245121.488753691</v>
      </c>
      <c r="BT27" s="54">
        <v>61720</v>
      </c>
      <c r="BU27" s="54">
        <v>61489</v>
      </c>
      <c r="BV27" s="53">
        <f t="shared" si="9"/>
        <v>61604.5</v>
      </c>
      <c r="BW27" s="57">
        <v>1.3912474071101633E-2</v>
      </c>
      <c r="BX27" s="83">
        <f t="shared" si="4"/>
        <v>93245.186566183344</v>
      </c>
    </row>
    <row r="28" spans="1:76" ht="15.5" hidden="1" x14ac:dyDescent="0.35">
      <c r="A28" s="26" t="s">
        <v>203</v>
      </c>
      <c r="B28" t="s">
        <v>162</v>
      </c>
      <c r="C28" t="s">
        <v>177</v>
      </c>
      <c r="D28" t="s">
        <v>201</v>
      </c>
      <c r="E28" s="60" t="s">
        <v>163</v>
      </c>
      <c r="F28" s="60" t="s">
        <v>9</v>
      </c>
      <c r="G28" s="60" t="s">
        <v>163</v>
      </c>
      <c r="H28" s="60" t="s">
        <v>163</v>
      </c>
      <c r="I28" s="60" t="s">
        <v>163</v>
      </c>
      <c r="J28" s="60" t="s">
        <v>9</v>
      </c>
      <c r="K28" s="60" t="s">
        <v>163</v>
      </c>
      <c r="L28" s="60" t="s">
        <v>9</v>
      </c>
      <c r="M28" s="60" t="s">
        <v>9</v>
      </c>
      <c r="N28" s="60" t="s">
        <v>163</v>
      </c>
      <c r="O28" s="60" t="s">
        <v>163</v>
      </c>
      <c r="P28" s="60" t="s">
        <v>170</v>
      </c>
      <c r="Q28" s="60" t="s">
        <v>163</v>
      </c>
      <c r="R28" s="60" t="s">
        <v>163</v>
      </c>
      <c r="S28" s="60" t="s">
        <v>9</v>
      </c>
      <c r="T28" s="60" t="s">
        <v>9</v>
      </c>
      <c r="U28" s="60" t="s">
        <v>9</v>
      </c>
      <c r="V28" s="60" t="s">
        <v>163</v>
      </c>
      <c r="W28" s="60" t="s">
        <v>163</v>
      </c>
      <c r="X28" s="60" t="s">
        <v>163</v>
      </c>
      <c r="Y28" s="60" t="s">
        <v>9</v>
      </c>
      <c r="Z28" s="60" t="s">
        <v>9</v>
      </c>
      <c r="AA28" s="60" t="s">
        <v>9</v>
      </c>
      <c r="AB28" s="60" t="s">
        <v>163</v>
      </c>
      <c r="AC28" s="60" t="s">
        <v>170</v>
      </c>
      <c r="AD28" s="60" t="s">
        <v>170</v>
      </c>
      <c r="AE28" s="60" t="s">
        <v>170</v>
      </c>
      <c r="AF28" s="60" t="s">
        <v>170</v>
      </c>
      <c r="AG28" s="60" t="s">
        <v>163</v>
      </c>
      <c r="AH28" s="85">
        <v>7286000</v>
      </c>
      <c r="AI28" s="85">
        <f>3817000+15</f>
        <v>3817015</v>
      </c>
      <c r="AJ28" s="85">
        <v>976000</v>
      </c>
      <c r="AK28" s="85">
        <v>0</v>
      </c>
      <c r="AL28" s="49">
        <v>12079015</v>
      </c>
      <c r="AM28" s="24">
        <v>13391000</v>
      </c>
      <c r="AN28" s="24">
        <v>97000</v>
      </c>
      <c r="AO28" s="49">
        <f t="shared" si="6"/>
        <v>13488000</v>
      </c>
      <c r="AP28" s="49">
        <v>12210000</v>
      </c>
      <c r="AQ28" s="49">
        <v>13878000</v>
      </c>
      <c r="AR28" s="164">
        <f t="shared" si="0"/>
        <v>0.13660933660933661</v>
      </c>
      <c r="AS28" s="49">
        <v>715000</v>
      </c>
      <c r="AT28" s="49">
        <v>595000</v>
      </c>
      <c r="AU28" s="164">
        <f t="shared" si="12"/>
        <v>-0.16783216783216781</v>
      </c>
      <c r="AV28" s="26">
        <f t="shared" si="1"/>
        <v>15220335.626535626</v>
      </c>
      <c r="AW28" s="165">
        <f t="shared" si="2"/>
        <v>80720.279720279723</v>
      </c>
      <c r="AX28" s="49">
        <f t="shared" si="3"/>
        <v>15301055.906255906</v>
      </c>
      <c r="AY28" s="54">
        <v>12079000</v>
      </c>
      <c r="AZ28" s="24">
        <v>7530455.0099999988</v>
      </c>
      <c r="BA28" s="24">
        <v>11200000</v>
      </c>
      <c r="BB28" s="49">
        <v>9663000</v>
      </c>
      <c r="BC28" s="49">
        <v>8838000</v>
      </c>
      <c r="BD28" s="166">
        <v>3.5000000000000003E-2</v>
      </c>
      <c r="BE28" s="166">
        <v>2.5999999999999999E-2</v>
      </c>
      <c r="BF28" s="49">
        <f t="shared" si="10"/>
        <v>8322739.2151877284</v>
      </c>
      <c r="BG28" s="40">
        <f t="shared" si="11"/>
        <v>-0.13870027784458983</v>
      </c>
      <c r="BH28" s="6">
        <f t="shared" si="13"/>
        <v>9646556.8881405946</v>
      </c>
      <c r="BI28" s="24"/>
      <c r="BJ28" s="24">
        <v>863000</v>
      </c>
      <c r="BK28" s="24">
        <v>1140000</v>
      </c>
      <c r="BL28" s="24"/>
      <c r="BM28" s="38">
        <v>155562241.79652235</v>
      </c>
      <c r="BN28" s="3">
        <v>426447256.13600981</v>
      </c>
      <c r="BO28" s="54">
        <v>405134889.3342464</v>
      </c>
      <c r="BP28" s="53">
        <v>243472280.99792996</v>
      </c>
      <c r="BQ28" s="86">
        <v>265219950.02533293</v>
      </c>
      <c r="BR28" s="86">
        <f t="shared" si="5"/>
        <v>254346115.51163143</v>
      </c>
      <c r="BS28" s="53">
        <v>3508426.1779798334</v>
      </c>
      <c r="BT28" s="54">
        <v>14865.424598842999</v>
      </c>
      <c r="BU28" s="54">
        <v>13495.3694885103</v>
      </c>
      <c r="BV28" s="53">
        <f t="shared" si="9"/>
        <v>14180.39704367665</v>
      </c>
      <c r="BW28" s="57">
        <v>1.2775422338791698E-2</v>
      </c>
      <c r="BX28" s="83">
        <f t="shared" si="4"/>
        <v>20753.10082952107</v>
      </c>
    </row>
    <row r="29" spans="1:76" ht="15.5" hidden="1" x14ac:dyDescent="0.35">
      <c r="A29" s="26" t="s">
        <v>204</v>
      </c>
      <c r="B29" t="s">
        <v>162</v>
      </c>
      <c r="C29" t="s">
        <v>166</v>
      </c>
      <c r="D29" t="s">
        <v>205</v>
      </c>
      <c r="E29" s="60" t="s">
        <v>170</v>
      </c>
      <c r="F29" s="60" t="s">
        <v>163</v>
      </c>
      <c r="G29" s="60" t="s">
        <v>170</v>
      </c>
      <c r="H29" s="60" t="s">
        <v>170</v>
      </c>
      <c r="I29" s="60" t="s">
        <v>163</v>
      </c>
      <c r="J29" s="60" t="s">
        <v>163</v>
      </c>
      <c r="K29" s="60" t="s">
        <v>170</v>
      </c>
      <c r="L29" s="60" t="s">
        <v>163</v>
      </c>
      <c r="M29" s="60" t="s">
        <v>9</v>
      </c>
      <c r="N29" s="60" t="s">
        <v>170</v>
      </c>
      <c r="O29" s="60" t="s">
        <v>168</v>
      </c>
      <c r="P29" s="60" t="s">
        <v>171</v>
      </c>
      <c r="Q29" s="60" t="s">
        <v>170</v>
      </c>
      <c r="R29" s="60" t="s">
        <v>163</v>
      </c>
      <c r="S29" s="60" t="s">
        <v>163</v>
      </c>
      <c r="T29" s="60" t="s">
        <v>163</v>
      </c>
      <c r="U29" s="60" t="s">
        <v>163</v>
      </c>
      <c r="V29" s="60" t="s">
        <v>163</v>
      </c>
      <c r="W29" s="60" t="s">
        <v>163</v>
      </c>
      <c r="X29" s="60" t="s">
        <v>163</v>
      </c>
      <c r="Y29" s="60" t="s">
        <v>163</v>
      </c>
      <c r="Z29" s="60" t="s">
        <v>163</v>
      </c>
      <c r="AA29" s="60" t="s">
        <v>163</v>
      </c>
      <c r="AB29" s="60" t="s">
        <v>170</v>
      </c>
      <c r="AC29" s="60" t="s">
        <v>171</v>
      </c>
      <c r="AD29" s="60" t="s">
        <v>171</v>
      </c>
      <c r="AE29" s="60" t="s">
        <v>183</v>
      </c>
      <c r="AF29" s="60" t="s">
        <v>171</v>
      </c>
      <c r="AG29" s="60" t="s">
        <v>168</v>
      </c>
      <c r="AH29" s="85">
        <v>7036000</v>
      </c>
      <c r="AI29" s="85">
        <v>8747000</v>
      </c>
      <c r="AJ29" s="85">
        <v>1257000</v>
      </c>
      <c r="AK29" s="85">
        <v>0</v>
      </c>
      <c r="AL29" s="49">
        <v>17040000</v>
      </c>
      <c r="AM29" s="24">
        <v>16575014.590058103</v>
      </c>
      <c r="AN29" s="24">
        <v>1837000</v>
      </c>
      <c r="AO29" s="49">
        <f t="shared" si="6"/>
        <v>18412014.590058103</v>
      </c>
      <c r="AP29" s="49">
        <v>16928000</v>
      </c>
      <c r="AQ29" s="49">
        <v>20866000</v>
      </c>
      <c r="AR29" s="164">
        <f t="shared" si="0"/>
        <v>0.23263232514177701</v>
      </c>
      <c r="AS29" s="49">
        <v>1837000</v>
      </c>
      <c r="AT29" s="49">
        <v>3612000</v>
      </c>
      <c r="AU29" s="164">
        <f t="shared" si="12"/>
        <v>0.96624931954273263</v>
      </c>
      <c r="AV29" s="26">
        <f t="shared" si="1"/>
        <v>20430898.773402199</v>
      </c>
      <c r="AW29" s="165">
        <f t="shared" si="2"/>
        <v>3612000</v>
      </c>
      <c r="AX29" s="49">
        <f t="shared" si="3"/>
        <v>24042898.773402199</v>
      </c>
      <c r="AY29" s="54">
        <v>16990000</v>
      </c>
      <c r="AZ29" s="24">
        <v>8642000</v>
      </c>
      <c r="BA29" s="24">
        <v>9378734.2247243728</v>
      </c>
      <c r="BB29" s="49">
        <v>10370000</v>
      </c>
      <c r="BC29" s="49">
        <v>10506000</v>
      </c>
      <c r="BD29" s="166">
        <v>3.5000000000000003E-2</v>
      </c>
      <c r="BE29" s="166">
        <v>2.5999999999999999E-2</v>
      </c>
      <c r="BF29" s="49">
        <f t="shared" si="10"/>
        <v>9893493.7989095133</v>
      </c>
      <c r="BG29" s="40">
        <f t="shared" si="11"/>
        <v>-4.5950453335630304E-2</v>
      </c>
      <c r="BH29" s="6">
        <f t="shared" si="13"/>
        <v>8947777.1353838965</v>
      </c>
      <c r="BI29" s="24"/>
      <c r="BJ29" s="24">
        <v>1703000</v>
      </c>
      <c r="BK29" s="24">
        <v>1580311.0928961749</v>
      </c>
      <c r="BL29" s="24"/>
      <c r="BM29" s="38">
        <v>300937575</v>
      </c>
      <c r="BN29" s="3">
        <v>711249938.76840651</v>
      </c>
      <c r="BO29" s="54">
        <v>732433869.24467695</v>
      </c>
      <c r="BP29" s="53">
        <v>350677259</v>
      </c>
      <c r="BQ29" s="86">
        <v>526015888.50000012</v>
      </c>
      <c r="BR29" s="86">
        <f t="shared" si="5"/>
        <v>438346573.75000006</v>
      </c>
      <c r="BS29" s="53">
        <v>6426165.1002560062</v>
      </c>
      <c r="BT29" s="54">
        <v>28112</v>
      </c>
      <c r="BU29" s="54">
        <v>28112</v>
      </c>
      <c r="BV29" s="53">
        <f t="shared" si="9"/>
        <v>28112</v>
      </c>
      <c r="BW29" s="57">
        <v>2.9902871712606638E-2</v>
      </c>
      <c r="BX29" s="83">
        <f t="shared" si="4"/>
        <v>68042.43033185594</v>
      </c>
    </row>
    <row r="30" spans="1:76" ht="15.5" hidden="1" x14ac:dyDescent="0.35">
      <c r="A30" s="26" t="s">
        <v>206</v>
      </c>
      <c r="B30" t="s">
        <v>165</v>
      </c>
      <c r="C30" t="s">
        <v>177</v>
      </c>
      <c r="D30" t="s">
        <v>167</v>
      </c>
      <c r="E30" s="60" t="s">
        <v>168</v>
      </c>
      <c r="F30" s="60" t="s">
        <v>169</v>
      </c>
      <c r="G30" s="60" t="s">
        <v>169</v>
      </c>
      <c r="H30" s="60" t="s">
        <v>169</v>
      </c>
      <c r="I30" s="60" t="s">
        <v>170</v>
      </c>
      <c r="J30" s="60" t="s">
        <v>170</v>
      </c>
      <c r="K30" s="60" t="s">
        <v>170</v>
      </c>
      <c r="L30" s="60" t="s">
        <v>163</v>
      </c>
      <c r="M30" s="60" t="s">
        <v>163</v>
      </c>
      <c r="N30" s="60" t="s">
        <v>169</v>
      </c>
      <c r="O30" s="60" t="s">
        <v>171</v>
      </c>
      <c r="P30" s="60" t="s">
        <v>172</v>
      </c>
      <c r="Q30" s="60" t="s">
        <v>170</v>
      </c>
      <c r="R30" s="60" t="s">
        <v>9</v>
      </c>
      <c r="S30" s="60" t="s">
        <v>170</v>
      </c>
      <c r="T30" s="60" t="s">
        <v>170</v>
      </c>
      <c r="U30" s="60" t="s">
        <v>169</v>
      </c>
      <c r="V30" s="60" t="s">
        <v>170</v>
      </c>
      <c r="W30" s="60" t="s">
        <v>170</v>
      </c>
      <c r="X30" s="60" t="s">
        <v>169</v>
      </c>
      <c r="Y30" s="60" t="s">
        <v>170</v>
      </c>
      <c r="Z30" s="60" t="s">
        <v>170</v>
      </c>
      <c r="AA30" s="60" t="s">
        <v>169</v>
      </c>
      <c r="AB30" s="60" t="s">
        <v>169</v>
      </c>
      <c r="AC30" s="60" t="s">
        <v>173</v>
      </c>
      <c r="AD30" s="60" t="s">
        <v>173</v>
      </c>
      <c r="AE30" s="60" t="s">
        <v>174</v>
      </c>
      <c r="AF30" s="60" t="s">
        <v>173</v>
      </c>
      <c r="AG30" s="60" t="s">
        <v>175</v>
      </c>
      <c r="AH30" s="85">
        <v>6688000</v>
      </c>
      <c r="AI30" s="85">
        <v>1856000</v>
      </c>
      <c r="AJ30" s="85">
        <v>602000</v>
      </c>
      <c r="AK30" s="85">
        <v>198000</v>
      </c>
      <c r="AL30" s="49">
        <v>9344000</v>
      </c>
      <c r="AM30" s="24">
        <v>9959000</v>
      </c>
      <c r="AN30" s="24">
        <v>1206000</v>
      </c>
      <c r="AO30" s="49">
        <f t="shared" si="6"/>
        <v>11165000</v>
      </c>
      <c r="AP30" s="49">
        <v>13008000</v>
      </c>
      <c r="AQ30" s="49">
        <v>10475000</v>
      </c>
      <c r="AR30" s="164">
        <f t="shared" si="0"/>
        <v>-0.19472632226322262</v>
      </c>
      <c r="AS30" s="49">
        <v>1288000</v>
      </c>
      <c r="AT30" s="49">
        <v>1552000</v>
      </c>
      <c r="AU30" s="164">
        <f t="shared" si="12"/>
        <v>0.20496894409937894</v>
      </c>
      <c r="AV30" s="26">
        <f t="shared" si="1"/>
        <v>8019720.5565805659</v>
      </c>
      <c r="AW30" s="165">
        <f t="shared" si="2"/>
        <v>1453192.5465838511</v>
      </c>
      <c r="AX30" s="49">
        <f t="shared" si="3"/>
        <v>9472913.1031644177</v>
      </c>
      <c r="AY30" s="54">
        <v>9146000</v>
      </c>
      <c r="AZ30" s="24">
        <v>6408000</v>
      </c>
      <c r="BA30" s="24">
        <v>8242000</v>
      </c>
      <c r="BB30" s="49">
        <v>7502000</v>
      </c>
      <c r="BC30" s="49">
        <v>7432000</v>
      </c>
      <c r="BD30" s="166">
        <v>2.8199999999999999E-2</v>
      </c>
      <c r="BE30" s="166">
        <v>2.5499999999999998E-2</v>
      </c>
      <c r="BF30" s="49">
        <f t="shared" si="10"/>
        <v>7048430.7425766466</v>
      </c>
      <c r="BG30" s="40">
        <f t="shared" si="11"/>
        <v>-6.0459778382211837E-2</v>
      </c>
      <c r="BH30" s="6">
        <f t="shared" si="13"/>
        <v>7743690.5065738102</v>
      </c>
      <c r="BI30" s="24"/>
      <c r="BJ30" s="24">
        <v>1073000</v>
      </c>
      <c r="BK30" s="24">
        <v>788000</v>
      </c>
      <c r="BL30" s="24"/>
      <c r="BM30" s="38">
        <v>1461741000</v>
      </c>
      <c r="BN30" s="3">
        <v>696640000</v>
      </c>
      <c r="BO30" s="54">
        <v>497600000</v>
      </c>
      <c r="BP30" s="53">
        <v>137344179.51999995</v>
      </c>
      <c r="BQ30" s="86">
        <v>151231999.99999997</v>
      </c>
      <c r="BR30" s="86">
        <f t="shared" si="5"/>
        <v>144288089.75999996</v>
      </c>
      <c r="BS30" s="53">
        <v>1994566.4271218909</v>
      </c>
      <c r="BT30" s="54">
        <v>15194</v>
      </c>
      <c r="BU30" s="54">
        <v>4710</v>
      </c>
      <c r="BV30" s="53">
        <f t="shared" si="9"/>
        <v>9952</v>
      </c>
      <c r="BW30" s="57">
        <v>4.0000000000000001E-3</v>
      </c>
      <c r="BX30" s="83">
        <f t="shared" si="4"/>
        <v>11218.163144524435</v>
      </c>
    </row>
    <row r="31" spans="1:76" ht="15.5" hidden="1" x14ac:dyDescent="0.35">
      <c r="A31" s="26" t="s">
        <v>207</v>
      </c>
      <c r="B31" t="s">
        <v>165</v>
      </c>
      <c r="C31" t="s">
        <v>166</v>
      </c>
      <c r="D31" t="s">
        <v>198</v>
      </c>
      <c r="E31" s="60" t="s">
        <v>168</v>
      </c>
      <c r="F31" s="60" t="s">
        <v>169</v>
      </c>
      <c r="G31" s="60" t="s">
        <v>169</v>
      </c>
      <c r="H31" s="60" t="s">
        <v>169</v>
      </c>
      <c r="I31" s="60" t="s">
        <v>170</v>
      </c>
      <c r="J31" s="60" t="s">
        <v>170</v>
      </c>
      <c r="K31" s="60" t="s">
        <v>170</v>
      </c>
      <c r="L31" s="60" t="s">
        <v>163</v>
      </c>
      <c r="M31" s="60" t="s">
        <v>163</v>
      </c>
      <c r="N31" s="60" t="s">
        <v>168</v>
      </c>
      <c r="O31" s="60" t="s">
        <v>183</v>
      </c>
      <c r="P31" s="60" t="s">
        <v>174</v>
      </c>
      <c r="Q31" s="60" t="s">
        <v>170</v>
      </c>
      <c r="R31" s="60" t="s">
        <v>9</v>
      </c>
      <c r="S31" s="60" t="s">
        <v>169</v>
      </c>
      <c r="T31" s="60" t="s">
        <v>169</v>
      </c>
      <c r="U31" s="60" t="s">
        <v>169</v>
      </c>
      <c r="V31" s="60" t="s">
        <v>169</v>
      </c>
      <c r="W31" s="60" t="s">
        <v>169</v>
      </c>
      <c r="X31" s="60" t="s">
        <v>169</v>
      </c>
      <c r="Y31" s="60" t="s">
        <v>169</v>
      </c>
      <c r="Z31" s="60" t="s">
        <v>169</v>
      </c>
      <c r="AA31" s="60" t="s">
        <v>169</v>
      </c>
      <c r="AB31" s="60" t="s">
        <v>169</v>
      </c>
      <c r="AC31" s="60" t="s">
        <v>172</v>
      </c>
      <c r="AD31" s="60" t="s">
        <v>172</v>
      </c>
      <c r="AE31" s="60" t="s">
        <v>190</v>
      </c>
      <c r="AF31" s="60" t="s">
        <v>172</v>
      </c>
      <c r="AG31" s="60" t="s">
        <v>173</v>
      </c>
      <c r="AH31" s="85">
        <v>9486000</v>
      </c>
      <c r="AI31" s="85">
        <v>6896000</v>
      </c>
      <c r="AJ31" s="85">
        <v>4286000</v>
      </c>
      <c r="AK31" s="85">
        <v>40000</v>
      </c>
      <c r="AL31" s="49">
        <v>20708000</v>
      </c>
      <c r="AM31" s="24">
        <v>23737000</v>
      </c>
      <c r="AN31" s="24">
        <v>0</v>
      </c>
      <c r="AO31" s="49">
        <f t="shared" si="6"/>
        <v>23737000</v>
      </c>
      <c r="AP31" s="49">
        <v>22935000</v>
      </c>
      <c r="AQ31" s="49">
        <v>25066000</v>
      </c>
      <c r="AR31" s="164">
        <f t="shared" si="0"/>
        <v>9.2914759101809352E-2</v>
      </c>
      <c r="AS31" s="49">
        <v>0</v>
      </c>
      <c r="AT31" s="49">
        <v>0</v>
      </c>
      <c r="AU31" s="164">
        <f t="shared" si="12"/>
        <v>0</v>
      </c>
      <c r="AV31" s="26">
        <f t="shared" si="1"/>
        <v>25942517.636799648</v>
      </c>
      <c r="AW31" s="165">
        <f t="shared" si="2"/>
        <v>0</v>
      </c>
      <c r="AX31" s="49">
        <f t="shared" si="3"/>
        <v>25942517.636799648</v>
      </c>
      <c r="AY31" s="54">
        <v>19728000</v>
      </c>
      <c r="AZ31" s="24">
        <v>10019317.389999999</v>
      </c>
      <c r="BA31" s="24">
        <v>10686000</v>
      </c>
      <c r="BB31" s="49">
        <v>8968000</v>
      </c>
      <c r="BC31" s="49">
        <v>9463000</v>
      </c>
      <c r="BD31" s="166">
        <v>3.5000000000000003E-2</v>
      </c>
      <c r="BE31" s="166">
        <v>2.5999999999999999E-2</v>
      </c>
      <c r="BF31" s="49">
        <f t="shared" si="10"/>
        <v>8911301.3343880381</v>
      </c>
      <c r="BG31" s="40">
        <f t="shared" si="11"/>
        <v>-6.322331134250847E-3</v>
      </c>
      <c r="BH31" s="6">
        <f t="shared" si="13"/>
        <v>10618439.569499396</v>
      </c>
      <c r="BI31" s="24"/>
      <c r="BJ31" s="24">
        <v>598000</v>
      </c>
      <c r="BK31" s="24">
        <v>282000</v>
      </c>
      <c r="BL31" s="24"/>
      <c r="BM31" s="38">
        <v>196847500</v>
      </c>
      <c r="BN31" s="3">
        <v>604628997.22469735</v>
      </c>
      <c r="BO31" s="54">
        <v>696064219.34875333</v>
      </c>
      <c r="BP31" s="53">
        <v>958340470.00000012</v>
      </c>
      <c r="BQ31" s="86">
        <v>1437510704.9999998</v>
      </c>
      <c r="BR31" s="86">
        <f t="shared" si="5"/>
        <v>1197925587.5</v>
      </c>
      <c r="BS31" s="53">
        <v>17561600.943381783</v>
      </c>
      <c r="BT31" s="54">
        <v>45889.599999999999</v>
      </c>
      <c r="BU31" s="54">
        <v>48281.599999999999</v>
      </c>
      <c r="BV31" s="53">
        <f t="shared" si="9"/>
        <v>47085.599999999999</v>
      </c>
      <c r="BW31" s="57">
        <v>5.0963689319001304E-3</v>
      </c>
      <c r="BX31" s="83">
        <f t="shared" si="4"/>
        <v>54842.750791339437</v>
      </c>
    </row>
    <row r="32" spans="1:76" ht="15.5" hidden="1" x14ac:dyDescent="0.35">
      <c r="A32" s="26" t="s">
        <v>208</v>
      </c>
      <c r="B32" t="s">
        <v>165</v>
      </c>
      <c r="C32" t="s">
        <v>177</v>
      </c>
      <c r="D32" t="s">
        <v>167</v>
      </c>
      <c r="E32" s="60" t="s">
        <v>168</v>
      </c>
      <c r="F32" s="60" t="s">
        <v>169</v>
      </c>
      <c r="G32" s="60" t="s">
        <v>169</v>
      </c>
      <c r="H32" s="60" t="s">
        <v>169</v>
      </c>
      <c r="I32" s="60" t="s">
        <v>170</v>
      </c>
      <c r="J32" s="60" t="s">
        <v>170</v>
      </c>
      <c r="K32" s="60" t="s">
        <v>170</v>
      </c>
      <c r="L32" s="60" t="s">
        <v>163</v>
      </c>
      <c r="M32" s="60" t="s">
        <v>163</v>
      </c>
      <c r="N32" s="60" t="s">
        <v>169</v>
      </c>
      <c r="O32" s="60" t="s">
        <v>171</v>
      </c>
      <c r="P32" s="60" t="s">
        <v>172</v>
      </c>
      <c r="Q32" s="60" t="s">
        <v>170</v>
      </c>
      <c r="R32" s="60" t="s">
        <v>9</v>
      </c>
      <c r="S32" s="60" t="s">
        <v>170</v>
      </c>
      <c r="T32" s="60" t="s">
        <v>170</v>
      </c>
      <c r="U32" s="60" t="s">
        <v>169</v>
      </c>
      <c r="V32" s="60" t="s">
        <v>170</v>
      </c>
      <c r="W32" s="60" t="s">
        <v>170</v>
      </c>
      <c r="X32" s="60" t="s">
        <v>169</v>
      </c>
      <c r="Y32" s="60" t="s">
        <v>170</v>
      </c>
      <c r="Z32" s="60" t="s">
        <v>170</v>
      </c>
      <c r="AA32" s="60" t="s">
        <v>169</v>
      </c>
      <c r="AB32" s="60" t="s">
        <v>169</v>
      </c>
      <c r="AC32" s="60" t="s">
        <v>173</v>
      </c>
      <c r="AD32" s="60" t="s">
        <v>173</v>
      </c>
      <c r="AE32" s="60" t="s">
        <v>174</v>
      </c>
      <c r="AF32" s="60" t="s">
        <v>173</v>
      </c>
      <c r="AG32" s="60" t="s">
        <v>175</v>
      </c>
      <c r="AH32" s="85">
        <v>1419000</v>
      </c>
      <c r="AI32" s="85">
        <v>822000</v>
      </c>
      <c r="AJ32" s="85">
        <v>110000</v>
      </c>
      <c r="AK32" s="85">
        <v>24000</v>
      </c>
      <c r="AL32" s="49">
        <v>2375000</v>
      </c>
      <c r="AM32" s="24">
        <v>2422432.7354260087</v>
      </c>
      <c r="AN32" s="24">
        <v>76000</v>
      </c>
      <c r="AO32" s="49">
        <f t="shared" si="6"/>
        <v>2498432.7354260087</v>
      </c>
      <c r="AP32" s="49">
        <v>2265000</v>
      </c>
      <c r="AQ32" s="49">
        <v>2257000</v>
      </c>
      <c r="AR32" s="164">
        <f t="shared" si="0"/>
        <v>-3.5320088300220265E-3</v>
      </c>
      <c r="AS32" s="49">
        <v>76000</v>
      </c>
      <c r="AT32" s="49">
        <v>31000</v>
      </c>
      <c r="AU32" s="164">
        <f t="shared" si="12"/>
        <v>-0.59210526315789469</v>
      </c>
      <c r="AV32" s="26">
        <f t="shared" si="1"/>
        <v>2413876.6816143496</v>
      </c>
      <c r="AW32" s="165">
        <f t="shared" si="2"/>
        <v>31000.000000000004</v>
      </c>
      <c r="AX32" s="49">
        <f t="shared" si="3"/>
        <v>2444876.6816143496</v>
      </c>
      <c r="AY32" s="54">
        <v>2346000</v>
      </c>
      <c r="AZ32" s="24">
        <v>1683000</v>
      </c>
      <c r="BA32" s="24">
        <v>1853639.2212057237</v>
      </c>
      <c r="BB32" s="49">
        <v>2248000</v>
      </c>
      <c r="BC32" s="49">
        <v>2070000</v>
      </c>
      <c r="BD32" s="166">
        <v>2.3E-2</v>
      </c>
      <c r="BE32" s="166">
        <v>2.1000000000000001E-2</v>
      </c>
      <c r="BF32" s="49">
        <f t="shared" si="10"/>
        <v>1981841.7341402401</v>
      </c>
      <c r="BG32" s="40">
        <f t="shared" si="11"/>
        <v>-0.11839780509775799</v>
      </c>
      <c r="BH32" s="6">
        <f t="shared" si="13"/>
        <v>1634172.4059718484</v>
      </c>
      <c r="BI32" s="24"/>
      <c r="BJ32" s="24">
        <v>25000</v>
      </c>
      <c r="BK32" s="24">
        <v>0</v>
      </c>
      <c r="BL32" s="24"/>
      <c r="BM32" s="38">
        <v>3837000</v>
      </c>
      <c r="BN32" s="3">
        <v>280000000</v>
      </c>
      <c r="BO32" s="54">
        <v>200000000</v>
      </c>
      <c r="BP32" s="53">
        <v>50350000</v>
      </c>
      <c r="BQ32" s="86">
        <v>68100000</v>
      </c>
      <c r="BR32" s="86">
        <f t="shared" si="5"/>
        <v>59225000</v>
      </c>
      <c r="BS32" s="53">
        <v>851880.63775491819</v>
      </c>
      <c r="BT32" s="54">
        <v>4000</v>
      </c>
      <c r="BU32" s="54">
        <v>4000</v>
      </c>
      <c r="BV32" s="53">
        <f t="shared" si="9"/>
        <v>4000</v>
      </c>
      <c r="BW32" s="57">
        <v>0</v>
      </c>
      <c r="BX32" s="83">
        <f t="shared" si="4"/>
        <v>4000</v>
      </c>
    </row>
    <row r="33" spans="1:76" ht="15.5" x14ac:dyDescent="0.35">
      <c r="A33" s="26" t="s">
        <v>209</v>
      </c>
      <c r="B33" t="s">
        <v>162</v>
      </c>
      <c r="C33" t="s">
        <v>166</v>
      </c>
      <c r="D33" t="s">
        <v>195</v>
      </c>
      <c r="E33" s="60" t="s">
        <v>9</v>
      </c>
      <c r="F33" s="60" t="s">
        <v>9</v>
      </c>
      <c r="G33" s="60" t="s">
        <v>9</v>
      </c>
      <c r="H33" s="60" t="s">
        <v>9</v>
      </c>
      <c r="I33" s="60" t="s">
        <v>163</v>
      </c>
      <c r="J33" s="60" t="s">
        <v>9</v>
      </c>
      <c r="K33" s="60" t="s">
        <v>9</v>
      </c>
      <c r="L33" s="60" t="s">
        <v>9</v>
      </c>
      <c r="M33" s="60" t="s">
        <v>9</v>
      </c>
      <c r="N33" s="60" t="s">
        <v>9</v>
      </c>
      <c r="O33" s="60" t="s">
        <v>9</v>
      </c>
      <c r="P33" s="60" t="s">
        <v>9</v>
      </c>
      <c r="Q33" s="60" t="s">
        <v>9</v>
      </c>
      <c r="R33" s="60" t="s">
        <v>9</v>
      </c>
      <c r="S33" s="60" t="s">
        <v>9</v>
      </c>
      <c r="T33" s="60" t="s">
        <v>9</v>
      </c>
      <c r="U33" s="60" t="s">
        <v>9</v>
      </c>
      <c r="V33" s="60" t="s">
        <v>9</v>
      </c>
      <c r="W33" s="60" t="s">
        <v>9</v>
      </c>
      <c r="X33" s="60" t="s">
        <v>9</v>
      </c>
      <c r="Y33" s="60" t="s">
        <v>9</v>
      </c>
      <c r="Z33" s="60" t="s">
        <v>9</v>
      </c>
      <c r="AA33" s="60" t="s">
        <v>9</v>
      </c>
      <c r="AB33" s="60" t="s">
        <v>9</v>
      </c>
      <c r="AC33" s="60" t="s">
        <v>9</v>
      </c>
      <c r="AD33" s="60" t="s">
        <v>9</v>
      </c>
      <c r="AE33" s="60" t="s">
        <v>9</v>
      </c>
      <c r="AF33" s="60" t="s">
        <v>9</v>
      </c>
      <c r="AG33" s="60" t="s">
        <v>9</v>
      </c>
      <c r="AH33" s="85">
        <v>3593000</v>
      </c>
      <c r="AI33" s="85">
        <v>7674000</v>
      </c>
      <c r="AJ33" s="85">
        <v>1820000</v>
      </c>
      <c r="AK33" s="85">
        <v>915000</v>
      </c>
      <c r="AL33" s="49">
        <v>14002000</v>
      </c>
      <c r="AM33" s="24">
        <v>14871000</v>
      </c>
      <c r="AN33" s="24">
        <v>1447000</v>
      </c>
      <c r="AO33" s="49">
        <f t="shared" si="6"/>
        <v>16318000</v>
      </c>
      <c r="AP33" s="49">
        <v>14545000</v>
      </c>
      <c r="AQ33" s="49">
        <v>15037000</v>
      </c>
      <c r="AR33" s="164">
        <f t="shared" si="0"/>
        <v>3.382605706428321E-2</v>
      </c>
      <c r="AS33" s="49">
        <v>2261000</v>
      </c>
      <c r="AT33" s="49">
        <v>2369000</v>
      </c>
      <c r="AU33" s="164">
        <f t="shared" si="12"/>
        <v>4.776647501105713E-2</v>
      </c>
      <c r="AV33" s="26">
        <f t="shared" si="1"/>
        <v>15374027.294602955</v>
      </c>
      <c r="AW33" s="165">
        <f t="shared" si="2"/>
        <v>1516118.0893409997</v>
      </c>
      <c r="AX33" s="49">
        <f t="shared" si="3"/>
        <v>16890145.383943953</v>
      </c>
      <c r="AY33" s="54">
        <v>13214000</v>
      </c>
      <c r="AZ33" s="24">
        <v>6180000</v>
      </c>
      <c r="BA33" s="24">
        <v>8699000</v>
      </c>
      <c r="BB33" s="49">
        <v>7977000</v>
      </c>
      <c r="BC33" s="49">
        <v>8244000</v>
      </c>
      <c r="BD33" s="166">
        <v>2.9000000000000001E-2</v>
      </c>
      <c r="BE33" s="166">
        <v>2.9000000000000001E-2</v>
      </c>
      <c r="BF33" s="49">
        <f t="shared" si="10"/>
        <v>7785871.5331197036</v>
      </c>
      <c r="BG33" s="40">
        <f t="shared" si="11"/>
        <v>-2.3959943196727673E-2</v>
      </c>
      <c r="BH33" s="6">
        <f t="shared" si="13"/>
        <v>8490572.4541316666</v>
      </c>
      <c r="BI33" s="24"/>
      <c r="BJ33" s="24">
        <v>2959000</v>
      </c>
      <c r="BK33" s="24">
        <v>2389000</v>
      </c>
      <c r="BL33" s="24"/>
      <c r="BM33" s="38">
        <v>217316699.99999997</v>
      </c>
      <c r="BN33" s="3">
        <v>785980300.00000012</v>
      </c>
      <c r="BO33" s="54">
        <v>561414500</v>
      </c>
      <c r="BP33" s="53">
        <v>165584501</v>
      </c>
      <c r="BQ33" s="86">
        <v>259981208.99999997</v>
      </c>
      <c r="BR33" s="86">
        <f t="shared" si="5"/>
        <v>212782855</v>
      </c>
      <c r="BS33" s="53">
        <v>3144965.2075384893</v>
      </c>
      <c r="BT33" s="54">
        <v>8630</v>
      </c>
      <c r="BU33" s="54">
        <v>13826.58</v>
      </c>
      <c r="BV33" s="53">
        <f t="shared" si="9"/>
        <v>11228.29</v>
      </c>
      <c r="BW33" s="57">
        <v>1.6335680277609121E-2</v>
      </c>
      <c r="BX33" s="83">
        <f t="shared" si="4"/>
        <v>18256.973987234815</v>
      </c>
    </row>
    <row r="34" spans="1:76" ht="15.5" hidden="1" x14ac:dyDescent="0.35">
      <c r="A34" s="26" t="s">
        <v>210</v>
      </c>
      <c r="B34" t="s">
        <v>162</v>
      </c>
      <c r="C34" t="s">
        <v>166</v>
      </c>
      <c r="D34" t="s">
        <v>181</v>
      </c>
      <c r="E34" s="60" t="s">
        <v>169</v>
      </c>
      <c r="F34" s="60" t="s">
        <v>170</v>
      </c>
      <c r="G34" s="60" t="s">
        <v>170</v>
      </c>
      <c r="H34" s="60" t="s">
        <v>170</v>
      </c>
      <c r="I34" s="60" t="s">
        <v>163</v>
      </c>
      <c r="J34" s="60" t="s">
        <v>163</v>
      </c>
      <c r="K34" s="60" t="s">
        <v>170</v>
      </c>
      <c r="L34" s="60" t="s">
        <v>163</v>
      </c>
      <c r="M34" s="60" t="s">
        <v>9</v>
      </c>
      <c r="N34" s="60" t="s">
        <v>170</v>
      </c>
      <c r="O34" s="60" t="s">
        <v>182</v>
      </c>
      <c r="P34" s="60" t="s">
        <v>183</v>
      </c>
      <c r="Q34" s="60" t="s">
        <v>170</v>
      </c>
      <c r="R34" s="60" t="s">
        <v>163</v>
      </c>
      <c r="S34" s="60" t="s">
        <v>163</v>
      </c>
      <c r="T34" s="60" t="s">
        <v>163</v>
      </c>
      <c r="U34" s="60" t="s">
        <v>163</v>
      </c>
      <c r="V34" s="60" t="s">
        <v>163</v>
      </c>
      <c r="W34" s="60" t="s">
        <v>163</v>
      </c>
      <c r="X34" s="60" t="s">
        <v>163</v>
      </c>
      <c r="Y34" s="60" t="s">
        <v>163</v>
      </c>
      <c r="Z34" s="60" t="s">
        <v>163</v>
      </c>
      <c r="AA34" s="60" t="s">
        <v>163</v>
      </c>
      <c r="AB34" s="60" t="s">
        <v>170</v>
      </c>
      <c r="AC34" s="60" t="s">
        <v>183</v>
      </c>
      <c r="AD34" s="60" t="s">
        <v>183</v>
      </c>
      <c r="AE34" s="60" t="s">
        <v>175</v>
      </c>
      <c r="AF34" s="60" t="s">
        <v>183</v>
      </c>
      <c r="AG34" s="60" t="s">
        <v>171</v>
      </c>
      <c r="AH34" s="85">
        <v>8357786.0000000009</v>
      </c>
      <c r="AI34" s="85">
        <v>8623472.5200000014</v>
      </c>
      <c r="AJ34" s="85">
        <v>2485535.8199999998</v>
      </c>
      <c r="AK34" s="85">
        <v>3574000</v>
      </c>
      <c r="AL34" s="49">
        <v>23040794.340000004</v>
      </c>
      <c r="AM34" s="24">
        <v>22141000</v>
      </c>
      <c r="AN34" s="24">
        <v>1272000</v>
      </c>
      <c r="AO34" s="49">
        <f t="shared" si="6"/>
        <v>23413000</v>
      </c>
      <c r="AP34" s="49">
        <v>21741000</v>
      </c>
      <c r="AQ34" s="49">
        <v>26759000</v>
      </c>
      <c r="AR34" s="164">
        <f t="shared" si="0"/>
        <v>0.23080815049905712</v>
      </c>
      <c r="AS34" s="49">
        <v>1228000</v>
      </c>
      <c r="AT34" s="49">
        <v>1907000</v>
      </c>
      <c r="AU34" s="164">
        <f t="shared" si="12"/>
        <v>0.55293159609120512</v>
      </c>
      <c r="AV34" s="26">
        <f t="shared" si="1"/>
        <v>27251323.260199625</v>
      </c>
      <c r="AW34" s="165">
        <f t="shared" si="2"/>
        <v>1975328.9902280129</v>
      </c>
      <c r="AX34" s="49">
        <f t="shared" si="3"/>
        <v>29226652.250427637</v>
      </c>
      <c r="AY34" s="54">
        <v>20513000</v>
      </c>
      <c r="AZ34" s="24">
        <v>15650000</v>
      </c>
      <c r="BA34" s="24">
        <v>13922000</v>
      </c>
      <c r="BB34" s="49">
        <v>13385000</v>
      </c>
      <c r="BC34" s="49">
        <v>15086000</v>
      </c>
      <c r="BD34" s="166">
        <v>3.5000000000000003E-2</v>
      </c>
      <c r="BE34" s="166">
        <v>2.5999999999999999E-2</v>
      </c>
      <c r="BF34" s="49">
        <f t="shared" si="10"/>
        <v>14206477.008409377</v>
      </c>
      <c r="BG34" s="40">
        <f t="shared" si="11"/>
        <v>6.1372955428418141E-2</v>
      </c>
      <c r="BH34" s="6">
        <f>BA34*(1+BG34)</f>
        <v>14776434.285474438</v>
      </c>
      <c r="BI34" s="24"/>
      <c r="BJ34" s="24">
        <v>1870000</v>
      </c>
      <c r="BK34" s="24">
        <v>1769000</v>
      </c>
      <c r="BL34" s="24"/>
      <c r="BM34" s="38">
        <v>265164465.91680416</v>
      </c>
      <c r="BN34" s="3">
        <v>696960230.58082223</v>
      </c>
      <c r="BO34" s="54">
        <v>777762535.36514056</v>
      </c>
      <c r="BP34" s="53">
        <v>940599300</v>
      </c>
      <c r="BQ34" s="86">
        <v>940599300</v>
      </c>
      <c r="BR34" s="86">
        <f t="shared" si="5"/>
        <v>940599300</v>
      </c>
      <c r="BS34" s="53">
        <v>12753050.654519964</v>
      </c>
      <c r="BT34" s="54">
        <v>50424</v>
      </c>
      <c r="BU34" s="54">
        <v>46545</v>
      </c>
      <c r="BV34" s="53">
        <f t="shared" si="9"/>
        <v>48484.5</v>
      </c>
      <c r="BW34" s="57">
        <v>7.7877977116158625E-3</v>
      </c>
      <c r="BX34" s="83">
        <f t="shared" si="4"/>
        <v>61189.342950057799</v>
      </c>
    </row>
    <row r="35" spans="1:76" ht="15.5" hidden="1" x14ac:dyDescent="0.35">
      <c r="A35" s="26" t="s">
        <v>211</v>
      </c>
      <c r="B35" t="s">
        <v>162</v>
      </c>
      <c r="C35" t="s">
        <v>177</v>
      </c>
      <c r="D35" t="s">
        <v>212</v>
      </c>
      <c r="E35" s="60" t="s">
        <v>163</v>
      </c>
      <c r="F35" s="60" t="s">
        <v>170</v>
      </c>
      <c r="G35" s="60" t="s">
        <v>163</v>
      </c>
      <c r="H35" s="60" t="s">
        <v>163</v>
      </c>
      <c r="I35" s="60" t="s">
        <v>163</v>
      </c>
      <c r="J35" s="60" t="s">
        <v>163</v>
      </c>
      <c r="K35" s="60" t="s">
        <v>163</v>
      </c>
      <c r="L35" s="60" t="s">
        <v>163</v>
      </c>
      <c r="M35" s="60" t="s">
        <v>9</v>
      </c>
      <c r="N35" s="60" t="s">
        <v>163</v>
      </c>
      <c r="O35" s="60" t="s">
        <v>170</v>
      </c>
      <c r="P35" s="60" t="s">
        <v>169</v>
      </c>
      <c r="Q35" s="60" t="s">
        <v>163</v>
      </c>
      <c r="R35" s="60" t="s">
        <v>163</v>
      </c>
      <c r="S35" s="60" t="s">
        <v>163</v>
      </c>
      <c r="T35" s="60" t="s">
        <v>163</v>
      </c>
      <c r="U35" s="60" t="s">
        <v>163</v>
      </c>
      <c r="V35" s="60" t="s">
        <v>163</v>
      </c>
      <c r="W35" s="60" t="s">
        <v>163</v>
      </c>
      <c r="X35" s="60" t="s">
        <v>163</v>
      </c>
      <c r="Y35" s="60" t="s">
        <v>163</v>
      </c>
      <c r="Z35" s="60" t="s">
        <v>163</v>
      </c>
      <c r="AA35" s="60" t="s">
        <v>163</v>
      </c>
      <c r="AB35" s="60" t="s">
        <v>163</v>
      </c>
      <c r="AC35" s="60" t="s">
        <v>169</v>
      </c>
      <c r="AD35" s="60" t="s">
        <v>169</v>
      </c>
      <c r="AE35" s="60" t="s">
        <v>169</v>
      </c>
      <c r="AF35" s="60" t="s">
        <v>169</v>
      </c>
      <c r="AG35" s="60" t="s">
        <v>170</v>
      </c>
      <c r="AH35" s="85">
        <v>1034000</v>
      </c>
      <c r="AI35" s="85">
        <v>1625000</v>
      </c>
      <c r="AJ35" s="85">
        <v>78000</v>
      </c>
      <c r="AK35" s="85">
        <v>0</v>
      </c>
      <c r="AL35" s="49">
        <v>2737000</v>
      </c>
      <c r="AM35" s="24">
        <v>3364615.8103794055</v>
      </c>
      <c r="AN35" s="24">
        <v>0</v>
      </c>
      <c r="AO35" s="49">
        <f t="shared" si="6"/>
        <v>3364615.8103794055</v>
      </c>
      <c r="AP35" s="49">
        <v>3250150</v>
      </c>
      <c r="AQ35" s="49">
        <v>3692970.0000000005</v>
      </c>
      <c r="AR35" s="164">
        <f t="shared" si="0"/>
        <v>0.13624601941448877</v>
      </c>
      <c r="AS35" s="49">
        <v>0</v>
      </c>
      <c r="AT35" s="49">
        <v>0</v>
      </c>
      <c r="AU35" s="164">
        <f t="shared" si="12"/>
        <v>0</v>
      </c>
      <c r="AV35" s="26">
        <f t="shared" si="1"/>
        <v>3823031.3214026541</v>
      </c>
      <c r="AW35" s="165">
        <f t="shared" si="2"/>
        <v>0</v>
      </c>
      <c r="AX35" s="49">
        <f t="shared" si="3"/>
        <v>3823031.3214026541</v>
      </c>
      <c r="AY35" s="54">
        <v>2748121</v>
      </c>
      <c r="AZ35" s="24">
        <v>1840000</v>
      </c>
      <c r="BA35" s="24">
        <v>2464628.0436312454</v>
      </c>
      <c r="BB35" s="49">
        <v>2226500</v>
      </c>
      <c r="BC35" s="49">
        <v>2290840</v>
      </c>
      <c r="BD35" s="166">
        <v>3.4000000000000002E-2</v>
      </c>
      <c r="BE35" s="166">
        <v>2.1000000000000001E-2</v>
      </c>
      <c r="BF35" s="49">
        <f t="shared" si="10"/>
        <v>2169943.7537060226</v>
      </c>
      <c r="BG35" s="40">
        <f t="shared" si="11"/>
        <v>-2.5401413112049132E-2</v>
      </c>
      <c r="BH35" s="6">
        <f t="shared" si="13"/>
        <v>2402023.0085274265</v>
      </c>
      <c r="BI35" s="24"/>
      <c r="BJ35" s="24">
        <v>1820</v>
      </c>
      <c r="BK35" s="24">
        <v>0</v>
      </c>
      <c r="BL35" s="24"/>
      <c r="BM35" s="38">
        <v>3545749.6409352398</v>
      </c>
      <c r="BN35" s="3">
        <v>86153212.204788923</v>
      </c>
      <c r="BO35" s="54">
        <v>101406498.55964473</v>
      </c>
      <c r="BP35" s="53">
        <v>67400000</v>
      </c>
      <c r="BQ35" s="86">
        <v>98299999.999999985</v>
      </c>
      <c r="BR35" s="86">
        <f t="shared" si="5"/>
        <v>82850000</v>
      </c>
      <c r="BS35" s="53">
        <v>1208412.9761991503</v>
      </c>
      <c r="BT35" s="54">
        <v>7200</v>
      </c>
      <c r="BU35" s="54">
        <v>7200</v>
      </c>
      <c r="BV35" s="53">
        <f t="shared" si="9"/>
        <v>7200</v>
      </c>
      <c r="BW35" s="57">
        <v>3.4587533192984576E-3</v>
      </c>
      <c r="BX35" s="83">
        <f t="shared" si="4"/>
        <v>7985.7970387203113</v>
      </c>
    </row>
    <row r="36" spans="1:76" ht="15.5" hidden="1" x14ac:dyDescent="0.35">
      <c r="A36" s="26" t="s">
        <v>213</v>
      </c>
      <c r="B36" t="s">
        <v>162</v>
      </c>
      <c r="C36" t="s">
        <v>160</v>
      </c>
      <c r="D36" t="s">
        <v>181</v>
      </c>
      <c r="E36" s="60" t="s">
        <v>169</v>
      </c>
      <c r="F36" s="60" t="s">
        <v>170</v>
      </c>
      <c r="G36" s="60" t="s">
        <v>170</v>
      </c>
      <c r="H36" s="60" t="s">
        <v>170</v>
      </c>
      <c r="I36" s="60" t="s">
        <v>163</v>
      </c>
      <c r="J36" s="60" t="s">
        <v>163</v>
      </c>
      <c r="K36" s="60" t="s">
        <v>170</v>
      </c>
      <c r="L36" s="60" t="s">
        <v>163</v>
      </c>
      <c r="M36" s="60" t="s">
        <v>9</v>
      </c>
      <c r="N36" s="60" t="s">
        <v>170</v>
      </c>
      <c r="O36" s="60" t="s">
        <v>182</v>
      </c>
      <c r="P36" s="60" t="s">
        <v>183</v>
      </c>
      <c r="Q36" s="60" t="s">
        <v>170</v>
      </c>
      <c r="R36" s="60" t="s">
        <v>163</v>
      </c>
      <c r="S36" s="60" t="s">
        <v>163</v>
      </c>
      <c r="T36" s="60" t="s">
        <v>163</v>
      </c>
      <c r="U36" s="60" t="s">
        <v>163</v>
      </c>
      <c r="V36" s="60" t="s">
        <v>163</v>
      </c>
      <c r="W36" s="60" t="s">
        <v>163</v>
      </c>
      <c r="X36" s="60" t="s">
        <v>163</v>
      </c>
      <c r="Y36" s="60" t="s">
        <v>163</v>
      </c>
      <c r="Z36" s="60" t="s">
        <v>163</v>
      </c>
      <c r="AA36" s="60" t="s">
        <v>163</v>
      </c>
      <c r="AB36" s="60" t="s">
        <v>170</v>
      </c>
      <c r="AC36" s="60" t="s">
        <v>183</v>
      </c>
      <c r="AD36" s="60" t="s">
        <v>183</v>
      </c>
      <c r="AE36" s="60" t="s">
        <v>175</v>
      </c>
      <c r="AF36" s="60" t="s">
        <v>183</v>
      </c>
      <c r="AG36" s="60" t="s">
        <v>171</v>
      </c>
      <c r="AH36" s="85">
        <v>20292000</v>
      </c>
      <c r="AI36" s="85">
        <v>20003000</v>
      </c>
      <c r="AJ36" s="85">
        <v>9133000</v>
      </c>
      <c r="AK36" s="85">
        <v>830000</v>
      </c>
      <c r="AL36" s="49">
        <v>50258000</v>
      </c>
      <c r="AM36" s="24">
        <v>52786000</v>
      </c>
      <c r="AN36" s="24">
        <v>3569000</v>
      </c>
      <c r="AO36" s="49">
        <f t="shared" si="6"/>
        <v>56355000</v>
      </c>
      <c r="AP36" s="49">
        <v>52546000</v>
      </c>
      <c r="AQ36" s="49">
        <v>65063000</v>
      </c>
      <c r="AR36" s="164">
        <f t="shared" si="0"/>
        <v>0.23821032999657432</v>
      </c>
      <c r="AS36" s="49">
        <v>1259000</v>
      </c>
      <c r="AT36" s="49">
        <v>2057000</v>
      </c>
      <c r="AU36" s="164">
        <f t="shared" si="12"/>
        <v>0.63383637807783955</v>
      </c>
      <c r="AV36" s="26">
        <f t="shared" si="1"/>
        <v>65360170.479199171</v>
      </c>
      <c r="AW36" s="165">
        <f t="shared" si="2"/>
        <v>5831162.0333598098</v>
      </c>
      <c r="AX36" s="49">
        <f t="shared" si="3"/>
        <v>71191332.512558982</v>
      </c>
      <c r="AY36" s="54">
        <v>49353000</v>
      </c>
      <c r="AZ36" s="24">
        <v>29495349.789966043</v>
      </c>
      <c r="BA36" s="24">
        <v>40848919.999999993</v>
      </c>
      <c r="BB36" s="49">
        <v>37005015.227555208</v>
      </c>
      <c r="BC36" s="49">
        <v>41885594.499064378</v>
      </c>
      <c r="BD36" s="166">
        <v>2.9000000000000001E-2</v>
      </c>
      <c r="BE36" s="166">
        <v>2.9000000000000001E-2</v>
      </c>
      <c r="BF36" s="49">
        <f t="shared" si="10"/>
        <v>39557964.32048285</v>
      </c>
      <c r="BG36" s="40">
        <f t="shared" si="11"/>
        <v>6.8989272865550122E-2</v>
      </c>
      <c r="BH36" s="6">
        <f t="shared" si="13"/>
        <v>43667057.288143016</v>
      </c>
      <c r="BI36" s="24"/>
      <c r="BJ36" s="24">
        <v>1322000</v>
      </c>
      <c r="BK36" s="24">
        <v>3949160</v>
      </c>
      <c r="BL36" s="24"/>
      <c r="BM36" s="38">
        <v>893176332.7818867</v>
      </c>
      <c r="BN36" s="3">
        <v>1356976100.6434495</v>
      </c>
      <c r="BO36" s="54">
        <v>1590622259.0958049</v>
      </c>
      <c r="BP36" s="53">
        <v>1411095388.7392805</v>
      </c>
      <c r="BQ36" s="86">
        <v>5447343026.8542967</v>
      </c>
      <c r="BR36" s="86">
        <f t="shared" si="5"/>
        <v>3429219207.7967887</v>
      </c>
      <c r="BS36" s="53">
        <v>57610445.229846656</v>
      </c>
      <c r="BT36" s="54">
        <v>107400</v>
      </c>
      <c r="BU36" s="54">
        <v>107400</v>
      </c>
      <c r="BV36" s="53">
        <f t="shared" si="9"/>
        <v>107400</v>
      </c>
      <c r="BW36" s="57">
        <v>1.5246008397444832E-2</v>
      </c>
      <c r="BX36" s="83">
        <f t="shared" si="4"/>
        <v>169099.7639564141</v>
      </c>
    </row>
    <row r="37" spans="1:76" ht="15.5" hidden="1" x14ac:dyDescent="0.35">
      <c r="A37" s="26" t="s">
        <v>214</v>
      </c>
      <c r="B37" t="s">
        <v>165</v>
      </c>
      <c r="C37" t="s">
        <v>177</v>
      </c>
      <c r="D37" t="s">
        <v>167</v>
      </c>
      <c r="E37" s="60" t="s">
        <v>168</v>
      </c>
      <c r="F37" s="60" t="s">
        <v>169</v>
      </c>
      <c r="G37" s="60" t="s">
        <v>169</v>
      </c>
      <c r="H37" s="60" t="s">
        <v>169</v>
      </c>
      <c r="I37" s="60" t="s">
        <v>170</v>
      </c>
      <c r="J37" s="60" t="s">
        <v>170</v>
      </c>
      <c r="K37" s="60" t="s">
        <v>170</v>
      </c>
      <c r="L37" s="60" t="s">
        <v>163</v>
      </c>
      <c r="M37" s="60" t="s">
        <v>163</v>
      </c>
      <c r="N37" s="60" t="s">
        <v>169</v>
      </c>
      <c r="O37" s="60" t="s">
        <v>171</v>
      </c>
      <c r="P37" s="60" t="s">
        <v>172</v>
      </c>
      <c r="Q37" s="60" t="s">
        <v>170</v>
      </c>
      <c r="R37" s="60" t="s">
        <v>9</v>
      </c>
      <c r="S37" s="60" t="s">
        <v>170</v>
      </c>
      <c r="T37" s="60" t="s">
        <v>170</v>
      </c>
      <c r="U37" s="60" t="s">
        <v>169</v>
      </c>
      <c r="V37" s="60" t="s">
        <v>170</v>
      </c>
      <c r="W37" s="60" t="s">
        <v>170</v>
      </c>
      <c r="X37" s="60" t="s">
        <v>169</v>
      </c>
      <c r="Y37" s="60" t="s">
        <v>170</v>
      </c>
      <c r="Z37" s="60" t="s">
        <v>170</v>
      </c>
      <c r="AA37" s="60" t="s">
        <v>169</v>
      </c>
      <c r="AB37" s="60" t="s">
        <v>169</v>
      </c>
      <c r="AC37" s="60" t="s">
        <v>173</v>
      </c>
      <c r="AD37" s="60" t="s">
        <v>173</v>
      </c>
      <c r="AE37" s="60" t="s">
        <v>174</v>
      </c>
      <c r="AF37" s="60" t="s">
        <v>173</v>
      </c>
      <c r="AG37" s="60" t="s">
        <v>175</v>
      </c>
      <c r="AH37" s="85">
        <v>1762000</v>
      </c>
      <c r="AI37" s="85">
        <v>756000</v>
      </c>
      <c r="AJ37" s="85">
        <v>123000</v>
      </c>
      <c r="AK37" s="85">
        <v>2205000</v>
      </c>
      <c r="AL37" s="49">
        <v>4846000</v>
      </c>
      <c r="AM37" s="24">
        <v>2676123.4817813765</v>
      </c>
      <c r="AN37" s="24">
        <v>1423000</v>
      </c>
      <c r="AO37" s="49">
        <f t="shared" si="6"/>
        <v>4099123.4817813765</v>
      </c>
      <c r="AP37" s="49">
        <v>2567000</v>
      </c>
      <c r="AQ37" s="49">
        <v>3504000</v>
      </c>
      <c r="AR37" s="164">
        <f t="shared" si="0"/>
        <v>0.36501753019088423</v>
      </c>
      <c r="AS37" s="49">
        <v>1423000</v>
      </c>
      <c r="AT37" s="49">
        <v>2019000</v>
      </c>
      <c r="AU37" s="164">
        <f t="shared" si="12"/>
        <v>0.41883345045678144</v>
      </c>
      <c r="AV37" s="26">
        <f t="shared" si="1"/>
        <v>3652955.4655870441</v>
      </c>
      <c r="AW37" s="165">
        <f t="shared" si="2"/>
        <v>2019000</v>
      </c>
      <c r="AX37" s="49">
        <f t="shared" si="3"/>
        <v>5671955.4655870441</v>
      </c>
      <c r="AY37" s="54">
        <v>2208000</v>
      </c>
      <c r="AZ37" s="24">
        <v>1291380</v>
      </c>
      <c r="BA37" s="24">
        <v>2078966.9247009146</v>
      </c>
      <c r="BB37" s="49">
        <v>3540000</v>
      </c>
      <c r="BC37" s="49">
        <v>1952000</v>
      </c>
      <c r="BD37" s="166">
        <v>3.5000000000000003E-2</v>
      </c>
      <c r="BE37" s="166">
        <v>2.5999999999999999E-2</v>
      </c>
      <c r="BF37" s="49">
        <f t="shared" si="10"/>
        <v>1838197.210686405</v>
      </c>
      <c r="BG37" s="40">
        <f t="shared" si="11"/>
        <v>-0.48073525121852967</v>
      </c>
      <c r="BH37" s="6">
        <f t="shared" si="13"/>
        <v>1079534.2378798064</v>
      </c>
      <c r="BI37" s="24"/>
      <c r="BJ37" s="24">
        <v>0</v>
      </c>
      <c r="BK37" s="24">
        <v>0</v>
      </c>
      <c r="BL37" s="24"/>
      <c r="BM37" s="38">
        <v>31437000</v>
      </c>
      <c r="BN37" s="3">
        <v>248360000</v>
      </c>
      <c r="BO37" s="54">
        <v>177400000</v>
      </c>
      <c r="BP37" s="53">
        <v>97969999.999999985</v>
      </c>
      <c r="BQ37" s="86">
        <v>122430000.00000001</v>
      </c>
      <c r="BR37" s="86">
        <f t="shared" si="5"/>
        <v>110200000</v>
      </c>
      <c r="BS37" s="53">
        <v>1561500.6416901259</v>
      </c>
      <c r="BT37" s="54">
        <v>3548</v>
      </c>
      <c r="BU37" s="54">
        <v>3548</v>
      </c>
      <c r="BV37" s="53">
        <f t="shared" si="9"/>
        <v>3548</v>
      </c>
      <c r="BW37" s="57">
        <v>1.8228635248301872E-2</v>
      </c>
      <c r="BX37" s="83">
        <f t="shared" si="4"/>
        <v>6100.1821368773044</v>
      </c>
    </row>
    <row r="38" spans="1:76" ht="15.5" hidden="1" x14ac:dyDescent="0.35">
      <c r="A38" s="26" t="s">
        <v>215</v>
      </c>
      <c r="B38" t="s">
        <v>162</v>
      </c>
      <c r="C38" t="s">
        <v>166</v>
      </c>
      <c r="D38" t="s">
        <v>205</v>
      </c>
      <c r="E38" s="60" t="s">
        <v>170</v>
      </c>
      <c r="F38" s="60" t="s">
        <v>163</v>
      </c>
      <c r="G38" s="60" t="s">
        <v>170</v>
      </c>
      <c r="H38" s="60" t="s">
        <v>170</v>
      </c>
      <c r="I38" s="60" t="s">
        <v>163</v>
      </c>
      <c r="J38" s="60" t="s">
        <v>163</v>
      </c>
      <c r="K38" s="60" t="s">
        <v>163</v>
      </c>
      <c r="L38" s="60" t="s">
        <v>163</v>
      </c>
      <c r="M38" s="60" t="s">
        <v>9</v>
      </c>
      <c r="N38" s="60" t="s">
        <v>170</v>
      </c>
      <c r="O38" s="60" t="s">
        <v>168</v>
      </c>
      <c r="P38" s="60" t="s">
        <v>171</v>
      </c>
      <c r="Q38" s="60" t="s">
        <v>170</v>
      </c>
      <c r="R38" s="60" t="s">
        <v>163</v>
      </c>
      <c r="S38" s="60" t="s">
        <v>163</v>
      </c>
      <c r="T38" s="60" t="s">
        <v>163</v>
      </c>
      <c r="U38" s="60" t="s">
        <v>163</v>
      </c>
      <c r="V38" s="60" t="s">
        <v>163</v>
      </c>
      <c r="W38" s="60" t="s">
        <v>163</v>
      </c>
      <c r="X38" s="60" t="s">
        <v>163</v>
      </c>
      <c r="Y38" s="60" t="s">
        <v>163</v>
      </c>
      <c r="Z38" s="60" t="s">
        <v>163</v>
      </c>
      <c r="AA38" s="60" t="s">
        <v>163</v>
      </c>
      <c r="AB38" s="60" t="s">
        <v>170</v>
      </c>
      <c r="AC38" s="60" t="s">
        <v>171</v>
      </c>
      <c r="AD38" s="60" t="s">
        <v>171</v>
      </c>
      <c r="AE38" s="60" t="s">
        <v>183</v>
      </c>
      <c r="AF38" s="60" t="s">
        <v>171</v>
      </c>
      <c r="AG38" s="60" t="s">
        <v>168</v>
      </c>
      <c r="AH38" s="85">
        <v>4665680</v>
      </c>
      <c r="AI38" s="85">
        <v>7547753.2699999996</v>
      </c>
      <c r="AJ38" s="85">
        <v>1466000</v>
      </c>
      <c r="AK38" s="85">
        <v>573000</v>
      </c>
      <c r="AL38" s="49">
        <v>14252433.27</v>
      </c>
      <c r="AM38" s="24">
        <v>11660272.903125968</v>
      </c>
      <c r="AN38" s="24">
        <v>2688000</v>
      </c>
      <c r="AO38" s="49">
        <f t="shared" si="6"/>
        <v>14348272.903125968</v>
      </c>
      <c r="AP38" s="49">
        <v>12329000</v>
      </c>
      <c r="AQ38" s="49">
        <v>14450000</v>
      </c>
      <c r="AR38" s="164">
        <f t="shared" si="0"/>
        <v>0.17203341714656495</v>
      </c>
      <c r="AS38" s="49">
        <v>2688000</v>
      </c>
      <c r="AT38" s="49">
        <v>2079000</v>
      </c>
      <c r="AU38" s="164">
        <f t="shared" si="12"/>
        <v>-0.2265625</v>
      </c>
      <c r="AV38" s="26">
        <f t="shared" si="1"/>
        <v>13666229.495512225</v>
      </c>
      <c r="AW38" s="165">
        <f t="shared" si="2"/>
        <v>2079000</v>
      </c>
      <c r="AX38" s="49">
        <f t="shared" si="3"/>
        <v>15745229.495512225</v>
      </c>
      <c r="AY38" s="54">
        <v>11821000</v>
      </c>
      <c r="AZ38" s="24">
        <v>6577682.0000000009</v>
      </c>
      <c r="BA38" s="24">
        <v>7977876.1435608724</v>
      </c>
      <c r="BB38" s="49">
        <v>8560000</v>
      </c>
      <c r="BC38" s="49">
        <v>9513000</v>
      </c>
      <c r="BD38" s="166">
        <v>2.9000000000000001E-2</v>
      </c>
      <c r="BE38" s="166">
        <v>2.9000000000000001E-2</v>
      </c>
      <c r="BF38" s="49">
        <f t="shared" si="10"/>
        <v>8984351.7581959907</v>
      </c>
      <c r="BG38" s="40">
        <f t="shared" si="11"/>
        <v>4.9573803527569016E-2</v>
      </c>
      <c r="BH38" s="6">
        <f t="shared" si="13"/>
        <v>8373369.8080690391</v>
      </c>
      <c r="BI38" s="24"/>
      <c r="BJ38" s="24">
        <v>2111000</v>
      </c>
      <c r="BK38" s="24">
        <v>2289853.9449865338</v>
      </c>
      <c r="BL38" s="24"/>
      <c r="BM38" s="38">
        <v>86299836.934863627</v>
      </c>
      <c r="BN38" s="3">
        <v>784376142.8505733</v>
      </c>
      <c r="BO38" s="54">
        <v>723597469.89499235</v>
      </c>
      <c r="BP38" s="53">
        <v>331632508.07999992</v>
      </c>
      <c r="BQ38" s="86">
        <v>431192130.50400001</v>
      </c>
      <c r="BR38" s="86">
        <f t="shared" si="5"/>
        <v>381412319.29199994</v>
      </c>
      <c r="BS38" s="53">
        <v>5445534.5485738339</v>
      </c>
      <c r="BT38" s="54">
        <v>19590</v>
      </c>
      <c r="BU38" s="54">
        <v>21400</v>
      </c>
      <c r="BV38" s="53">
        <f t="shared" si="9"/>
        <v>20495</v>
      </c>
      <c r="BW38" s="57">
        <v>1.204796536155861E-2</v>
      </c>
      <c r="BX38" s="83">
        <f t="shared" si="4"/>
        <v>29354.913542982296</v>
      </c>
    </row>
    <row r="39" spans="1:76" ht="15.5" hidden="1" x14ac:dyDescent="0.35">
      <c r="A39" s="26" t="s">
        <v>216</v>
      </c>
      <c r="B39" t="s">
        <v>165</v>
      </c>
      <c r="C39" t="s">
        <v>166</v>
      </c>
      <c r="D39" t="s">
        <v>216</v>
      </c>
      <c r="E39" s="60" t="s">
        <v>169</v>
      </c>
      <c r="F39" s="60" t="s">
        <v>169</v>
      </c>
      <c r="G39" s="60" t="s">
        <v>169</v>
      </c>
      <c r="H39" s="60" t="s">
        <v>170</v>
      </c>
      <c r="I39" s="60" t="s">
        <v>163</v>
      </c>
      <c r="J39" s="60" t="s">
        <v>163</v>
      </c>
      <c r="K39" s="60" t="s">
        <v>170</v>
      </c>
      <c r="L39" s="60" t="s">
        <v>163</v>
      </c>
      <c r="M39" s="60" t="s">
        <v>163</v>
      </c>
      <c r="N39" s="60" t="s">
        <v>169</v>
      </c>
      <c r="O39" s="60" t="s">
        <v>171</v>
      </c>
      <c r="P39" s="60" t="s">
        <v>175</v>
      </c>
      <c r="Q39" s="60" t="s">
        <v>170</v>
      </c>
      <c r="R39" s="60" t="s">
        <v>9</v>
      </c>
      <c r="S39" s="60" t="s">
        <v>170</v>
      </c>
      <c r="T39" s="60" t="s">
        <v>170</v>
      </c>
      <c r="U39" s="60" t="s">
        <v>170</v>
      </c>
      <c r="V39" s="60" t="s">
        <v>170</v>
      </c>
      <c r="W39" s="60" t="s">
        <v>170</v>
      </c>
      <c r="X39" s="60" t="s">
        <v>170</v>
      </c>
      <c r="Y39" s="60" t="s">
        <v>170</v>
      </c>
      <c r="Z39" s="60" t="s">
        <v>170</v>
      </c>
      <c r="AA39" s="60" t="s">
        <v>170</v>
      </c>
      <c r="AB39" s="60" t="s">
        <v>170</v>
      </c>
      <c r="AC39" s="60" t="s">
        <v>175</v>
      </c>
      <c r="AD39" s="60" t="s">
        <v>175</v>
      </c>
      <c r="AE39" s="60" t="s">
        <v>172</v>
      </c>
      <c r="AF39" s="60" t="s">
        <v>175</v>
      </c>
      <c r="AG39" s="60" t="s">
        <v>183</v>
      </c>
      <c r="AH39" s="85">
        <v>8886000</v>
      </c>
      <c r="AI39" s="85">
        <v>11046312.390000001</v>
      </c>
      <c r="AJ39" s="85">
        <v>2314000</v>
      </c>
      <c r="AK39" s="85">
        <v>1351000</v>
      </c>
      <c r="AL39" s="49">
        <v>23597312.390000001</v>
      </c>
      <c r="AM39" s="24">
        <v>21266046.688050508</v>
      </c>
      <c r="AN39" s="24">
        <v>3854000</v>
      </c>
      <c r="AO39" s="49">
        <f t="shared" si="6"/>
        <v>25120046.688050508</v>
      </c>
      <c r="AP39" s="49">
        <v>21107000</v>
      </c>
      <c r="AQ39" s="49">
        <v>24313000</v>
      </c>
      <c r="AR39" s="164">
        <f t="shared" si="0"/>
        <v>0.15189273700668027</v>
      </c>
      <c r="AS39" s="49">
        <v>3854000</v>
      </c>
      <c r="AT39" s="49">
        <v>4008000</v>
      </c>
      <c r="AU39" s="164">
        <f t="shared" si="12"/>
        <v>3.9958484691229978E-2</v>
      </c>
      <c r="AV39" s="26">
        <f t="shared" si="1"/>
        <v>24496204.724810347</v>
      </c>
      <c r="AW39" s="165">
        <f t="shared" si="2"/>
        <v>4008000.0000000005</v>
      </c>
      <c r="AX39" s="49">
        <f t="shared" si="3"/>
        <v>28504204.724810347</v>
      </c>
      <c r="AY39" s="54">
        <v>20191000</v>
      </c>
      <c r="AZ39" s="24">
        <v>13944839.17</v>
      </c>
      <c r="BA39" s="24">
        <v>13224185.315505512</v>
      </c>
      <c r="BB39" s="49">
        <v>12962000</v>
      </c>
      <c r="BC39" s="49">
        <v>14360000</v>
      </c>
      <c r="BD39" s="166">
        <v>2.9000000000000001E-2</v>
      </c>
      <c r="BE39" s="166">
        <v>2.5000000000000001E-2</v>
      </c>
      <c r="BF39" s="49">
        <f t="shared" si="10"/>
        <v>13614923.321244875</v>
      </c>
      <c r="BG39" s="40">
        <f t="shared" si="11"/>
        <v>5.0372112424384774E-2</v>
      </c>
      <c r="BH39" s="6">
        <f t="shared" si="13"/>
        <v>13890315.464939054</v>
      </c>
      <c r="BI39" s="24"/>
      <c r="BJ39" s="24">
        <v>3376000</v>
      </c>
      <c r="BK39" s="24">
        <v>3002637.0919075492</v>
      </c>
      <c r="BL39" s="24"/>
      <c r="BM39" s="38">
        <v>962631598.43999982</v>
      </c>
      <c r="BN39" s="3">
        <v>2254875000</v>
      </c>
      <c r="BO39" s="54">
        <v>1610625000</v>
      </c>
      <c r="BP39" s="53">
        <v>636351000.00000024</v>
      </c>
      <c r="BQ39" s="86">
        <v>1189471000.0000002</v>
      </c>
      <c r="BR39" s="86">
        <f t="shared" si="5"/>
        <v>912911000.00000024</v>
      </c>
      <c r="BS39" s="53">
        <v>13900904.098845884</v>
      </c>
      <c r="BT39" s="54">
        <v>31840</v>
      </c>
      <c r="BU39" s="54">
        <v>32585</v>
      </c>
      <c r="BV39" s="53">
        <f t="shared" si="9"/>
        <v>32212.5</v>
      </c>
      <c r="BW39" s="57">
        <v>3.1568229052595598E-2</v>
      </c>
      <c r="BX39" s="83">
        <f t="shared" si="4"/>
        <v>81839.538316753169</v>
      </c>
    </row>
    <row r="40" spans="1:76" ht="15.5" hidden="1" x14ac:dyDescent="0.35">
      <c r="A40" s="26" t="s">
        <v>217</v>
      </c>
      <c r="B40" t="s">
        <v>162</v>
      </c>
      <c r="C40" t="s">
        <v>166</v>
      </c>
      <c r="D40" t="s">
        <v>181</v>
      </c>
      <c r="E40" s="60" t="s">
        <v>169</v>
      </c>
      <c r="F40" s="60" t="s">
        <v>170</v>
      </c>
      <c r="G40" s="60" t="s">
        <v>170</v>
      </c>
      <c r="H40" s="60" t="s">
        <v>170</v>
      </c>
      <c r="I40" s="60" t="s">
        <v>163</v>
      </c>
      <c r="J40" s="60" t="s">
        <v>163</v>
      </c>
      <c r="K40" s="60" t="s">
        <v>170</v>
      </c>
      <c r="L40" s="60" t="s">
        <v>163</v>
      </c>
      <c r="M40" s="60" t="s">
        <v>9</v>
      </c>
      <c r="N40" s="60" t="s">
        <v>170</v>
      </c>
      <c r="O40" s="60" t="s">
        <v>182</v>
      </c>
      <c r="P40" s="60" t="s">
        <v>183</v>
      </c>
      <c r="Q40" s="60" t="s">
        <v>170</v>
      </c>
      <c r="R40" s="60" t="s">
        <v>163</v>
      </c>
      <c r="S40" s="60" t="s">
        <v>163</v>
      </c>
      <c r="T40" s="60" t="s">
        <v>163</v>
      </c>
      <c r="U40" s="60" t="s">
        <v>163</v>
      </c>
      <c r="V40" s="60" t="s">
        <v>163</v>
      </c>
      <c r="W40" s="60" t="s">
        <v>163</v>
      </c>
      <c r="X40" s="60" t="s">
        <v>163</v>
      </c>
      <c r="Y40" s="60" t="s">
        <v>163</v>
      </c>
      <c r="Z40" s="60" t="s">
        <v>163</v>
      </c>
      <c r="AA40" s="60" t="s">
        <v>163</v>
      </c>
      <c r="AB40" s="60" t="s">
        <v>170</v>
      </c>
      <c r="AC40" s="60" t="s">
        <v>183</v>
      </c>
      <c r="AD40" s="60" t="s">
        <v>183</v>
      </c>
      <c r="AE40" s="60" t="s">
        <v>175</v>
      </c>
      <c r="AF40" s="60" t="s">
        <v>183</v>
      </c>
      <c r="AG40" s="60" t="s">
        <v>171</v>
      </c>
      <c r="AH40" s="85">
        <v>3846000</v>
      </c>
      <c r="AI40" s="85">
        <v>7880000</v>
      </c>
      <c r="AJ40" s="85">
        <v>502000</v>
      </c>
      <c r="AK40" s="85">
        <v>1010000</v>
      </c>
      <c r="AL40" s="49">
        <v>13238000</v>
      </c>
      <c r="AM40" s="24">
        <v>12221832.115562275</v>
      </c>
      <c r="AN40" s="24">
        <v>123000</v>
      </c>
      <c r="AO40" s="49">
        <f t="shared" si="6"/>
        <v>12344832.115562275</v>
      </c>
      <c r="AP40" s="49">
        <v>12317000</v>
      </c>
      <c r="AQ40" s="49">
        <v>13947000</v>
      </c>
      <c r="AR40" s="164">
        <f t="shared" si="0"/>
        <v>0.13233741982625635</v>
      </c>
      <c r="AS40" s="49">
        <v>123000</v>
      </c>
      <c r="AT40" s="49">
        <v>123000</v>
      </c>
      <c r="AU40" s="164">
        <f t="shared" si="12"/>
        <v>0</v>
      </c>
      <c r="AV40" s="26">
        <f t="shared" si="1"/>
        <v>13839237.843285462</v>
      </c>
      <c r="AW40" s="165">
        <f t="shared" si="2"/>
        <v>123000</v>
      </c>
      <c r="AX40" s="49">
        <f t="shared" si="3"/>
        <v>13962237.843285462</v>
      </c>
      <c r="AY40" s="54">
        <v>11963000</v>
      </c>
      <c r="AZ40" s="24">
        <v>4401595</v>
      </c>
      <c r="BA40" s="24">
        <v>5873400.42223786</v>
      </c>
      <c r="BB40" s="49">
        <v>6774000</v>
      </c>
      <c r="BC40" s="49">
        <v>6012000</v>
      </c>
      <c r="BD40" s="166">
        <v>8.9999999999999993E-3</v>
      </c>
      <c r="BE40" s="166">
        <v>3.4000000000000002E-2</v>
      </c>
      <c r="BF40" s="49">
        <f t="shared" si="10"/>
        <v>5762451.2846662449</v>
      </c>
      <c r="BG40" s="40">
        <f t="shared" si="11"/>
        <v>-0.14932812449568278</v>
      </c>
      <c r="BH40" s="6">
        <f t="shared" si="13"/>
        <v>4996336.552772929</v>
      </c>
      <c r="BI40" s="24"/>
      <c r="BJ40" s="24">
        <v>2094000</v>
      </c>
      <c r="BK40" s="24">
        <v>1841112.2731467243</v>
      </c>
      <c r="BL40" s="24"/>
      <c r="BM40" s="38">
        <v>74719299.640058875</v>
      </c>
      <c r="BN40" s="3">
        <v>722119755.2953614</v>
      </c>
      <c r="BO40" s="54">
        <v>673133881.24350703</v>
      </c>
      <c r="BP40" s="53">
        <v>290027999.99999994</v>
      </c>
      <c r="BQ40" s="86">
        <v>325581000</v>
      </c>
      <c r="BR40" s="86">
        <f t="shared" si="5"/>
        <v>307804500</v>
      </c>
      <c r="BS40" s="53">
        <v>4271257.1468024189</v>
      </c>
      <c r="BT40" s="54">
        <v>20700</v>
      </c>
      <c r="BU40" s="54">
        <v>21450</v>
      </c>
      <c r="BV40" s="53">
        <f t="shared" si="9"/>
        <v>21075</v>
      </c>
      <c r="BW40" s="57">
        <v>1.0463424698795576E-2</v>
      </c>
      <c r="BX40" s="83">
        <f t="shared" si="4"/>
        <v>28799.538495454348</v>
      </c>
    </row>
    <row r="41" spans="1:76" ht="15.5" hidden="1" x14ac:dyDescent="0.35">
      <c r="A41" s="26" t="s">
        <v>218</v>
      </c>
      <c r="B41" t="s">
        <v>162</v>
      </c>
      <c r="C41" t="s">
        <v>166</v>
      </c>
      <c r="D41" t="s">
        <v>201</v>
      </c>
      <c r="E41" s="60" t="s">
        <v>163</v>
      </c>
      <c r="F41" s="60" t="s">
        <v>163</v>
      </c>
      <c r="G41" s="60" t="s">
        <v>163</v>
      </c>
      <c r="H41" s="60" t="s">
        <v>163</v>
      </c>
      <c r="I41" s="60" t="s">
        <v>163</v>
      </c>
      <c r="J41" s="60" t="s">
        <v>163</v>
      </c>
      <c r="K41" s="60" t="s">
        <v>163</v>
      </c>
      <c r="L41" s="60" t="s">
        <v>9</v>
      </c>
      <c r="M41" s="60" t="s">
        <v>9</v>
      </c>
      <c r="N41" s="60" t="s">
        <v>163</v>
      </c>
      <c r="O41" s="60" t="s">
        <v>163</v>
      </c>
      <c r="P41" s="60" t="s">
        <v>170</v>
      </c>
      <c r="Q41" s="60" t="s">
        <v>163</v>
      </c>
      <c r="R41" s="60" t="s">
        <v>163</v>
      </c>
      <c r="S41" s="60" t="s">
        <v>9</v>
      </c>
      <c r="T41" s="60" t="s">
        <v>9</v>
      </c>
      <c r="U41" s="60" t="s">
        <v>9</v>
      </c>
      <c r="V41" s="60" t="s">
        <v>163</v>
      </c>
      <c r="W41" s="60" t="s">
        <v>163</v>
      </c>
      <c r="X41" s="60" t="s">
        <v>163</v>
      </c>
      <c r="Y41" s="60" t="s">
        <v>163</v>
      </c>
      <c r="Z41" s="60" t="s">
        <v>163</v>
      </c>
      <c r="AA41" s="60" t="s">
        <v>163</v>
      </c>
      <c r="AB41" s="60" t="s">
        <v>163</v>
      </c>
      <c r="AC41" s="60" t="s">
        <v>170</v>
      </c>
      <c r="AD41" s="60" t="s">
        <v>170</v>
      </c>
      <c r="AE41" s="60" t="s">
        <v>170</v>
      </c>
      <c r="AF41" s="60" t="s">
        <v>170</v>
      </c>
      <c r="AG41" s="60" t="s">
        <v>163</v>
      </c>
      <c r="AH41" s="85">
        <v>4988000</v>
      </c>
      <c r="AI41" s="85">
        <v>7604000</v>
      </c>
      <c r="AJ41" s="85">
        <v>1002000</v>
      </c>
      <c r="AK41" s="85">
        <v>1341000</v>
      </c>
      <c r="AL41" s="49">
        <v>14935000</v>
      </c>
      <c r="AM41" s="24">
        <v>14524488.694905553</v>
      </c>
      <c r="AN41" s="24">
        <v>1262000</v>
      </c>
      <c r="AO41" s="49">
        <f t="shared" si="6"/>
        <v>15786488.694905553</v>
      </c>
      <c r="AP41" s="49">
        <v>14626000</v>
      </c>
      <c r="AQ41" s="49">
        <v>16013000</v>
      </c>
      <c r="AR41" s="164">
        <f t="shared" si="0"/>
        <v>9.4831122658279865E-2</v>
      </c>
      <c r="AS41" s="49">
        <v>1262000</v>
      </c>
      <c r="AT41" s="49">
        <v>1309000</v>
      </c>
      <c r="AU41" s="164">
        <f t="shared" si="12"/>
        <v>3.7242472266244109E-2</v>
      </c>
      <c r="AV41" s="26">
        <f t="shared" si="1"/>
        <v>15901862.26388094</v>
      </c>
      <c r="AW41" s="165">
        <f t="shared" si="2"/>
        <v>1309000</v>
      </c>
      <c r="AX41" s="49">
        <f t="shared" si="3"/>
        <v>17210862.263880938</v>
      </c>
      <c r="AY41" s="54">
        <v>12992000</v>
      </c>
      <c r="AZ41" s="24">
        <v>7253000</v>
      </c>
      <c r="BA41" s="24">
        <v>11580993.66643209</v>
      </c>
      <c r="BB41" s="49">
        <v>9818000</v>
      </c>
      <c r="BC41" s="49">
        <v>9237000</v>
      </c>
      <c r="BD41" s="166">
        <v>2.9100000000000001E-2</v>
      </c>
      <c r="BE41" s="166">
        <v>2.5499999999999998E-2</v>
      </c>
      <c r="BF41" s="49">
        <f t="shared" si="10"/>
        <v>8752612.4823700525</v>
      </c>
      <c r="BG41" s="40">
        <f t="shared" si="11"/>
        <v>-0.10851370112344139</v>
      </c>
      <c r="BH41" s="6">
        <f t="shared" si="13"/>
        <v>10324297.181000412</v>
      </c>
      <c r="BI41" s="24"/>
      <c r="BJ41" s="24">
        <v>606000</v>
      </c>
      <c r="BK41" s="24">
        <v>579895.89142963372</v>
      </c>
      <c r="BL41" s="24"/>
      <c r="BM41" s="38">
        <v>158162183.3716166</v>
      </c>
      <c r="BN41" s="3">
        <v>601222871.4597888</v>
      </c>
      <c r="BO41" s="54">
        <v>575495996.22807539</v>
      </c>
      <c r="BP41" s="53">
        <v>307900000.00000006</v>
      </c>
      <c r="BQ41" s="86">
        <v>307900000.00000006</v>
      </c>
      <c r="BR41" s="86">
        <f t="shared" si="5"/>
        <v>307900000.00000006</v>
      </c>
      <c r="BS41" s="53">
        <v>4174640.8874923652</v>
      </c>
      <c r="BT41" s="54">
        <v>22500</v>
      </c>
      <c r="BU41" s="54">
        <v>20000</v>
      </c>
      <c r="BV41" s="53">
        <f t="shared" si="9"/>
        <v>21250</v>
      </c>
      <c r="BW41" s="57">
        <v>6.7174416065822751E-3</v>
      </c>
      <c r="BX41" s="83">
        <f t="shared" si="4"/>
        <v>25976.864091241008</v>
      </c>
    </row>
    <row r="42" spans="1:76" ht="15.5" hidden="1" x14ac:dyDescent="0.35">
      <c r="A42" s="26" t="s">
        <v>219</v>
      </c>
      <c r="B42" t="s">
        <v>162</v>
      </c>
      <c r="C42" t="s">
        <v>166</v>
      </c>
      <c r="D42" t="s">
        <v>185</v>
      </c>
      <c r="E42" s="60" t="s">
        <v>170</v>
      </c>
      <c r="F42" s="60" t="s">
        <v>170</v>
      </c>
      <c r="G42" s="60" t="s">
        <v>170</v>
      </c>
      <c r="H42" s="60" t="s">
        <v>170</v>
      </c>
      <c r="I42" s="60" t="s">
        <v>163</v>
      </c>
      <c r="J42" s="60" t="s">
        <v>163</v>
      </c>
      <c r="K42" s="60" t="s">
        <v>163</v>
      </c>
      <c r="L42" s="60" t="s">
        <v>163</v>
      </c>
      <c r="M42" s="60" t="s">
        <v>9</v>
      </c>
      <c r="N42" s="60" t="s">
        <v>170</v>
      </c>
      <c r="O42" s="60" t="s">
        <v>169</v>
      </c>
      <c r="P42" s="60" t="s">
        <v>168</v>
      </c>
      <c r="Q42" s="60" t="s">
        <v>170</v>
      </c>
      <c r="R42" s="60" t="s">
        <v>163</v>
      </c>
      <c r="S42" s="60" t="s">
        <v>163</v>
      </c>
      <c r="T42" s="60" t="s">
        <v>163</v>
      </c>
      <c r="U42" s="60" t="s">
        <v>163</v>
      </c>
      <c r="V42" s="60" t="s">
        <v>163</v>
      </c>
      <c r="W42" s="60" t="s">
        <v>163</v>
      </c>
      <c r="X42" s="60" t="s">
        <v>163</v>
      </c>
      <c r="Y42" s="60" t="s">
        <v>163</v>
      </c>
      <c r="Z42" s="60" t="s">
        <v>163</v>
      </c>
      <c r="AA42" s="60" t="s">
        <v>163</v>
      </c>
      <c r="AB42" s="60" t="s">
        <v>170</v>
      </c>
      <c r="AC42" s="60" t="s">
        <v>168</v>
      </c>
      <c r="AD42" s="60" t="s">
        <v>168</v>
      </c>
      <c r="AE42" s="60" t="s">
        <v>182</v>
      </c>
      <c r="AF42" s="60" t="s">
        <v>168</v>
      </c>
      <c r="AG42" s="60" t="s">
        <v>182</v>
      </c>
      <c r="AH42" s="85">
        <v>5722000</v>
      </c>
      <c r="AI42" s="85">
        <v>7013000</v>
      </c>
      <c r="AJ42" s="85">
        <v>3706000</v>
      </c>
      <c r="AK42" s="85">
        <v>2675000</v>
      </c>
      <c r="AL42" s="49">
        <v>19116000</v>
      </c>
      <c r="AM42" s="24">
        <v>17411000</v>
      </c>
      <c r="AN42" s="24">
        <v>1973000</v>
      </c>
      <c r="AO42" s="49">
        <f t="shared" si="6"/>
        <v>19384000</v>
      </c>
      <c r="AP42" s="49">
        <v>17786000</v>
      </c>
      <c r="AQ42" s="49">
        <v>20693000</v>
      </c>
      <c r="AR42" s="164">
        <f t="shared" ref="AR42:AR73" si="14">AQ42/AP42-1</f>
        <v>0.16344315753963801</v>
      </c>
      <c r="AS42" s="49">
        <v>5962000</v>
      </c>
      <c r="AT42" s="49">
        <v>6288000</v>
      </c>
      <c r="AU42" s="164">
        <f t="shared" si="12"/>
        <v>5.4679637705467909E-2</v>
      </c>
      <c r="AV42" s="26">
        <f t="shared" ref="AV42:AV78" si="15">AM42*(1+AR42)</f>
        <v>20256708.815922637</v>
      </c>
      <c r="AW42" s="165">
        <f t="shared" ref="AW42:AW78" si="16">AN42*(1+AU42)</f>
        <v>2080882.9251928881</v>
      </c>
      <c r="AX42" s="49">
        <f t="shared" ref="AX42:AX73" si="17">SUM(AV42:AW42)</f>
        <v>22337591.741115525</v>
      </c>
      <c r="AY42" s="54">
        <v>15381000</v>
      </c>
      <c r="AZ42" s="24">
        <v>10719000</v>
      </c>
      <c r="BA42" s="24">
        <v>15555000</v>
      </c>
      <c r="BB42" s="49">
        <v>13599000</v>
      </c>
      <c r="BC42" s="49">
        <v>16352000</v>
      </c>
      <c r="BD42" s="166">
        <v>2.9000000000000001E-2</v>
      </c>
      <c r="BE42" s="166">
        <v>2.5000000000000001E-2</v>
      </c>
      <c r="BF42" s="49">
        <f t="shared" si="10"/>
        <v>15503567.280570766</v>
      </c>
      <c r="BG42" s="40">
        <f t="shared" si="11"/>
        <v>0.14005200974856735</v>
      </c>
      <c r="BH42" s="6">
        <f t="shared" si="13"/>
        <v>17733509.011638965</v>
      </c>
      <c r="BI42" s="24"/>
      <c r="BJ42" s="24">
        <v>0</v>
      </c>
      <c r="BK42" s="24">
        <v>0</v>
      </c>
      <c r="BL42" s="24"/>
      <c r="BM42" s="38">
        <v>1312101460</v>
      </c>
      <c r="BN42" s="3">
        <v>549564171.33471286</v>
      </c>
      <c r="BO42" s="54">
        <v>688905790.16881561</v>
      </c>
      <c r="BP42" s="53">
        <v>703591431.20000005</v>
      </c>
      <c r="BQ42" s="86">
        <v>1055386666.7999997</v>
      </c>
      <c r="BR42" s="86">
        <f t="shared" si="5"/>
        <v>879489048.99999988</v>
      </c>
      <c r="BS42" s="53">
        <v>12893317.086598366</v>
      </c>
      <c r="BT42" s="54">
        <v>59055</v>
      </c>
      <c r="BU42" s="54">
        <v>59060</v>
      </c>
      <c r="BV42" s="53">
        <f t="shared" si="9"/>
        <v>59057.5</v>
      </c>
      <c r="BW42" s="57">
        <v>5.7872509881948808E-3</v>
      </c>
      <c r="BX42" s="83">
        <f t="shared" ref="BX42:BX73" si="18">BV42*(1+BW42)^$BX$1</f>
        <v>70219.680520024631</v>
      </c>
    </row>
    <row r="43" spans="1:76" ht="15.5" hidden="1" x14ac:dyDescent="0.35">
      <c r="A43" s="26" t="s">
        <v>220</v>
      </c>
      <c r="B43" t="s">
        <v>165</v>
      </c>
      <c r="C43" t="s">
        <v>166</v>
      </c>
      <c r="D43" t="s">
        <v>220</v>
      </c>
      <c r="E43" s="60" t="s">
        <v>169</v>
      </c>
      <c r="F43" s="60" t="s">
        <v>169</v>
      </c>
      <c r="G43" s="60" t="s">
        <v>169</v>
      </c>
      <c r="H43" s="60" t="s">
        <v>170</v>
      </c>
      <c r="I43" s="60" t="s">
        <v>163</v>
      </c>
      <c r="J43" s="60" t="s">
        <v>163</v>
      </c>
      <c r="K43" s="60" t="s">
        <v>170</v>
      </c>
      <c r="L43" s="60" t="s">
        <v>163</v>
      </c>
      <c r="M43" s="60" t="s">
        <v>163</v>
      </c>
      <c r="N43" s="60" t="s">
        <v>169</v>
      </c>
      <c r="O43" s="60" t="s">
        <v>171</v>
      </c>
      <c r="P43" s="60" t="s">
        <v>175</v>
      </c>
      <c r="Q43" s="60" t="s">
        <v>170</v>
      </c>
      <c r="R43" s="60" t="s">
        <v>9</v>
      </c>
      <c r="S43" s="60" t="s">
        <v>170</v>
      </c>
      <c r="T43" s="60" t="s">
        <v>170</v>
      </c>
      <c r="U43" s="60" t="s">
        <v>170</v>
      </c>
      <c r="V43" s="60" t="s">
        <v>170</v>
      </c>
      <c r="W43" s="60" t="s">
        <v>170</v>
      </c>
      <c r="X43" s="60" t="s">
        <v>170</v>
      </c>
      <c r="Y43" s="60" t="s">
        <v>170</v>
      </c>
      <c r="Z43" s="60" t="s">
        <v>170</v>
      </c>
      <c r="AA43" s="60" t="s">
        <v>170</v>
      </c>
      <c r="AB43" s="60" t="s">
        <v>170</v>
      </c>
      <c r="AC43" s="60" t="s">
        <v>175</v>
      </c>
      <c r="AD43" s="60" t="s">
        <v>175</v>
      </c>
      <c r="AE43" s="60" t="s">
        <v>173</v>
      </c>
      <c r="AF43" s="60" t="s">
        <v>175</v>
      </c>
      <c r="AG43" s="60" t="s">
        <v>183</v>
      </c>
      <c r="AH43" s="85">
        <v>12800000</v>
      </c>
      <c r="AI43" s="85">
        <v>10367000</v>
      </c>
      <c r="AJ43" s="85">
        <v>4442000</v>
      </c>
      <c r="AK43" s="85">
        <v>1476000</v>
      </c>
      <c r="AL43" s="49">
        <v>29085000</v>
      </c>
      <c r="AM43" s="24">
        <v>30135000</v>
      </c>
      <c r="AN43" s="24">
        <v>2869000</v>
      </c>
      <c r="AO43" s="49">
        <f t="shared" si="6"/>
        <v>33004000</v>
      </c>
      <c r="AP43" s="49">
        <v>30261000</v>
      </c>
      <c r="AQ43" s="49">
        <v>34429000</v>
      </c>
      <c r="AR43" s="164">
        <f t="shared" si="14"/>
        <v>0.1377350384983973</v>
      </c>
      <c r="AS43" s="49">
        <v>1466000</v>
      </c>
      <c r="AT43" s="49">
        <v>1547000</v>
      </c>
      <c r="AU43" s="164">
        <f t="shared" si="12"/>
        <v>5.5252387448840423E-2</v>
      </c>
      <c r="AV43" s="26">
        <f t="shared" si="15"/>
        <v>34285645.385149203</v>
      </c>
      <c r="AW43" s="165">
        <f t="shared" si="16"/>
        <v>3027519.0995907234</v>
      </c>
      <c r="AX43" s="49">
        <f t="shared" si="17"/>
        <v>37313164.484739929</v>
      </c>
      <c r="AY43" s="54">
        <v>28608000</v>
      </c>
      <c r="AZ43" s="24">
        <v>16547731.999999996</v>
      </c>
      <c r="BA43" s="24">
        <v>20391000</v>
      </c>
      <c r="BB43" s="49">
        <v>19936000</v>
      </c>
      <c r="BC43" s="49">
        <v>21269000</v>
      </c>
      <c r="BD43" s="166">
        <v>3.5000000000000003E-2</v>
      </c>
      <c r="BE43" s="166">
        <v>2.5999999999999999E-2</v>
      </c>
      <c r="BF43" s="49">
        <f t="shared" si="10"/>
        <v>20029004.341234192</v>
      </c>
      <c r="BG43" s="40">
        <f t="shared" si="11"/>
        <v>4.6651455273973852E-3</v>
      </c>
      <c r="BH43" s="6">
        <f t="shared" si="13"/>
        <v>20486126.982449159</v>
      </c>
      <c r="BI43" s="24"/>
      <c r="BJ43" s="24">
        <v>0</v>
      </c>
      <c r="BK43" s="24">
        <v>0</v>
      </c>
      <c r="BL43" s="24"/>
      <c r="BM43" s="38">
        <v>666972990</v>
      </c>
      <c r="BN43" s="3">
        <v>825860542.49151111</v>
      </c>
      <c r="BO43" s="54">
        <v>932151037.44189191</v>
      </c>
      <c r="BP43" s="53">
        <v>996985539.73869932</v>
      </c>
      <c r="BQ43" s="86">
        <v>1993971079.4773986</v>
      </c>
      <c r="BR43" s="86">
        <f t="shared" si="5"/>
        <v>1495478309.6080489</v>
      </c>
      <c r="BS43" s="53">
        <v>23021985.054648414</v>
      </c>
      <c r="BT43" s="54">
        <v>52600</v>
      </c>
      <c r="BU43" s="54">
        <v>52600</v>
      </c>
      <c r="BV43" s="53">
        <f t="shared" si="9"/>
        <v>52600</v>
      </c>
      <c r="BW43" s="57">
        <v>2.0317308981472326E-2</v>
      </c>
      <c r="BX43" s="83">
        <f t="shared" si="18"/>
        <v>96170.831458519053</v>
      </c>
    </row>
    <row r="44" spans="1:76" ht="15.5" hidden="1" x14ac:dyDescent="0.35">
      <c r="A44" s="26" t="s">
        <v>221</v>
      </c>
      <c r="B44" t="s">
        <v>162</v>
      </c>
      <c r="C44" t="s">
        <v>166</v>
      </c>
      <c r="D44" t="s">
        <v>222</v>
      </c>
      <c r="E44" s="60" t="s">
        <v>170</v>
      </c>
      <c r="F44" s="60" t="s">
        <v>163</v>
      </c>
      <c r="G44" s="60" t="s">
        <v>170</v>
      </c>
      <c r="H44" s="60" t="s">
        <v>170</v>
      </c>
      <c r="I44" s="60" t="s">
        <v>163</v>
      </c>
      <c r="J44" s="60" t="s">
        <v>163</v>
      </c>
      <c r="K44" s="60" t="s">
        <v>163</v>
      </c>
      <c r="L44" s="60" t="s">
        <v>163</v>
      </c>
      <c r="M44" s="60" t="s">
        <v>9</v>
      </c>
      <c r="N44" s="60" t="s">
        <v>170</v>
      </c>
      <c r="O44" s="60" t="s">
        <v>168</v>
      </c>
      <c r="P44" s="60" t="s">
        <v>182</v>
      </c>
      <c r="Q44" s="60" t="s">
        <v>170</v>
      </c>
      <c r="R44" s="60" t="s">
        <v>163</v>
      </c>
      <c r="S44" s="60" t="s">
        <v>163</v>
      </c>
      <c r="T44" s="60" t="s">
        <v>163</v>
      </c>
      <c r="U44" s="60" t="s">
        <v>163</v>
      </c>
      <c r="V44" s="60" t="s">
        <v>163</v>
      </c>
      <c r="W44" s="60" t="s">
        <v>163</v>
      </c>
      <c r="X44" s="60" t="s">
        <v>163</v>
      </c>
      <c r="Y44" s="60" t="s">
        <v>163</v>
      </c>
      <c r="Z44" s="60" t="s">
        <v>163</v>
      </c>
      <c r="AA44" s="60" t="s">
        <v>163</v>
      </c>
      <c r="AB44" s="60" t="s">
        <v>163</v>
      </c>
      <c r="AC44" s="60" t="s">
        <v>182</v>
      </c>
      <c r="AD44" s="60" t="s">
        <v>182</v>
      </c>
      <c r="AE44" s="60" t="s">
        <v>171</v>
      </c>
      <c r="AF44" s="60" t="s">
        <v>182</v>
      </c>
      <c r="AG44" s="60" t="s">
        <v>169</v>
      </c>
      <c r="AH44" s="85">
        <v>12258000</v>
      </c>
      <c r="AI44" s="85">
        <v>16756612</v>
      </c>
      <c r="AJ44" s="85">
        <v>1640000</v>
      </c>
      <c r="AK44" s="85">
        <v>1530000</v>
      </c>
      <c r="AL44" s="49">
        <v>32184612</v>
      </c>
      <c r="AM44" s="24">
        <v>35570000</v>
      </c>
      <c r="AN44" s="24">
        <v>2680000</v>
      </c>
      <c r="AO44" s="49">
        <f t="shared" si="6"/>
        <v>38250000</v>
      </c>
      <c r="AP44" s="49">
        <v>34830000</v>
      </c>
      <c r="AQ44" s="49">
        <v>45500000</v>
      </c>
      <c r="AR44" s="164">
        <f t="shared" si="14"/>
        <v>0.30634510479471722</v>
      </c>
      <c r="AS44" s="49">
        <v>2290000</v>
      </c>
      <c r="AT44" s="49">
        <v>2480000</v>
      </c>
      <c r="AU44" s="164">
        <f t="shared" si="12"/>
        <v>8.2969432314410563E-2</v>
      </c>
      <c r="AV44" s="26">
        <f t="shared" si="15"/>
        <v>46466695.377548091</v>
      </c>
      <c r="AW44" s="165">
        <f t="shared" si="16"/>
        <v>2902358.0786026204</v>
      </c>
      <c r="AX44" s="49">
        <f t="shared" si="17"/>
        <v>49369053.456150711</v>
      </c>
      <c r="AY44" s="54">
        <v>30670000</v>
      </c>
      <c r="AZ44" s="24">
        <v>19230000</v>
      </c>
      <c r="BA44" s="24">
        <v>23680000</v>
      </c>
      <c r="BB44" s="49">
        <v>24530000</v>
      </c>
      <c r="BC44" s="49">
        <v>27050000</v>
      </c>
      <c r="BD44" s="166">
        <v>2.9000000000000001E-2</v>
      </c>
      <c r="BE44" s="166">
        <v>2.5000000000000001E-2</v>
      </c>
      <c r="BF44" s="49">
        <f t="shared" si="10"/>
        <v>25646495.532010715</v>
      </c>
      <c r="BG44" s="40">
        <f t="shared" si="11"/>
        <v>4.5515512923388401E-2</v>
      </c>
      <c r="BH44" s="6">
        <f t="shared" si="13"/>
        <v>24757807.346025836</v>
      </c>
      <c r="BI44" s="24"/>
      <c r="BJ44" s="24">
        <v>4770000</v>
      </c>
      <c r="BK44" s="24">
        <v>3330000</v>
      </c>
      <c r="BL44" s="24"/>
      <c r="BM44" s="38">
        <v>603473218.62146449</v>
      </c>
      <c r="BN44" s="3">
        <v>1196632163.1162653</v>
      </c>
      <c r="BO44" s="54">
        <v>1259944714.5664048</v>
      </c>
      <c r="BP44" s="53">
        <v>978273000</v>
      </c>
      <c r="BQ44" s="86">
        <v>1579937000</v>
      </c>
      <c r="BR44" s="86">
        <f t="shared" si="5"/>
        <v>1279105000</v>
      </c>
      <c r="BS44" s="53">
        <v>18999607.779000904</v>
      </c>
      <c r="BT44" s="54">
        <v>65499.15</v>
      </c>
      <c r="BU44" s="54">
        <v>62208.1</v>
      </c>
      <c r="BV44" s="53">
        <f t="shared" si="9"/>
        <v>63853.625</v>
      </c>
      <c r="BW44" s="57">
        <v>1.1536851986528429E-2</v>
      </c>
      <c r="BX44" s="83">
        <f t="shared" si="18"/>
        <v>90081.755607154031</v>
      </c>
    </row>
    <row r="45" spans="1:76" ht="15.5" hidden="1" x14ac:dyDescent="0.35">
      <c r="A45" s="26" t="s">
        <v>223</v>
      </c>
      <c r="B45" t="s">
        <v>162</v>
      </c>
      <c r="C45" t="s">
        <v>177</v>
      </c>
      <c r="D45" t="s">
        <v>212</v>
      </c>
      <c r="E45" s="60" t="s">
        <v>170</v>
      </c>
      <c r="F45" s="60" t="s">
        <v>170</v>
      </c>
      <c r="G45" s="60" t="s">
        <v>163</v>
      </c>
      <c r="H45" s="60" t="s">
        <v>163</v>
      </c>
      <c r="I45" s="60" t="s">
        <v>163</v>
      </c>
      <c r="J45" s="60" t="s">
        <v>163</v>
      </c>
      <c r="K45" s="60" t="s">
        <v>163</v>
      </c>
      <c r="L45" s="60" t="s">
        <v>163</v>
      </c>
      <c r="M45" s="60" t="s">
        <v>9</v>
      </c>
      <c r="N45" s="60" t="s">
        <v>163</v>
      </c>
      <c r="O45" s="60" t="s">
        <v>170</v>
      </c>
      <c r="P45" s="60" t="s">
        <v>169</v>
      </c>
      <c r="Q45" s="60" t="s">
        <v>163</v>
      </c>
      <c r="R45" s="60" t="s">
        <v>163</v>
      </c>
      <c r="S45" s="60" t="s">
        <v>163</v>
      </c>
      <c r="T45" s="60" t="s">
        <v>163</v>
      </c>
      <c r="U45" s="60" t="s">
        <v>163</v>
      </c>
      <c r="V45" s="60" t="s">
        <v>163</v>
      </c>
      <c r="W45" s="60" t="s">
        <v>163</v>
      </c>
      <c r="X45" s="60" t="s">
        <v>163</v>
      </c>
      <c r="Y45" s="60" t="s">
        <v>163</v>
      </c>
      <c r="Z45" s="60" t="s">
        <v>163</v>
      </c>
      <c r="AA45" s="60" t="s">
        <v>163</v>
      </c>
      <c r="AB45" s="60" t="s">
        <v>163</v>
      </c>
      <c r="AC45" s="60" t="s">
        <v>169</v>
      </c>
      <c r="AD45" s="60" t="s">
        <v>169</v>
      </c>
      <c r="AE45" s="60" t="s">
        <v>169</v>
      </c>
      <c r="AF45" s="60" t="s">
        <v>169</v>
      </c>
      <c r="AG45" s="60" t="s">
        <v>170</v>
      </c>
      <c r="AH45" s="85">
        <v>1231000</v>
      </c>
      <c r="AI45" s="85">
        <v>1413000</v>
      </c>
      <c r="AJ45" s="85">
        <v>521000</v>
      </c>
      <c r="AK45" s="85">
        <v>0</v>
      </c>
      <c r="AL45" s="49">
        <v>3165000</v>
      </c>
      <c r="AM45" s="24">
        <v>3368688.9365614466</v>
      </c>
      <c r="AN45" s="24">
        <v>0</v>
      </c>
      <c r="AO45" s="49">
        <f t="shared" si="6"/>
        <v>3368688.9365614466</v>
      </c>
      <c r="AP45" s="49">
        <v>3232000</v>
      </c>
      <c r="AQ45" s="49">
        <v>3689000</v>
      </c>
      <c r="AR45" s="164">
        <f t="shared" si="14"/>
        <v>0.14139851485148514</v>
      </c>
      <c r="AS45" s="49">
        <v>0</v>
      </c>
      <c r="AT45" s="49">
        <v>0</v>
      </c>
      <c r="AU45" s="164">
        <f t="shared" si="12"/>
        <v>0</v>
      </c>
      <c r="AV45" s="26">
        <f t="shared" si="15"/>
        <v>3845016.5491878642</v>
      </c>
      <c r="AW45" s="165">
        <f t="shared" si="16"/>
        <v>0</v>
      </c>
      <c r="AX45" s="49">
        <f t="shared" si="17"/>
        <v>3845016.5491878642</v>
      </c>
      <c r="AY45" s="54">
        <v>3162000</v>
      </c>
      <c r="AZ45" s="24">
        <v>3313855.0300000003</v>
      </c>
      <c r="BA45" s="24">
        <v>3371412.6202205019</v>
      </c>
      <c r="BB45" s="49">
        <v>2251000</v>
      </c>
      <c r="BC45" s="49">
        <v>2170000</v>
      </c>
      <c r="BD45" s="166">
        <v>3.2000000000000001E-2</v>
      </c>
      <c r="BE45" s="166">
        <v>3.2000000000000001E-2</v>
      </c>
      <c r="BF45" s="49">
        <f t="shared" si="10"/>
        <v>2037512.7696652845</v>
      </c>
      <c r="BG45" s="40">
        <f t="shared" si="11"/>
        <v>-9.4841061899029522E-2</v>
      </c>
      <c r="BH45" s="6">
        <f t="shared" ref="BH45:BH76" si="19">BA45*(1+BG45)</f>
        <v>3051664.267219</v>
      </c>
      <c r="BI45" s="24"/>
      <c r="BJ45" s="24">
        <v>370000</v>
      </c>
      <c r="BK45" s="24">
        <v>440000</v>
      </c>
      <c r="BL45" s="24"/>
      <c r="BM45" s="38">
        <v>111273263.59509203</v>
      </c>
      <c r="BN45" s="3">
        <v>307790000</v>
      </c>
      <c r="BO45" s="54">
        <v>219850000</v>
      </c>
      <c r="BP45" s="53">
        <v>37456353.899999991</v>
      </c>
      <c r="BQ45" s="86">
        <v>41201987.770000003</v>
      </c>
      <c r="BR45" s="86">
        <f t="shared" si="5"/>
        <v>39329170.834999993</v>
      </c>
      <c r="BS45" s="53">
        <v>543557.12522985379</v>
      </c>
      <c r="BT45" s="54">
        <v>5153</v>
      </c>
      <c r="BU45" s="54">
        <v>3641</v>
      </c>
      <c r="BV45" s="53">
        <f t="shared" si="9"/>
        <v>4397</v>
      </c>
      <c r="BW45" s="57">
        <v>1.5246008397444832E-2</v>
      </c>
      <c r="BX45" s="83">
        <f t="shared" si="18"/>
        <v>6923.0136137463014</v>
      </c>
    </row>
    <row r="46" spans="1:76" ht="15.5" hidden="1" x14ac:dyDescent="0.35">
      <c r="A46" s="26" t="s">
        <v>224</v>
      </c>
      <c r="B46" t="s">
        <v>162</v>
      </c>
      <c r="C46" t="s">
        <v>177</v>
      </c>
      <c r="D46" t="s">
        <v>201</v>
      </c>
      <c r="E46" s="60" t="s">
        <v>163</v>
      </c>
      <c r="F46" s="60" t="s">
        <v>163</v>
      </c>
      <c r="G46" s="60" t="s">
        <v>163</v>
      </c>
      <c r="H46" s="60" t="s">
        <v>163</v>
      </c>
      <c r="I46" s="60" t="s">
        <v>163</v>
      </c>
      <c r="J46" s="60" t="s">
        <v>163</v>
      </c>
      <c r="K46" s="60" t="s">
        <v>163</v>
      </c>
      <c r="L46" s="60" t="s">
        <v>9</v>
      </c>
      <c r="M46" s="60" t="s">
        <v>9</v>
      </c>
      <c r="N46" s="60" t="s">
        <v>163</v>
      </c>
      <c r="O46" s="60" t="s">
        <v>163</v>
      </c>
      <c r="P46" s="60" t="s">
        <v>170</v>
      </c>
      <c r="Q46" s="60" t="s">
        <v>163</v>
      </c>
      <c r="R46" s="60" t="s">
        <v>163</v>
      </c>
      <c r="S46" s="60" t="s">
        <v>9</v>
      </c>
      <c r="T46" s="60" t="s">
        <v>9</v>
      </c>
      <c r="U46" s="60" t="s">
        <v>9</v>
      </c>
      <c r="V46" s="60" t="s">
        <v>163</v>
      </c>
      <c r="W46" s="60" t="s">
        <v>163</v>
      </c>
      <c r="X46" s="60" t="s">
        <v>163</v>
      </c>
      <c r="Y46" s="60" t="s">
        <v>163</v>
      </c>
      <c r="Z46" s="60" t="s">
        <v>163</v>
      </c>
      <c r="AA46" s="60" t="s">
        <v>163</v>
      </c>
      <c r="AB46" s="60" t="s">
        <v>163</v>
      </c>
      <c r="AC46" s="60" t="s">
        <v>170</v>
      </c>
      <c r="AD46" s="60" t="s">
        <v>170</v>
      </c>
      <c r="AE46" s="60" t="s">
        <v>170</v>
      </c>
      <c r="AF46" s="60" t="s">
        <v>170</v>
      </c>
      <c r="AG46" s="60" t="s">
        <v>163</v>
      </c>
      <c r="AH46" s="85">
        <v>1575000</v>
      </c>
      <c r="AI46" s="85">
        <v>541000</v>
      </c>
      <c r="AJ46" s="85">
        <v>171000</v>
      </c>
      <c r="AK46" s="85">
        <v>39000</v>
      </c>
      <c r="AL46" s="49">
        <v>2326000</v>
      </c>
      <c r="AM46" s="24">
        <v>3151000</v>
      </c>
      <c r="AN46" s="24">
        <v>0</v>
      </c>
      <c r="AO46" s="49">
        <f t="shared" si="6"/>
        <v>3151000</v>
      </c>
      <c r="AP46" s="49">
        <v>3257000</v>
      </c>
      <c r="AQ46" s="49">
        <v>3935000</v>
      </c>
      <c r="AR46" s="164">
        <f t="shared" si="14"/>
        <v>0.20816702486951177</v>
      </c>
      <c r="AS46" s="49">
        <v>0</v>
      </c>
      <c r="AT46" s="49">
        <v>0</v>
      </c>
      <c r="AU46" s="164">
        <f t="shared" si="12"/>
        <v>0</v>
      </c>
      <c r="AV46" s="26">
        <f t="shared" si="15"/>
        <v>3806934.2953638318</v>
      </c>
      <c r="AW46" s="165">
        <f t="shared" si="16"/>
        <v>0</v>
      </c>
      <c r="AX46" s="49">
        <f t="shared" si="17"/>
        <v>3806934.2953638318</v>
      </c>
      <c r="AY46" s="54">
        <v>2559000</v>
      </c>
      <c r="AZ46" s="24">
        <v>1874000</v>
      </c>
      <c r="BA46" s="24">
        <v>4511000</v>
      </c>
      <c r="BB46" s="49">
        <v>3971000</v>
      </c>
      <c r="BC46" s="49">
        <v>4123000</v>
      </c>
      <c r="BD46" s="166">
        <v>2.9000000000000001E-2</v>
      </c>
      <c r="BE46" s="166">
        <v>2.9000000000000001E-2</v>
      </c>
      <c r="BF46" s="49">
        <f t="shared" si="10"/>
        <v>3893880.1954212203</v>
      </c>
      <c r="BG46" s="40">
        <f t="shared" si="11"/>
        <v>-1.9420751593749563E-2</v>
      </c>
      <c r="BH46" s="6">
        <f t="shared" si="19"/>
        <v>4423392.9895605957</v>
      </c>
      <c r="BI46" s="24"/>
      <c r="BJ46" s="24">
        <v>109000</v>
      </c>
      <c r="BK46" s="24">
        <v>59000</v>
      </c>
      <c r="BL46" s="24"/>
      <c r="BM46" s="38">
        <v>18780488.967473242</v>
      </c>
      <c r="BN46" s="3">
        <v>256165000</v>
      </c>
      <c r="BO46" s="54">
        <v>182975000</v>
      </c>
      <c r="BP46" s="53">
        <v>61053000.000000007</v>
      </c>
      <c r="BQ46" s="86">
        <v>79379000.000000015</v>
      </c>
      <c r="BR46" s="86">
        <f t="shared" si="5"/>
        <v>70216000.000000015</v>
      </c>
      <c r="BS46" s="53">
        <v>1002487.625917279</v>
      </c>
      <c r="BT46" s="54">
        <v>4200</v>
      </c>
      <c r="BU46" s="54">
        <v>3119</v>
      </c>
      <c r="BV46" s="53">
        <f t="shared" si="9"/>
        <v>3659.5</v>
      </c>
      <c r="BW46" s="57">
        <v>1.9368091771997609E-2</v>
      </c>
      <c r="BX46" s="83">
        <f t="shared" si="18"/>
        <v>6506.5805000704513</v>
      </c>
    </row>
    <row r="47" spans="1:76" ht="15.5" hidden="1" x14ac:dyDescent="0.35">
      <c r="A47" s="26" t="s">
        <v>225</v>
      </c>
      <c r="B47" t="s">
        <v>162</v>
      </c>
      <c r="C47" t="s">
        <v>160</v>
      </c>
      <c r="D47" t="s">
        <v>205</v>
      </c>
      <c r="E47" s="60" t="s">
        <v>170</v>
      </c>
      <c r="F47" s="60" t="s">
        <v>163</v>
      </c>
      <c r="G47" s="60" t="s">
        <v>170</v>
      </c>
      <c r="H47" s="60" t="s">
        <v>170</v>
      </c>
      <c r="I47" s="60" t="s">
        <v>163</v>
      </c>
      <c r="J47" s="60" t="s">
        <v>163</v>
      </c>
      <c r="K47" s="60" t="s">
        <v>163</v>
      </c>
      <c r="L47" s="60" t="s">
        <v>163</v>
      </c>
      <c r="M47" s="60" t="s">
        <v>9</v>
      </c>
      <c r="N47" s="60" t="s">
        <v>170</v>
      </c>
      <c r="O47" s="60" t="s">
        <v>168</v>
      </c>
      <c r="P47" s="60" t="s">
        <v>171</v>
      </c>
      <c r="Q47" s="60" t="s">
        <v>170</v>
      </c>
      <c r="R47" s="60" t="s">
        <v>163</v>
      </c>
      <c r="S47" s="60" t="s">
        <v>163</v>
      </c>
      <c r="T47" s="60" t="s">
        <v>163</v>
      </c>
      <c r="U47" s="60" t="s">
        <v>163</v>
      </c>
      <c r="V47" s="60" t="s">
        <v>163</v>
      </c>
      <c r="W47" s="60" t="s">
        <v>163</v>
      </c>
      <c r="X47" s="60" t="s">
        <v>163</v>
      </c>
      <c r="Y47" s="60" t="s">
        <v>163</v>
      </c>
      <c r="Z47" s="60" t="s">
        <v>163</v>
      </c>
      <c r="AA47" s="60" t="s">
        <v>163</v>
      </c>
      <c r="AB47" s="60" t="s">
        <v>170</v>
      </c>
      <c r="AC47" s="60" t="s">
        <v>171</v>
      </c>
      <c r="AD47" s="60" t="s">
        <v>171</v>
      </c>
      <c r="AE47" s="60" t="s">
        <v>183</v>
      </c>
      <c r="AF47" s="60" t="s">
        <v>171</v>
      </c>
      <c r="AG47" s="60" t="s">
        <v>168</v>
      </c>
      <c r="AH47" s="85">
        <v>9329000</v>
      </c>
      <c r="AI47" s="85">
        <v>10102000</v>
      </c>
      <c r="AJ47" s="85">
        <v>8000</v>
      </c>
      <c r="AK47" s="85">
        <v>3850000</v>
      </c>
      <c r="AL47" s="49">
        <v>23289000</v>
      </c>
      <c r="AM47" s="24">
        <v>25121000</v>
      </c>
      <c r="AN47" s="24">
        <v>1043000</v>
      </c>
      <c r="AO47" s="49">
        <f t="shared" si="6"/>
        <v>26164000</v>
      </c>
      <c r="AP47" s="49">
        <v>25191000</v>
      </c>
      <c r="AQ47" s="49">
        <v>32123000</v>
      </c>
      <c r="AR47" s="164">
        <f t="shared" si="14"/>
        <v>0.27517764280893964</v>
      </c>
      <c r="AS47" s="49">
        <v>1039000</v>
      </c>
      <c r="AT47" s="49">
        <v>1872000</v>
      </c>
      <c r="AU47" s="164">
        <f t="shared" si="12"/>
        <v>0.8017324350336863</v>
      </c>
      <c r="AV47" s="26">
        <f t="shared" si="15"/>
        <v>32033737.565003373</v>
      </c>
      <c r="AW47" s="165">
        <f t="shared" si="16"/>
        <v>1879206.9297401349</v>
      </c>
      <c r="AX47" s="49">
        <f t="shared" si="17"/>
        <v>33912944.494743511</v>
      </c>
      <c r="AY47" s="54">
        <v>20833000</v>
      </c>
      <c r="AZ47" s="24">
        <v>14712600</v>
      </c>
      <c r="BA47" s="24">
        <v>13732000</v>
      </c>
      <c r="BB47" s="49">
        <v>14974000</v>
      </c>
      <c r="BC47" s="49">
        <v>16676000</v>
      </c>
      <c r="BD47" s="166">
        <v>3.5000000000000003E-2</v>
      </c>
      <c r="BE47" s="166">
        <v>2.5999999999999999E-2</v>
      </c>
      <c r="BF47" s="49">
        <f t="shared" si="10"/>
        <v>15703779.039654963</v>
      </c>
      <c r="BG47" s="40">
        <f t="shared" si="11"/>
        <v>4.8736412425201214E-2</v>
      </c>
      <c r="BH47" s="6">
        <f t="shared" si="19"/>
        <v>14401248.415422862</v>
      </c>
      <c r="BI47" s="24"/>
      <c r="BJ47" s="24">
        <v>1432000</v>
      </c>
      <c r="BK47" s="24">
        <v>1230000</v>
      </c>
      <c r="BL47" s="24"/>
      <c r="BM47" s="38">
        <v>465098908.14637816</v>
      </c>
      <c r="BN47" s="3">
        <v>1394031426.0514655</v>
      </c>
      <c r="BO47" s="54">
        <v>1397762698.2306404</v>
      </c>
      <c r="BP47" s="53">
        <v>962196000.00000012</v>
      </c>
      <c r="BQ47" s="86">
        <v>1251534999.9999995</v>
      </c>
      <c r="BR47" s="86">
        <f t="shared" si="5"/>
        <v>1106865499.9999998</v>
      </c>
      <c r="BS47" s="53">
        <v>15804183.812305976</v>
      </c>
      <c r="BT47" s="54">
        <v>89100</v>
      </c>
      <c r="BU47" s="54">
        <v>89100</v>
      </c>
      <c r="BV47" s="53">
        <f t="shared" si="9"/>
        <v>89100</v>
      </c>
      <c r="BW47" s="57">
        <v>9.018275672927567E-3</v>
      </c>
      <c r="BX47" s="83">
        <f t="shared" si="18"/>
        <v>116640.31285333584</v>
      </c>
    </row>
    <row r="48" spans="1:76" ht="15.5" hidden="1" x14ac:dyDescent="0.35">
      <c r="A48" s="26" t="s">
        <v>226</v>
      </c>
      <c r="B48" t="s">
        <v>162</v>
      </c>
      <c r="C48" t="s">
        <v>160</v>
      </c>
      <c r="D48" t="s">
        <v>181</v>
      </c>
      <c r="E48" s="60" t="s">
        <v>169</v>
      </c>
      <c r="F48" s="60" t="s">
        <v>170</v>
      </c>
      <c r="G48" s="60" t="s">
        <v>170</v>
      </c>
      <c r="H48" s="60" t="s">
        <v>170</v>
      </c>
      <c r="I48" s="60" t="s">
        <v>163</v>
      </c>
      <c r="J48" s="60" t="s">
        <v>163</v>
      </c>
      <c r="K48" s="60" t="s">
        <v>170</v>
      </c>
      <c r="L48" s="60" t="s">
        <v>163</v>
      </c>
      <c r="M48" s="60" t="s">
        <v>9</v>
      </c>
      <c r="N48" s="60" t="s">
        <v>170</v>
      </c>
      <c r="O48" s="60" t="s">
        <v>182</v>
      </c>
      <c r="P48" s="60" t="s">
        <v>183</v>
      </c>
      <c r="Q48" s="60" t="s">
        <v>170</v>
      </c>
      <c r="R48" s="60" t="s">
        <v>163</v>
      </c>
      <c r="S48" s="60" t="s">
        <v>163</v>
      </c>
      <c r="T48" s="60" t="s">
        <v>163</v>
      </c>
      <c r="U48" s="60" t="s">
        <v>163</v>
      </c>
      <c r="V48" s="60" t="s">
        <v>163</v>
      </c>
      <c r="W48" s="60" t="s">
        <v>163</v>
      </c>
      <c r="X48" s="60" t="s">
        <v>163</v>
      </c>
      <c r="Y48" s="60" t="s">
        <v>163</v>
      </c>
      <c r="Z48" s="60" t="s">
        <v>163</v>
      </c>
      <c r="AA48" s="60" t="s">
        <v>163</v>
      </c>
      <c r="AB48" s="60" t="s">
        <v>170</v>
      </c>
      <c r="AC48" s="60" t="s">
        <v>183</v>
      </c>
      <c r="AD48" s="60" t="s">
        <v>183</v>
      </c>
      <c r="AE48" s="60" t="s">
        <v>175</v>
      </c>
      <c r="AF48" s="60" t="s">
        <v>183</v>
      </c>
      <c r="AG48" s="60" t="s">
        <v>171</v>
      </c>
      <c r="AH48" s="85">
        <v>10092000</v>
      </c>
      <c r="AI48" s="85">
        <v>16836000</v>
      </c>
      <c r="AJ48" s="85">
        <v>3310000</v>
      </c>
      <c r="AK48" s="85">
        <v>2137000</v>
      </c>
      <c r="AL48" s="49">
        <v>32375000</v>
      </c>
      <c r="AM48" s="24">
        <v>27348000</v>
      </c>
      <c r="AN48" s="24">
        <v>746000</v>
      </c>
      <c r="AO48" s="49">
        <f t="shared" si="6"/>
        <v>28094000</v>
      </c>
      <c r="AP48" s="49">
        <v>26685000</v>
      </c>
      <c r="AQ48" s="49">
        <v>31413000</v>
      </c>
      <c r="AR48" s="164">
        <f t="shared" si="14"/>
        <v>0.17717818999437895</v>
      </c>
      <c r="AS48" s="49">
        <v>1274000</v>
      </c>
      <c r="AT48" s="49">
        <v>2164000</v>
      </c>
      <c r="AU48" s="164">
        <f t="shared" si="12"/>
        <v>0.69858712715855575</v>
      </c>
      <c r="AV48" s="26">
        <f t="shared" si="15"/>
        <v>32193469.139966276</v>
      </c>
      <c r="AW48" s="165">
        <f t="shared" si="16"/>
        <v>1267145.9968602825</v>
      </c>
      <c r="AX48" s="49">
        <f t="shared" si="17"/>
        <v>33460615.13682656</v>
      </c>
      <c r="AY48" s="54">
        <v>23779000</v>
      </c>
      <c r="AZ48" s="24">
        <v>14260504.656663088</v>
      </c>
      <c r="BA48" s="24">
        <v>28231820</v>
      </c>
      <c r="BB48" s="49">
        <v>25814022.936742052</v>
      </c>
      <c r="BC48" s="49">
        <v>25167319.3267879</v>
      </c>
      <c r="BD48" s="166">
        <v>2.9000000000000001E-2</v>
      </c>
      <c r="BE48" s="166">
        <v>2.5000000000000001E-2</v>
      </c>
      <c r="BF48" s="49">
        <f t="shared" si="10"/>
        <v>23861498.804700658</v>
      </c>
      <c r="BG48" s="40">
        <f t="shared" si="11"/>
        <v>-7.563811873980697E-2</v>
      </c>
      <c r="BH48" s="6">
        <f t="shared" si="19"/>
        <v>26096418.246599142</v>
      </c>
      <c r="BI48" s="24"/>
      <c r="BJ48" s="24">
        <v>1732000</v>
      </c>
      <c r="BK48" s="24">
        <v>2521860</v>
      </c>
      <c r="BL48" s="24"/>
      <c r="BM48" s="38">
        <v>1344703357.9881976</v>
      </c>
      <c r="BN48" s="3">
        <v>929416636.52318549</v>
      </c>
      <c r="BO48" s="54">
        <v>1064383588.2073722</v>
      </c>
      <c r="BP48" s="53">
        <v>906579696.40962005</v>
      </c>
      <c r="BQ48" s="86">
        <v>2907996570.3093705</v>
      </c>
      <c r="BR48" s="86">
        <f t="shared" si="5"/>
        <v>1907288133.3594952</v>
      </c>
      <c r="BS48" s="53">
        <v>31371631.103880487</v>
      </c>
      <c r="BT48" s="54">
        <v>58300</v>
      </c>
      <c r="BU48" s="54">
        <v>58300</v>
      </c>
      <c r="BV48" s="53">
        <f t="shared" si="9"/>
        <v>58300</v>
      </c>
      <c r="BW48" s="57">
        <v>2.2049167456336782E-2</v>
      </c>
      <c r="BX48" s="83">
        <f t="shared" si="18"/>
        <v>112155.9242370673</v>
      </c>
    </row>
    <row r="49" spans="1:76" ht="15.5" hidden="1" x14ac:dyDescent="0.35">
      <c r="A49" s="26" t="s">
        <v>227</v>
      </c>
      <c r="B49" t="s">
        <v>165</v>
      </c>
      <c r="C49" t="s">
        <v>160</v>
      </c>
      <c r="D49" t="s">
        <v>187</v>
      </c>
      <c r="E49" s="60" t="s">
        <v>168</v>
      </c>
      <c r="F49" s="60" t="s">
        <v>169</v>
      </c>
      <c r="G49" s="60" t="s">
        <v>169</v>
      </c>
      <c r="H49" s="60" t="s">
        <v>169</v>
      </c>
      <c r="I49" s="60" t="s">
        <v>170</v>
      </c>
      <c r="J49" s="60" t="s">
        <v>170</v>
      </c>
      <c r="K49" s="60" t="s">
        <v>170</v>
      </c>
      <c r="L49" s="60" t="s">
        <v>163</v>
      </c>
      <c r="M49" s="60" t="s">
        <v>163</v>
      </c>
      <c r="N49" s="60" t="s">
        <v>168</v>
      </c>
      <c r="O49" s="60" t="s">
        <v>183</v>
      </c>
      <c r="P49" s="60" t="s">
        <v>179</v>
      </c>
      <c r="Q49" s="60" t="s">
        <v>170</v>
      </c>
      <c r="R49" s="60" t="s">
        <v>9</v>
      </c>
      <c r="S49" s="60" t="s">
        <v>169</v>
      </c>
      <c r="T49" s="60" t="s">
        <v>169</v>
      </c>
      <c r="U49" s="60" t="s">
        <v>169</v>
      </c>
      <c r="V49" s="60" t="s">
        <v>169</v>
      </c>
      <c r="W49" s="60" t="s">
        <v>169</v>
      </c>
      <c r="X49" s="60" t="s">
        <v>169</v>
      </c>
      <c r="Y49" s="60" t="s">
        <v>169</v>
      </c>
      <c r="Z49" s="60" t="s">
        <v>169</v>
      </c>
      <c r="AA49" s="60" t="s">
        <v>169</v>
      </c>
      <c r="AB49" s="60" t="s">
        <v>169</v>
      </c>
      <c r="AC49" s="60" t="s">
        <v>172</v>
      </c>
      <c r="AD49" s="60" t="s">
        <v>172</v>
      </c>
      <c r="AE49" s="60" t="s">
        <v>188</v>
      </c>
      <c r="AF49" s="60" t="s">
        <v>172</v>
      </c>
      <c r="AG49" s="60" t="s">
        <v>173</v>
      </c>
      <c r="AH49" s="85">
        <v>9630300</v>
      </c>
      <c r="AI49" s="85">
        <v>13222000</v>
      </c>
      <c r="AJ49" s="85">
        <v>2754000</v>
      </c>
      <c r="AK49" s="85">
        <v>11001000</v>
      </c>
      <c r="AL49" s="49">
        <v>36607300</v>
      </c>
      <c r="AM49" s="24">
        <v>28692000</v>
      </c>
      <c r="AN49" s="24">
        <v>8926000</v>
      </c>
      <c r="AO49" s="49">
        <f t="shared" si="6"/>
        <v>37618000</v>
      </c>
      <c r="AP49" s="49">
        <v>29119000</v>
      </c>
      <c r="AQ49" s="49">
        <v>37214000</v>
      </c>
      <c r="AR49" s="164">
        <f t="shared" si="14"/>
        <v>0.27799718396922968</v>
      </c>
      <c r="AS49" s="49">
        <v>9668000</v>
      </c>
      <c r="AT49" s="49">
        <v>13565000</v>
      </c>
      <c r="AU49" s="164">
        <f t="shared" si="12"/>
        <v>0.40308233347124545</v>
      </c>
      <c r="AV49" s="26">
        <f t="shared" si="15"/>
        <v>36668295.202445135</v>
      </c>
      <c r="AW49" s="165">
        <f t="shared" si="16"/>
        <v>12523912.908564337</v>
      </c>
      <c r="AX49" s="49">
        <f t="shared" si="17"/>
        <v>49192208.111009471</v>
      </c>
      <c r="AY49" s="54">
        <v>25790000</v>
      </c>
      <c r="AZ49" s="24">
        <v>17786552.340000004</v>
      </c>
      <c r="BA49" s="24">
        <v>18233000</v>
      </c>
      <c r="BB49" s="49">
        <v>18311000</v>
      </c>
      <c r="BC49" s="49">
        <v>21726000</v>
      </c>
      <c r="BD49" s="166">
        <v>3.5000000000000003E-2</v>
      </c>
      <c r="BE49" s="166">
        <v>2.5999999999999999E-2</v>
      </c>
      <c r="BF49" s="49">
        <f t="shared" si="10"/>
        <v>20459360.962793458</v>
      </c>
      <c r="BG49" s="40">
        <f t="shared" si="11"/>
        <v>0.11732624994776142</v>
      </c>
      <c r="BH49" s="6">
        <f t="shared" si="19"/>
        <v>20372209.515297532</v>
      </c>
      <c r="BI49" s="24"/>
      <c r="BJ49" s="24">
        <v>2382000</v>
      </c>
      <c r="BK49" s="24">
        <v>3421000</v>
      </c>
      <c r="BL49" s="24"/>
      <c r="BM49" s="38">
        <v>2445624068.0270023</v>
      </c>
      <c r="BN49" s="3">
        <v>3144271886.9625125</v>
      </c>
      <c r="BO49" s="54">
        <v>3004301816.0099602</v>
      </c>
      <c r="BP49" s="53">
        <v>1070245842.9999999</v>
      </c>
      <c r="BQ49" s="86">
        <v>2140491685.9999998</v>
      </c>
      <c r="BR49" s="86">
        <f t="shared" si="5"/>
        <v>1605368764.4999998</v>
      </c>
      <c r="BS49" s="53">
        <v>24713682.215294007</v>
      </c>
      <c r="BT49" s="54">
        <v>36000</v>
      </c>
      <c r="BU49" s="54">
        <v>36000</v>
      </c>
      <c r="BV49" s="53">
        <f t="shared" si="9"/>
        <v>36000</v>
      </c>
      <c r="BW49" s="57">
        <v>3.0277059704020504E-2</v>
      </c>
      <c r="BX49" s="83">
        <f t="shared" si="18"/>
        <v>88089.348273663767</v>
      </c>
    </row>
    <row r="50" spans="1:76" ht="15.5" hidden="1" x14ac:dyDescent="0.35">
      <c r="A50" s="26" t="s">
        <v>228</v>
      </c>
      <c r="B50" t="s">
        <v>162</v>
      </c>
      <c r="C50" t="s">
        <v>177</v>
      </c>
      <c r="D50" t="s">
        <v>229</v>
      </c>
      <c r="E50" s="60" t="s">
        <v>170</v>
      </c>
      <c r="F50" s="60" t="s">
        <v>163</v>
      </c>
      <c r="G50" s="60" t="s">
        <v>170</v>
      </c>
      <c r="H50" s="60" t="s">
        <v>170</v>
      </c>
      <c r="I50" s="60" t="s">
        <v>163</v>
      </c>
      <c r="J50" s="60" t="s">
        <v>163</v>
      </c>
      <c r="K50" s="60" t="s">
        <v>163</v>
      </c>
      <c r="L50" s="60" t="s">
        <v>163</v>
      </c>
      <c r="M50" s="60" t="s">
        <v>9</v>
      </c>
      <c r="N50" s="60" t="s">
        <v>170</v>
      </c>
      <c r="O50" s="60" t="s">
        <v>168</v>
      </c>
      <c r="P50" s="60" t="s">
        <v>171</v>
      </c>
      <c r="Q50" s="60" t="s">
        <v>170</v>
      </c>
      <c r="R50" s="60" t="s">
        <v>163</v>
      </c>
      <c r="S50" s="60" t="s">
        <v>163</v>
      </c>
      <c r="T50" s="60" t="s">
        <v>163</v>
      </c>
      <c r="U50" s="60" t="s">
        <v>163</v>
      </c>
      <c r="V50" s="60" t="s">
        <v>163</v>
      </c>
      <c r="W50" s="60" t="s">
        <v>163</v>
      </c>
      <c r="X50" s="60" t="s">
        <v>163</v>
      </c>
      <c r="Y50" s="60" t="s">
        <v>163</v>
      </c>
      <c r="Z50" s="60" t="s">
        <v>163</v>
      </c>
      <c r="AA50" s="60" t="s">
        <v>163</v>
      </c>
      <c r="AB50" s="60" t="s">
        <v>163</v>
      </c>
      <c r="AC50" s="60" t="s">
        <v>171</v>
      </c>
      <c r="AD50" s="60" t="s">
        <v>171</v>
      </c>
      <c r="AE50" s="60" t="s">
        <v>183</v>
      </c>
      <c r="AF50" s="60" t="s">
        <v>182</v>
      </c>
      <c r="AG50" s="60" t="s">
        <v>168</v>
      </c>
      <c r="AH50" s="85">
        <v>5145000</v>
      </c>
      <c r="AI50" s="85">
        <v>2736000</v>
      </c>
      <c r="AJ50" s="85">
        <v>601000</v>
      </c>
      <c r="AK50" s="85">
        <v>0</v>
      </c>
      <c r="AL50" s="49">
        <v>8482000</v>
      </c>
      <c r="AM50" s="24">
        <v>8841150.3759398498</v>
      </c>
      <c r="AN50" s="24">
        <v>0</v>
      </c>
      <c r="AO50" s="49">
        <f t="shared" si="6"/>
        <v>8841150.3759398498</v>
      </c>
      <c r="AP50" s="49">
        <v>8942000</v>
      </c>
      <c r="AQ50" s="49">
        <v>10250000</v>
      </c>
      <c r="AR50" s="164">
        <f t="shared" si="14"/>
        <v>0.14627600089465442</v>
      </c>
      <c r="AS50" s="49">
        <v>0</v>
      </c>
      <c r="AT50" s="49">
        <v>0</v>
      </c>
      <c r="AU50" s="164">
        <f t="shared" si="12"/>
        <v>0</v>
      </c>
      <c r="AV50" s="26">
        <f t="shared" si="15"/>
        <v>10134398.496240601</v>
      </c>
      <c r="AW50" s="165">
        <f t="shared" si="16"/>
        <v>0</v>
      </c>
      <c r="AX50" s="49">
        <f t="shared" si="17"/>
        <v>10134398.496240601</v>
      </c>
      <c r="AY50" s="54">
        <v>8722000</v>
      </c>
      <c r="AZ50" s="24">
        <v>4516000</v>
      </c>
      <c r="BA50" s="24">
        <v>5914852.2167487685</v>
      </c>
      <c r="BB50" s="49">
        <v>5134000</v>
      </c>
      <c r="BC50" s="49">
        <v>4967000</v>
      </c>
      <c r="BD50" s="166">
        <v>3.5000000000000003E-2</v>
      </c>
      <c r="BE50" s="166">
        <v>2.5999999999999999E-2</v>
      </c>
      <c r="BF50" s="49">
        <f t="shared" si="10"/>
        <v>4677420.8737086952</v>
      </c>
      <c r="BG50" s="40">
        <f t="shared" si="11"/>
        <v>-8.8932435974153679E-2</v>
      </c>
      <c r="BH50" s="6">
        <f t="shared" si="19"/>
        <v>5388830.000686178</v>
      </c>
      <c r="BI50" s="24"/>
      <c r="BJ50" s="24">
        <v>724000</v>
      </c>
      <c r="BK50" s="24">
        <v>0</v>
      </c>
      <c r="BL50" s="24"/>
      <c r="BM50" s="38">
        <v>73596614.984019488</v>
      </c>
      <c r="BN50" s="3">
        <v>1088500000</v>
      </c>
      <c r="BO50" s="54">
        <v>777500000</v>
      </c>
      <c r="BP50" s="53">
        <v>158326000</v>
      </c>
      <c r="BQ50" s="86">
        <v>174977999.99999997</v>
      </c>
      <c r="BR50" s="86">
        <f t="shared" si="5"/>
        <v>166652000</v>
      </c>
      <c r="BS50" s="53">
        <v>2305398.3645487283</v>
      </c>
      <c r="BT50" s="54">
        <v>15550</v>
      </c>
      <c r="BU50" s="54">
        <v>15550</v>
      </c>
      <c r="BV50" s="53">
        <f t="shared" si="9"/>
        <v>15550</v>
      </c>
      <c r="BW50" s="57">
        <v>1.1676703289849266E-2</v>
      </c>
      <c r="BX50" s="83">
        <f t="shared" si="18"/>
        <v>22028.395790254344</v>
      </c>
    </row>
    <row r="51" spans="1:76" ht="15.5" hidden="1" x14ac:dyDescent="0.35">
      <c r="A51" s="26" t="s">
        <v>230</v>
      </c>
      <c r="B51" t="s">
        <v>162</v>
      </c>
      <c r="C51" t="s">
        <v>166</v>
      </c>
      <c r="D51" t="s">
        <v>231</v>
      </c>
      <c r="E51" s="60" t="s">
        <v>163</v>
      </c>
      <c r="F51" s="60" t="s">
        <v>170</v>
      </c>
      <c r="G51" s="60" t="s">
        <v>163</v>
      </c>
      <c r="H51" s="60" t="s">
        <v>163</v>
      </c>
      <c r="I51" s="60" t="s">
        <v>163</v>
      </c>
      <c r="J51" s="60" t="s">
        <v>163</v>
      </c>
      <c r="K51" s="60" t="s">
        <v>163</v>
      </c>
      <c r="L51" s="60" t="s">
        <v>163</v>
      </c>
      <c r="M51" s="60" t="s">
        <v>9</v>
      </c>
      <c r="N51" s="60" t="s">
        <v>163</v>
      </c>
      <c r="O51" s="60" t="s">
        <v>170</v>
      </c>
      <c r="P51" s="60" t="s">
        <v>169</v>
      </c>
      <c r="Q51" s="60" t="s">
        <v>163</v>
      </c>
      <c r="R51" s="60" t="s">
        <v>163</v>
      </c>
      <c r="S51" s="60" t="s">
        <v>163</v>
      </c>
      <c r="T51" s="60" t="s">
        <v>163</v>
      </c>
      <c r="U51" s="60" t="s">
        <v>163</v>
      </c>
      <c r="V51" s="60" t="s">
        <v>163</v>
      </c>
      <c r="W51" s="60" t="s">
        <v>163</v>
      </c>
      <c r="X51" s="60" t="s">
        <v>163</v>
      </c>
      <c r="Y51" s="60" t="s">
        <v>163</v>
      </c>
      <c r="Z51" s="60" t="s">
        <v>163</v>
      </c>
      <c r="AA51" s="60" t="s">
        <v>163</v>
      </c>
      <c r="AB51" s="60" t="s">
        <v>163</v>
      </c>
      <c r="AC51" s="60" t="s">
        <v>169</v>
      </c>
      <c r="AD51" s="60" t="s">
        <v>169</v>
      </c>
      <c r="AE51" s="60" t="s">
        <v>169</v>
      </c>
      <c r="AF51" s="60" t="s">
        <v>169</v>
      </c>
      <c r="AG51" s="60" t="s">
        <v>170</v>
      </c>
      <c r="AH51" s="85">
        <v>9835700</v>
      </c>
      <c r="AI51" s="85">
        <v>17391000</v>
      </c>
      <c r="AJ51" s="85">
        <v>5445000</v>
      </c>
      <c r="AK51" s="85">
        <v>796000</v>
      </c>
      <c r="AL51" s="49">
        <v>33467700</v>
      </c>
      <c r="AM51" s="24">
        <v>35807285.665875979</v>
      </c>
      <c r="AN51" s="24">
        <v>0</v>
      </c>
      <c r="AO51" s="49">
        <f t="shared" si="6"/>
        <v>35807285.665875979</v>
      </c>
      <c r="AP51" s="49">
        <v>35120000</v>
      </c>
      <c r="AQ51" s="49">
        <v>40595000</v>
      </c>
      <c r="AR51" s="164">
        <f t="shared" si="14"/>
        <v>0.15589407744874717</v>
      </c>
      <c r="AS51" s="49">
        <v>0</v>
      </c>
      <c r="AT51" s="49">
        <v>3401000</v>
      </c>
      <c r="AU51" s="164">
        <f t="shared" si="12"/>
        <v>0</v>
      </c>
      <c r="AV51" s="26">
        <f t="shared" si="15"/>
        <v>41389429.430701464</v>
      </c>
      <c r="AW51" s="165">
        <f t="shared" si="16"/>
        <v>0</v>
      </c>
      <c r="AX51" s="49">
        <f t="shared" si="17"/>
        <v>41389429.430701464</v>
      </c>
      <c r="AY51" s="54">
        <v>32481000</v>
      </c>
      <c r="AZ51" s="24">
        <v>22449000</v>
      </c>
      <c r="BA51" s="24">
        <v>25961577.762139339</v>
      </c>
      <c r="BB51" s="49">
        <v>24166000</v>
      </c>
      <c r="BC51" s="49">
        <v>25835000</v>
      </c>
      <c r="BD51" s="166">
        <v>3.5000000000000003E-2</v>
      </c>
      <c r="BE51" s="166">
        <v>2.5999999999999999E-2</v>
      </c>
      <c r="BF51" s="49">
        <f t="shared" si="10"/>
        <v>24328803.75926397</v>
      </c>
      <c r="BG51" s="40">
        <f t="shared" si="11"/>
        <v>6.7368931252160813E-3</v>
      </c>
      <c r="BH51" s="6">
        <f t="shared" si="19"/>
        <v>26136478.136884857</v>
      </c>
      <c r="BI51" s="24"/>
      <c r="BJ51" s="24">
        <v>1914000</v>
      </c>
      <c r="BK51" s="24">
        <v>2483820.9902786044</v>
      </c>
      <c r="BL51" s="24"/>
      <c r="BM51" s="38">
        <v>487387855.11529851</v>
      </c>
      <c r="BN51" s="3">
        <v>1402203858.1814928</v>
      </c>
      <c r="BO51" s="54">
        <v>1445667866.1631315</v>
      </c>
      <c r="BP51" s="53">
        <v>895150000.00000024</v>
      </c>
      <c r="BQ51" s="86">
        <v>1118937500.0000002</v>
      </c>
      <c r="BR51" s="86">
        <f t="shared" si="5"/>
        <v>1007043750.0000002</v>
      </c>
      <c r="BS51" s="53">
        <v>14270232.129796006</v>
      </c>
      <c r="BT51" s="54">
        <v>62128</v>
      </c>
      <c r="BU51" s="54">
        <v>62575.32</v>
      </c>
      <c r="BV51" s="53">
        <f t="shared" si="9"/>
        <v>62351.66</v>
      </c>
      <c r="BW51" s="57">
        <v>1.4812091550443052E-2</v>
      </c>
      <c r="BX51" s="83">
        <f t="shared" si="18"/>
        <v>96920.805994227776</v>
      </c>
    </row>
    <row r="52" spans="1:76" ht="15.5" hidden="1" x14ac:dyDescent="0.35">
      <c r="A52" s="26" t="s">
        <v>232</v>
      </c>
      <c r="B52" t="s">
        <v>162</v>
      </c>
      <c r="C52" t="s">
        <v>177</v>
      </c>
      <c r="D52" t="s">
        <v>205</v>
      </c>
      <c r="E52" s="60" t="s">
        <v>170</v>
      </c>
      <c r="F52" s="60" t="s">
        <v>163</v>
      </c>
      <c r="G52" s="60" t="s">
        <v>170</v>
      </c>
      <c r="H52" s="60" t="s">
        <v>170</v>
      </c>
      <c r="I52" s="60" t="s">
        <v>163</v>
      </c>
      <c r="J52" s="60" t="s">
        <v>163</v>
      </c>
      <c r="K52" s="60" t="s">
        <v>163</v>
      </c>
      <c r="L52" s="60" t="s">
        <v>163</v>
      </c>
      <c r="M52" s="60" t="s">
        <v>9</v>
      </c>
      <c r="N52" s="60" t="s">
        <v>170</v>
      </c>
      <c r="O52" s="60" t="s">
        <v>168</v>
      </c>
      <c r="P52" s="60" t="s">
        <v>171</v>
      </c>
      <c r="Q52" s="60" t="s">
        <v>170</v>
      </c>
      <c r="R52" s="60" t="s">
        <v>163</v>
      </c>
      <c r="S52" s="60" t="s">
        <v>163</v>
      </c>
      <c r="T52" s="60" t="s">
        <v>163</v>
      </c>
      <c r="U52" s="60" t="s">
        <v>163</v>
      </c>
      <c r="V52" s="60" t="s">
        <v>163</v>
      </c>
      <c r="W52" s="60" t="s">
        <v>163</v>
      </c>
      <c r="X52" s="60" t="s">
        <v>163</v>
      </c>
      <c r="Y52" s="60" t="s">
        <v>163</v>
      </c>
      <c r="Z52" s="60" t="s">
        <v>163</v>
      </c>
      <c r="AA52" s="60" t="s">
        <v>163</v>
      </c>
      <c r="AB52" s="60" t="s">
        <v>163</v>
      </c>
      <c r="AC52" s="60" t="s">
        <v>171</v>
      </c>
      <c r="AD52" s="60" t="s">
        <v>171</v>
      </c>
      <c r="AE52" s="60" t="s">
        <v>183</v>
      </c>
      <c r="AF52" s="60" t="s">
        <v>182</v>
      </c>
      <c r="AG52" s="60" t="s">
        <v>168</v>
      </c>
      <c r="AH52" s="85">
        <v>3241000</v>
      </c>
      <c r="AI52" s="85">
        <v>2218000</v>
      </c>
      <c r="AJ52" s="85">
        <v>431000</v>
      </c>
      <c r="AK52" s="85">
        <v>31000</v>
      </c>
      <c r="AL52" s="49">
        <v>5921000</v>
      </c>
      <c r="AM52" s="24">
        <v>7544300.8592200913</v>
      </c>
      <c r="AN52" s="24">
        <v>92000</v>
      </c>
      <c r="AO52" s="49">
        <f t="shared" si="6"/>
        <v>7636300.8592200913</v>
      </c>
      <c r="AP52" s="49">
        <v>7724000</v>
      </c>
      <c r="AQ52" s="49">
        <v>9076000</v>
      </c>
      <c r="AR52" s="164">
        <f t="shared" si="14"/>
        <v>0.17503883997928527</v>
      </c>
      <c r="AS52" s="49">
        <v>92000</v>
      </c>
      <c r="AT52" s="49">
        <v>98000</v>
      </c>
      <c r="AU52" s="164">
        <f t="shared" si="12"/>
        <v>6.5217391304347894E-2</v>
      </c>
      <c r="AV52" s="26">
        <f t="shared" si="15"/>
        <v>8864846.5300727002</v>
      </c>
      <c r="AW52" s="165">
        <f t="shared" si="16"/>
        <v>98000</v>
      </c>
      <c r="AX52" s="49">
        <f t="shared" si="17"/>
        <v>8962846.5300727002</v>
      </c>
      <c r="AY52" s="54">
        <v>7014000</v>
      </c>
      <c r="AZ52" s="24">
        <v>4591000</v>
      </c>
      <c r="BA52" s="24">
        <v>5753296.5048088199</v>
      </c>
      <c r="BB52" s="49">
        <v>5282000</v>
      </c>
      <c r="BC52" s="49">
        <v>5748000</v>
      </c>
      <c r="BD52" s="166">
        <v>3.5000000000000003E-2</v>
      </c>
      <c r="BE52" s="166">
        <v>2.5999999999999999E-2</v>
      </c>
      <c r="BF52" s="49">
        <f t="shared" si="10"/>
        <v>5412888.0978614008</v>
      </c>
      <c r="BG52" s="40">
        <f t="shared" si="11"/>
        <v>2.4780026100227337E-2</v>
      </c>
      <c r="BH52" s="6">
        <f t="shared" si="19"/>
        <v>5895863.3423603289</v>
      </c>
      <c r="BI52" s="24"/>
      <c r="BJ52" s="24">
        <v>178000</v>
      </c>
      <c r="BK52" s="24">
        <v>119275.97591765392</v>
      </c>
      <c r="BL52" s="24"/>
      <c r="BM52" s="38">
        <v>71595725.099999994</v>
      </c>
      <c r="BN52" s="3">
        <v>549500000</v>
      </c>
      <c r="BO52" s="54">
        <v>392500000</v>
      </c>
      <c r="BP52" s="53">
        <v>154739999.99999997</v>
      </c>
      <c r="BQ52" s="86">
        <v>202900000</v>
      </c>
      <c r="BR52" s="86">
        <f t="shared" si="5"/>
        <v>178820000</v>
      </c>
      <c r="BS52" s="53">
        <v>2557148.7247793549</v>
      </c>
      <c r="BT52" s="54">
        <v>7900</v>
      </c>
      <c r="BU52" s="54">
        <v>7800</v>
      </c>
      <c r="BV52" s="53">
        <f t="shared" si="9"/>
        <v>7850</v>
      </c>
      <c r="BW52" s="57">
        <v>1.5246008397444832E-2</v>
      </c>
      <c r="BX52" s="83">
        <f t="shared" si="18"/>
        <v>12359.712728657827</v>
      </c>
    </row>
    <row r="53" spans="1:76" ht="15.5" hidden="1" x14ac:dyDescent="0.35">
      <c r="A53" s="26" t="s">
        <v>233</v>
      </c>
      <c r="B53" t="s">
        <v>165</v>
      </c>
      <c r="C53" t="s">
        <v>166</v>
      </c>
      <c r="D53" t="s">
        <v>167</v>
      </c>
      <c r="E53" s="60" t="s">
        <v>168</v>
      </c>
      <c r="F53" s="60" t="s">
        <v>169</v>
      </c>
      <c r="G53" s="60" t="s">
        <v>169</v>
      </c>
      <c r="H53" s="60" t="s">
        <v>169</v>
      </c>
      <c r="I53" s="60" t="s">
        <v>170</v>
      </c>
      <c r="J53" s="60" t="s">
        <v>170</v>
      </c>
      <c r="K53" s="60" t="s">
        <v>170</v>
      </c>
      <c r="L53" s="60" t="s">
        <v>163</v>
      </c>
      <c r="M53" s="60" t="s">
        <v>163</v>
      </c>
      <c r="N53" s="60" t="s">
        <v>169</v>
      </c>
      <c r="O53" s="60" t="s">
        <v>171</v>
      </c>
      <c r="P53" s="60" t="s">
        <v>172</v>
      </c>
      <c r="Q53" s="60" t="s">
        <v>170</v>
      </c>
      <c r="R53" s="60" t="s">
        <v>9</v>
      </c>
      <c r="S53" s="60" t="s">
        <v>170</v>
      </c>
      <c r="T53" s="60" t="s">
        <v>170</v>
      </c>
      <c r="U53" s="60" t="s">
        <v>169</v>
      </c>
      <c r="V53" s="60" t="s">
        <v>170</v>
      </c>
      <c r="W53" s="60" t="s">
        <v>170</v>
      </c>
      <c r="X53" s="60" t="s">
        <v>169</v>
      </c>
      <c r="Y53" s="60" t="s">
        <v>170</v>
      </c>
      <c r="Z53" s="60" t="s">
        <v>170</v>
      </c>
      <c r="AA53" s="60" t="s">
        <v>169</v>
      </c>
      <c r="AB53" s="60" t="s">
        <v>169</v>
      </c>
      <c r="AC53" s="60" t="s">
        <v>173</v>
      </c>
      <c r="AD53" s="60" t="s">
        <v>173</v>
      </c>
      <c r="AE53" s="60" t="s">
        <v>174</v>
      </c>
      <c r="AF53" s="60" t="s">
        <v>173</v>
      </c>
      <c r="AG53" s="60" t="s">
        <v>175</v>
      </c>
      <c r="AH53" s="85">
        <v>7283968</v>
      </c>
      <c r="AI53" s="85">
        <v>8080215</v>
      </c>
      <c r="AJ53" s="85">
        <v>1308923</v>
      </c>
      <c r="AK53" s="85">
        <v>13047402</v>
      </c>
      <c r="AL53" s="49">
        <v>29720508</v>
      </c>
      <c r="AM53" s="24">
        <v>21507229.885724228</v>
      </c>
      <c r="AN53" s="24">
        <v>6177000</v>
      </c>
      <c r="AO53" s="49">
        <f t="shared" si="6"/>
        <v>27684229.885724228</v>
      </c>
      <c r="AP53" s="49">
        <v>20448000</v>
      </c>
      <c r="AQ53" s="49">
        <v>24469000</v>
      </c>
      <c r="AR53" s="164">
        <f t="shared" si="14"/>
        <v>0.19664514866979665</v>
      </c>
      <c r="AS53" s="49">
        <v>6177000</v>
      </c>
      <c r="AT53" s="49">
        <v>6080000</v>
      </c>
      <c r="AU53" s="164">
        <f t="shared" si="12"/>
        <v>-1.570341589768498E-2</v>
      </c>
      <c r="AV53" s="26">
        <f t="shared" si="15"/>
        <v>25736522.304077961</v>
      </c>
      <c r="AW53" s="165">
        <f t="shared" si="16"/>
        <v>6080000</v>
      </c>
      <c r="AX53" s="49">
        <f t="shared" si="17"/>
        <v>31816522.304077961</v>
      </c>
      <c r="AY53" s="54">
        <v>16401000</v>
      </c>
      <c r="AZ53" s="24">
        <v>15515000</v>
      </c>
      <c r="BA53" s="24">
        <v>15665589.72554539</v>
      </c>
      <c r="BB53" s="49">
        <v>15166000</v>
      </c>
      <c r="BC53" s="49">
        <v>16126000</v>
      </c>
      <c r="BD53" s="166">
        <v>3.499999999999992E-2</v>
      </c>
      <c r="BE53" s="166">
        <v>2.6086956521739202E-2</v>
      </c>
      <c r="BF53" s="49">
        <f t="shared" si="10"/>
        <v>15184557.438794727</v>
      </c>
      <c r="BG53" s="40">
        <f t="shared" si="11"/>
        <v>1.2236211786051943E-3</v>
      </c>
      <c r="BH53" s="6">
        <f t="shared" si="19"/>
        <v>15684758.472908907</v>
      </c>
      <c r="BI53" s="24"/>
      <c r="BJ53" s="24">
        <v>450000</v>
      </c>
      <c r="BK53" s="24">
        <v>354654.45955289237</v>
      </c>
      <c r="BL53" s="24"/>
      <c r="BM53" s="38">
        <v>313153857.70234793</v>
      </c>
      <c r="BN53" s="3">
        <v>1848813063.362865</v>
      </c>
      <c r="BO53" s="54">
        <v>1726871385.4319892</v>
      </c>
      <c r="BP53" s="53">
        <v>568083388.66999996</v>
      </c>
      <c r="BQ53" s="86">
        <v>852125083.005</v>
      </c>
      <c r="BR53" s="86">
        <f t="shared" si="5"/>
        <v>710104235.83749998</v>
      </c>
      <c r="BS53" s="53">
        <v>10410135.110318977</v>
      </c>
      <c r="BT53" s="54">
        <v>52327.6</v>
      </c>
      <c r="BU53" s="54">
        <v>42174.700000000004</v>
      </c>
      <c r="BV53" s="53">
        <f t="shared" si="9"/>
        <v>47251.15</v>
      </c>
      <c r="BW53" s="57">
        <v>3.3952713779962895E-2</v>
      </c>
      <c r="BX53" s="83">
        <f t="shared" si="18"/>
        <v>128656.78828517607</v>
      </c>
    </row>
    <row r="54" spans="1:76" ht="15.5" hidden="1" x14ac:dyDescent="0.35">
      <c r="A54" s="26" t="s">
        <v>234</v>
      </c>
      <c r="B54" t="s">
        <v>162</v>
      </c>
      <c r="C54" t="s">
        <v>166</v>
      </c>
      <c r="D54" t="s">
        <v>222</v>
      </c>
      <c r="E54" s="60" t="s">
        <v>170</v>
      </c>
      <c r="F54" s="60" t="s">
        <v>163</v>
      </c>
      <c r="G54" s="60" t="s">
        <v>170</v>
      </c>
      <c r="H54" s="60" t="s">
        <v>170</v>
      </c>
      <c r="I54" s="60" t="s">
        <v>163</v>
      </c>
      <c r="J54" s="60" t="s">
        <v>163</v>
      </c>
      <c r="K54" s="60" t="s">
        <v>163</v>
      </c>
      <c r="L54" s="60" t="s">
        <v>163</v>
      </c>
      <c r="M54" s="60" t="s">
        <v>9</v>
      </c>
      <c r="N54" s="60" t="s">
        <v>170</v>
      </c>
      <c r="O54" s="60" t="s">
        <v>168</v>
      </c>
      <c r="P54" s="60" t="s">
        <v>182</v>
      </c>
      <c r="Q54" s="60" t="s">
        <v>170</v>
      </c>
      <c r="R54" s="60" t="s">
        <v>163</v>
      </c>
      <c r="S54" s="60" t="s">
        <v>163</v>
      </c>
      <c r="T54" s="60" t="s">
        <v>163</v>
      </c>
      <c r="U54" s="60" t="s">
        <v>163</v>
      </c>
      <c r="V54" s="60" t="s">
        <v>163</v>
      </c>
      <c r="W54" s="60" t="s">
        <v>163</v>
      </c>
      <c r="X54" s="60" t="s">
        <v>163</v>
      </c>
      <c r="Y54" s="60" t="s">
        <v>163</v>
      </c>
      <c r="Z54" s="60" t="s">
        <v>163</v>
      </c>
      <c r="AA54" s="60" t="s">
        <v>163</v>
      </c>
      <c r="AB54" s="60" t="s">
        <v>163</v>
      </c>
      <c r="AC54" s="60" t="s">
        <v>182</v>
      </c>
      <c r="AD54" s="60" t="s">
        <v>182</v>
      </c>
      <c r="AE54" s="60" t="s">
        <v>171</v>
      </c>
      <c r="AF54" s="60" t="s">
        <v>182</v>
      </c>
      <c r="AG54" s="60" t="s">
        <v>169</v>
      </c>
      <c r="AH54" s="85">
        <v>13815000</v>
      </c>
      <c r="AI54" s="85">
        <v>5361000</v>
      </c>
      <c r="AJ54" s="85">
        <v>884000</v>
      </c>
      <c r="AK54" s="85">
        <v>0</v>
      </c>
      <c r="AL54" s="49">
        <v>20060000</v>
      </c>
      <c r="AM54" s="24">
        <v>22592000</v>
      </c>
      <c r="AN54" s="24">
        <v>0</v>
      </c>
      <c r="AO54" s="49">
        <f t="shared" si="6"/>
        <v>22592000</v>
      </c>
      <c r="AP54" s="49">
        <v>21805000</v>
      </c>
      <c r="AQ54" s="49">
        <v>24029000</v>
      </c>
      <c r="AR54" s="164">
        <f t="shared" si="14"/>
        <v>0.10199495528548508</v>
      </c>
      <c r="AS54" s="49">
        <v>1057000</v>
      </c>
      <c r="AT54" s="49">
        <v>1313000</v>
      </c>
      <c r="AU54" s="164">
        <f t="shared" si="12"/>
        <v>0.24219489120151372</v>
      </c>
      <c r="AV54" s="26">
        <f t="shared" si="15"/>
        <v>24896270.02980968</v>
      </c>
      <c r="AW54" s="165">
        <f t="shared" si="16"/>
        <v>0</v>
      </c>
      <c r="AX54" s="49">
        <f t="shared" si="17"/>
        <v>24896270.02980968</v>
      </c>
      <c r="AY54" s="54">
        <v>20075000</v>
      </c>
      <c r="AZ54" s="24">
        <v>9515642.6199999992</v>
      </c>
      <c r="BA54" s="24">
        <v>11668000</v>
      </c>
      <c r="BB54" s="49">
        <v>11407000</v>
      </c>
      <c r="BC54" s="49">
        <v>11872000</v>
      </c>
      <c r="BD54" s="166">
        <v>3.4905660377358538E-2</v>
      </c>
      <c r="BE54" s="166">
        <v>2.643573381950759E-2</v>
      </c>
      <c r="BF54" s="49">
        <f t="shared" si="10"/>
        <v>11176127.886323269</v>
      </c>
      <c r="BG54" s="40">
        <f t="shared" si="11"/>
        <v>-2.0239512025662321E-2</v>
      </c>
      <c r="BH54" s="6">
        <f t="shared" si="19"/>
        <v>11431845.373684572</v>
      </c>
      <c r="BI54" s="24"/>
      <c r="BJ54" s="24">
        <v>3666000</v>
      </c>
      <c r="BK54" s="24">
        <v>3197000</v>
      </c>
      <c r="BL54" s="24"/>
      <c r="BM54" s="38">
        <v>236549586.13130993</v>
      </c>
      <c r="BN54" s="3">
        <v>952397605.77078664</v>
      </c>
      <c r="BO54" s="54">
        <v>852336321.44128227</v>
      </c>
      <c r="BP54" s="53">
        <v>462117105.7700007</v>
      </c>
      <c r="BQ54" s="86">
        <v>554540526.92400086</v>
      </c>
      <c r="BR54" s="86">
        <f t="shared" si="5"/>
        <v>508328816.34700078</v>
      </c>
      <c r="BS54" s="53">
        <v>7146670.3870381089</v>
      </c>
      <c r="BT54" s="54">
        <v>21832</v>
      </c>
      <c r="BU54" s="54">
        <v>17665</v>
      </c>
      <c r="BV54" s="53">
        <f t="shared" si="9"/>
        <v>19748.5</v>
      </c>
      <c r="BW54" s="57">
        <v>1.0619897863394456E-2</v>
      </c>
      <c r="BX54" s="83">
        <f t="shared" si="18"/>
        <v>27112.493171650076</v>
      </c>
    </row>
    <row r="55" spans="1:76" ht="15.5" hidden="1" x14ac:dyDescent="0.35">
      <c r="A55" s="26" t="s">
        <v>235</v>
      </c>
      <c r="B55" t="s">
        <v>162</v>
      </c>
      <c r="C55" t="s">
        <v>166</v>
      </c>
      <c r="D55" t="s">
        <v>201</v>
      </c>
      <c r="E55" s="60" t="s">
        <v>163</v>
      </c>
      <c r="F55" s="60" t="s">
        <v>163</v>
      </c>
      <c r="G55" s="60" t="s">
        <v>163</v>
      </c>
      <c r="H55" s="60" t="s">
        <v>163</v>
      </c>
      <c r="I55" s="60" t="s">
        <v>163</v>
      </c>
      <c r="J55" s="60" t="s">
        <v>163</v>
      </c>
      <c r="K55" s="60" t="s">
        <v>163</v>
      </c>
      <c r="L55" s="60" t="s">
        <v>9</v>
      </c>
      <c r="M55" s="60" t="s">
        <v>9</v>
      </c>
      <c r="N55" s="60" t="s">
        <v>163</v>
      </c>
      <c r="O55" s="60" t="s">
        <v>163</v>
      </c>
      <c r="P55" s="60" t="s">
        <v>170</v>
      </c>
      <c r="Q55" s="60" t="s">
        <v>163</v>
      </c>
      <c r="R55" s="60" t="s">
        <v>163</v>
      </c>
      <c r="S55" s="60" t="s">
        <v>9</v>
      </c>
      <c r="T55" s="60" t="s">
        <v>9</v>
      </c>
      <c r="U55" s="60" t="s">
        <v>9</v>
      </c>
      <c r="V55" s="60" t="s">
        <v>163</v>
      </c>
      <c r="W55" s="60" t="s">
        <v>163</v>
      </c>
      <c r="X55" s="60" t="s">
        <v>163</v>
      </c>
      <c r="Y55" s="60" t="s">
        <v>163</v>
      </c>
      <c r="Z55" s="60" t="s">
        <v>163</v>
      </c>
      <c r="AA55" s="60" t="s">
        <v>163</v>
      </c>
      <c r="AB55" s="60" t="s">
        <v>163</v>
      </c>
      <c r="AC55" s="60" t="s">
        <v>170</v>
      </c>
      <c r="AD55" s="60" t="s">
        <v>170</v>
      </c>
      <c r="AE55" s="60" t="s">
        <v>170</v>
      </c>
      <c r="AF55" s="60" t="s">
        <v>170</v>
      </c>
      <c r="AG55" s="60" t="s">
        <v>163</v>
      </c>
      <c r="AH55" s="85">
        <v>3272000</v>
      </c>
      <c r="AI55" s="85">
        <v>4030999.9999999995</v>
      </c>
      <c r="AJ55" s="85">
        <v>822000</v>
      </c>
      <c r="AK55" s="85">
        <v>0</v>
      </c>
      <c r="AL55" s="49">
        <v>8125000</v>
      </c>
      <c r="AM55" s="24">
        <v>9632694.8563794252</v>
      </c>
      <c r="AN55" s="24">
        <v>187000</v>
      </c>
      <c r="AO55" s="49">
        <f t="shared" si="6"/>
        <v>9819694.8563794252</v>
      </c>
      <c r="AP55" s="49">
        <v>9091000</v>
      </c>
      <c r="AQ55" s="49">
        <v>10462000</v>
      </c>
      <c r="AR55" s="164">
        <f t="shared" si="14"/>
        <v>0.15080849191508094</v>
      </c>
      <c r="AS55" s="49">
        <v>187000</v>
      </c>
      <c r="AT55" s="49">
        <v>195000</v>
      </c>
      <c r="AU55" s="164">
        <f t="shared" si="12"/>
        <v>4.2780748663101553E-2</v>
      </c>
      <c r="AV55" s="26">
        <f t="shared" si="15"/>
        <v>11085387.040748164</v>
      </c>
      <c r="AW55" s="165">
        <f t="shared" si="16"/>
        <v>195000</v>
      </c>
      <c r="AX55" s="49">
        <f t="shared" si="17"/>
        <v>11280387.040748164</v>
      </c>
      <c r="AY55" s="54">
        <v>8125000</v>
      </c>
      <c r="AZ55" s="24">
        <v>8417000</v>
      </c>
      <c r="BA55" s="24">
        <v>7474077.4102744544</v>
      </c>
      <c r="BB55" s="49">
        <v>10864000</v>
      </c>
      <c r="BC55" s="49">
        <v>12208000</v>
      </c>
      <c r="BD55" s="166">
        <v>2.3E-2</v>
      </c>
      <c r="BE55" s="166">
        <v>2.1000000000000001E-2</v>
      </c>
      <c r="BF55" s="49">
        <f t="shared" si="10"/>
        <v>11688079.174098575</v>
      </c>
      <c r="BG55" s="40">
        <f t="shared" si="11"/>
        <v>7.5854121327188384E-2</v>
      </c>
      <c r="BH55" s="6">
        <f t="shared" si="19"/>
        <v>8041016.984962211</v>
      </c>
      <c r="BI55" s="24"/>
      <c r="BJ55" s="24">
        <v>28000</v>
      </c>
      <c r="BK55" s="24">
        <v>68077.160493827163</v>
      </c>
      <c r="BL55" s="24"/>
      <c r="BM55" s="38">
        <v>97234206.278009772</v>
      </c>
      <c r="BN55" s="3">
        <v>558248915.56011236</v>
      </c>
      <c r="BO55" s="54">
        <v>524781695.7353034</v>
      </c>
      <c r="BP55" s="53">
        <v>175730000.00000003</v>
      </c>
      <c r="BQ55" s="86">
        <v>350620000.00000006</v>
      </c>
      <c r="BR55" s="86">
        <f t="shared" si="5"/>
        <v>263175000.00000006</v>
      </c>
      <c r="BS55" s="53">
        <v>4049877.9122946234</v>
      </c>
      <c r="BT55" s="54">
        <v>19000</v>
      </c>
      <c r="BU55" s="54">
        <v>19000</v>
      </c>
      <c r="BV55" s="53">
        <f t="shared" si="9"/>
        <v>19000</v>
      </c>
      <c r="BW55" s="57">
        <v>1.890891471577838E-3</v>
      </c>
      <c r="BX55" s="83">
        <f t="shared" si="18"/>
        <v>20107.887655663482</v>
      </c>
    </row>
    <row r="56" spans="1:76" ht="15.5" hidden="1" x14ac:dyDescent="0.35">
      <c r="A56" s="26" t="s">
        <v>236</v>
      </c>
      <c r="B56" t="s">
        <v>162</v>
      </c>
      <c r="C56" t="s">
        <v>177</v>
      </c>
      <c r="D56" t="s">
        <v>181</v>
      </c>
      <c r="E56" s="60" t="s">
        <v>169</v>
      </c>
      <c r="F56" s="60" t="s">
        <v>170</v>
      </c>
      <c r="G56" s="60" t="s">
        <v>170</v>
      </c>
      <c r="H56" s="60" t="s">
        <v>170</v>
      </c>
      <c r="I56" s="60" t="s">
        <v>163</v>
      </c>
      <c r="J56" s="60" t="s">
        <v>163</v>
      </c>
      <c r="K56" s="60" t="s">
        <v>170</v>
      </c>
      <c r="L56" s="60" t="s">
        <v>163</v>
      </c>
      <c r="M56" s="60" t="s">
        <v>9</v>
      </c>
      <c r="N56" s="60" t="s">
        <v>170</v>
      </c>
      <c r="O56" s="60" t="s">
        <v>182</v>
      </c>
      <c r="P56" s="60" t="s">
        <v>183</v>
      </c>
      <c r="Q56" s="60" t="s">
        <v>170</v>
      </c>
      <c r="R56" s="60" t="s">
        <v>163</v>
      </c>
      <c r="S56" s="60" t="s">
        <v>163</v>
      </c>
      <c r="T56" s="60" t="s">
        <v>163</v>
      </c>
      <c r="U56" s="60" t="s">
        <v>163</v>
      </c>
      <c r="V56" s="60" t="s">
        <v>163</v>
      </c>
      <c r="W56" s="60" t="s">
        <v>163</v>
      </c>
      <c r="X56" s="60" t="s">
        <v>163</v>
      </c>
      <c r="Y56" s="60" t="s">
        <v>163</v>
      </c>
      <c r="Z56" s="60" t="s">
        <v>163</v>
      </c>
      <c r="AA56" s="60" t="s">
        <v>163</v>
      </c>
      <c r="AB56" s="60" t="s">
        <v>170</v>
      </c>
      <c r="AC56" s="60" t="s">
        <v>183</v>
      </c>
      <c r="AD56" s="60" t="s">
        <v>183</v>
      </c>
      <c r="AE56" s="60" t="s">
        <v>175</v>
      </c>
      <c r="AF56" s="60" t="s">
        <v>183</v>
      </c>
      <c r="AG56" s="60" t="s">
        <v>171</v>
      </c>
      <c r="AH56" s="85">
        <v>2636578.56</v>
      </c>
      <c r="AI56" s="85">
        <v>2224382</v>
      </c>
      <c r="AJ56" s="85">
        <v>208000</v>
      </c>
      <c r="AK56" s="85">
        <v>272132.91000000003</v>
      </c>
      <c r="AL56" s="49">
        <v>5341093.4700000007</v>
      </c>
      <c r="AM56" s="24">
        <v>6304272.9562185202</v>
      </c>
      <c r="AN56" s="24">
        <v>350000</v>
      </c>
      <c r="AO56" s="49">
        <f t="shared" si="6"/>
        <v>6654272.9562185202</v>
      </c>
      <c r="AP56" s="49">
        <v>6257000</v>
      </c>
      <c r="AQ56" s="49">
        <v>7416000</v>
      </c>
      <c r="AR56" s="164">
        <f t="shared" si="14"/>
        <v>0.18523253955569752</v>
      </c>
      <c r="AS56" s="49">
        <v>350000</v>
      </c>
      <c r="AT56" s="49">
        <v>378000</v>
      </c>
      <c r="AU56" s="164">
        <f t="shared" si="12"/>
        <v>8.0000000000000071E-2</v>
      </c>
      <c r="AV56" s="26">
        <f t="shared" si="15"/>
        <v>7472029.4459511815</v>
      </c>
      <c r="AW56" s="165">
        <f t="shared" si="16"/>
        <v>378000</v>
      </c>
      <c r="AX56" s="49">
        <f t="shared" si="17"/>
        <v>7850029.4459511815</v>
      </c>
      <c r="AY56" s="54">
        <v>4905000</v>
      </c>
      <c r="AZ56" s="24">
        <v>3934677.7600108562</v>
      </c>
      <c r="BA56" s="24">
        <v>4795653.7649542578</v>
      </c>
      <c r="BB56" s="49">
        <v>3877000</v>
      </c>
      <c r="BC56" s="49">
        <v>4369000</v>
      </c>
      <c r="BD56" s="166">
        <v>3.5000000000000003E-2</v>
      </c>
      <c r="BE56" s="166">
        <v>2.5999999999999999E-2</v>
      </c>
      <c r="BF56" s="49">
        <f t="shared" si="10"/>
        <v>4114284.6380578396</v>
      </c>
      <c r="BG56" s="40">
        <f t="shared" si="11"/>
        <v>6.1203156579272555E-2</v>
      </c>
      <c r="BH56" s="6">
        <f t="shared" si="19"/>
        <v>5089162.9132307312</v>
      </c>
      <c r="BI56" s="24"/>
      <c r="BJ56" s="24">
        <v>635000</v>
      </c>
      <c r="BK56" s="24">
        <v>509025.74358090194</v>
      </c>
      <c r="BL56" s="24"/>
      <c r="BM56" s="38">
        <v>136910815.18828088</v>
      </c>
      <c r="BN56" s="3">
        <v>473900000</v>
      </c>
      <c r="BO56" s="54">
        <v>338500000</v>
      </c>
      <c r="BP56" s="53">
        <v>99111122.000000015</v>
      </c>
      <c r="BQ56" s="86">
        <v>243177797.5</v>
      </c>
      <c r="BR56" s="86">
        <f t="shared" si="5"/>
        <v>171144459.75</v>
      </c>
      <c r="BS56" s="53">
        <v>2717202.3753807531</v>
      </c>
      <c r="BT56" s="54">
        <v>6770</v>
      </c>
      <c r="BU56" s="54">
        <v>6770</v>
      </c>
      <c r="BV56" s="53">
        <f t="shared" si="9"/>
        <v>6770</v>
      </c>
      <c r="BW56" s="57">
        <v>1.4724143683338298E-2</v>
      </c>
      <c r="BX56" s="83">
        <f t="shared" si="18"/>
        <v>10496.112651043992</v>
      </c>
    </row>
    <row r="57" spans="1:76" ht="15.5" hidden="1" x14ac:dyDescent="0.35">
      <c r="A57" s="26" t="s">
        <v>198</v>
      </c>
      <c r="B57" t="s">
        <v>165</v>
      </c>
      <c r="C57" t="s">
        <v>166</v>
      </c>
      <c r="D57" t="s">
        <v>198</v>
      </c>
      <c r="E57" s="60" t="s">
        <v>168</v>
      </c>
      <c r="F57" s="60" t="s">
        <v>169</v>
      </c>
      <c r="G57" s="60" t="s">
        <v>169</v>
      </c>
      <c r="H57" s="60" t="s">
        <v>169</v>
      </c>
      <c r="I57" s="60" t="s">
        <v>170</v>
      </c>
      <c r="J57" s="60" t="s">
        <v>170</v>
      </c>
      <c r="K57" s="60" t="s">
        <v>170</v>
      </c>
      <c r="L57" s="60" t="s">
        <v>163</v>
      </c>
      <c r="M57" s="60" t="s">
        <v>163</v>
      </c>
      <c r="N57" s="60" t="s">
        <v>168</v>
      </c>
      <c r="O57" s="60" t="s">
        <v>183</v>
      </c>
      <c r="P57" s="60" t="s">
        <v>174</v>
      </c>
      <c r="Q57" s="60" t="s">
        <v>170</v>
      </c>
      <c r="R57" s="60" t="s">
        <v>9</v>
      </c>
      <c r="S57" s="60" t="s">
        <v>169</v>
      </c>
      <c r="T57" s="60" t="s">
        <v>169</v>
      </c>
      <c r="U57" s="60" t="s">
        <v>169</v>
      </c>
      <c r="V57" s="60" t="s">
        <v>169</v>
      </c>
      <c r="W57" s="60" t="s">
        <v>169</v>
      </c>
      <c r="X57" s="60" t="s">
        <v>169</v>
      </c>
      <c r="Y57" s="60" t="s">
        <v>169</v>
      </c>
      <c r="Z57" s="60" t="s">
        <v>169</v>
      </c>
      <c r="AA57" s="60" t="s">
        <v>169</v>
      </c>
      <c r="AB57" s="60" t="s">
        <v>169</v>
      </c>
      <c r="AC57" s="60" t="s">
        <v>172</v>
      </c>
      <c r="AD57" s="60" t="s">
        <v>172</v>
      </c>
      <c r="AE57" s="60" t="s">
        <v>190</v>
      </c>
      <c r="AF57" s="60" t="s">
        <v>172</v>
      </c>
      <c r="AG57" s="60" t="s">
        <v>173</v>
      </c>
      <c r="AH57" s="85">
        <v>3794000</v>
      </c>
      <c r="AI57" s="85">
        <v>4138000</v>
      </c>
      <c r="AJ57" s="85">
        <v>446000</v>
      </c>
      <c r="AK57" s="85">
        <v>386000</v>
      </c>
      <c r="AL57" s="49">
        <v>8764000</v>
      </c>
      <c r="AM57" s="24">
        <v>11507719.486333646</v>
      </c>
      <c r="AN57" s="24">
        <v>0</v>
      </c>
      <c r="AO57" s="49">
        <f t="shared" si="6"/>
        <v>11507719.486333646</v>
      </c>
      <c r="AP57" s="49">
        <v>11383000</v>
      </c>
      <c r="AQ57" s="49">
        <v>15495000</v>
      </c>
      <c r="AR57" s="164">
        <f t="shared" si="14"/>
        <v>0.36124044627953977</v>
      </c>
      <c r="AS57" s="49">
        <v>0</v>
      </c>
      <c r="AT57" s="49">
        <v>0</v>
      </c>
      <c r="AU57" s="164">
        <f t="shared" si="12"/>
        <v>0</v>
      </c>
      <c r="AV57" s="26">
        <f t="shared" si="15"/>
        <v>15664773.209236568</v>
      </c>
      <c r="AW57" s="165">
        <f t="shared" si="16"/>
        <v>0</v>
      </c>
      <c r="AX57" s="49">
        <f t="shared" si="17"/>
        <v>15664773.209236568</v>
      </c>
      <c r="AY57" s="54">
        <v>8417000</v>
      </c>
      <c r="AZ57" s="24">
        <v>7921561.3099999996</v>
      </c>
      <c r="BA57" s="24">
        <v>7846080.6943467036</v>
      </c>
      <c r="BB57" s="49">
        <v>10886000</v>
      </c>
      <c r="BC57" s="49">
        <v>11495000</v>
      </c>
      <c r="BD57" s="166">
        <v>3.5000000000000003E-2</v>
      </c>
      <c r="BE57" s="166">
        <v>2.5999999999999999E-2</v>
      </c>
      <c r="BF57" s="49">
        <f t="shared" si="10"/>
        <v>10824834.496332081</v>
      </c>
      <c r="BG57" s="40">
        <f t="shared" si="11"/>
        <v>-5.6187308164540317E-3</v>
      </c>
      <c r="BH57" s="6">
        <f t="shared" si="19"/>
        <v>7801995.678960993</v>
      </c>
      <c r="BI57" s="24"/>
      <c r="BJ57" s="24">
        <v>0</v>
      </c>
      <c r="BK57" s="24">
        <v>0</v>
      </c>
      <c r="BL57" s="24"/>
      <c r="BM57" s="38">
        <v>410240000</v>
      </c>
      <c r="BN57" s="3">
        <v>808605000</v>
      </c>
      <c r="BO57" s="54">
        <v>577575000</v>
      </c>
      <c r="BP57" s="53">
        <v>270075999.99999994</v>
      </c>
      <c r="BQ57" s="86">
        <v>357583000</v>
      </c>
      <c r="BR57" s="86">
        <f t="shared" si="5"/>
        <v>313829500</v>
      </c>
      <c r="BS57" s="53">
        <v>4496025.2728804918</v>
      </c>
      <c r="BT57" s="54">
        <v>10683</v>
      </c>
      <c r="BU57" s="54">
        <v>12420</v>
      </c>
      <c r="BV57" s="53">
        <f t="shared" si="9"/>
        <v>11551.5</v>
      </c>
      <c r="BW57" s="57">
        <v>1.0796054985407588E-2</v>
      </c>
      <c r="BX57" s="83">
        <f t="shared" si="18"/>
        <v>15942.063329372928</v>
      </c>
    </row>
    <row r="58" spans="1:76" ht="15.5" hidden="1" x14ac:dyDescent="0.35">
      <c r="A58" s="26" t="s">
        <v>237</v>
      </c>
      <c r="B58" t="s">
        <v>162</v>
      </c>
      <c r="C58" t="s">
        <v>177</v>
      </c>
      <c r="D58" t="s">
        <v>238</v>
      </c>
      <c r="E58" s="60" t="s">
        <v>170</v>
      </c>
      <c r="F58" s="60" t="s">
        <v>163</v>
      </c>
      <c r="G58" s="60" t="s">
        <v>170</v>
      </c>
      <c r="H58" s="60" t="s">
        <v>170</v>
      </c>
      <c r="I58" s="60" t="s">
        <v>163</v>
      </c>
      <c r="J58" s="60" t="s">
        <v>163</v>
      </c>
      <c r="K58" s="60" t="s">
        <v>163</v>
      </c>
      <c r="L58" s="60" t="s">
        <v>163</v>
      </c>
      <c r="M58" s="60" t="s">
        <v>9</v>
      </c>
      <c r="N58" s="60" t="s">
        <v>170</v>
      </c>
      <c r="O58" s="60" t="s">
        <v>168</v>
      </c>
      <c r="P58" s="60" t="s">
        <v>182</v>
      </c>
      <c r="Q58" s="60" t="s">
        <v>170</v>
      </c>
      <c r="R58" s="60" t="s">
        <v>163</v>
      </c>
      <c r="S58" s="60" t="s">
        <v>163</v>
      </c>
      <c r="T58" s="60" t="s">
        <v>163</v>
      </c>
      <c r="U58" s="60" t="s">
        <v>163</v>
      </c>
      <c r="V58" s="60" t="s">
        <v>163</v>
      </c>
      <c r="W58" s="60" t="s">
        <v>163</v>
      </c>
      <c r="X58" s="60" t="s">
        <v>163</v>
      </c>
      <c r="Y58" s="60" t="s">
        <v>163</v>
      </c>
      <c r="Z58" s="60" t="s">
        <v>163</v>
      </c>
      <c r="AA58" s="60" t="s">
        <v>163</v>
      </c>
      <c r="AB58" s="60" t="s">
        <v>163</v>
      </c>
      <c r="AC58" s="60" t="s">
        <v>182</v>
      </c>
      <c r="AD58" s="60" t="s">
        <v>182</v>
      </c>
      <c r="AE58" s="60" t="s">
        <v>171</v>
      </c>
      <c r="AF58" s="60" t="s">
        <v>182</v>
      </c>
      <c r="AG58" s="60" t="s">
        <v>169</v>
      </c>
      <c r="AH58" s="85">
        <v>1832000</v>
      </c>
      <c r="AI58" s="85">
        <v>1055000</v>
      </c>
      <c r="AJ58" s="85">
        <v>353000</v>
      </c>
      <c r="AK58" s="85">
        <v>47000</v>
      </c>
      <c r="AL58" s="49">
        <v>3287000</v>
      </c>
      <c r="AM58" s="24">
        <v>3301000</v>
      </c>
      <c r="AN58" s="24">
        <v>0</v>
      </c>
      <c r="AO58" s="49">
        <f t="shared" si="6"/>
        <v>3301000</v>
      </c>
      <c r="AP58" s="49">
        <v>3175000</v>
      </c>
      <c r="AQ58" s="49">
        <v>3451000</v>
      </c>
      <c r="AR58" s="164">
        <f t="shared" si="14"/>
        <v>8.6929133858267615E-2</v>
      </c>
      <c r="AS58" s="49">
        <v>0</v>
      </c>
      <c r="AT58" s="49">
        <v>0</v>
      </c>
      <c r="AU58" s="164">
        <f t="shared" si="12"/>
        <v>0</v>
      </c>
      <c r="AV58" s="26">
        <f t="shared" si="15"/>
        <v>3587953.0708661415</v>
      </c>
      <c r="AW58" s="165">
        <f t="shared" si="16"/>
        <v>0</v>
      </c>
      <c r="AX58" s="49">
        <f t="shared" si="17"/>
        <v>3587953.0708661415</v>
      </c>
      <c r="AY58" s="54">
        <v>3151000</v>
      </c>
      <c r="AZ58" s="24">
        <v>1780000</v>
      </c>
      <c r="BA58" s="24">
        <v>2018000</v>
      </c>
      <c r="BB58" s="49">
        <v>2138000</v>
      </c>
      <c r="BC58" s="49">
        <v>2215000</v>
      </c>
      <c r="BD58" s="166">
        <v>3.5000000000000003E-2</v>
      </c>
      <c r="BE58" s="166">
        <v>2.5999999999999999E-2</v>
      </c>
      <c r="BF58" s="49">
        <f t="shared" si="10"/>
        <v>2085864.1504458948</v>
      </c>
      <c r="BG58" s="40">
        <f t="shared" si="11"/>
        <v>-2.4385336554773263E-2</v>
      </c>
      <c r="BH58" s="6">
        <f t="shared" si="19"/>
        <v>1968790.3908324675</v>
      </c>
      <c r="BI58" s="24"/>
      <c r="BJ58" s="24">
        <v>230000</v>
      </c>
      <c r="BK58" s="24">
        <v>225000</v>
      </c>
      <c r="BL58" s="24"/>
      <c r="BM58" s="38">
        <v>53322000</v>
      </c>
      <c r="BN58" s="3">
        <v>457632000</v>
      </c>
      <c r="BO58" s="54">
        <v>326880000</v>
      </c>
      <c r="BP58" s="53">
        <v>47841599.000000007</v>
      </c>
      <c r="BQ58" s="86">
        <v>58549912.550000012</v>
      </c>
      <c r="BR58" s="86">
        <f t="shared" si="5"/>
        <v>53195755.775000006</v>
      </c>
      <c r="BS58" s="53">
        <v>750741.11268305359</v>
      </c>
      <c r="BT58" s="54">
        <v>7008</v>
      </c>
      <c r="BU58" s="54">
        <v>6067.2</v>
      </c>
      <c r="BV58" s="53">
        <f t="shared" si="9"/>
        <v>6537.6</v>
      </c>
      <c r="BW58" s="57">
        <v>0</v>
      </c>
      <c r="BX58" s="83">
        <f t="shared" si="18"/>
        <v>6537.6</v>
      </c>
    </row>
    <row r="59" spans="1:76" ht="15.5" hidden="1" x14ac:dyDescent="0.35">
      <c r="A59" s="26" t="s">
        <v>239</v>
      </c>
      <c r="B59" t="s">
        <v>162</v>
      </c>
      <c r="C59" t="s">
        <v>177</v>
      </c>
      <c r="D59" t="s">
        <v>205</v>
      </c>
      <c r="E59" s="60" t="s">
        <v>170</v>
      </c>
      <c r="F59" s="60" t="s">
        <v>170</v>
      </c>
      <c r="G59" s="60" t="s">
        <v>170</v>
      </c>
      <c r="H59" s="60" t="s">
        <v>170</v>
      </c>
      <c r="I59" s="60" t="s">
        <v>163</v>
      </c>
      <c r="J59" s="60" t="s">
        <v>163</v>
      </c>
      <c r="K59" s="60" t="s">
        <v>163</v>
      </c>
      <c r="L59" s="60" t="s">
        <v>163</v>
      </c>
      <c r="M59" s="60" t="s">
        <v>9</v>
      </c>
      <c r="N59" s="60" t="s">
        <v>170</v>
      </c>
      <c r="O59" s="60" t="s">
        <v>168</v>
      </c>
      <c r="P59" s="60" t="s">
        <v>171</v>
      </c>
      <c r="Q59" s="60" t="s">
        <v>170</v>
      </c>
      <c r="R59" s="60" t="s">
        <v>163</v>
      </c>
      <c r="S59" s="60" t="s">
        <v>163</v>
      </c>
      <c r="T59" s="60" t="s">
        <v>163</v>
      </c>
      <c r="U59" s="60" t="s">
        <v>163</v>
      </c>
      <c r="V59" s="60" t="s">
        <v>163</v>
      </c>
      <c r="W59" s="60" t="s">
        <v>163</v>
      </c>
      <c r="X59" s="60" t="s">
        <v>163</v>
      </c>
      <c r="Y59" s="60" t="s">
        <v>163</v>
      </c>
      <c r="Z59" s="60" t="s">
        <v>163</v>
      </c>
      <c r="AA59" s="60" t="s">
        <v>163</v>
      </c>
      <c r="AB59" s="60" t="s">
        <v>170</v>
      </c>
      <c r="AC59" s="60" t="s">
        <v>171</v>
      </c>
      <c r="AD59" s="60" t="s">
        <v>171</v>
      </c>
      <c r="AE59" s="60" t="s">
        <v>183</v>
      </c>
      <c r="AF59" s="60" t="s">
        <v>171</v>
      </c>
      <c r="AG59" s="60" t="s">
        <v>168</v>
      </c>
      <c r="AH59" s="85">
        <v>2885975.2299999995</v>
      </c>
      <c r="AI59" s="85">
        <v>2818551.3899999997</v>
      </c>
      <c r="AJ59" s="85">
        <v>640122</v>
      </c>
      <c r="AK59" s="85">
        <v>0</v>
      </c>
      <c r="AL59" s="49">
        <v>6344648.6199999992</v>
      </c>
      <c r="AM59" s="24">
        <v>7119835.6143079326</v>
      </c>
      <c r="AN59" s="24">
        <v>0</v>
      </c>
      <c r="AO59" s="49">
        <f t="shared" si="6"/>
        <v>7119835.6143079326</v>
      </c>
      <c r="AP59" s="49">
        <v>6927000</v>
      </c>
      <c r="AQ59" s="49">
        <v>8234000</v>
      </c>
      <c r="AR59" s="164">
        <f t="shared" si="14"/>
        <v>0.18868196910639523</v>
      </c>
      <c r="AS59" s="49">
        <v>0</v>
      </c>
      <c r="AT59" s="49">
        <v>0</v>
      </c>
      <c r="AU59" s="164">
        <f t="shared" si="12"/>
        <v>0</v>
      </c>
      <c r="AV59" s="26">
        <f t="shared" si="15"/>
        <v>8463220.2177293953</v>
      </c>
      <c r="AW59" s="165">
        <f t="shared" si="16"/>
        <v>0</v>
      </c>
      <c r="AX59" s="49">
        <f t="shared" si="17"/>
        <v>8463220.2177293953</v>
      </c>
      <c r="AY59" s="54">
        <v>6327000</v>
      </c>
      <c r="AZ59" s="24">
        <v>3520020.8899999997</v>
      </c>
      <c r="BA59" s="24">
        <v>4387513.0190007035</v>
      </c>
      <c r="BB59" s="49">
        <v>4220000</v>
      </c>
      <c r="BC59" s="49">
        <v>4760000</v>
      </c>
      <c r="BD59" s="166">
        <v>2.3E-2</v>
      </c>
      <c r="BE59" s="166">
        <v>3.1E-2</v>
      </c>
      <c r="BF59" s="49">
        <f t="shared" si="10"/>
        <v>4513076.0690348949</v>
      </c>
      <c r="BG59" s="40">
        <f t="shared" si="11"/>
        <v>6.9449305458505917E-2</v>
      </c>
      <c r="BH59" s="6">
        <f t="shared" si="19"/>
        <v>4692222.7508604545</v>
      </c>
      <c r="BI59" s="24"/>
      <c r="BJ59" s="24">
        <v>677000</v>
      </c>
      <c r="BK59" s="24">
        <v>823954.31984181434</v>
      </c>
      <c r="BL59" s="24"/>
      <c r="BM59" s="38">
        <v>73879500</v>
      </c>
      <c r="BN59" s="3">
        <v>782250000</v>
      </c>
      <c r="BO59" s="54">
        <v>558750000</v>
      </c>
      <c r="BP59" s="53">
        <v>147647362.62536874</v>
      </c>
      <c r="BQ59" s="86">
        <v>180226776.54211733</v>
      </c>
      <c r="BR59" s="86">
        <f t="shared" si="5"/>
        <v>163937069.58374304</v>
      </c>
      <c r="BS59" s="53">
        <v>2312451.4270321005</v>
      </c>
      <c r="BT59" s="54">
        <v>11150</v>
      </c>
      <c r="BU59" s="54">
        <v>11200</v>
      </c>
      <c r="BV59" s="53">
        <f t="shared" si="9"/>
        <v>11175</v>
      </c>
      <c r="BW59" s="57">
        <v>1.9069984240096538E-3</v>
      </c>
      <c r="BX59" s="83">
        <f t="shared" si="18"/>
        <v>11832.318136209911</v>
      </c>
    </row>
    <row r="60" spans="1:76" ht="15.5" hidden="1" x14ac:dyDescent="0.35">
      <c r="A60" s="26" t="s">
        <v>240</v>
      </c>
      <c r="B60" t="s">
        <v>165</v>
      </c>
      <c r="C60" t="s">
        <v>166</v>
      </c>
      <c r="D60" t="s">
        <v>240</v>
      </c>
      <c r="E60" s="60" t="s">
        <v>169</v>
      </c>
      <c r="F60" s="60" t="s">
        <v>169</v>
      </c>
      <c r="G60" s="60" t="s">
        <v>169</v>
      </c>
      <c r="H60" s="60" t="s">
        <v>170</v>
      </c>
      <c r="I60" s="60" t="s">
        <v>163</v>
      </c>
      <c r="J60" s="60" t="s">
        <v>163</v>
      </c>
      <c r="K60" s="60" t="s">
        <v>170</v>
      </c>
      <c r="L60" s="60" t="s">
        <v>163</v>
      </c>
      <c r="M60" s="60" t="s">
        <v>163</v>
      </c>
      <c r="N60" s="60" t="s">
        <v>169</v>
      </c>
      <c r="O60" s="60" t="s">
        <v>171</v>
      </c>
      <c r="P60" s="60" t="s">
        <v>175</v>
      </c>
      <c r="Q60" s="60" t="s">
        <v>170</v>
      </c>
      <c r="R60" s="60" t="s">
        <v>9</v>
      </c>
      <c r="S60" s="60" t="s">
        <v>170</v>
      </c>
      <c r="T60" s="60" t="s">
        <v>170</v>
      </c>
      <c r="U60" s="60" t="s">
        <v>170</v>
      </c>
      <c r="V60" s="60" t="s">
        <v>170</v>
      </c>
      <c r="W60" s="60" t="s">
        <v>170</v>
      </c>
      <c r="X60" s="60" t="s">
        <v>170</v>
      </c>
      <c r="Y60" s="60" t="s">
        <v>170</v>
      </c>
      <c r="Z60" s="60" t="s">
        <v>170</v>
      </c>
      <c r="AA60" s="60" t="s">
        <v>170</v>
      </c>
      <c r="AB60" s="60" t="s">
        <v>170</v>
      </c>
      <c r="AC60" s="60" t="s">
        <v>175</v>
      </c>
      <c r="AD60" s="60" t="s">
        <v>175</v>
      </c>
      <c r="AE60" s="60" t="s">
        <v>173</v>
      </c>
      <c r="AF60" s="60" t="s">
        <v>175</v>
      </c>
      <c r="AG60" s="60" t="s">
        <v>183</v>
      </c>
      <c r="AH60" s="85">
        <v>12763514.35</v>
      </c>
      <c r="AI60" s="85">
        <v>13875682.890000001</v>
      </c>
      <c r="AJ60" s="85">
        <v>4952148.22</v>
      </c>
      <c r="AK60" s="49">
        <v>6413848.71</v>
      </c>
      <c r="AL60" s="49">
        <v>38005194.170000002</v>
      </c>
      <c r="AM60" s="24">
        <v>29823000</v>
      </c>
      <c r="AN60" s="24">
        <v>10455000</v>
      </c>
      <c r="AO60" s="49">
        <f t="shared" si="6"/>
        <v>40278000</v>
      </c>
      <c r="AP60" s="49">
        <v>30044000</v>
      </c>
      <c r="AQ60" s="49">
        <v>32469000</v>
      </c>
      <c r="AR60" s="164">
        <f t="shared" si="14"/>
        <v>8.0714951404606605E-2</v>
      </c>
      <c r="AS60" s="49">
        <v>7050000</v>
      </c>
      <c r="AT60" s="49">
        <v>7050000</v>
      </c>
      <c r="AU60" s="164">
        <f t="shared" si="12"/>
        <v>0</v>
      </c>
      <c r="AV60" s="26">
        <f t="shared" si="15"/>
        <v>32230161.995739583</v>
      </c>
      <c r="AW60" s="165">
        <f t="shared" si="16"/>
        <v>10455000</v>
      </c>
      <c r="AX60" s="49">
        <f t="shared" si="17"/>
        <v>42685161.995739579</v>
      </c>
      <c r="AY60" s="54">
        <v>26991000</v>
      </c>
      <c r="AZ60" s="24">
        <v>19597504.140000001</v>
      </c>
      <c r="BA60" s="24">
        <v>21955000</v>
      </c>
      <c r="BB60" s="49">
        <v>19335000</v>
      </c>
      <c r="BC60" s="49">
        <v>23225000</v>
      </c>
      <c r="BD60" s="166">
        <v>2.9000000000000001E-2</v>
      </c>
      <c r="BE60" s="166">
        <v>2.5000000000000001E-2</v>
      </c>
      <c r="BF60" s="49">
        <f t="shared" si="10"/>
        <v>22019957.808907539</v>
      </c>
      <c r="BG60" s="40">
        <f t="shared" si="11"/>
        <v>0.13886515691272505</v>
      </c>
      <c r="BH60" s="6">
        <f t="shared" si="19"/>
        <v>25003784.520018879</v>
      </c>
      <c r="BI60" s="24"/>
      <c r="BJ60" s="24">
        <v>4150000</v>
      </c>
      <c r="BK60" s="24">
        <v>4768000</v>
      </c>
      <c r="BL60" s="24"/>
      <c r="BM60" s="38">
        <v>1098018788.3559</v>
      </c>
      <c r="BN60" s="3">
        <v>1766243774.0390334</v>
      </c>
      <c r="BO60" s="54">
        <v>1566793500.0000002</v>
      </c>
      <c r="BP60" s="53">
        <v>681440000</v>
      </c>
      <c r="BQ60" s="86">
        <v>885872000.00000012</v>
      </c>
      <c r="BR60" s="86">
        <f t="shared" si="5"/>
        <v>783656000</v>
      </c>
      <c r="BS60" s="53">
        <v>11188140.720236853</v>
      </c>
      <c r="BT60" s="54">
        <v>29350.74</v>
      </c>
      <c r="BU60" s="54">
        <v>33321</v>
      </c>
      <c r="BV60" s="53">
        <f t="shared" si="9"/>
        <v>31335.870000000003</v>
      </c>
      <c r="BW60" s="57">
        <v>2.8020694353665831E-2</v>
      </c>
      <c r="BX60" s="83">
        <f t="shared" si="18"/>
        <v>71795.541175728416</v>
      </c>
    </row>
    <row r="61" spans="1:76" ht="15.5" hidden="1" x14ac:dyDescent="0.35">
      <c r="A61" s="26" t="s">
        <v>241</v>
      </c>
      <c r="B61" t="s">
        <v>162</v>
      </c>
      <c r="C61" t="s">
        <v>166</v>
      </c>
      <c r="D61" t="s">
        <v>242</v>
      </c>
      <c r="E61" s="60" t="s">
        <v>163</v>
      </c>
      <c r="F61" s="60" t="s">
        <v>163</v>
      </c>
      <c r="G61" s="60" t="s">
        <v>163</v>
      </c>
      <c r="H61" s="60" t="s">
        <v>163</v>
      </c>
      <c r="I61" s="60" t="s">
        <v>163</v>
      </c>
      <c r="J61" s="60" t="s">
        <v>163</v>
      </c>
      <c r="K61" s="60" t="s">
        <v>163</v>
      </c>
      <c r="L61" s="60" t="s">
        <v>9</v>
      </c>
      <c r="M61" s="60" t="s">
        <v>9</v>
      </c>
      <c r="N61" s="60" t="s">
        <v>163</v>
      </c>
      <c r="O61" s="60" t="s">
        <v>163</v>
      </c>
      <c r="P61" s="60" t="s">
        <v>170</v>
      </c>
      <c r="Q61" s="60" t="s">
        <v>163</v>
      </c>
      <c r="R61" s="60" t="s">
        <v>163</v>
      </c>
      <c r="S61" s="60" t="s">
        <v>9</v>
      </c>
      <c r="T61" s="60" t="s">
        <v>9</v>
      </c>
      <c r="U61" s="60" t="s">
        <v>9</v>
      </c>
      <c r="V61" s="60" t="s">
        <v>163</v>
      </c>
      <c r="W61" s="60" t="s">
        <v>163</v>
      </c>
      <c r="X61" s="60" t="s">
        <v>163</v>
      </c>
      <c r="Y61" s="60" t="s">
        <v>163</v>
      </c>
      <c r="Z61" s="60" t="s">
        <v>163</v>
      </c>
      <c r="AA61" s="60" t="s">
        <v>163</v>
      </c>
      <c r="AB61" s="60" t="s">
        <v>163</v>
      </c>
      <c r="AC61" s="60" t="s">
        <v>170</v>
      </c>
      <c r="AD61" s="60" t="s">
        <v>170</v>
      </c>
      <c r="AE61" s="60" t="s">
        <v>170</v>
      </c>
      <c r="AF61" s="60" t="s">
        <v>170</v>
      </c>
      <c r="AG61" s="60" t="s">
        <v>163</v>
      </c>
      <c r="AH61" s="85">
        <v>10947000</v>
      </c>
      <c r="AI61" s="85">
        <v>13949000</v>
      </c>
      <c r="AJ61" s="85">
        <v>1833000</v>
      </c>
      <c r="AK61" s="49">
        <v>1730000</v>
      </c>
      <c r="AL61" s="49">
        <v>28459000</v>
      </c>
      <c r="AM61" s="24">
        <v>27989471.02102102</v>
      </c>
      <c r="AN61" s="24">
        <v>4737000</v>
      </c>
      <c r="AO61" s="49">
        <f t="shared" si="6"/>
        <v>32726471.02102102</v>
      </c>
      <c r="AP61" s="49">
        <v>28114000</v>
      </c>
      <c r="AQ61" s="49">
        <v>32025000</v>
      </c>
      <c r="AR61" s="164">
        <f t="shared" si="14"/>
        <v>0.1391121860994522</v>
      </c>
      <c r="AS61" s="49">
        <v>4737000</v>
      </c>
      <c r="AT61" s="49">
        <v>3061000</v>
      </c>
      <c r="AU61" s="164">
        <f t="shared" si="12"/>
        <v>-0.35381042854127087</v>
      </c>
      <c r="AV61" s="26">
        <f t="shared" si="15"/>
        <v>31883147.52252252</v>
      </c>
      <c r="AW61" s="165">
        <f t="shared" si="16"/>
        <v>3061000</v>
      </c>
      <c r="AX61" s="49">
        <f t="shared" si="17"/>
        <v>34944147.522522524</v>
      </c>
      <c r="AY61" s="54">
        <v>26591000</v>
      </c>
      <c r="AZ61" s="24">
        <v>12764000</v>
      </c>
      <c r="BA61" s="24">
        <v>13725858.315740088</v>
      </c>
      <c r="BB61" s="49">
        <v>14346000</v>
      </c>
      <c r="BC61" s="49">
        <v>14714000</v>
      </c>
      <c r="BD61" s="166">
        <v>3.499999999999992E-2</v>
      </c>
      <c r="BE61" s="166">
        <v>2.6086956521739202E-2</v>
      </c>
      <c r="BF61" s="49">
        <f t="shared" si="10"/>
        <v>13854990.583804142</v>
      </c>
      <c r="BG61" s="40">
        <f t="shared" si="11"/>
        <v>-3.4226224466461619E-2</v>
      </c>
      <c r="BH61" s="6">
        <f t="shared" si="19"/>
        <v>13256074.008030718</v>
      </c>
      <c r="BI61" s="24"/>
      <c r="BJ61" s="24">
        <v>4271000</v>
      </c>
      <c r="BK61" s="24">
        <v>4544082.3648142722</v>
      </c>
      <c r="BL61" s="24"/>
      <c r="BM61" s="38">
        <v>635973389.37919915</v>
      </c>
      <c r="BN61" s="3">
        <v>1586255973.1593316</v>
      </c>
      <c r="BO61" s="54">
        <v>1425680894.7805548</v>
      </c>
      <c r="BP61" s="53">
        <v>614400000.00000012</v>
      </c>
      <c r="BQ61" s="86">
        <v>726110000</v>
      </c>
      <c r="BR61" s="86">
        <f t="shared" si="5"/>
        <v>670255000</v>
      </c>
      <c r="BS61" s="53">
        <v>9395249.5883762408</v>
      </c>
      <c r="BT61" s="54">
        <v>41335.199999999997</v>
      </c>
      <c r="BU61" s="54">
        <v>35610</v>
      </c>
      <c r="BV61" s="53">
        <f t="shared" si="9"/>
        <v>38472.6</v>
      </c>
      <c r="BW61" s="57">
        <v>5.7274895820256244E-3</v>
      </c>
      <c r="BX61" s="83">
        <f t="shared" si="18"/>
        <v>45662.655422486605</v>
      </c>
    </row>
    <row r="62" spans="1:76" ht="15.5" hidden="1" x14ac:dyDescent="0.35">
      <c r="A62" s="26" t="s">
        <v>243</v>
      </c>
      <c r="B62" t="s">
        <v>162</v>
      </c>
      <c r="C62" t="s">
        <v>160</v>
      </c>
      <c r="D62" t="s">
        <v>244</v>
      </c>
      <c r="E62" s="60" t="s">
        <v>163</v>
      </c>
      <c r="F62" s="60" t="s">
        <v>170</v>
      </c>
      <c r="G62" s="60" t="s">
        <v>163</v>
      </c>
      <c r="H62" s="60" t="s">
        <v>163</v>
      </c>
      <c r="I62" s="60" t="s">
        <v>163</v>
      </c>
      <c r="J62" s="60" t="s">
        <v>163</v>
      </c>
      <c r="K62" s="60" t="s">
        <v>163</v>
      </c>
      <c r="L62" s="60" t="s">
        <v>163</v>
      </c>
      <c r="M62" s="60" t="s">
        <v>9</v>
      </c>
      <c r="N62" s="60" t="s">
        <v>163</v>
      </c>
      <c r="O62" s="60" t="s">
        <v>170</v>
      </c>
      <c r="P62" s="60" t="s">
        <v>169</v>
      </c>
      <c r="Q62" s="60" t="s">
        <v>163</v>
      </c>
      <c r="R62" s="60" t="s">
        <v>163</v>
      </c>
      <c r="S62" s="60" t="s">
        <v>163</v>
      </c>
      <c r="T62" s="60" t="s">
        <v>163</v>
      </c>
      <c r="U62" s="60" t="s">
        <v>163</v>
      </c>
      <c r="V62" s="60" t="s">
        <v>163</v>
      </c>
      <c r="W62" s="60" t="s">
        <v>163</v>
      </c>
      <c r="X62" s="60" t="s">
        <v>163</v>
      </c>
      <c r="Y62" s="60" t="s">
        <v>163</v>
      </c>
      <c r="Z62" s="60" t="s">
        <v>163</v>
      </c>
      <c r="AA62" s="60" t="s">
        <v>163</v>
      </c>
      <c r="AB62" s="60" t="s">
        <v>163</v>
      </c>
      <c r="AC62" s="60" t="s">
        <v>169</v>
      </c>
      <c r="AD62" s="60" t="s">
        <v>169</v>
      </c>
      <c r="AE62" s="60" t="s">
        <v>169</v>
      </c>
      <c r="AF62" s="60" t="s">
        <v>169</v>
      </c>
      <c r="AG62" s="60" t="s">
        <v>170</v>
      </c>
      <c r="AH62" s="85">
        <v>26272000</v>
      </c>
      <c r="AI62" s="85">
        <v>31032000</v>
      </c>
      <c r="AJ62" s="85">
        <v>22516000</v>
      </c>
      <c r="AK62" s="49">
        <v>22782000</v>
      </c>
      <c r="AL62" s="49">
        <v>102602000</v>
      </c>
      <c r="AM62" s="24">
        <v>98260000</v>
      </c>
      <c r="AN62" s="24">
        <v>23608000</v>
      </c>
      <c r="AO62" s="49">
        <f t="shared" si="6"/>
        <v>121868000</v>
      </c>
      <c r="AP62" s="49">
        <v>99029000</v>
      </c>
      <c r="AQ62" s="49">
        <v>125870000</v>
      </c>
      <c r="AR62" s="164">
        <f t="shared" si="14"/>
        <v>0.27104181603368716</v>
      </c>
      <c r="AS62" s="49">
        <v>20481000</v>
      </c>
      <c r="AT62" s="49">
        <v>30130000</v>
      </c>
      <c r="AU62" s="164">
        <f t="shared" si="12"/>
        <v>0.4711195742395391</v>
      </c>
      <c r="AV62" s="26">
        <f t="shared" si="15"/>
        <v>124892568.8434701</v>
      </c>
      <c r="AW62" s="165">
        <f t="shared" si="16"/>
        <v>34730190.908647038</v>
      </c>
      <c r="AX62" s="49">
        <f t="shared" si="17"/>
        <v>159622759.75211713</v>
      </c>
      <c r="AY62" s="54">
        <v>79819000</v>
      </c>
      <c r="AZ62" s="24">
        <v>41583000</v>
      </c>
      <c r="BA62" s="24">
        <v>51456000</v>
      </c>
      <c r="BB62" s="49">
        <v>59271000</v>
      </c>
      <c r="BC62" s="49">
        <v>67181000</v>
      </c>
      <c r="BD62" s="166">
        <v>2.8999999999999998E-2</v>
      </c>
      <c r="BE62" s="166">
        <v>2.8999999999999998E-2</v>
      </c>
      <c r="BF62" s="49">
        <f t="shared" si="10"/>
        <v>63447675.335579187</v>
      </c>
      <c r="BG62" s="40">
        <f t="shared" si="11"/>
        <v>7.0467434927353745E-2</v>
      </c>
      <c r="BH62" s="6">
        <f t="shared" si="19"/>
        <v>55081972.331621915</v>
      </c>
      <c r="BI62" s="24"/>
      <c r="BJ62" s="24">
        <v>18768000</v>
      </c>
      <c r="BK62" s="24">
        <v>15546000</v>
      </c>
      <c r="BL62" s="24"/>
      <c r="BM62" s="38">
        <v>4475754000</v>
      </c>
      <c r="BN62" s="3">
        <v>3184252695.9565415</v>
      </c>
      <c r="BO62" s="54">
        <v>3537860797.37817</v>
      </c>
      <c r="BP62" s="53">
        <v>1407010000.0000002</v>
      </c>
      <c r="BQ62" s="86">
        <v>2364911200</v>
      </c>
      <c r="BR62" s="86">
        <f t="shared" si="5"/>
        <v>1885960600</v>
      </c>
      <c r="BS62" s="53">
        <v>28208676.01045908</v>
      </c>
      <c r="BT62" s="54">
        <v>147200</v>
      </c>
      <c r="BU62" s="54">
        <v>139498.6</v>
      </c>
      <c r="BV62" s="53">
        <f t="shared" si="9"/>
        <v>143349.29999999999</v>
      </c>
      <c r="BW62" s="57">
        <v>1.7085795363435796E-2</v>
      </c>
      <c r="BX62" s="83">
        <f t="shared" si="18"/>
        <v>238299.56319307149</v>
      </c>
    </row>
    <row r="63" spans="1:76" ht="15.5" hidden="1" x14ac:dyDescent="0.35">
      <c r="A63" s="26" t="s">
        <v>245</v>
      </c>
      <c r="B63" t="s">
        <v>162</v>
      </c>
      <c r="C63" t="s">
        <v>166</v>
      </c>
      <c r="D63" t="s">
        <v>201</v>
      </c>
      <c r="E63" s="60" t="s">
        <v>163</v>
      </c>
      <c r="F63" s="60" t="s">
        <v>9</v>
      </c>
      <c r="G63" s="60" t="s">
        <v>163</v>
      </c>
      <c r="H63" s="60" t="s">
        <v>163</v>
      </c>
      <c r="I63" s="60" t="s">
        <v>163</v>
      </c>
      <c r="J63" s="60" t="s">
        <v>9</v>
      </c>
      <c r="K63" s="60" t="s">
        <v>163</v>
      </c>
      <c r="L63" s="60" t="s">
        <v>9</v>
      </c>
      <c r="M63" s="60" t="s">
        <v>9</v>
      </c>
      <c r="N63" s="60" t="s">
        <v>163</v>
      </c>
      <c r="O63" s="60" t="s">
        <v>163</v>
      </c>
      <c r="P63" s="60" t="s">
        <v>170</v>
      </c>
      <c r="Q63" s="60" t="s">
        <v>163</v>
      </c>
      <c r="R63" s="60" t="s">
        <v>163</v>
      </c>
      <c r="S63" s="60" t="s">
        <v>9</v>
      </c>
      <c r="T63" s="60" t="s">
        <v>9</v>
      </c>
      <c r="U63" s="60" t="s">
        <v>9</v>
      </c>
      <c r="V63" s="60" t="s">
        <v>163</v>
      </c>
      <c r="W63" s="60" t="s">
        <v>163</v>
      </c>
      <c r="X63" s="60" t="s">
        <v>163</v>
      </c>
      <c r="Y63" s="60" t="s">
        <v>9</v>
      </c>
      <c r="Z63" s="60" t="s">
        <v>9</v>
      </c>
      <c r="AA63" s="60" t="s">
        <v>9</v>
      </c>
      <c r="AB63" s="60" t="s">
        <v>163</v>
      </c>
      <c r="AC63" s="60" t="s">
        <v>170</v>
      </c>
      <c r="AD63" s="60" t="s">
        <v>170</v>
      </c>
      <c r="AE63" s="60" t="s">
        <v>170</v>
      </c>
      <c r="AF63" s="60" t="s">
        <v>170</v>
      </c>
      <c r="AG63" s="60" t="s">
        <v>163</v>
      </c>
      <c r="AH63" s="85">
        <v>10312000</v>
      </c>
      <c r="AI63" s="85">
        <v>15726000</v>
      </c>
      <c r="AJ63" s="85">
        <v>2630000</v>
      </c>
      <c r="AK63" s="49">
        <v>2018000</v>
      </c>
      <c r="AL63" s="49">
        <v>30686000</v>
      </c>
      <c r="AM63" s="24">
        <v>31499237.582864188</v>
      </c>
      <c r="AN63" s="24">
        <v>2584000</v>
      </c>
      <c r="AO63" s="49">
        <f t="shared" si="6"/>
        <v>34083237.582864188</v>
      </c>
      <c r="AP63" s="49">
        <v>31167000</v>
      </c>
      <c r="AQ63" s="49">
        <v>36165000</v>
      </c>
      <c r="AR63" s="164">
        <f t="shared" si="14"/>
        <v>0.16036192126287419</v>
      </c>
      <c r="AS63" s="49">
        <v>2584000</v>
      </c>
      <c r="AT63" s="49">
        <v>2127000</v>
      </c>
      <c r="AU63" s="164">
        <f t="shared" si="12"/>
        <v>-0.17685758513931893</v>
      </c>
      <c r="AV63" s="26">
        <f t="shared" si="15"/>
        <v>36550515.839968018</v>
      </c>
      <c r="AW63" s="165">
        <f t="shared" si="16"/>
        <v>2127000</v>
      </c>
      <c r="AX63" s="49">
        <f t="shared" si="17"/>
        <v>38677515.839968018</v>
      </c>
      <c r="AY63" s="54">
        <v>28437000</v>
      </c>
      <c r="AZ63" s="24">
        <v>14674000</v>
      </c>
      <c r="BA63" s="24">
        <v>18948784.424114473</v>
      </c>
      <c r="BB63" s="49">
        <v>21119000</v>
      </c>
      <c r="BC63" s="49">
        <v>21855000</v>
      </c>
      <c r="BD63" s="166">
        <v>2.4245423057892124E-2</v>
      </c>
      <c r="BE63" s="166">
        <v>2.3188405797101463E-2</v>
      </c>
      <c r="BF63" s="49">
        <f t="shared" si="10"/>
        <v>20854086.40226629</v>
      </c>
      <c r="BG63" s="40">
        <f t="shared" si="11"/>
        <v>-1.2543851400810158E-2</v>
      </c>
      <c r="BH63" s="6">
        <f t="shared" si="19"/>
        <v>18711093.688072395</v>
      </c>
      <c r="BI63" s="24"/>
      <c r="BJ63" s="24">
        <v>1677000</v>
      </c>
      <c r="BK63" s="24">
        <v>1482480.6339797475</v>
      </c>
      <c r="BL63" s="24"/>
      <c r="BM63" s="38">
        <v>270880176.21963495</v>
      </c>
      <c r="BN63" s="3">
        <v>758290360.78153348</v>
      </c>
      <c r="BO63" s="54">
        <v>716903049.401196</v>
      </c>
      <c r="BP63" s="53">
        <v>622170000</v>
      </c>
      <c r="BQ63" s="86">
        <v>746589999.99999988</v>
      </c>
      <c r="BR63" s="86">
        <f t="shared" si="5"/>
        <v>684380000</v>
      </c>
      <c r="BS63" s="53">
        <v>9621765.0960318539</v>
      </c>
      <c r="BT63" s="54">
        <v>23000</v>
      </c>
      <c r="BU63" s="54">
        <v>22426</v>
      </c>
      <c r="BV63" s="53">
        <f t="shared" si="9"/>
        <v>22713</v>
      </c>
      <c r="BW63" s="57">
        <v>1.7376470711863101E-2</v>
      </c>
      <c r="BX63" s="83">
        <f t="shared" si="18"/>
        <v>38082.476256366397</v>
      </c>
    </row>
    <row r="64" spans="1:76" ht="15.5" hidden="1" x14ac:dyDescent="0.35">
      <c r="A64" s="26" t="s">
        <v>246</v>
      </c>
      <c r="B64" t="s">
        <v>165</v>
      </c>
      <c r="C64" t="s">
        <v>166</v>
      </c>
      <c r="D64" t="s">
        <v>167</v>
      </c>
      <c r="E64" s="60" t="s">
        <v>168</v>
      </c>
      <c r="F64" s="60" t="s">
        <v>169</v>
      </c>
      <c r="G64" s="60" t="s">
        <v>169</v>
      </c>
      <c r="H64" s="60" t="s">
        <v>169</v>
      </c>
      <c r="I64" s="60" t="s">
        <v>170</v>
      </c>
      <c r="J64" s="60" t="s">
        <v>170</v>
      </c>
      <c r="K64" s="60" t="s">
        <v>170</v>
      </c>
      <c r="L64" s="60" t="s">
        <v>163</v>
      </c>
      <c r="M64" s="60" t="s">
        <v>163</v>
      </c>
      <c r="N64" s="60" t="s">
        <v>169</v>
      </c>
      <c r="O64" s="60" t="s">
        <v>171</v>
      </c>
      <c r="P64" s="60" t="s">
        <v>172</v>
      </c>
      <c r="Q64" s="60" t="s">
        <v>170</v>
      </c>
      <c r="R64" s="60" t="s">
        <v>9</v>
      </c>
      <c r="S64" s="60" t="s">
        <v>170</v>
      </c>
      <c r="T64" s="60" t="s">
        <v>170</v>
      </c>
      <c r="U64" s="60" t="s">
        <v>169</v>
      </c>
      <c r="V64" s="60" t="s">
        <v>170</v>
      </c>
      <c r="W64" s="60" t="s">
        <v>170</v>
      </c>
      <c r="X64" s="60" t="s">
        <v>169</v>
      </c>
      <c r="Y64" s="60" t="s">
        <v>170</v>
      </c>
      <c r="Z64" s="60" t="s">
        <v>170</v>
      </c>
      <c r="AA64" s="60" t="s">
        <v>169</v>
      </c>
      <c r="AB64" s="60" t="s">
        <v>169</v>
      </c>
      <c r="AC64" s="60" t="s">
        <v>173</v>
      </c>
      <c r="AD64" s="60" t="s">
        <v>173</v>
      </c>
      <c r="AE64" s="60" t="s">
        <v>174</v>
      </c>
      <c r="AF64" s="60" t="s">
        <v>173</v>
      </c>
      <c r="AG64" s="60" t="s">
        <v>175</v>
      </c>
      <c r="AH64" s="85">
        <v>10077000</v>
      </c>
      <c r="AI64" s="85">
        <v>9960000</v>
      </c>
      <c r="AJ64" s="85">
        <v>2021000</v>
      </c>
      <c r="AK64" s="49">
        <v>3000</v>
      </c>
      <c r="AL64" s="49">
        <v>22061000</v>
      </c>
      <c r="AM64" s="24">
        <v>25510926.606334843</v>
      </c>
      <c r="AN64" s="24">
        <v>0</v>
      </c>
      <c r="AO64" s="49">
        <f t="shared" si="6"/>
        <v>25510926.606334843</v>
      </c>
      <c r="AP64" s="49">
        <v>25073000</v>
      </c>
      <c r="AQ64" s="49">
        <v>25497000</v>
      </c>
      <c r="AR64" s="164">
        <f t="shared" si="14"/>
        <v>1.6910620986718694E-2</v>
      </c>
      <c r="AS64" s="49">
        <v>0</v>
      </c>
      <c r="AT64" s="49">
        <v>0</v>
      </c>
      <c r="AU64" s="164">
        <f t="shared" si="12"/>
        <v>0</v>
      </c>
      <c r="AV64" s="26">
        <f t="shared" si="15"/>
        <v>25942332.217194568</v>
      </c>
      <c r="AW64" s="165">
        <f t="shared" si="16"/>
        <v>0</v>
      </c>
      <c r="AX64" s="49">
        <f t="shared" si="17"/>
        <v>25942332.217194568</v>
      </c>
      <c r="AY64" s="54">
        <v>20252000</v>
      </c>
      <c r="AZ64" s="24">
        <v>10869506.178599998</v>
      </c>
      <c r="BA64" s="24">
        <v>12776718.508092891</v>
      </c>
      <c r="BB64" s="49">
        <v>12974000</v>
      </c>
      <c r="BC64" s="49">
        <v>11839000</v>
      </c>
      <c r="BD64" s="166">
        <v>2.9000000000000001E-2</v>
      </c>
      <c r="BE64" s="166">
        <v>2.5000000000000001E-2</v>
      </c>
      <c r="BF64" s="49">
        <f t="shared" si="10"/>
        <v>11224726.824527722</v>
      </c>
      <c r="BG64" s="40">
        <f t="shared" si="11"/>
        <v>-0.134829133302935</v>
      </c>
      <c r="BH64" s="6">
        <f t="shared" si="19"/>
        <v>11054044.625191158</v>
      </c>
      <c r="BI64" s="24"/>
      <c r="BJ64" s="24">
        <v>2481000</v>
      </c>
      <c r="BK64" s="24">
        <v>2537761.625579244</v>
      </c>
      <c r="BL64" s="24"/>
      <c r="BM64" s="38">
        <v>878889000</v>
      </c>
      <c r="BN64" s="3">
        <v>947230847.76671886</v>
      </c>
      <c r="BO64" s="54">
        <v>930576583.29929638</v>
      </c>
      <c r="BP64" s="53">
        <v>831929855.5098896</v>
      </c>
      <c r="BQ64" s="86">
        <v>1100635884.5348566</v>
      </c>
      <c r="BR64" s="86">
        <f t="shared" si="5"/>
        <v>966282870.02237308</v>
      </c>
      <c r="BS64" s="53">
        <v>13841281.816553026</v>
      </c>
      <c r="BT64" s="54">
        <v>44556</v>
      </c>
      <c r="BU64" s="54">
        <v>36087</v>
      </c>
      <c r="BV64" s="53">
        <f t="shared" si="9"/>
        <v>40321.5</v>
      </c>
      <c r="BW64" s="57">
        <v>5.4531533357162765E-3</v>
      </c>
      <c r="BX64" s="83">
        <f t="shared" si="18"/>
        <v>47467.012082319263</v>
      </c>
    </row>
    <row r="65" spans="1:76" ht="15.5" hidden="1" x14ac:dyDescent="0.35">
      <c r="A65" s="26" t="s">
        <v>247</v>
      </c>
      <c r="B65" t="s">
        <v>162</v>
      </c>
      <c r="C65" t="s">
        <v>160</v>
      </c>
      <c r="D65" t="s">
        <v>181</v>
      </c>
      <c r="E65" s="60" t="s">
        <v>169</v>
      </c>
      <c r="F65" s="60" t="s">
        <v>170</v>
      </c>
      <c r="G65" s="60" t="s">
        <v>170</v>
      </c>
      <c r="H65" s="60" t="s">
        <v>170</v>
      </c>
      <c r="I65" s="60" t="s">
        <v>163</v>
      </c>
      <c r="J65" s="60" t="s">
        <v>163</v>
      </c>
      <c r="K65" s="60" t="s">
        <v>170</v>
      </c>
      <c r="L65" s="60" t="s">
        <v>163</v>
      </c>
      <c r="M65" s="60" t="s">
        <v>9</v>
      </c>
      <c r="N65" s="60" t="s">
        <v>170</v>
      </c>
      <c r="O65" s="60" t="s">
        <v>182</v>
      </c>
      <c r="P65" s="60" t="s">
        <v>183</v>
      </c>
      <c r="Q65" s="60" t="s">
        <v>170</v>
      </c>
      <c r="R65" s="60" t="s">
        <v>163</v>
      </c>
      <c r="S65" s="60" t="s">
        <v>163</v>
      </c>
      <c r="T65" s="60" t="s">
        <v>163</v>
      </c>
      <c r="U65" s="60" t="s">
        <v>163</v>
      </c>
      <c r="V65" s="60" t="s">
        <v>163</v>
      </c>
      <c r="W65" s="60" t="s">
        <v>163</v>
      </c>
      <c r="X65" s="60" t="s">
        <v>163</v>
      </c>
      <c r="Y65" s="60" t="s">
        <v>163</v>
      </c>
      <c r="Z65" s="60" t="s">
        <v>163</v>
      </c>
      <c r="AA65" s="60" t="s">
        <v>163</v>
      </c>
      <c r="AB65" s="60" t="s">
        <v>170</v>
      </c>
      <c r="AC65" s="60" t="s">
        <v>183</v>
      </c>
      <c r="AD65" s="60" t="s">
        <v>183</v>
      </c>
      <c r="AE65" s="60" t="s">
        <v>175</v>
      </c>
      <c r="AF65" s="60" t="s">
        <v>183</v>
      </c>
      <c r="AG65" s="60" t="s">
        <v>171</v>
      </c>
      <c r="AH65" s="85">
        <v>6922490.4199999999</v>
      </c>
      <c r="AI65" s="85">
        <v>7633000</v>
      </c>
      <c r="AJ65" s="85">
        <v>2983000</v>
      </c>
      <c r="AK65" s="85"/>
      <c r="AL65" s="49">
        <v>17538490.420000002</v>
      </c>
      <c r="AM65" s="24">
        <v>18089000</v>
      </c>
      <c r="AN65" s="24">
        <v>0</v>
      </c>
      <c r="AO65" s="49">
        <f t="shared" si="6"/>
        <v>18089000</v>
      </c>
      <c r="AP65" s="49">
        <v>18123000</v>
      </c>
      <c r="AQ65" s="49">
        <v>20258000</v>
      </c>
      <c r="AR65" s="164">
        <f t="shared" si="14"/>
        <v>0.11780610274237158</v>
      </c>
      <c r="AS65" s="49">
        <v>0</v>
      </c>
      <c r="AT65" s="49">
        <v>0</v>
      </c>
      <c r="AU65" s="164">
        <f t="shared" si="12"/>
        <v>0</v>
      </c>
      <c r="AV65" s="26">
        <f t="shared" si="15"/>
        <v>20219994.592506759</v>
      </c>
      <c r="AW65" s="165">
        <f t="shared" si="16"/>
        <v>0</v>
      </c>
      <c r="AX65" s="49">
        <f t="shared" si="17"/>
        <v>20219994.592506759</v>
      </c>
      <c r="AY65" s="54">
        <v>19064000</v>
      </c>
      <c r="AZ65" s="24">
        <v>12242945.311289145</v>
      </c>
      <c r="BA65" s="24">
        <v>13172270</v>
      </c>
      <c r="BB65" s="49">
        <v>13825303.262956666</v>
      </c>
      <c r="BC65" s="49">
        <v>15961985.358711727</v>
      </c>
      <c r="BD65" s="166">
        <v>2.9000000000000001E-2</v>
      </c>
      <c r="BE65" s="166">
        <v>2.5000000000000001E-2</v>
      </c>
      <c r="BF65" s="49">
        <f t="shared" si="10"/>
        <v>15133788.76836306</v>
      </c>
      <c r="BG65" s="40">
        <f t="shared" si="11"/>
        <v>9.464425340399818E-2</v>
      </c>
      <c r="BH65" s="6">
        <f t="shared" si="19"/>
        <v>14418949.659785884</v>
      </c>
      <c r="BI65" s="24"/>
      <c r="BJ65" s="24">
        <v>416000</v>
      </c>
      <c r="BK65" s="24">
        <v>1381210</v>
      </c>
      <c r="BL65" s="24"/>
      <c r="BM65" s="38">
        <v>313667578.18545127</v>
      </c>
      <c r="BN65" s="3">
        <v>627232515.44005239</v>
      </c>
      <c r="BO65" s="54">
        <v>701838470.00394499</v>
      </c>
      <c r="BP65" s="53">
        <v>754910907.35562003</v>
      </c>
      <c r="BQ65" s="86">
        <v>1705784364.0343697</v>
      </c>
      <c r="BR65" s="86">
        <f t="shared" si="5"/>
        <v>1230347635.6949949</v>
      </c>
      <c r="BS65" s="53">
        <v>19300238.873326648</v>
      </c>
      <c r="BT65" s="54">
        <v>42000</v>
      </c>
      <c r="BU65" s="54">
        <v>42000</v>
      </c>
      <c r="BV65" s="53">
        <f t="shared" si="9"/>
        <v>42000</v>
      </c>
      <c r="BW65" s="57">
        <v>1.5246008397444832E-2</v>
      </c>
      <c r="BX65" s="83">
        <f t="shared" si="18"/>
        <v>66128.399312564172</v>
      </c>
    </row>
    <row r="66" spans="1:76" ht="15.5" hidden="1" x14ac:dyDescent="0.35">
      <c r="A66" s="26" t="s">
        <v>201</v>
      </c>
      <c r="B66" t="s">
        <v>162</v>
      </c>
      <c r="C66" t="s">
        <v>166</v>
      </c>
      <c r="D66" t="s">
        <v>200</v>
      </c>
      <c r="E66" s="60" t="s">
        <v>163</v>
      </c>
      <c r="F66" s="60" t="s">
        <v>163</v>
      </c>
      <c r="G66" s="60" t="s">
        <v>163</v>
      </c>
      <c r="H66" s="60" t="s">
        <v>163</v>
      </c>
      <c r="I66" s="60" t="s">
        <v>163</v>
      </c>
      <c r="J66" s="60" t="s">
        <v>163</v>
      </c>
      <c r="K66" s="60" t="s">
        <v>163</v>
      </c>
      <c r="L66" s="60" t="s">
        <v>9</v>
      </c>
      <c r="M66" s="60" t="s">
        <v>9</v>
      </c>
      <c r="N66" s="60" t="s">
        <v>163</v>
      </c>
      <c r="O66" s="60" t="s">
        <v>163</v>
      </c>
      <c r="P66" s="60" t="s">
        <v>170</v>
      </c>
      <c r="Q66" s="60" t="s">
        <v>163</v>
      </c>
      <c r="R66" s="60" t="s">
        <v>163</v>
      </c>
      <c r="S66" s="60" t="s">
        <v>9</v>
      </c>
      <c r="T66" s="60" t="s">
        <v>9</v>
      </c>
      <c r="U66" s="60" t="s">
        <v>9</v>
      </c>
      <c r="V66" s="60" t="s">
        <v>163</v>
      </c>
      <c r="W66" s="60" t="s">
        <v>163</v>
      </c>
      <c r="X66" s="60" t="s">
        <v>163</v>
      </c>
      <c r="Y66" s="60" t="s">
        <v>9</v>
      </c>
      <c r="Z66" s="60" t="s">
        <v>9</v>
      </c>
      <c r="AA66" s="60" t="s">
        <v>9</v>
      </c>
      <c r="AB66" s="60" t="s">
        <v>163</v>
      </c>
      <c r="AC66" s="60" t="s">
        <v>170</v>
      </c>
      <c r="AD66" s="60" t="s">
        <v>170</v>
      </c>
      <c r="AE66" s="60" t="s">
        <v>170</v>
      </c>
      <c r="AF66" s="60" t="s">
        <v>170</v>
      </c>
      <c r="AG66" s="60" t="s">
        <v>163</v>
      </c>
      <c r="AH66" s="85">
        <v>10284000</v>
      </c>
      <c r="AI66" s="85">
        <v>27843000</v>
      </c>
      <c r="AJ66" s="85">
        <v>1860000</v>
      </c>
      <c r="AK66" s="49">
        <v>9327000</v>
      </c>
      <c r="AL66" s="49">
        <v>49314000</v>
      </c>
      <c r="AM66" s="24">
        <v>31875000</v>
      </c>
      <c r="AN66" s="24">
        <v>9831000</v>
      </c>
      <c r="AO66" s="49">
        <f t="shared" si="6"/>
        <v>41706000</v>
      </c>
      <c r="AP66" s="49">
        <v>31065000</v>
      </c>
      <c r="AQ66" s="49">
        <v>37981000</v>
      </c>
      <c r="AR66" s="164">
        <f t="shared" si="14"/>
        <v>0.22262996941896018</v>
      </c>
      <c r="AS66" s="49">
        <v>5827000</v>
      </c>
      <c r="AT66" s="49">
        <v>5333000</v>
      </c>
      <c r="AU66" s="164">
        <f t="shared" si="12"/>
        <v>-8.477775870945603E-2</v>
      </c>
      <c r="AV66" s="26">
        <f t="shared" si="15"/>
        <v>38971330.275229357</v>
      </c>
      <c r="AW66" s="165">
        <f t="shared" si="16"/>
        <v>8997549.8541273382</v>
      </c>
      <c r="AX66" s="49">
        <f t="shared" si="17"/>
        <v>47968880.129356697</v>
      </c>
      <c r="AY66" s="54">
        <v>29890000</v>
      </c>
      <c r="AZ66" s="24">
        <v>15738150.289999999</v>
      </c>
      <c r="BA66" s="24">
        <v>29866000</v>
      </c>
      <c r="BB66" s="49">
        <v>25238000</v>
      </c>
      <c r="BC66" s="49">
        <v>32817000</v>
      </c>
      <c r="BD66" s="166">
        <v>3.5000000000000003E-2</v>
      </c>
      <c r="BE66" s="166">
        <v>2.5999999999999999E-2</v>
      </c>
      <c r="BF66" s="49">
        <f t="shared" si="10"/>
        <v>30903748.905274462</v>
      </c>
      <c r="BG66" s="40">
        <f t="shared" si="11"/>
        <v>0.22449278489874236</v>
      </c>
      <c r="BH66" s="6">
        <f t="shared" si="19"/>
        <v>36570701.513785839</v>
      </c>
      <c r="BI66" s="24"/>
      <c r="BJ66" s="24">
        <v>0</v>
      </c>
      <c r="BK66" s="24">
        <v>0</v>
      </c>
      <c r="BL66" s="24"/>
      <c r="BM66" s="38">
        <v>422586893</v>
      </c>
      <c r="BN66" s="3">
        <v>1531076367.9369352</v>
      </c>
      <c r="BO66" s="54">
        <v>1433824160.838932</v>
      </c>
      <c r="BP66" s="53">
        <v>475413390.99999988</v>
      </c>
      <c r="BQ66" s="86">
        <v>855744103.80000007</v>
      </c>
      <c r="BR66" s="86">
        <f t="shared" si="5"/>
        <v>665578747.39999998</v>
      </c>
      <c r="BS66" s="53">
        <v>10071614.235538008</v>
      </c>
      <c r="BT66" s="54">
        <v>42303.600000000006</v>
      </c>
      <c r="BU66" s="54">
        <v>32310.9</v>
      </c>
      <c r="BV66" s="53">
        <f t="shared" si="9"/>
        <v>37307.25</v>
      </c>
      <c r="BW66" s="57">
        <v>2.4676785518339406E-2</v>
      </c>
      <c r="BX66" s="53">
        <f t="shared" si="18"/>
        <v>77517.570560918772</v>
      </c>
    </row>
    <row r="67" spans="1:76" ht="15.5" hidden="1" x14ac:dyDescent="0.35">
      <c r="A67" s="26" t="s">
        <v>248</v>
      </c>
      <c r="B67" t="s">
        <v>165</v>
      </c>
      <c r="C67" t="s">
        <v>166</v>
      </c>
      <c r="D67" t="s">
        <v>167</v>
      </c>
      <c r="E67" s="60" t="s">
        <v>168</v>
      </c>
      <c r="F67" s="60" t="s">
        <v>169</v>
      </c>
      <c r="G67" s="60" t="s">
        <v>169</v>
      </c>
      <c r="H67" s="60" t="s">
        <v>169</v>
      </c>
      <c r="I67" s="60" t="s">
        <v>170</v>
      </c>
      <c r="J67" s="60" t="s">
        <v>170</v>
      </c>
      <c r="K67" s="60" t="s">
        <v>170</v>
      </c>
      <c r="L67" s="60" t="s">
        <v>163</v>
      </c>
      <c r="M67" s="60" t="s">
        <v>163</v>
      </c>
      <c r="N67" s="60" t="s">
        <v>169</v>
      </c>
      <c r="O67" s="60" t="s">
        <v>171</v>
      </c>
      <c r="P67" s="60" t="s">
        <v>172</v>
      </c>
      <c r="Q67" s="60" t="s">
        <v>170</v>
      </c>
      <c r="R67" s="60" t="s">
        <v>9</v>
      </c>
      <c r="S67" s="60" t="s">
        <v>170</v>
      </c>
      <c r="T67" s="60" t="s">
        <v>170</v>
      </c>
      <c r="U67" s="60" t="s">
        <v>169</v>
      </c>
      <c r="V67" s="60" t="s">
        <v>170</v>
      </c>
      <c r="W67" s="60" t="s">
        <v>170</v>
      </c>
      <c r="X67" s="60" t="s">
        <v>169</v>
      </c>
      <c r="Y67" s="60" t="s">
        <v>170</v>
      </c>
      <c r="Z67" s="60" t="s">
        <v>170</v>
      </c>
      <c r="AA67" s="60" t="s">
        <v>169</v>
      </c>
      <c r="AB67" s="60" t="s">
        <v>169</v>
      </c>
      <c r="AC67" s="60" t="s">
        <v>173</v>
      </c>
      <c r="AD67" s="60" t="s">
        <v>173</v>
      </c>
      <c r="AE67" s="60" t="s">
        <v>174</v>
      </c>
      <c r="AF67" s="60" t="s">
        <v>173</v>
      </c>
      <c r="AG67" s="60" t="s">
        <v>175</v>
      </c>
      <c r="AH67" s="85">
        <v>7782000</v>
      </c>
      <c r="AI67" s="85">
        <v>13149000</v>
      </c>
      <c r="AJ67" s="85">
        <v>4812000</v>
      </c>
      <c r="AK67" s="85">
        <v>2975000</v>
      </c>
      <c r="AL67" s="49">
        <v>28718000</v>
      </c>
      <c r="AM67" s="24">
        <v>26327000</v>
      </c>
      <c r="AN67" s="24">
        <v>5103000</v>
      </c>
      <c r="AO67" s="49">
        <f t="shared" si="6"/>
        <v>31430000</v>
      </c>
      <c r="AP67" s="49">
        <v>25483000</v>
      </c>
      <c r="AQ67" s="49">
        <v>28822000</v>
      </c>
      <c r="AR67" s="164">
        <f t="shared" si="14"/>
        <v>0.13102852882313698</v>
      </c>
      <c r="AS67" s="49">
        <v>8972000</v>
      </c>
      <c r="AT67" s="49">
        <v>7195000</v>
      </c>
      <c r="AU67" s="164">
        <f t="shared" si="12"/>
        <v>-0.19806063308069555</v>
      </c>
      <c r="AV67" s="26">
        <f t="shared" si="15"/>
        <v>29776588.078326728</v>
      </c>
      <c r="AW67" s="165">
        <f t="shared" si="16"/>
        <v>4092296.5893892106</v>
      </c>
      <c r="AX67" s="49">
        <f t="shared" si="17"/>
        <v>33868884.667715937</v>
      </c>
      <c r="AY67" s="54">
        <v>25743000</v>
      </c>
      <c r="AZ67" s="24">
        <v>14050000</v>
      </c>
      <c r="BA67" s="24">
        <v>17015000</v>
      </c>
      <c r="BB67" s="49">
        <v>17951000</v>
      </c>
      <c r="BC67" s="49">
        <v>18204000</v>
      </c>
      <c r="BD67" s="166">
        <v>2.9000000000000001E-2</v>
      </c>
      <c r="BE67" s="166">
        <v>2.5000000000000001E-2</v>
      </c>
      <c r="BF67" s="49">
        <f t="shared" si="10"/>
        <v>17259475.218658894</v>
      </c>
      <c r="BG67" s="40">
        <f t="shared" si="11"/>
        <v>-3.8522911333135013E-2</v>
      </c>
      <c r="BH67" s="6">
        <f t="shared" si="19"/>
        <v>16359532.663666708</v>
      </c>
      <c r="BI67" s="24"/>
      <c r="BJ67" s="24">
        <v>2083000</v>
      </c>
      <c r="BK67" s="24">
        <v>1933000</v>
      </c>
      <c r="BL67" s="24"/>
      <c r="BM67" s="38">
        <v>232078549.51773992</v>
      </c>
      <c r="BN67" s="3">
        <v>1085423539.3083088</v>
      </c>
      <c r="BO67" s="54">
        <v>1103810755.3215442</v>
      </c>
      <c r="BP67" s="53">
        <v>759742481.87999916</v>
      </c>
      <c r="BQ67" s="86">
        <v>1519484963.7599983</v>
      </c>
      <c r="BR67" s="86">
        <f t="shared" si="5"/>
        <v>1139613722.8199987</v>
      </c>
      <c r="BS67" s="53">
        <v>17543664.743429486</v>
      </c>
      <c r="BT67" s="54">
        <v>51970</v>
      </c>
      <c r="BU67" s="54">
        <v>45170</v>
      </c>
      <c r="BV67" s="53">
        <f t="shared" si="9"/>
        <v>48570</v>
      </c>
      <c r="BW67" s="57">
        <v>2.4949913630393006E-2</v>
      </c>
      <c r="BX67" s="83">
        <f t="shared" si="18"/>
        <v>101729.61453766606</v>
      </c>
    </row>
    <row r="68" spans="1:76" ht="15.5" hidden="1" x14ac:dyDescent="0.35">
      <c r="A68" s="26" t="s">
        <v>249</v>
      </c>
      <c r="B68" t="s">
        <v>165</v>
      </c>
      <c r="C68" t="s">
        <v>177</v>
      </c>
      <c r="D68" t="s">
        <v>250</v>
      </c>
      <c r="E68" s="60" t="s">
        <v>168</v>
      </c>
      <c r="F68" s="60" t="s">
        <v>169</v>
      </c>
      <c r="G68" s="60" t="s">
        <v>169</v>
      </c>
      <c r="H68" s="60" t="s">
        <v>169</v>
      </c>
      <c r="I68" s="60" t="s">
        <v>170</v>
      </c>
      <c r="J68" s="60" t="s">
        <v>170</v>
      </c>
      <c r="K68" s="60" t="s">
        <v>170</v>
      </c>
      <c r="L68" s="60" t="s">
        <v>163</v>
      </c>
      <c r="M68" s="60" t="s">
        <v>163</v>
      </c>
      <c r="N68" s="60" t="s">
        <v>169</v>
      </c>
      <c r="O68" s="60" t="s">
        <v>171</v>
      </c>
      <c r="P68" s="60" t="s">
        <v>172</v>
      </c>
      <c r="Q68" s="60" t="s">
        <v>170</v>
      </c>
      <c r="R68" s="60" t="s">
        <v>9</v>
      </c>
      <c r="S68" s="60" t="s">
        <v>170</v>
      </c>
      <c r="T68" s="60" t="s">
        <v>170</v>
      </c>
      <c r="U68" s="60" t="s">
        <v>169</v>
      </c>
      <c r="V68" s="60" t="s">
        <v>170</v>
      </c>
      <c r="W68" s="60" t="s">
        <v>170</v>
      </c>
      <c r="X68" s="60" t="s">
        <v>169</v>
      </c>
      <c r="Y68" s="60" t="s">
        <v>170</v>
      </c>
      <c r="Z68" s="60" t="s">
        <v>170</v>
      </c>
      <c r="AA68" s="60" t="s">
        <v>169</v>
      </c>
      <c r="AB68" s="60" t="s">
        <v>169</v>
      </c>
      <c r="AC68" s="60" t="s">
        <v>173</v>
      </c>
      <c r="AD68" s="60" t="s">
        <v>173</v>
      </c>
      <c r="AE68" s="60" t="s">
        <v>174</v>
      </c>
      <c r="AF68" s="60" t="s">
        <v>173</v>
      </c>
      <c r="AG68" s="60" t="s">
        <v>175</v>
      </c>
      <c r="AH68" s="85">
        <v>2347000</v>
      </c>
      <c r="AI68" s="85">
        <v>619000</v>
      </c>
      <c r="AJ68" s="85">
        <v>128000</v>
      </c>
      <c r="AK68" s="85"/>
      <c r="AL68" s="49">
        <v>3094000</v>
      </c>
      <c r="AM68" s="24">
        <v>3893112.7434232999</v>
      </c>
      <c r="AN68" s="24">
        <v>42000</v>
      </c>
      <c r="AO68" s="49">
        <f t="shared" si="6"/>
        <v>3935112.7434232999</v>
      </c>
      <c r="AP68" s="49">
        <v>3529000</v>
      </c>
      <c r="AQ68" s="49">
        <v>4127000</v>
      </c>
      <c r="AR68" s="164">
        <f t="shared" si="14"/>
        <v>0.16945310286200055</v>
      </c>
      <c r="AS68" s="49">
        <v>42000</v>
      </c>
      <c r="AT68" s="49">
        <v>44000</v>
      </c>
      <c r="AU68" s="164">
        <f t="shared" si="12"/>
        <v>4.7619047619047672E-2</v>
      </c>
      <c r="AV68" s="26">
        <f t="shared" si="15"/>
        <v>4552812.7775879735</v>
      </c>
      <c r="AW68" s="165">
        <f t="shared" si="16"/>
        <v>44000</v>
      </c>
      <c r="AX68" s="49">
        <f t="shared" si="17"/>
        <v>4596812.7775879735</v>
      </c>
      <c r="AY68" s="54">
        <v>3043000</v>
      </c>
      <c r="AZ68" s="24">
        <v>2146000</v>
      </c>
      <c r="BA68" s="24">
        <v>3536156.9317382122</v>
      </c>
      <c r="BB68" s="49">
        <v>2736000</v>
      </c>
      <c r="BC68" s="49">
        <v>2909000</v>
      </c>
      <c r="BD68" s="166">
        <v>3.4000000000000002E-2</v>
      </c>
      <c r="BE68" s="166">
        <v>2.1000000000000001E-2</v>
      </c>
      <c r="BF68" s="49">
        <f t="shared" si="10"/>
        <v>2755481.1246227669</v>
      </c>
      <c r="BG68" s="40">
        <f t="shared" si="11"/>
        <v>7.1202940872685527E-3</v>
      </c>
      <c r="BH68" s="6">
        <f t="shared" si="19"/>
        <v>3561335.4090309218</v>
      </c>
      <c r="BI68" s="24"/>
      <c r="BJ68" s="24">
        <v>0</v>
      </c>
      <c r="BK68" s="24">
        <v>59584</v>
      </c>
      <c r="BL68" s="24"/>
      <c r="BM68" s="38">
        <v>12169167.494034663</v>
      </c>
      <c r="BN68" s="3">
        <v>341705000</v>
      </c>
      <c r="BO68" s="54">
        <v>244075000</v>
      </c>
      <c r="BP68" s="53">
        <v>61344137.999999985</v>
      </c>
      <c r="BQ68" s="86">
        <v>75463566.800000027</v>
      </c>
      <c r="BR68" s="86">
        <f t="shared" si="5"/>
        <v>68403852.400000006</v>
      </c>
      <c r="BS68" s="53">
        <v>966333.07229369169</v>
      </c>
      <c r="BT68" s="54">
        <v>6569</v>
      </c>
      <c r="BU68" s="54">
        <v>3194</v>
      </c>
      <c r="BV68" s="53">
        <f t="shared" si="9"/>
        <v>4881.5</v>
      </c>
      <c r="BW68" s="57">
        <v>7.2358865554094098E-3</v>
      </c>
      <c r="BX68" s="83">
        <f t="shared" si="18"/>
        <v>6060.2287304020883</v>
      </c>
    </row>
    <row r="69" spans="1:76" ht="15.5" hidden="1" x14ac:dyDescent="0.35">
      <c r="A69" s="26" t="s">
        <v>251</v>
      </c>
      <c r="B69" t="s">
        <v>162</v>
      </c>
      <c r="C69" t="s">
        <v>166</v>
      </c>
      <c r="D69" t="s">
        <v>201</v>
      </c>
      <c r="E69" s="60" t="s">
        <v>163</v>
      </c>
      <c r="F69" s="60" t="s">
        <v>163</v>
      </c>
      <c r="G69" s="60" t="s">
        <v>163</v>
      </c>
      <c r="H69" s="60" t="s">
        <v>163</v>
      </c>
      <c r="I69" s="60" t="s">
        <v>163</v>
      </c>
      <c r="J69" s="60" t="s">
        <v>163</v>
      </c>
      <c r="K69" s="60" t="s">
        <v>163</v>
      </c>
      <c r="L69" s="60" t="s">
        <v>9</v>
      </c>
      <c r="M69" s="60" t="s">
        <v>9</v>
      </c>
      <c r="N69" s="60" t="s">
        <v>163</v>
      </c>
      <c r="O69" s="60" t="s">
        <v>163</v>
      </c>
      <c r="P69" s="60" t="s">
        <v>170</v>
      </c>
      <c r="Q69" s="60" t="s">
        <v>163</v>
      </c>
      <c r="R69" s="60" t="s">
        <v>163</v>
      </c>
      <c r="S69" s="60" t="s">
        <v>9</v>
      </c>
      <c r="T69" s="60" t="s">
        <v>9</v>
      </c>
      <c r="U69" s="60" t="s">
        <v>9</v>
      </c>
      <c r="V69" s="60" t="s">
        <v>163</v>
      </c>
      <c r="W69" s="60" t="s">
        <v>163</v>
      </c>
      <c r="X69" s="60" t="s">
        <v>163</v>
      </c>
      <c r="Y69" s="60" t="s">
        <v>163</v>
      </c>
      <c r="Z69" s="60" t="s">
        <v>163</v>
      </c>
      <c r="AA69" s="60" t="s">
        <v>163</v>
      </c>
      <c r="AB69" s="60" t="s">
        <v>163</v>
      </c>
      <c r="AC69" s="60" t="s">
        <v>170</v>
      </c>
      <c r="AD69" s="60" t="s">
        <v>170</v>
      </c>
      <c r="AE69" s="60" t="s">
        <v>170</v>
      </c>
      <c r="AF69" s="60" t="s">
        <v>170</v>
      </c>
      <c r="AG69" s="60" t="s">
        <v>163</v>
      </c>
      <c r="AH69" s="85">
        <v>11612000</v>
      </c>
      <c r="AI69" s="85">
        <v>8476000</v>
      </c>
      <c r="AJ69" s="85">
        <v>3705000</v>
      </c>
      <c r="AK69" s="85">
        <v>3845000</v>
      </c>
      <c r="AL69" s="49">
        <v>27638000</v>
      </c>
      <c r="AM69" s="24">
        <v>29294000</v>
      </c>
      <c r="AN69" s="24">
        <v>2581000</v>
      </c>
      <c r="AO69" s="49">
        <f t="shared" si="6"/>
        <v>31875000</v>
      </c>
      <c r="AP69" s="49">
        <v>29014000</v>
      </c>
      <c r="AQ69" s="49">
        <v>33773000</v>
      </c>
      <c r="AR69" s="164">
        <f t="shared" si="14"/>
        <v>0.16402426414834226</v>
      </c>
      <c r="AS69" s="49">
        <v>14575000</v>
      </c>
      <c r="AT69" s="49">
        <v>19615000</v>
      </c>
      <c r="AU69" s="164">
        <f t="shared" si="12"/>
        <v>0.34579759862778725</v>
      </c>
      <c r="AV69" s="26">
        <f t="shared" si="15"/>
        <v>34098926.79396154</v>
      </c>
      <c r="AW69" s="165">
        <f t="shared" si="16"/>
        <v>3473503.6020583189</v>
      </c>
      <c r="AX69" s="49">
        <f t="shared" si="17"/>
        <v>37572430.396019861</v>
      </c>
      <c r="AY69" s="54">
        <v>23796000</v>
      </c>
      <c r="AZ69" s="24">
        <v>16883000</v>
      </c>
      <c r="BA69" s="24">
        <v>16968000</v>
      </c>
      <c r="BB69" s="49">
        <v>16619000</v>
      </c>
      <c r="BC69" s="49">
        <v>19183000</v>
      </c>
      <c r="BD69" s="166">
        <v>3.5999999999999997E-2</v>
      </c>
      <c r="BE69" s="166">
        <v>2.7E-2</v>
      </c>
      <c r="BF69" s="49">
        <f t="shared" si="10"/>
        <v>18029609.801761702</v>
      </c>
      <c r="BG69" s="40">
        <f t="shared" si="11"/>
        <v>8.4879343026758702E-2</v>
      </c>
      <c r="BH69" s="6">
        <f t="shared" si="19"/>
        <v>18408232.692478042</v>
      </c>
      <c r="BI69" s="24"/>
      <c r="BJ69" s="24">
        <v>240000</v>
      </c>
      <c r="BK69" s="24">
        <v>594000</v>
      </c>
      <c r="BL69" s="24"/>
      <c r="BM69" s="38">
        <v>1058108382.8982325</v>
      </c>
      <c r="BN69" s="3">
        <v>1402694877.9915466</v>
      </c>
      <c r="BO69" s="54">
        <v>1440846758.7732375</v>
      </c>
      <c r="BP69" s="53">
        <v>639226000</v>
      </c>
      <c r="BQ69" s="86">
        <v>958843000.00000012</v>
      </c>
      <c r="BR69" s="86">
        <f t="shared" si="5"/>
        <v>799034500</v>
      </c>
      <c r="BS69" s="53">
        <v>11713862.473841939</v>
      </c>
      <c r="BT69" s="54">
        <v>41508</v>
      </c>
      <c r="BU69" s="54">
        <v>39485</v>
      </c>
      <c r="BV69" s="53">
        <f t="shared" si="9"/>
        <v>40496.5</v>
      </c>
      <c r="BW69" s="57">
        <v>3.9616843919784372E-2</v>
      </c>
      <c r="BX69" s="83">
        <f t="shared" si="18"/>
        <v>129902.26103542253</v>
      </c>
    </row>
    <row r="70" spans="1:76" ht="15.5" hidden="1" x14ac:dyDescent="0.35">
      <c r="A70" s="26" t="s">
        <v>252</v>
      </c>
      <c r="B70" t="s">
        <v>162</v>
      </c>
      <c r="C70" t="s">
        <v>177</v>
      </c>
      <c r="D70" t="s">
        <v>185</v>
      </c>
      <c r="E70" s="60" t="s">
        <v>170</v>
      </c>
      <c r="F70" s="60" t="s">
        <v>170</v>
      </c>
      <c r="G70" s="60" t="s">
        <v>170</v>
      </c>
      <c r="H70" s="60" t="s">
        <v>170</v>
      </c>
      <c r="I70" s="60" t="s">
        <v>163</v>
      </c>
      <c r="J70" s="60" t="s">
        <v>163</v>
      </c>
      <c r="K70" s="60" t="s">
        <v>163</v>
      </c>
      <c r="L70" s="60" t="s">
        <v>163</v>
      </c>
      <c r="M70" s="60" t="s">
        <v>9</v>
      </c>
      <c r="N70" s="60" t="s">
        <v>170</v>
      </c>
      <c r="O70" s="60" t="s">
        <v>169</v>
      </c>
      <c r="P70" s="60" t="s">
        <v>168</v>
      </c>
      <c r="Q70" s="60" t="s">
        <v>170</v>
      </c>
      <c r="R70" s="60" t="s">
        <v>163</v>
      </c>
      <c r="S70" s="60" t="s">
        <v>163</v>
      </c>
      <c r="T70" s="60" t="s">
        <v>163</v>
      </c>
      <c r="U70" s="60" t="s">
        <v>163</v>
      </c>
      <c r="V70" s="60" t="s">
        <v>163</v>
      </c>
      <c r="W70" s="60" t="s">
        <v>163</v>
      </c>
      <c r="X70" s="60" t="s">
        <v>163</v>
      </c>
      <c r="Y70" s="60" t="s">
        <v>163</v>
      </c>
      <c r="Z70" s="60" t="s">
        <v>163</v>
      </c>
      <c r="AA70" s="60" t="s">
        <v>163</v>
      </c>
      <c r="AB70" s="60" t="s">
        <v>170</v>
      </c>
      <c r="AC70" s="60" t="s">
        <v>168</v>
      </c>
      <c r="AD70" s="60" t="s">
        <v>168</v>
      </c>
      <c r="AE70" s="60" t="s">
        <v>182</v>
      </c>
      <c r="AF70" s="60" t="s">
        <v>168</v>
      </c>
      <c r="AG70" s="60" t="s">
        <v>182</v>
      </c>
      <c r="AH70" s="85">
        <v>1597000</v>
      </c>
      <c r="AI70" s="85">
        <v>1189000</v>
      </c>
      <c r="AJ70" s="85">
        <v>417000</v>
      </c>
      <c r="AK70" s="85">
        <v>0</v>
      </c>
      <c r="AL70" s="49">
        <v>3203000</v>
      </c>
      <c r="AM70" s="24">
        <v>4425000</v>
      </c>
      <c r="AN70" s="24">
        <v>0</v>
      </c>
      <c r="AO70" s="49">
        <f t="shared" si="6"/>
        <v>4425000</v>
      </c>
      <c r="AP70" s="49">
        <v>4363000</v>
      </c>
      <c r="AQ70" s="49">
        <v>4697000</v>
      </c>
      <c r="AR70" s="164">
        <f t="shared" si="14"/>
        <v>7.6552830621132273E-2</v>
      </c>
      <c r="AS70" s="49">
        <v>0</v>
      </c>
      <c r="AT70" s="49">
        <v>0</v>
      </c>
      <c r="AU70" s="164">
        <f t="shared" si="12"/>
        <v>0</v>
      </c>
      <c r="AV70" s="26">
        <f t="shared" si="15"/>
        <v>4763746.2754985103</v>
      </c>
      <c r="AW70" s="165">
        <f t="shared" si="16"/>
        <v>0</v>
      </c>
      <c r="AX70" s="49">
        <f t="shared" si="17"/>
        <v>4763746.2754985103</v>
      </c>
      <c r="AY70" s="54">
        <v>3201000</v>
      </c>
      <c r="AZ70" s="24">
        <v>4828000</v>
      </c>
      <c r="BA70" s="24">
        <v>4437000</v>
      </c>
      <c r="BB70" s="49">
        <v>3334000</v>
      </c>
      <c r="BC70" s="49">
        <v>3607000</v>
      </c>
      <c r="BD70" s="166">
        <v>2.9000000000000001E-2</v>
      </c>
      <c r="BE70" s="166">
        <v>2.5000000000000001E-2</v>
      </c>
      <c r="BF70" s="49">
        <f t="shared" si="10"/>
        <v>3419848.7757472331</v>
      </c>
      <c r="BG70" s="40">
        <f t="shared" si="11"/>
        <v>2.5749482827604364E-2</v>
      </c>
      <c r="BH70" s="6">
        <f t="shared" si="19"/>
        <v>4551250.4553060802</v>
      </c>
      <c r="BI70" s="24"/>
      <c r="BJ70" s="24">
        <v>0</v>
      </c>
      <c r="BK70" s="24">
        <v>0</v>
      </c>
      <c r="BL70" s="24"/>
      <c r="BM70" s="38">
        <v>136089291</v>
      </c>
      <c r="BN70" s="3">
        <v>383915000</v>
      </c>
      <c r="BO70" s="54">
        <v>274225000</v>
      </c>
      <c r="BP70" s="53">
        <v>93100000</v>
      </c>
      <c r="BQ70" s="86">
        <v>111710000.00000003</v>
      </c>
      <c r="BR70" s="86">
        <f t="shared" si="5"/>
        <v>102405000.00000001</v>
      </c>
      <c r="BS70" s="53">
        <v>1439702.0805984738</v>
      </c>
      <c r="BT70" s="54">
        <v>4830</v>
      </c>
      <c r="BU70" s="54">
        <v>6139</v>
      </c>
      <c r="BV70" s="53">
        <f t="shared" si="9"/>
        <v>5484.5</v>
      </c>
      <c r="BW70" s="57">
        <v>9.1933529717347362E-4</v>
      </c>
      <c r="BX70" s="83">
        <f t="shared" si="18"/>
        <v>5637.7966308390714</v>
      </c>
    </row>
    <row r="71" spans="1:76" ht="15.5" hidden="1" x14ac:dyDescent="0.35">
      <c r="A71" s="26" t="s">
        <v>253</v>
      </c>
      <c r="B71" t="s">
        <v>165</v>
      </c>
      <c r="C71" t="s">
        <v>166</v>
      </c>
      <c r="D71" t="s">
        <v>167</v>
      </c>
      <c r="E71" s="60" t="s">
        <v>168</v>
      </c>
      <c r="F71" s="60" t="s">
        <v>169</v>
      </c>
      <c r="G71" s="60" t="s">
        <v>169</v>
      </c>
      <c r="H71" s="60" t="s">
        <v>169</v>
      </c>
      <c r="I71" s="60" t="s">
        <v>170</v>
      </c>
      <c r="J71" s="60" t="s">
        <v>170</v>
      </c>
      <c r="K71" s="60" t="s">
        <v>170</v>
      </c>
      <c r="L71" s="60" t="s">
        <v>163</v>
      </c>
      <c r="M71" s="60" t="s">
        <v>163</v>
      </c>
      <c r="N71" s="60" t="s">
        <v>169</v>
      </c>
      <c r="O71" s="60" t="s">
        <v>171</v>
      </c>
      <c r="P71" s="60" t="s">
        <v>172</v>
      </c>
      <c r="Q71" s="60" t="s">
        <v>170</v>
      </c>
      <c r="R71" s="60" t="s">
        <v>9</v>
      </c>
      <c r="S71" s="60" t="s">
        <v>170</v>
      </c>
      <c r="T71" s="60" t="s">
        <v>170</v>
      </c>
      <c r="U71" s="60" t="s">
        <v>169</v>
      </c>
      <c r="V71" s="60" t="s">
        <v>170</v>
      </c>
      <c r="W71" s="60" t="s">
        <v>170</v>
      </c>
      <c r="X71" s="60" t="s">
        <v>169</v>
      </c>
      <c r="Y71" s="60" t="s">
        <v>170</v>
      </c>
      <c r="Z71" s="60" t="s">
        <v>170</v>
      </c>
      <c r="AA71" s="60" t="s">
        <v>169</v>
      </c>
      <c r="AB71" s="60" t="s">
        <v>169</v>
      </c>
      <c r="AC71" s="60" t="s">
        <v>173</v>
      </c>
      <c r="AD71" s="60" t="s">
        <v>173</v>
      </c>
      <c r="AE71" s="60" t="s">
        <v>174</v>
      </c>
      <c r="AF71" s="60" t="s">
        <v>173</v>
      </c>
      <c r="AG71" s="60" t="s">
        <v>175</v>
      </c>
      <c r="AH71" s="85">
        <v>6493000</v>
      </c>
      <c r="AI71" s="85">
        <v>2987000</v>
      </c>
      <c r="AJ71" s="85">
        <v>491000</v>
      </c>
      <c r="AK71" s="49">
        <v>505000</v>
      </c>
      <c r="AL71" s="49">
        <v>10476000</v>
      </c>
      <c r="AM71" s="24">
        <v>11934225.490196079</v>
      </c>
      <c r="AN71" s="24">
        <v>554000</v>
      </c>
      <c r="AO71" s="49">
        <f t="shared" si="6"/>
        <v>12488225.490196079</v>
      </c>
      <c r="AP71" s="49">
        <v>12291000</v>
      </c>
      <c r="AQ71" s="49">
        <v>14042000</v>
      </c>
      <c r="AR71" s="164">
        <f t="shared" si="14"/>
        <v>0.14246196403872746</v>
      </c>
      <c r="AS71" s="49">
        <v>554000</v>
      </c>
      <c r="AT71" s="49">
        <v>554000</v>
      </c>
      <c r="AU71" s="164">
        <f t="shared" si="12"/>
        <v>0</v>
      </c>
      <c r="AV71" s="26">
        <f t="shared" si="15"/>
        <v>13634398.692810457</v>
      </c>
      <c r="AW71" s="165">
        <f t="shared" si="16"/>
        <v>554000</v>
      </c>
      <c r="AX71" s="49">
        <f t="shared" si="17"/>
        <v>14188398.692810457</v>
      </c>
      <c r="AY71" s="54">
        <v>9017000</v>
      </c>
      <c r="AZ71" s="24">
        <v>7754000</v>
      </c>
      <c r="BA71" s="24">
        <v>11387551.958714521</v>
      </c>
      <c r="BB71" s="49">
        <v>8380000</v>
      </c>
      <c r="BC71" s="49">
        <v>9122000</v>
      </c>
      <c r="BD71" s="166">
        <v>3.4000000000000002E-2</v>
      </c>
      <c r="BE71" s="166">
        <v>2.1000000000000001E-2</v>
      </c>
      <c r="BF71" s="49">
        <f t="shared" si="10"/>
        <v>8640597.7376448549</v>
      </c>
      <c r="BG71" s="40">
        <f t="shared" si="11"/>
        <v>3.1097582057858508E-2</v>
      </c>
      <c r="BH71" s="6">
        <f t="shared" si="19"/>
        <v>11741677.290188773</v>
      </c>
      <c r="BI71" s="24"/>
      <c r="BJ71" s="24">
        <v>0</v>
      </c>
      <c r="BK71" s="24">
        <v>0</v>
      </c>
      <c r="BL71" s="24"/>
      <c r="BM71" s="38">
        <v>674039999.99759996</v>
      </c>
      <c r="BN71" s="3">
        <v>1303645000</v>
      </c>
      <c r="BO71" s="54">
        <v>931175000</v>
      </c>
      <c r="BP71" s="53">
        <v>244066904.23189995</v>
      </c>
      <c r="BQ71" s="86">
        <v>660636499.69570005</v>
      </c>
      <c r="BR71" s="86">
        <f t="shared" si="5"/>
        <v>452351701.96380001</v>
      </c>
      <c r="BS71" s="53">
        <v>7280390.0389091931</v>
      </c>
      <c r="BT71" s="54">
        <v>22147</v>
      </c>
      <c r="BU71" s="54">
        <v>15100</v>
      </c>
      <c r="BV71" s="53">
        <f t="shared" si="9"/>
        <v>18623.5</v>
      </c>
      <c r="BW71" s="57">
        <v>3.0000000000000001E-3</v>
      </c>
      <c r="BX71" s="83">
        <f t="shared" si="18"/>
        <v>20374.609504165779</v>
      </c>
    </row>
    <row r="72" spans="1:76" ht="15.5" hidden="1" x14ac:dyDescent="0.35">
      <c r="A72" s="26" t="s">
        <v>254</v>
      </c>
      <c r="B72" t="s">
        <v>162</v>
      </c>
      <c r="C72" t="s">
        <v>177</v>
      </c>
      <c r="D72" t="s">
        <v>201</v>
      </c>
      <c r="E72" s="60" t="s">
        <v>163</v>
      </c>
      <c r="F72" s="60" t="s">
        <v>163</v>
      </c>
      <c r="G72" s="60" t="s">
        <v>163</v>
      </c>
      <c r="H72" s="60" t="s">
        <v>163</v>
      </c>
      <c r="I72" s="60" t="s">
        <v>163</v>
      </c>
      <c r="J72" s="60" t="s">
        <v>163</v>
      </c>
      <c r="K72" s="60" t="s">
        <v>163</v>
      </c>
      <c r="L72" s="60" t="s">
        <v>9</v>
      </c>
      <c r="M72" s="60" t="s">
        <v>9</v>
      </c>
      <c r="N72" s="60" t="s">
        <v>163</v>
      </c>
      <c r="O72" s="60" t="s">
        <v>163</v>
      </c>
      <c r="P72" s="60" t="s">
        <v>170</v>
      </c>
      <c r="Q72" s="60" t="s">
        <v>163</v>
      </c>
      <c r="R72" s="60" t="s">
        <v>163</v>
      </c>
      <c r="S72" s="60" t="s">
        <v>9</v>
      </c>
      <c r="T72" s="60" t="s">
        <v>9</v>
      </c>
      <c r="U72" s="60" t="s">
        <v>9</v>
      </c>
      <c r="V72" s="60" t="s">
        <v>163</v>
      </c>
      <c r="W72" s="60" t="s">
        <v>163</v>
      </c>
      <c r="X72" s="60" t="s">
        <v>163</v>
      </c>
      <c r="Y72" s="60" t="s">
        <v>163</v>
      </c>
      <c r="Z72" s="60" t="s">
        <v>163</v>
      </c>
      <c r="AA72" s="60" t="s">
        <v>163</v>
      </c>
      <c r="AB72" s="60" t="s">
        <v>163</v>
      </c>
      <c r="AC72" s="60" t="s">
        <v>170</v>
      </c>
      <c r="AD72" s="60" t="s">
        <v>170</v>
      </c>
      <c r="AE72" s="60" t="s">
        <v>170</v>
      </c>
      <c r="AF72" s="60" t="s">
        <v>170</v>
      </c>
      <c r="AG72" s="60" t="s">
        <v>163</v>
      </c>
      <c r="AH72" s="85">
        <v>2722000</v>
      </c>
      <c r="AI72" s="85">
        <v>3476000</v>
      </c>
      <c r="AJ72" s="85">
        <v>478000</v>
      </c>
      <c r="AK72" s="85">
        <v>0</v>
      </c>
      <c r="AL72" s="49">
        <v>6676000</v>
      </c>
      <c r="AM72" s="24">
        <v>6160000</v>
      </c>
      <c r="AN72" s="24">
        <v>0</v>
      </c>
      <c r="AO72" s="49">
        <f t="shared" si="6"/>
        <v>6160000</v>
      </c>
      <c r="AP72" s="49">
        <v>6164000</v>
      </c>
      <c r="AQ72" s="49">
        <v>6834000</v>
      </c>
      <c r="AR72" s="164">
        <f t="shared" si="14"/>
        <v>0.10869565217391308</v>
      </c>
      <c r="AS72" s="49">
        <v>0</v>
      </c>
      <c r="AT72" s="49">
        <v>0</v>
      </c>
      <c r="AU72" s="164">
        <f t="shared" si="12"/>
        <v>0</v>
      </c>
      <c r="AV72" s="26">
        <f t="shared" si="15"/>
        <v>6829565.2173913047</v>
      </c>
      <c r="AW72" s="165">
        <f t="shared" si="16"/>
        <v>0</v>
      </c>
      <c r="AX72" s="49">
        <f t="shared" si="17"/>
        <v>6829565.2173913047</v>
      </c>
      <c r="AY72" s="54">
        <v>6676000</v>
      </c>
      <c r="AZ72" s="24">
        <v>3752000</v>
      </c>
      <c r="BA72" s="24">
        <v>4864000</v>
      </c>
      <c r="BB72" s="49">
        <v>5009000</v>
      </c>
      <c r="BC72" s="49">
        <v>4968000</v>
      </c>
      <c r="BD72" s="166">
        <v>3.5000000000000003E-2</v>
      </c>
      <c r="BE72" s="166">
        <v>2.5999999999999999E-2</v>
      </c>
      <c r="BF72" s="49">
        <f t="shared" si="10"/>
        <v>4678362.5730994157</v>
      </c>
      <c r="BG72" s="40">
        <f t="shared" si="11"/>
        <v>-6.6008669774522688E-2</v>
      </c>
      <c r="BH72" s="6">
        <f t="shared" si="19"/>
        <v>4542933.8302167216</v>
      </c>
      <c r="BI72" s="24"/>
      <c r="BJ72" s="24">
        <v>0</v>
      </c>
      <c r="BK72" s="24">
        <v>0</v>
      </c>
      <c r="BL72" s="24"/>
      <c r="BM72" s="38">
        <v>9822000</v>
      </c>
      <c r="BN72" s="3">
        <v>383250000</v>
      </c>
      <c r="BO72" s="54">
        <v>273750000</v>
      </c>
      <c r="BP72" s="53">
        <v>87335000.000000015</v>
      </c>
      <c r="BQ72" s="86">
        <v>113537500.00000003</v>
      </c>
      <c r="BR72" s="86">
        <f t="shared" si="5"/>
        <v>100436250.00000003</v>
      </c>
      <c r="BS72" s="53">
        <v>1433918.264790453</v>
      </c>
      <c r="BT72" s="54">
        <v>5600</v>
      </c>
      <c r="BU72" s="54">
        <v>5350</v>
      </c>
      <c r="BV72" s="53">
        <f t="shared" si="9"/>
        <v>5475</v>
      </c>
      <c r="BW72" s="57">
        <v>0</v>
      </c>
      <c r="BX72" s="83">
        <f t="shared" si="18"/>
        <v>5475</v>
      </c>
    </row>
    <row r="73" spans="1:76" ht="15.5" hidden="1" x14ac:dyDescent="0.35">
      <c r="A73" s="26" t="s">
        <v>255</v>
      </c>
      <c r="B73" t="s">
        <v>162</v>
      </c>
      <c r="C73" t="s">
        <v>160</v>
      </c>
      <c r="D73" t="s">
        <v>181</v>
      </c>
      <c r="E73" s="60" t="s">
        <v>169</v>
      </c>
      <c r="F73" s="60" t="s">
        <v>170</v>
      </c>
      <c r="G73" s="60" t="s">
        <v>170</v>
      </c>
      <c r="H73" s="60" t="s">
        <v>170</v>
      </c>
      <c r="I73" s="60" t="s">
        <v>163</v>
      </c>
      <c r="J73" s="60" t="s">
        <v>163</v>
      </c>
      <c r="K73" s="60" t="s">
        <v>170</v>
      </c>
      <c r="L73" s="60" t="s">
        <v>163</v>
      </c>
      <c r="M73" s="60" t="s">
        <v>9</v>
      </c>
      <c r="N73" s="60" t="s">
        <v>170</v>
      </c>
      <c r="O73" s="60" t="s">
        <v>182</v>
      </c>
      <c r="P73" s="60" t="s">
        <v>183</v>
      </c>
      <c r="Q73" s="60" t="s">
        <v>170</v>
      </c>
      <c r="R73" s="60" t="s">
        <v>163</v>
      </c>
      <c r="S73" s="60" t="s">
        <v>163</v>
      </c>
      <c r="T73" s="60" t="s">
        <v>163</v>
      </c>
      <c r="U73" s="60" t="s">
        <v>163</v>
      </c>
      <c r="V73" s="60" t="s">
        <v>163</v>
      </c>
      <c r="W73" s="60" t="s">
        <v>163</v>
      </c>
      <c r="X73" s="60" t="s">
        <v>163</v>
      </c>
      <c r="Y73" s="60" t="s">
        <v>163</v>
      </c>
      <c r="Z73" s="60" t="s">
        <v>163</v>
      </c>
      <c r="AA73" s="60" t="s">
        <v>163</v>
      </c>
      <c r="AB73" s="60" t="s">
        <v>170</v>
      </c>
      <c r="AC73" s="60" t="s">
        <v>183</v>
      </c>
      <c r="AD73" s="60" t="s">
        <v>183</v>
      </c>
      <c r="AE73" s="60" t="s">
        <v>175</v>
      </c>
      <c r="AF73" s="60" t="s">
        <v>183</v>
      </c>
      <c r="AG73" s="60" t="s">
        <v>171</v>
      </c>
      <c r="AH73" s="85">
        <v>47097000</v>
      </c>
      <c r="AI73" s="85">
        <v>45527000</v>
      </c>
      <c r="AJ73" s="85">
        <v>19542000</v>
      </c>
      <c r="AK73" s="85"/>
      <c r="AL73" s="49">
        <v>112166000</v>
      </c>
      <c r="AM73" s="24">
        <v>135336000</v>
      </c>
      <c r="AN73" s="24">
        <v>1781000</v>
      </c>
      <c r="AO73" s="49">
        <f t="shared" si="6"/>
        <v>137117000</v>
      </c>
      <c r="AP73" s="49">
        <v>135433000</v>
      </c>
      <c r="AQ73" s="49">
        <v>156223000</v>
      </c>
      <c r="AR73" s="164">
        <f t="shared" si="14"/>
        <v>0.15350763846329918</v>
      </c>
      <c r="AS73" s="49">
        <v>2238000</v>
      </c>
      <c r="AT73" s="49">
        <v>2238000</v>
      </c>
      <c r="AU73" s="164">
        <f t="shared" si="12"/>
        <v>0</v>
      </c>
      <c r="AV73" s="26">
        <f t="shared" si="15"/>
        <v>156111109.75906906</v>
      </c>
      <c r="AW73" s="165">
        <f t="shared" si="16"/>
        <v>1781000</v>
      </c>
      <c r="AX73" s="49">
        <f t="shared" si="17"/>
        <v>157892109.75906906</v>
      </c>
      <c r="AY73" s="54">
        <v>112045000</v>
      </c>
      <c r="AZ73" s="24">
        <v>66390921.568859689</v>
      </c>
      <c r="BA73" s="24">
        <v>83601990</v>
      </c>
      <c r="BB73" s="49">
        <v>66590051.060251586</v>
      </c>
      <c r="BC73" s="49">
        <v>70259988.381034672</v>
      </c>
      <c r="BD73" s="166">
        <v>3.5000000000000003E-2</v>
      </c>
      <c r="BE73" s="166">
        <v>2.5999999999999999E-2</v>
      </c>
      <c r="BF73" s="49">
        <f t="shared" si="10"/>
        <v>66163788.250449359</v>
      </c>
      <c r="BG73" s="40">
        <f t="shared" si="11"/>
        <v>-6.4012987378030406E-3</v>
      </c>
      <c r="BH73" s="6">
        <f>BA73*(1+BG73)</f>
        <v>83066828.686935171</v>
      </c>
      <c r="BI73" s="24"/>
      <c r="BJ73" s="24">
        <v>8825000</v>
      </c>
      <c r="BK73" s="24">
        <v>11336770</v>
      </c>
      <c r="BL73" s="24"/>
      <c r="BM73" s="38">
        <v>3740301458.6714396</v>
      </c>
      <c r="BN73" s="3">
        <v>3319641493.1704788</v>
      </c>
      <c r="BO73" s="54">
        <v>3839632249.3984222</v>
      </c>
      <c r="BP73" s="53">
        <v>4456605423.1660004</v>
      </c>
      <c r="BQ73" s="86">
        <v>8423693464.5050001</v>
      </c>
      <c r="BR73" s="86">
        <f t="shared" si="5"/>
        <v>6440149443.8355007</v>
      </c>
      <c r="BS73" s="53">
        <v>98243473.023797065</v>
      </c>
      <c r="BT73" s="54">
        <v>222600</v>
      </c>
      <c r="BU73" s="54">
        <v>222600</v>
      </c>
      <c r="BV73" s="53">
        <f t="shared" si="9"/>
        <v>222600</v>
      </c>
      <c r="BW73" s="57">
        <v>1.5246008397444832E-2</v>
      </c>
      <c r="BX73" s="83">
        <f t="shared" si="18"/>
        <v>350480.51635659009</v>
      </c>
    </row>
    <row r="74" spans="1:76" ht="15.5" hidden="1" x14ac:dyDescent="0.35">
      <c r="A74" s="26" t="s">
        <v>256</v>
      </c>
      <c r="B74" t="s">
        <v>162</v>
      </c>
      <c r="C74" t="s">
        <v>166</v>
      </c>
      <c r="D74" t="s">
        <v>212</v>
      </c>
      <c r="E74" s="60" t="s">
        <v>163</v>
      </c>
      <c r="F74" s="60" t="s">
        <v>170</v>
      </c>
      <c r="G74" s="60" t="s">
        <v>163</v>
      </c>
      <c r="H74" s="60" t="s">
        <v>163</v>
      </c>
      <c r="I74" s="60" t="s">
        <v>163</v>
      </c>
      <c r="J74" s="60" t="s">
        <v>163</v>
      </c>
      <c r="K74" s="60" t="s">
        <v>163</v>
      </c>
      <c r="L74" s="60" t="s">
        <v>163</v>
      </c>
      <c r="M74" s="60" t="s">
        <v>9</v>
      </c>
      <c r="N74" s="60" t="s">
        <v>163</v>
      </c>
      <c r="O74" s="60" t="s">
        <v>170</v>
      </c>
      <c r="P74" s="60" t="s">
        <v>169</v>
      </c>
      <c r="Q74" s="60" t="s">
        <v>163</v>
      </c>
      <c r="R74" s="60" t="s">
        <v>163</v>
      </c>
      <c r="S74" s="60" t="s">
        <v>163</v>
      </c>
      <c r="T74" s="60" t="s">
        <v>163</v>
      </c>
      <c r="U74" s="60" t="s">
        <v>163</v>
      </c>
      <c r="V74" s="60" t="s">
        <v>163</v>
      </c>
      <c r="W74" s="60" t="s">
        <v>163</v>
      </c>
      <c r="X74" s="60" t="s">
        <v>163</v>
      </c>
      <c r="Y74" s="60" t="s">
        <v>163</v>
      </c>
      <c r="Z74" s="60" t="s">
        <v>163</v>
      </c>
      <c r="AA74" s="60" t="s">
        <v>163</v>
      </c>
      <c r="AB74" s="60" t="s">
        <v>163</v>
      </c>
      <c r="AC74" s="60" t="s">
        <v>169</v>
      </c>
      <c r="AD74" s="60" t="s">
        <v>169</v>
      </c>
      <c r="AE74" s="60" t="s">
        <v>169</v>
      </c>
      <c r="AF74" s="60" t="s">
        <v>169</v>
      </c>
      <c r="AG74" s="60" t="s">
        <v>170</v>
      </c>
      <c r="AH74" s="85">
        <v>12609000</v>
      </c>
      <c r="AI74" s="85">
        <v>14456000</v>
      </c>
      <c r="AJ74" s="85">
        <v>5318000</v>
      </c>
      <c r="AK74" s="85">
        <v>3997000</v>
      </c>
      <c r="AL74" s="49">
        <v>36380000</v>
      </c>
      <c r="AM74" s="24">
        <v>28931000</v>
      </c>
      <c r="AN74" s="24">
        <v>4010000</v>
      </c>
      <c r="AO74" s="49">
        <f t="shared" si="6"/>
        <v>32941000</v>
      </c>
      <c r="AP74" s="49">
        <v>28752000</v>
      </c>
      <c r="AQ74" s="49">
        <v>30433000</v>
      </c>
      <c r="AR74" s="164">
        <f t="shared" ref="AR74:AR78" si="20">AQ74/AP74-1</f>
        <v>5.8465498052309384E-2</v>
      </c>
      <c r="AS74" s="49">
        <v>5556000</v>
      </c>
      <c r="AT74" s="49">
        <v>5325000</v>
      </c>
      <c r="AU74" s="164">
        <f t="shared" si="12"/>
        <v>-4.1576673866090763E-2</v>
      </c>
      <c r="AV74" s="26">
        <f t="shared" si="15"/>
        <v>30622465.324151363</v>
      </c>
      <c r="AW74" s="165">
        <f t="shared" si="16"/>
        <v>3843277.537796976</v>
      </c>
      <c r="AX74" s="49">
        <f t="shared" ref="AX74:AX78" si="21">SUM(AV74:AW74)</f>
        <v>34465742.861948341</v>
      </c>
      <c r="AY74" s="54">
        <v>29105000</v>
      </c>
      <c r="AZ74" s="24">
        <v>18680000</v>
      </c>
      <c r="BA74" s="24">
        <v>21050000</v>
      </c>
      <c r="BB74" s="49">
        <v>18548000</v>
      </c>
      <c r="BC74" s="49">
        <v>20486000</v>
      </c>
      <c r="BD74" s="166">
        <v>3.3366045142296352E-2</v>
      </c>
      <c r="BE74" s="166">
        <v>3.4188034188034289E-2</v>
      </c>
      <c r="BF74" s="49">
        <f t="shared" si="10"/>
        <v>19169177.226813588</v>
      </c>
      <c r="BG74" s="40">
        <f t="shared" si="11"/>
        <v>3.3490253763941658E-2</v>
      </c>
      <c r="BH74" s="6">
        <f t="shared" si="19"/>
        <v>21754969.841730971</v>
      </c>
      <c r="BI74" s="24"/>
      <c r="BJ74" s="24">
        <v>5785000</v>
      </c>
      <c r="BK74" s="24">
        <v>3472000</v>
      </c>
      <c r="BL74" s="24"/>
      <c r="BM74" s="38">
        <v>415272280</v>
      </c>
      <c r="BN74" s="3">
        <v>931688754.12430477</v>
      </c>
      <c r="BO74" s="54">
        <v>925310310.95341301</v>
      </c>
      <c r="BP74" s="53">
        <v>597660000.00000012</v>
      </c>
      <c r="BQ74" s="86">
        <v>657410000</v>
      </c>
      <c r="BR74" s="86">
        <f t="shared" ref="BR74:BR78" si="22">AVERAGE(BP74:BQ74)</f>
        <v>627535000</v>
      </c>
      <c r="BS74" s="53">
        <v>8672938.3151437938</v>
      </c>
      <c r="BT74" s="54">
        <v>36850</v>
      </c>
      <c r="BU74" s="54">
        <v>27133</v>
      </c>
      <c r="BV74" s="53">
        <f t="shared" si="9"/>
        <v>31991.5</v>
      </c>
      <c r="BW74" s="57">
        <v>2.1572324983513358E-2</v>
      </c>
      <c r="BX74" s="83">
        <f t="shared" ref="BX74:BX78" si="23">BV74*(1+BW74)^$BX$1</f>
        <v>60688.747825859668</v>
      </c>
    </row>
    <row r="75" spans="1:76" ht="15.5" hidden="1" x14ac:dyDescent="0.35">
      <c r="A75" s="26" t="s">
        <v>257</v>
      </c>
      <c r="B75" t="s">
        <v>165</v>
      </c>
      <c r="C75" s="63" t="s">
        <v>177</v>
      </c>
      <c r="D75" t="s">
        <v>178</v>
      </c>
      <c r="E75" s="60" t="s">
        <v>168</v>
      </c>
      <c r="F75" s="60" t="s">
        <v>169</v>
      </c>
      <c r="G75" s="60" t="s">
        <v>169</v>
      </c>
      <c r="H75" s="60" t="s">
        <v>169</v>
      </c>
      <c r="I75" s="60" t="s">
        <v>170</v>
      </c>
      <c r="J75" s="60" t="s">
        <v>170</v>
      </c>
      <c r="K75" s="60" t="s">
        <v>170</v>
      </c>
      <c r="L75" s="60" t="s">
        <v>163</v>
      </c>
      <c r="M75" s="60" t="s">
        <v>163</v>
      </c>
      <c r="N75" s="60" t="s">
        <v>169</v>
      </c>
      <c r="O75" s="60" t="s">
        <v>171</v>
      </c>
      <c r="P75" s="60" t="s">
        <v>173</v>
      </c>
      <c r="Q75" s="60" t="s">
        <v>170</v>
      </c>
      <c r="R75" s="60" t="s">
        <v>9</v>
      </c>
      <c r="S75" s="60" t="s">
        <v>170</v>
      </c>
      <c r="T75" s="60" t="s">
        <v>169</v>
      </c>
      <c r="U75" s="60" t="s">
        <v>170</v>
      </c>
      <c r="V75" s="60" t="s">
        <v>170</v>
      </c>
      <c r="W75" s="60" t="s">
        <v>169</v>
      </c>
      <c r="X75" s="60" t="s">
        <v>170</v>
      </c>
      <c r="Y75" s="60" t="s">
        <v>170</v>
      </c>
      <c r="Z75" s="60" t="s">
        <v>169</v>
      </c>
      <c r="AA75" s="60" t="s">
        <v>170</v>
      </c>
      <c r="AB75" s="60" t="s">
        <v>169</v>
      </c>
      <c r="AC75" s="60" t="s">
        <v>173</v>
      </c>
      <c r="AD75" s="60" t="s">
        <v>175</v>
      </c>
      <c r="AE75" s="60" t="s">
        <v>179</v>
      </c>
      <c r="AF75" s="60" t="s">
        <v>173</v>
      </c>
      <c r="AG75" s="60" t="s">
        <v>175</v>
      </c>
      <c r="AH75" s="85">
        <v>4427000</v>
      </c>
      <c r="AI75" s="85">
        <v>1391000</v>
      </c>
      <c r="AJ75" s="85">
        <v>560000</v>
      </c>
      <c r="AK75" s="85"/>
      <c r="AL75" s="49">
        <v>6378000</v>
      </c>
      <c r="AM75" s="24">
        <v>6284000</v>
      </c>
      <c r="AN75" s="24">
        <v>0</v>
      </c>
      <c r="AO75" s="49">
        <f t="shared" ref="AO75:AO78" si="24">SUM(AM75:AN75)</f>
        <v>6284000</v>
      </c>
      <c r="AP75" s="49">
        <v>6237000</v>
      </c>
      <c r="AQ75" s="49">
        <v>6745000</v>
      </c>
      <c r="AR75" s="164">
        <f t="shared" si="20"/>
        <v>8.1449414782748031E-2</v>
      </c>
      <c r="AS75" s="49">
        <v>0</v>
      </c>
      <c r="AT75" s="49">
        <v>0</v>
      </c>
      <c r="AU75" s="164">
        <f t="shared" si="12"/>
        <v>0</v>
      </c>
      <c r="AV75" s="26">
        <f t="shared" si="15"/>
        <v>6795828.1224947888</v>
      </c>
      <c r="AW75" s="165">
        <f t="shared" si="16"/>
        <v>0</v>
      </c>
      <c r="AX75" s="49">
        <f t="shared" si="21"/>
        <v>6795828.1224947888</v>
      </c>
      <c r="AY75" s="54">
        <v>6361000</v>
      </c>
      <c r="AZ75" s="24">
        <v>3043000</v>
      </c>
      <c r="BA75" s="24">
        <v>3297000</v>
      </c>
      <c r="BB75" s="49">
        <v>3192000</v>
      </c>
      <c r="BC75" s="49">
        <v>3543000</v>
      </c>
      <c r="BD75" s="166">
        <v>2.3E-2</v>
      </c>
      <c r="BE75" s="166">
        <v>2.1999999999999999E-2</v>
      </c>
      <c r="BF75" s="49">
        <f t="shared" ref="BF75:BF78" si="25">BC75/((1+BD75)*(1+BE75))</f>
        <v>3388789.7343487274</v>
      </c>
      <c r="BG75" s="40">
        <f t="shared" ref="BG75:BG78" si="26">BF75/BB75-1</f>
        <v>6.1650919282182803E-2</v>
      </c>
      <c r="BH75" s="6">
        <f t="shared" si="19"/>
        <v>3500263.0808733567</v>
      </c>
      <c r="BI75" s="24"/>
      <c r="BJ75" s="24">
        <v>0</v>
      </c>
      <c r="BK75" s="24">
        <v>141000</v>
      </c>
      <c r="BL75" s="24"/>
      <c r="BM75" s="38">
        <v>19656000</v>
      </c>
      <c r="BN75" s="3">
        <v>394065000</v>
      </c>
      <c r="BO75" s="54">
        <v>281475000</v>
      </c>
      <c r="BP75" s="53">
        <v>116154000.00000001</v>
      </c>
      <c r="BQ75" s="86">
        <v>174230900</v>
      </c>
      <c r="BR75" s="86">
        <f t="shared" si="22"/>
        <v>145192450</v>
      </c>
      <c r="BS75" s="53">
        <v>2128522.5305949934</v>
      </c>
      <c r="BT75" s="54">
        <v>5598</v>
      </c>
      <c r="BU75" s="54">
        <v>5661</v>
      </c>
      <c r="BV75" s="53">
        <f t="shared" ref="BV75:BV78" si="27">AVERAGE(BT75:BU75)</f>
        <v>5629.5</v>
      </c>
      <c r="BW75" s="57">
        <v>1.5246008397444799E-2</v>
      </c>
      <c r="BX75" s="83">
        <f t="shared" si="23"/>
        <v>8863.5672364304755</v>
      </c>
    </row>
    <row r="76" spans="1:76" ht="15.5" hidden="1" x14ac:dyDescent="0.35">
      <c r="A76" s="26" t="s">
        <v>258</v>
      </c>
      <c r="B76" t="s">
        <v>162</v>
      </c>
      <c r="C76" t="s">
        <v>166</v>
      </c>
      <c r="D76" t="s">
        <v>212</v>
      </c>
      <c r="E76" s="60" t="s">
        <v>163</v>
      </c>
      <c r="F76" s="60" t="s">
        <v>170</v>
      </c>
      <c r="G76" s="60" t="s">
        <v>163</v>
      </c>
      <c r="H76" s="60" t="s">
        <v>163</v>
      </c>
      <c r="I76" s="60" t="s">
        <v>163</v>
      </c>
      <c r="J76" s="60" t="s">
        <v>163</v>
      </c>
      <c r="K76" s="60" t="s">
        <v>163</v>
      </c>
      <c r="L76" s="60" t="s">
        <v>163</v>
      </c>
      <c r="M76" s="60" t="s">
        <v>9</v>
      </c>
      <c r="N76" s="60" t="s">
        <v>163</v>
      </c>
      <c r="O76" s="60" t="s">
        <v>170</v>
      </c>
      <c r="P76" s="60" t="s">
        <v>169</v>
      </c>
      <c r="Q76" s="60" t="s">
        <v>163</v>
      </c>
      <c r="R76" s="60" t="s">
        <v>163</v>
      </c>
      <c r="S76" s="60" t="s">
        <v>163</v>
      </c>
      <c r="T76" s="60" t="s">
        <v>163</v>
      </c>
      <c r="U76" s="60" t="s">
        <v>163</v>
      </c>
      <c r="V76" s="60" t="s">
        <v>163</v>
      </c>
      <c r="W76" s="60" t="s">
        <v>163</v>
      </c>
      <c r="X76" s="60" t="s">
        <v>163</v>
      </c>
      <c r="Y76" s="60" t="s">
        <v>163</v>
      </c>
      <c r="Z76" s="60" t="s">
        <v>163</v>
      </c>
      <c r="AA76" s="60" t="s">
        <v>163</v>
      </c>
      <c r="AB76" s="60" t="s">
        <v>163</v>
      </c>
      <c r="AC76" s="60" t="s">
        <v>169</v>
      </c>
      <c r="AD76" s="60" t="s">
        <v>169</v>
      </c>
      <c r="AE76" s="60" t="s">
        <v>169</v>
      </c>
      <c r="AF76" s="60" t="s">
        <v>169</v>
      </c>
      <c r="AG76" s="60" t="s">
        <v>170</v>
      </c>
      <c r="AH76" s="85">
        <v>7101000</v>
      </c>
      <c r="AI76" s="85">
        <v>4542000</v>
      </c>
      <c r="AJ76" s="85">
        <v>3157000</v>
      </c>
      <c r="AK76" s="85">
        <v>127000</v>
      </c>
      <c r="AL76" s="49">
        <v>14927000</v>
      </c>
      <c r="AM76" s="24">
        <v>18052962.160751566</v>
      </c>
      <c r="AN76" s="24">
        <v>174000</v>
      </c>
      <c r="AO76" s="49">
        <f t="shared" si="24"/>
        <v>18226962.160751566</v>
      </c>
      <c r="AP76" s="49">
        <v>18406000</v>
      </c>
      <c r="AQ76" s="49">
        <v>20092000</v>
      </c>
      <c r="AR76" s="164">
        <f t="shared" si="20"/>
        <v>9.160056503314129E-2</v>
      </c>
      <c r="AS76" s="49">
        <v>174000</v>
      </c>
      <c r="AT76" s="49">
        <v>186000</v>
      </c>
      <c r="AU76" s="164">
        <f t="shared" si="12"/>
        <v>6.8965517241379226E-2</v>
      </c>
      <c r="AV76" s="26">
        <f t="shared" si="15"/>
        <v>19706623.695198327</v>
      </c>
      <c r="AW76" s="165">
        <f t="shared" si="16"/>
        <v>185999.99999999997</v>
      </c>
      <c r="AX76" s="49">
        <f t="shared" si="21"/>
        <v>19892623.695198327</v>
      </c>
      <c r="AY76" s="54">
        <v>13705000</v>
      </c>
      <c r="AZ76" s="24">
        <v>7974000</v>
      </c>
      <c r="BA76" s="24">
        <v>14283863.241848463</v>
      </c>
      <c r="BB76" s="49">
        <v>13924000</v>
      </c>
      <c r="BC76" s="49">
        <v>13363000</v>
      </c>
      <c r="BD76" s="166">
        <v>3.5000000000000003E-2</v>
      </c>
      <c r="BE76" s="166">
        <v>2.5999999999999999E-2</v>
      </c>
      <c r="BF76" s="49">
        <f t="shared" si="25"/>
        <v>12583928.958197964</v>
      </c>
      <c r="BG76" s="40">
        <f t="shared" si="26"/>
        <v>-9.624181569965784E-2</v>
      </c>
      <c r="BH76" s="6">
        <f t="shared" si="19"/>
        <v>12909158.308247367</v>
      </c>
      <c r="BI76" s="24"/>
      <c r="BJ76" s="24">
        <v>1641000</v>
      </c>
      <c r="BK76" s="24">
        <v>1354610.7290233839</v>
      </c>
      <c r="BL76" s="24"/>
      <c r="BM76" s="38">
        <v>95976000</v>
      </c>
      <c r="BN76" s="3">
        <v>1245719739.9992378</v>
      </c>
      <c r="BO76" s="54">
        <v>1121736011.7186542</v>
      </c>
      <c r="BP76" s="53">
        <v>391369573</v>
      </c>
      <c r="BQ76" s="86">
        <v>512441863</v>
      </c>
      <c r="BR76" s="86">
        <f t="shared" si="22"/>
        <v>451905718</v>
      </c>
      <c r="BS76" s="53">
        <v>6460559.1803835938</v>
      </c>
      <c r="BT76" s="54">
        <v>30854</v>
      </c>
      <c r="BU76" s="54">
        <v>24106</v>
      </c>
      <c r="BV76" s="53">
        <f t="shared" si="27"/>
        <v>27480</v>
      </c>
      <c r="BW76" s="57">
        <v>1.2761817817572796E-2</v>
      </c>
      <c r="BX76" s="83">
        <f t="shared" si="23"/>
        <v>40200.950091071631</v>
      </c>
    </row>
    <row r="77" spans="1:76" ht="15.5" hidden="1" x14ac:dyDescent="0.35">
      <c r="A77" s="26" t="s">
        <v>259</v>
      </c>
      <c r="B77" t="s">
        <v>162</v>
      </c>
      <c r="C77" t="s">
        <v>166</v>
      </c>
      <c r="D77" t="s">
        <v>205</v>
      </c>
      <c r="E77" s="60" t="s">
        <v>170</v>
      </c>
      <c r="F77" s="60" t="s">
        <v>163</v>
      </c>
      <c r="G77" s="60" t="s">
        <v>170</v>
      </c>
      <c r="H77" s="60" t="s">
        <v>170</v>
      </c>
      <c r="I77" s="60" t="s">
        <v>163</v>
      </c>
      <c r="J77" s="60" t="s">
        <v>163</v>
      </c>
      <c r="K77" s="60" t="s">
        <v>163</v>
      </c>
      <c r="L77" s="60" t="s">
        <v>163</v>
      </c>
      <c r="M77" s="60" t="s">
        <v>9</v>
      </c>
      <c r="N77" s="60" t="s">
        <v>170</v>
      </c>
      <c r="O77" s="60" t="s">
        <v>168</v>
      </c>
      <c r="P77" s="60" t="s">
        <v>171</v>
      </c>
      <c r="Q77" s="60" t="s">
        <v>170</v>
      </c>
      <c r="R77" s="60" t="s">
        <v>163</v>
      </c>
      <c r="S77" s="60" t="s">
        <v>163</v>
      </c>
      <c r="T77" s="60" t="s">
        <v>163</v>
      </c>
      <c r="U77" s="60" t="s">
        <v>163</v>
      </c>
      <c r="V77" s="60" t="s">
        <v>163</v>
      </c>
      <c r="W77" s="60" t="s">
        <v>163</v>
      </c>
      <c r="X77" s="60" t="s">
        <v>163</v>
      </c>
      <c r="Y77" s="60" t="s">
        <v>163</v>
      </c>
      <c r="Z77" s="60" t="s">
        <v>163</v>
      </c>
      <c r="AA77" s="60" t="s">
        <v>163</v>
      </c>
      <c r="AB77" s="60" t="s">
        <v>163</v>
      </c>
      <c r="AC77" s="60" t="s">
        <v>171</v>
      </c>
      <c r="AD77" s="60" t="s">
        <v>171</v>
      </c>
      <c r="AE77" s="60" t="s">
        <v>183</v>
      </c>
      <c r="AF77" s="60" t="s">
        <v>182</v>
      </c>
      <c r="AG77" s="60" t="s">
        <v>168</v>
      </c>
      <c r="AH77" s="85">
        <v>7379000</v>
      </c>
      <c r="AI77" s="85">
        <v>9946000</v>
      </c>
      <c r="AJ77" s="85">
        <v>5957000</v>
      </c>
      <c r="AK77" s="85">
        <v>39000</v>
      </c>
      <c r="AL77" s="49">
        <v>23321000</v>
      </c>
      <c r="AM77" s="24">
        <v>23388000</v>
      </c>
      <c r="AN77" s="24">
        <v>75000</v>
      </c>
      <c r="AO77" s="49">
        <f t="shared" si="24"/>
        <v>23463000</v>
      </c>
      <c r="AP77" s="49">
        <v>23582000</v>
      </c>
      <c r="AQ77" s="49">
        <v>24782000</v>
      </c>
      <c r="AR77" s="164">
        <f t="shared" si="20"/>
        <v>5.0886269188364031E-2</v>
      </c>
      <c r="AS77" s="49">
        <v>860000</v>
      </c>
      <c r="AT77" s="49">
        <v>696000</v>
      </c>
      <c r="AU77" s="164">
        <f t="shared" si="12"/>
        <v>-0.19069767441860463</v>
      </c>
      <c r="AV77" s="26">
        <f t="shared" si="15"/>
        <v>24578128.063777458</v>
      </c>
      <c r="AW77" s="165">
        <f t="shared" si="16"/>
        <v>60697.674418604649</v>
      </c>
      <c r="AX77" s="49">
        <f t="shared" si="21"/>
        <v>24638825.738196064</v>
      </c>
      <c r="AY77" s="54">
        <v>16335000</v>
      </c>
      <c r="AZ77" s="24">
        <v>13834485</v>
      </c>
      <c r="BA77" s="24">
        <v>14176000</v>
      </c>
      <c r="BB77" s="49">
        <v>13735000</v>
      </c>
      <c r="BC77" s="49">
        <v>14594000</v>
      </c>
      <c r="BD77" s="166">
        <v>2.9000000000000001E-2</v>
      </c>
      <c r="BE77" s="166">
        <v>2.5000000000000001E-2</v>
      </c>
      <c r="BF77" s="49">
        <f t="shared" si="25"/>
        <v>13836782.099599423</v>
      </c>
      <c r="BG77" s="40">
        <f t="shared" si="26"/>
        <v>7.4104186093499891E-3</v>
      </c>
      <c r="BH77" s="6">
        <f t="shared" ref="BH77:BH78" si="28">BA77*(1+BG77)</f>
        <v>14281050.094206145</v>
      </c>
      <c r="BI77" s="24"/>
      <c r="BJ77" s="24">
        <v>3713000</v>
      </c>
      <c r="BK77" s="24">
        <v>2673000</v>
      </c>
      <c r="BL77" s="24"/>
      <c r="BM77" s="38">
        <v>154469040.12303486</v>
      </c>
      <c r="BN77" s="3">
        <v>956574356.65680242</v>
      </c>
      <c r="BO77" s="54">
        <v>971148886.47589946</v>
      </c>
      <c r="BP77" s="53">
        <v>702180000.00000012</v>
      </c>
      <c r="BQ77" s="86">
        <v>877725000</v>
      </c>
      <c r="BR77" s="86">
        <f t="shared" si="22"/>
        <v>789952500</v>
      </c>
      <c r="BS77" s="53">
        <v>11193958.104116803</v>
      </c>
      <c r="BT77" s="54">
        <v>46000</v>
      </c>
      <c r="BU77" s="54">
        <v>43000</v>
      </c>
      <c r="BV77" s="53">
        <f t="shared" si="27"/>
        <v>44500</v>
      </c>
      <c r="BW77" s="57">
        <v>1.0913346129018064E-2</v>
      </c>
      <c r="BX77" s="83">
        <f t="shared" si="23"/>
        <v>61627.977562327564</v>
      </c>
    </row>
    <row r="78" spans="1:76" ht="15.5" x14ac:dyDescent="0.35">
      <c r="A78" s="26" t="s">
        <v>260</v>
      </c>
      <c r="B78" t="s">
        <v>162</v>
      </c>
      <c r="C78" t="s">
        <v>160</v>
      </c>
      <c r="D78" t="s">
        <v>195</v>
      </c>
      <c r="E78" s="60" t="s">
        <v>9</v>
      </c>
      <c r="F78" s="60" t="s">
        <v>9</v>
      </c>
      <c r="G78" s="60" t="s">
        <v>9</v>
      </c>
      <c r="H78" s="60" t="s">
        <v>9</v>
      </c>
      <c r="I78" s="60" t="s">
        <v>163</v>
      </c>
      <c r="J78" s="60" t="s">
        <v>9</v>
      </c>
      <c r="K78" s="60" t="s">
        <v>9</v>
      </c>
      <c r="L78" s="60" t="s">
        <v>9</v>
      </c>
      <c r="M78" s="60" t="s">
        <v>9</v>
      </c>
      <c r="N78" s="60" t="s">
        <v>9</v>
      </c>
      <c r="O78" s="60" t="s">
        <v>9</v>
      </c>
      <c r="P78" s="60" t="s">
        <v>9</v>
      </c>
      <c r="Q78" s="60" t="s">
        <v>9</v>
      </c>
      <c r="R78" s="60" t="s">
        <v>9</v>
      </c>
      <c r="S78" s="60" t="s">
        <v>9</v>
      </c>
      <c r="T78" s="60" t="s">
        <v>9</v>
      </c>
      <c r="U78" s="60" t="s">
        <v>9</v>
      </c>
      <c r="V78" s="60" t="s">
        <v>9</v>
      </c>
      <c r="W78" s="60" t="s">
        <v>9</v>
      </c>
      <c r="X78" s="60" t="s">
        <v>9</v>
      </c>
      <c r="Y78" s="60" t="s">
        <v>9</v>
      </c>
      <c r="Z78" s="60" t="s">
        <v>9</v>
      </c>
      <c r="AA78" s="60" t="s">
        <v>9</v>
      </c>
      <c r="AB78" s="60" t="s">
        <v>9</v>
      </c>
      <c r="AC78" s="60" t="s">
        <v>9</v>
      </c>
      <c r="AD78" s="60" t="s">
        <v>9</v>
      </c>
      <c r="AE78" s="60" t="s">
        <v>9</v>
      </c>
      <c r="AF78" s="60" t="s">
        <v>9</v>
      </c>
      <c r="AG78" s="60" t="s">
        <v>9</v>
      </c>
      <c r="AH78" s="85">
        <v>25734299.534779973</v>
      </c>
      <c r="AI78" s="85">
        <v>26627265.241269708</v>
      </c>
      <c r="AJ78" s="85">
        <v>2994000</v>
      </c>
      <c r="AK78" s="85">
        <v>2481000</v>
      </c>
      <c r="AL78" s="49">
        <v>57836564.776049681</v>
      </c>
      <c r="AM78" s="24">
        <v>41299369.441888995</v>
      </c>
      <c r="AN78" s="24">
        <v>3055000</v>
      </c>
      <c r="AO78" s="49">
        <f t="shared" si="24"/>
        <v>44354369.441888995</v>
      </c>
      <c r="AP78" s="49">
        <v>42169000</v>
      </c>
      <c r="AQ78" s="49">
        <v>46486000</v>
      </c>
      <c r="AR78" s="164">
        <f t="shared" si="20"/>
        <v>0.10237378168796973</v>
      </c>
      <c r="AS78" s="49">
        <v>3055000</v>
      </c>
      <c r="AT78" s="49">
        <v>3055000</v>
      </c>
      <c r="AU78" s="164">
        <f t="shared" ref="AU78" si="29">IFERROR(AT78/AS78-1, 0)</f>
        <v>0</v>
      </c>
      <c r="AV78" s="26">
        <f t="shared" si="15"/>
        <v>45527342.072983749</v>
      </c>
      <c r="AW78" s="165">
        <f t="shared" si="16"/>
        <v>3055000</v>
      </c>
      <c r="AX78" s="49">
        <f t="shared" si="21"/>
        <v>48582342.072983749</v>
      </c>
      <c r="AY78" s="54">
        <v>38683000</v>
      </c>
      <c r="AZ78" s="24">
        <v>19288160.220000003</v>
      </c>
      <c r="BA78" s="24">
        <v>21002242.552193291</v>
      </c>
      <c r="BB78" s="49">
        <v>19650000</v>
      </c>
      <c r="BC78" s="49">
        <v>20648000</v>
      </c>
      <c r="BD78" s="166">
        <v>2.5000000000000001E-2</v>
      </c>
      <c r="BE78" s="166">
        <v>2.5000000000000001E-2</v>
      </c>
      <c r="BF78" s="49">
        <f t="shared" si="25"/>
        <v>19653063.652587745</v>
      </c>
      <c r="BG78" s="40">
        <f t="shared" si="26"/>
        <v>1.559110731677027E-4</v>
      </c>
      <c r="BH78" s="6">
        <f t="shared" si="28"/>
        <v>21005517.034368534</v>
      </c>
      <c r="BI78" s="24"/>
      <c r="BJ78" s="24">
        <v>584000</v>
      </c>
      <c r="BK78" s="24">
        <v>0</v>
      </c>
      <c r="BL78" s="24"/>
      <c r="BM78" s="38">
        <v>408361985.29867971</v>
      </c>
      <c r="BN78" s="3">
        <v>1324193078.1116612</v>
      </c>
      <c r="BO78" s="54">
        <v>1348168510.8567204</v>
      </c>
      <c r="BP78" s="53">
        <v>1089828971.6896524</v>
      </c>
      <c r="BQ78" s="86">
        <v>1386171298.7840576</v>
      </c>
      <c r="BR78" s="86">
        <f t="shared" si="22"/>
        <v>1238000135.236855</v>
      </c>
      <c r="BS78" s="53">
        <v>17601450.502422094</v>
      </c>
      <c r="BT78" s="54">
        <v>60049</v>
      </c>
      <c r="BU78" s="54">
        <v>59200</v>
      </c>
      <c r="BV78" s="53">
        <f t="shared" si="27"/>
        <v>59624.5</v>
      </c>
      <c r="BW78" s="57">
        <v>1.7380926366131311E-2</v>
      </c>
      <c r="BX78" s="83">
        <f t="shared" si="23"/>
        <v>99984.456358795578</v>
      </c>
    </row>
    <row r="79" spans="1:76" ht="15.5" x14ac:dyDescent="0.35">
      <c r="AL79" s="49"/>
      <c r="AM79" s="49"/>
      <c r="AN79" s="49"/>
      <c r="AO79" s="49"/>
      <c r="AP79" s="49"/>
      <c r="AQ79" s="49"/>
      <c r="AR79" s="49"/>
      <c r="AS79" s="49"/>
      <c r="AT79" s="49"/>
      <c r="AU79" s="49"/>
      <c r="AV79" s="49"/>
      <c r="AW79" s="49"/>
      <c r="AX79" s="49"/>
      <c r="AZ79" s="24"/>
      <c r="BA79" s="24"/>
      <c r="BB79" s="24"/>
      <c r="BC79" s="24"/>
      <c r="BD79" s="24"/>
      <c r="BE79" s="24"/>
      <c r="BF79" s="24"/>
      <c r="BG79" s="24"/>
      <c r="BH79" s="24"/>
      <c r="BI79" s="24"/>
      <c r="BJ79" s="24"/>
      <c r="BK79" s="24"/>
      <c r="BL79" s="24"/>
      <c r="BM79" s="170"/>
      <c r="BN79" s="54"/>
      <c r="BO79" s="54"/>
      <c r="BP79" s="53"/>
      <c r="BQ79" s="86"/>
      <c r="BR79" s="86"/>
      <c r="BS79" s="49"/>
      <c r="BT79" s="3"/>
      <c r="BU79" s="3"/>
      <c r="BV79" s="53"/>
      <c r="BW79" s="57"/>
      <c r="BX79" s="49"/>
    </row>
    <row r="80" spans="1:76" ht="16" thickBot="1" x14ac:dyDescent="0.4">
      <c r="A80" s="47" t="s">
        <v>261</v>
      </c>
      <c r="AH80" s="48"/>
      <c r="AI80" s="48"/>
      <c r="AJ80" s="48"/>
      <c r="AK80" s="48"/>
      <c r="AL80" s="89">
        <f>SUBTOTAL(9, AL12:AL79)</f>
        <v>1002514234.6660497</v>
      </c>
      <c r="AM80" s="89">
        <f t="shared" ref="AM80" si="30">SUBTOTAL(9, AM12:AM79)</f>
        <v>867880401.55673289</v>
      </c>
      <c r="AN80" s="89"/>
      <c r="AO80" s="89">
        <f>SUBTOTAL(9, AO12:AO79)</f>
        <v>1145864890.416733</v>
      </c>
      <c r="AP80" s="89">
        <f t="shared" ref="AP80" si="31">SUBTOTAL(9, AP12:AP79)</f>
        <v>909832000</v>
      </c>
      <c r="AQ80" s="89">
        <f>SUBTOTAL(9, AQ12:AQ79)</f>
        <v>1096309000</v>
      </c>
      <c r="AR80" s="89"/>
      <c r="AS80" s="89"/>
      <c r="AT80" s="89"/>
      <c r="AU80" s="89"/>
      <c r="AV80" s="79">
        <f>SUBTOTAL(9, AV12:AV79)</f>
        <v>1044681927.7596287</v>
      </c>
      <c r="AW80" s="79">
        <f>SUBTOTAL(9, AW12:AW79)</f>
        <v>240995864.80922139</v>
      </c>
      <c r="AX80" s="79">
        <f>SUBTOTAL(9, AX12:AX78)</f>
        <v>1285677792.56885</v>
      </c>
      <c r="AY80" s="79">
        <f t="shared" ref="AY80:BV80" si="32">SUBTOTAL(9, AY12:AY79)</f>
        <v>994318000</v>
      </c>
      <c r="AZ80" s="79">
        <f t="shared" si="32"/>
        <v>341756503.05790001</v>
      </c>
      <c r="BA80" s="79">
        <f>SUBTOTAL(9, BA12:BA79)</f>
        <v>442547140.21506417</v>
      </c>
      <c r="BB80" s="79">
        <f t="shared" ref="BB80:BC80" si="33">SUBTOTAL(9, BB12:BB79)</f>
        <v>422321000</v>
      </c>
      <c r="BC80" s="79">
        <f t="shared" si="33"/>
        <v>449137000</v>
      </c>
      <c r="BD80" s="79"/>
      <c r="BE80" s="79"/>
      <c r="BF80" s="79">
        <f t="shared" ref="BF80" si="34">SUBTOTAL(9, BF12:BF79)</f>
        <v>431677277.97114158</v>
      </c>
      <c r="BG80" s="79"/>
      <c r="BH80" s="79">
        <f>SUBTOTAL(9, BH12:BH78)</f>
        <v>452656732.44630319</v>
      </c>
      <c r="BI80" s="24"/>
      <c r="BJ80" s="79">
        <f t="shared" si="32"/>
        <v>102813000</v>
      </c>
      <c r="BK80" s="79">
        <f t="shared" si="32"/>
        <v>115472824.90384063</v>
      </c>
      <c r="BL80" s="79"/>
      <c r="BM80" s="79">
        <f>SUBTOTAL(9, BM12:BM79)</f>
        <v>15990948792.141529</v>
      </c>
      <c r="BN80" s="79">
        <f t="shared" si="32"/>
        <v>30434971323.743187</v>
      </c>
      <c r="BO80" s="79">
        <f t="shared" si="32"/>
        <v>33425633160.357578</v>
      </c>
      <c r="BP80" s="79">
        <f t="shared" si="32"/>
        <v>23963102942.82019</v>
      </c>
      <c r="BQ80" s="79">
        <f t="shared" si="32"/>
        <v>27022337842.092384</v>
      </c>
      <c r="BR80" s="79">
        <f t="shared" si="32"/>
        <v>25492720392.456287</v>
      </c>
      <c r="BS80" s="79">
        <f t="shared" si="32"/>
        <v>507704446.62833738</v>
      </c>
      <c r="BT80" s="79">
        <f t="shared" si="32"/>
        <v>1720039</v>
      </c>
      <c r="BU80" s="79">
        <f t="shared" si="32"/>
        <v>1731667.1300000001</v>
      </c>
      <c r="BV80" s="81">
        <f t="shared" si="32"/>
        <v>1725853.0649999999</v>
      </c>
      <c r="BW80" s="82">
        <f>((BX80/BV80)^(1/BX1))-1</f>
        <v>2.0914706452245468E-2</v>
      </c>
      <c r="BX80" s="81">
        <f>SUBTOTAL(109, BX12:BX79)</f>
        <v>3211349.8178073848</v>
      </c>
    </row>
    <row r="81" spans="26:74" ht="15.5" x14ac:dyDescent="0.35">
      <c r="AQ81" s="49"/>
      <c r="AY81" s="52"/>
      <c r="BI81" s="24"/>
    </row>
    <row r="82" spans="26:74" ht="15.5" x14ac:dyDescent="0.35">
      <c r="BI82" s="24"/>
    </row>
    <row r="83" spans="26:74" ht="15.5" x14ac:dyDescent="0.35">
      <c r="BI83" s="24"/>
      <c r="BR83" s="104"/>
      <c r="BT83" s="39"/>
      <c r="BU83" s="39"/>
    </row>
    <row r="84" spans="26:74" ht="15.5" x14ac:dyDescent="0.35">
      <c r="BI84" s="24"/>
      <c r="BT84" s="39"/>
    </row>
    <row r="85" spans="26:74" ht="15.5" x14ac:dyDescent="0.35">
      <c r="BV85" s="103"/>
    </row>
    <row r="86" spans="26:74" ht="15.5" x14ac:dyDescent="0.35">
      <c r="AY86" s="8"/>
    </row>
    <row r="87" spans="26:74" ht="15.5" x14ac:dyDescent="0.35">
      <c r="AY87" s="8"/>
    </row>
    <row r="88" spans="26:74" ht="15.5" x14ac:dyDescent="0.35"/>
    <row r="89" spans="26:74" ht="15.5" x14ac:dyDescent="0.35">
      <c r="Z89"/>
      <c r="AA89"/>
      <c r="AB89"/>
      <c r="AC89"/>
      <c r="AD89"/>
      <c r="AE89"/>
    </row>
    <row r="90" spans="26:74" ht="15.5" x14ac:dyDescent="0.35">
      <c r="Z90"/>
      <c r="AA90"/>
      <c r="AB90"/>
      <c r="AC90"/>
      <c r="AD90"/>
      <c r="AE90"/>
    </row>
    <row r="91" spans="26:74" ht="15.5" x14ac:dyDescent="0.35">
      <c r="Z91"/>
      <c r="AA91"/>
      <c r="AB91"/>
      <c r="AC91"/>
      <c r="AD91"/>
      <c r="AE91"/>
    </row>
    <row r="92" spans="26:74" ht="15.5" x14ac:dyDescent="0.35">
      <c r="Z92"/>
      <c r="AA92"/>
      <c r="AB92"/>
      <c r="AC92"/>
      <c r="AD92"/>
      <c r="AE92"/>
    </row>
    <row r="93" spans="26:74" ht="15.5" x14ac:dyDescent="0.35">
      <c r="Z93"/>
      <c r="AA93"/>
      <c r="AB93"/>
      <c r="AC93"/>
      <c r="AD93"/>
      <c r="AE93"/>
    </row>
    <row r="94" spans="26:74" ht="15.5" x14ac:dyDescent="0.35">
      <c r="Z94"/>
      <c r="AA94"/>
      <c r="AB94"/>
      <c r="AC94"/>
      <c r="AD94"/>
      <c r="AE94"/>
    </row>
    <row r="95" spans="26:74" ht="15.5" x14ac:dyDescent="0.35">
      <c r="Z95"/>
      <c r="AA95"/>
      <c r="AB95"/>
      <c r="AC95"/>
      <c r="AD95"/>
      <c r="AE95"/>
    </row>
    <row r="96" spans="26:74" ht="15.5" x14ac:dyDescent="0.35">
      <c r="Z96"/>
      <c r="AA96"/>
      <c r="AB96"/>
      <c r="AC96"/>
      <c r="AD96"/>
      <c r="AE96"/>
    </row>
    <row r="97" spans="26:31" ht="15.5" x14ac:dyDescent="0.35">
      <c r="Z97"/>
      <c r="AA97"/>
      <c r="AB97"/>
      <c r="AC97"/>
      <c r="AD97"/>
      <c r="AE97"/>
    </row>
    <row r="98" spans="26:31" ht="15.5" x14ac:dyDescent="0.35">
      <c r="Z98"/>
      <c r="AA98"/>
      <c r="AB98"/>
      <c r="AC98"/>
      <c r="AD98"/>
      <c r="AE98"/>
    </row>
    <row r="99" spans="26:31" ht="15.5" x14ac:dyDescent="0.35">
      <c r="Z99"/>
      <c r="AA99"/>
      <c r="AB99"/>
      <c r="AC99"/>
      <c r="AD99"/>
      <c r="AE99"/>
    </row>
    <row r="100" spans="26:31" ht="15.5" x14ac:dyDescent="0.35">
      <c r="Z100"/>
      <c r="AA100"/>
      <c r="AB100"/>
      <c r="AC100"/>
      <c r="AD100"/>
      <c r="AE100"/>
    </row>
    <row r="101" spans="26:31" ht="15.5" x14ac:dyDescent="0.35">
      <c r="Z101"/>
      <c r="AA101"/>
      <c r="AB101"/>
      <c r="AC101"/>
      <c r="AD101"/>
      <c r="AE101"/>
    </row>
    <row r="102" spans="26:31" ht="15.5" x14ac:dyDescent="0.35">
      <c r="Z102"/>
      <c r="AA102"/>
      <c r="AB102"/>
      <c r="AC102"/>
      <c r="AD102"/>
      <c r="AE102"/>
    </row>
    <row r="103" spans="26:31" ht="15.5" x14ac:dyDescent="0.35">
      <c r="Z103"/>
      <c r="AA103"/>
      <c r="AB103"/>
      <c r="AC103"/>
      <c r="AD103"/>
      <c r="AE103"/>
    </row>
    <row r="104" spans="26:31" ht="15.5" x14ac:dyDescent="0.35">
      <c r="Z104"/>
      <c r="AA104"/>
      <c r="AB104"/>
      <c r="AC104"/>
      <c r="AD104"/>
      <c r="AE104"/>
    </row>
    <row r="105" spans="26:31" ht="15.5" x14ac:dyDescent="0.35">
      <c r="Z105"/>
      <c r="AA105"/>
      <c r="AB105"/>
      <c r="AC105"/>
      <c r="AD105"/>
      <c r="AE105"/>
    </row>
    <row r="106" spans="26:31" ht="15.5" x14ac:dyDescent="0.35">
      <c r="Z106"/>
      <c r="AA106"/>
      <c r="AB106"/>
      <c r="AC106"/>
      <c r="AD106"/>
      <c r="AE106"/>
    </row>
    <row r="107" spans="26:31" ht="15.5" x14ac:dyDescent="0.35">
      <c r="Z107"/>
      <c r="AA107"/>
      <c r="AB107"/>
      <c r="AC107"/>
      <c r="AD107"/>
      <c r="AE107"/>
    </row>
    <row r="108" spans="26:31" ht="15.5" x14ac:dyDescent="0.35">
      <c r="Z108"/>
      <c r="AA108"/>
      <c r="AB108"/>
      <c r="AC108"/>
      <c r="AD108"/>
      <c r="AE108"/>
    </row>
    <row r="109" spans="26:31" ht="15.5" x14ac:dyDescent="0.35">
      <c r="Z109"/>
      <c r="AA109"/>
      <c r="AB109"/>
      <c r="AC109"/>
      <c r="AD109"/>
      <c r="AE109"/>
    </row>
    <row r="110" spans="26:31" ht="15.5" x14ac:dyDescent="0.35">
      <c r="Z110"/>
      <c r="AA110"/>
      <c r="AB110"/>
      <c r="AC110"/>
      <c r="AD110"/>
      <c r="AE110"/>
    </row>
    <row r="111" spans="26:31" ht="15.5" x14ac:dyDescent="0.35">
      <c r="Z111"/>
      <c r="AA111"/>
      <c r="AB111"/>
      <c r="AC111"/>
      <c r="AD111"/>
      <c r="AE111"/>
    </row>
    <row r="112" spans="26:31" ht="15.5" x14ac:dyDescent="0.35">
      <c r="Z112"/>
      <c r="AA112"/>
      <c r="AB112"/>
      <c r="AC112"/>
      <c r="AD112"/>
      <c r="AE112"/>
    </row>
    <row r="113" spans="26:31" ht="15.5" x14ac:dyDescent="0.35">
      <c r="Z113"/>
      <c r="AA113"/>
      <c r="AB113"/>
      <c r="AC113"/>
      <c r="AD113"/>
      <c r="AE113"/>
    </row>
    <row r="114" spans="26:31" ht="15.5" x14ac:dyDescent="0.35">
      <c r="Z114"/>
      <c r="AA114"/>
      <c r="AB114"/>
      <c r="AC114"/>
      <c r="AD114"/>
      <c r="AE114"/>
    </row>
    <row r="115" spans="26:31" ht="15.5" x14ac:dyDescent="0.35"/>
    <row r="117" spans="26:31" ht="15.5" x14ac:dyDescent="0.35"/>
    <row r="126" spans="26:31" ht="15.5" x14ac:dyDescent="0.35"/>
    <row r="128" spans="26:31" ht="15.5" x14ac:dyDescent="0.35"/>
    <row r="137" ht="15.5" x14ac:dyDescent="0.35"/>
    <row r="139" ht="15.5" x14ac:dyDescent="0.35"/>
    <row r="148" ht="15.5" x14ac:dyDescent="0.35"/>
    <row r="150" ht="15.5" x14ac:dyDescent="0.35"/>
    <row r="159" ht="15.5" x14ac:dyDescent="0.35"/>
    <row r="161" ht="15.5" x14ac:dyDescent="0.35"/>
    <row r="170" ht="15.5" x14ac:dyDescent="0.35"/>
    <row r="172" ht="15.5" x14ac:dyDescent="0.35"/>
    <row r="181" ht="15.5" x14ac:dyDescent="0.35"/>
    <row r="183" ht="15.5" x14ac:dyDescent="0.35"/>
    <row r="192" ht="15.5" x14ac:dyDescent="0.35"/>
    <row r="194" ht="15.5" x14ac:dyDescent="0.35"/>
    <row r="203" ht="15.5" x14ac:dyDescent="0.35"/>
    <row r="205" ht="15.5" x14ac:dyDescent="0.35"/>
    <row r="214" ht="15.5" x14ac:dyDescent="0.35"/>
    <row r="216" ht="15.5" x14ac:dyDescent="0.35"/>
    <row r="225" ht="15.5" x14ac:dyDescent="0.35"/>
    <row r="227" ht="15.5" x14ac:dyDescent="0.35"/>
    <row r="236" ht="15.5" x14ac:dyDescent="0.35"/>
    <row r="238" ht="15.5" x14ac:dyDescent="0.35"/>
    <row r="247" ht="15.5" x14ac:dyDescent="0.35"/>
    <row r="249" ht="15.5" x14ac:dyDescent="0.35"/>
    <row r="258" ht="15.5" x14ac:dyDescent="0.35"/>
    <row r="260" ht="15.5" x14ac:dyDescent="0.35"/>
    <row r="269" ht="15.5" x14ac:dyDescent="0.35"/>
    <row r="271" ht="15.5" x14ac:dyDescent="0.35"/>
    <row r="280" ht="15.5" x14ac:dyDescent="0.35"/>
    <row r="282" ht="15.5" x14ac:dyDescent="0.35"/>
    <row r="291" ht="15.5" x14ac:dyDescent="0.35"/>
    <row r="293" ht="15.5" x14ac:dyDescent="0.35"/>
    <row r="302" ht="15.5" x14ac:dyDescent="0.35"/>
    <row r="304" ht="15.5" x14ac:dyDescent="0.35"/>
    <row r="313" ht="15.5" x14ac:dyDescent="0.35"/>
    <row r="315" ht="15.5" x14ac:dyDescent="0.35"/>
    <row r="324" ht="15.5" x14ac:dyDescent="0.35"/>
    <row r="326" ht="15.5" x14ac:dyDescent="0.35"/>
    <row r="335" ht="15.5" x14ac:dyDescent="0.35"/>
    <row r="337" ht="15.5" x14ac:dyDescent="0.35"/>
    <row r="346" ht="15.5" x14ac:dyDescent="0.35"/>
    <row r="348" ht="15.5" x14ac:dyDescent="0.35"/>
    <row r="359" ht="15.5" x14ac:dyDescent="0.35"/>
    <row r="361" ht="15.5" x14ac:dyDescent="0.35"/>
    <row r="370" ht="15.5" x14ac:dyDescent="0.35"/>
    <row r="372" ht="15.5" x14ac:dyDescent="0.35"/>
    <row r="381" ht="15.5" x14ac:dyDescent="0.35"/>
    <row r="383" ht="15.5" x14ac:dyDescent="0.35"/>
    <row r="392" ht="15.5" x14ac:dyDescent="0.35"/>
    <row r="394" ht="15.5" x14ac:dyDescent="0.35"/>
    <row r="403" ht="15.5" x14ac:dyDescent="0.35"/>
    <row r="405" ht="15.5" x14ac:dyDescent="0.35"/>
    <row r="414" ht="15.5" x14ac:dyDescent="0.35"/>
    <row r="416" ht="15.5" x14ac:dyDescent="0.35"/>
    <row r="425" ht="15.5" x14ac:dyDescent="0.35"/>
    <row r="427" ht="15.5" x14ac:dyDescent="0.35"/>
    <row r="436" ht="15.5" x14ac:dyDescent="0.35"/>
    <row r="438" ht="15.5" x14ac:dyDescent="0.35"/>
    <row r="447" ht="15.5" x14ac:dyDescent="0.35"/>
    <row r="449" ht="15.5" x14ac:dyDescent="0.35"/>
    <row r="458" ht="15.5" x14ac:dyDescent="0.35"/>
    <row r="460" ht="15.5" x14ac:dyDescent="0.35"/>
    <row r="469" ht="15.5" x14ac:dyDescent="0.35"/>
    <row r="471" ht="15.5" x14ac:dyDescent="0.35"/>
    <row r="480" ht="15.5" x14ac:dyDescent="0.35"/>
    <row r="482" ht="15.5" x14ac:dyDescent="0.35"/>
    <row r="491" ht="15.5" x14ac:dyDescent="0.35"/>
    <row r="493" ht="15.5" x14ac:dyDescent="0.35"/>
    <row r="502" ht="15.5" x14ac:dyDescent="0.35"/>
    <row r="504" ht="15.5" x14ac:dyDescent="0.35"/>
    <row r="513" ht="15.5" x14ac:dyDescent="0.35"/>
    <row r="515" ht="15.5" x14ac:dyDescent="0.35"/>
    <row r="524" ht="15.5" x14ac:dyDescent="0.35"/>
    <row r="526" ht="15.5" x14ac:dyDescent="0.35"/>
    <row r="535" ht="15.5" x14ac:dyDescent="0.35"/>
    <row r="537" ht="15.5" x14ac:dyDescent="0.35"/>
    <row r="546" ht="15.5" x14ac:dyDescent="0.35"/>
    <row r="548" ht="15.5" x14ac:dyDescent="0.35"/>
    <row r="557" ht="15.5" x14ac:dyDescent="0.35"/>
    <row r="559" ht="15.5" x14ac:dyDescent="0.35"/>
  </sheetData>
  <sheetProtection algorithmName="SHA-512" hashValue="9p4X/h9uR67G1/PqQXgldNSgzMCTAHH5VFJZ0Mm6F4NJjR5G+McfuaWqGS4/KsHGlzrXLuPfzGp9c3pT1TTRRw==" saltValue="hG9lxS1yQn7QmJ5Mq/d2dg==" spinCount="100000" sheet="1" objects="1" scenarios="1"/>
  <autoFilter ref="A9:BY78" xr:uid="{EF67D162-69F8-4B24-B62E-28ABFE5E44B1}">
    <filterColumn colId="32">
      <filters>
        <filter val="A"/>
      </filters>
    </filterColumn>
  </autoFilter>
  <mergeCells count="3">
    <mergeCell ref="E7:AA7"/>
    <mergeCell ref="N8:AA8"/>
    <mergeCell ref="E8:M8"/>
  </mergeCells>
  <phoneticPr fontId="16" type="noConversion"/>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dimension ref="A1:AP383"/>
  <sheetViews>
    <sheetView zoomScaleNormal="100" workbookViewId="0">
      <pane xSplit="3" ySplit="13" topLeftCell="D14" activePane="bottomRight" state="frozen"/>
      <selection pane="topRight" activeCell="C19" sqref="C19"/>
      <selection pane="bottomLeft" activeCell="C19" sqref="C19"/>
      <selection pane="bottomRight" sqref="A1:XFD1048576"/>
    </sheetView>
  </sheetViews>
  <sheetFormatPr defaultColWidth="10.83203125" defaultRowHeight="15" customHeight="1" outlineLevelRow="1" x14ac:dyDescent="0.35"/>
  <cols>
    <col min="1" max="1" width="61.08203125" bestFit="1" customWidth="1"/>
    <col min="2" max="2" width="27.08203125" style="26" customWidth="1"/>
    <col min="3" max="3" width="25.08203125" style="1" customWidth="1"/>
    <col min="4" max="5" width="18.08203125" bestFit="1" customWidth="1"/>
    <col min="6" max="7" width="15.33203125" bestFit="1" customWidth="1"/>
    <col min="8" max="8" width="18.25" bestFit="1" customWidth="1"/>
    <col min="9" max="9" width="18" bestFit="1" customWidth="1"/>
    <col min="10" max="10" width="18.25" bestFit="1" customWidth="1"/>
    <col min="11" max="11" width="18" bestFit="1" customWidth="1"/>
    <col min="12" max="12" width="18.83203125" bestFit="1" customWidth="1"/>
    <col min="13" max="13" width="18.25" bestFit="1" customWidth="1"/>
    <col min="14" max="14" width="18.83203125" bestFit="1" customWidth="1"/>
    <col min="15" max="15" width="19.25" bestFit="1" customWidth="1"/>
    <col min="16" max="16" width="18.83203125" bestFit="1" customWidth="1"/>
    <col min="17" max="17" width="18.33203125" bestFit="1" customWidth="1"/>
    <col min="18" max="20" width="18.83203125" bestFit="1" customWidth="1"/>
    <col min="21" max="42" width="19.25" bestFit="1" customWidth="1"/>
  </cols>
  <sheetData>
    <row r="1" spans="1:42" ht="26" x14ac:dyDescent="0.6">
      <c r="A1" s="7"/>
      <c r="C1" s="56"/>
    </row>
    <row r="2" spans="1:42" ht="26" x14ac:dyDescent="0.6">
      <c r="A2" s="108" t="s">
        <v>262</v>
      </c>
      <c r="C2" s="55"/>
    </row>
    <row r="3" spans="1:42" ht="21" x14ac:dyDescent="0.5">
      <c r="A3" s="19" t="s">
        <v>263</v>
      </c>
      <c r="B3" s="301" t="s">
        <v>264</v>
      </c>
      <c r="C3" s="109" t="s">
        <v>265</v>
      </c>
    </row>
    <row r="4" spans="1:42" ht="21" x14ac:dyDescent="0.5">
      <c r="A4" s="19" t="s">
        <v>266</v>
      </c>
      <c r="B4" s="280" t="s">
        <v>267</v>
      </c>
      <c r="C4" s="112" t="s">
        <v>268</v>
      </c>
      <c r="E4" s="1"/>
    </row>
    <row r="5" spans="1:42" ht="21" x14ac:dyDescent="0.5">
      <c r="A5" s="19" t="s">
        <v>269</v>
      </c>
      <c r="B5" s="280">
        <v>30</v>
      </c>
      <c r="C5" s="112" t="s">
        <v>270</v>
      </c>
      <c r="E5" s="1"/>
    </row>
    <row r="6" spans="1:42" ht="21" x14ac:dyDescent="0.5">
      <c r="A6" s="19" t="s">
        <v>271</v>
      </c>
      <c r="B6" s="259" t="s">
        <v>272</v>
      </c>
      <c r="C6" s="112" t="s">
        <v>273</v>
      </c>
      <c r="E6" s="1"/>
    </row>
    <row r="7" spans="1:42" ht="21" x14ac:dyDescent="0.5">
      <c r="A7" s="19" t="s">
        <v>274</v>
      </c>
      <c r="B7" s="301" t="s">
        <v>275</v>
      </c>
      <c r="C7" s="112" t="s">
        <v>276</v>
      </c>
      <c r="E7" s="1"/>
    </row>
    <row r="8" spans="1:42" ht="21" x14ac:dyDescent="0.5">
      <c r="A8" s="19" t="s">
        <v>277</v>
      </c>
      <c r="B8" s="260">
        <v>0.01</v>
      </c>
      <c r="C8" s="112" t="s">
        <v>278</v>
      </c>
      <c r="E8" s="1"/>
    </row>
    <row r="9" spans="1:42" ht="21" x14ac:dyDescent="0.5">
      <c r="A9" s="19" t="s">
        <v>279</v>
      </c>
      <c r="B9" s="300" t="s">
        <v>280</v>
      </c>
      <c r="C9" s="112" t="s">
        <v>281</v>
      </c>
      <c r="E9" s="1"/>
    </row>
    <row r="10" spans="1:42" ht="21" x14ac:dyDescent="0.5">
      <c r="A10" s="19" t="s">
        <v>282</v>
      </c>
      <c r="B10" s="281">
        <v>1</v>
      </c>
      <c r="C10" s="112" t="s">
        <v>283</v>
      </c>
      <c r="E10" s="1"/>
    </row>
    <row r="11" spans="1:42" ht="15" customHeight="1" thickBot="1" x14ac:dyDescent="0.65">
      <c r="A11" s="7"/>
    </row>
    <row r="12" spans="1:42" ht="21" x14ac:dyDescent="0.5">
      <c r="A12" s="27"/>
      <c r="B12" s="21"/>
      <c r="C12" s="224" t="s">
        <v>284</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10"/>
      <c r="AI12" s="10"/>
      <c r="AJ12" s="10"/>
      <c r="AK12" s="10"/>
      <c r="AL12" s="10"/>
      <c r="AM12" s="10"/>
      <c r="AN12" s="10"/>
      <c r="AO12" s="10"/>
      <c r="AP12" s="71"/>
    </row>
    <row r="13" spans="1:42" ht="15" customHeight="1" thickBot="1" x14ac:dyDescent="0.4">
      <c r="A13" s="70" t="s">
        <v>285</v>
      </c>
      <c r="B13" s="22" t="s">
        <v>286</v>
      </c>
      <c r="C13" s="225">
        <v>2022</v>
      </c>
      <c r="D13" s="8">
        <f t="shared" ref="D13:AP13" si="0">C13+1</f>
        <v>2023</v>
      </c>
      <c r="E13" s="8">
        <f t="shared" si="0"/>
        <v>2024</v>
      </c>
      <c r="F13" s="8">
        <f t="shared" si="0"/>
        <v>2025</v>
      </c>
      <c r="G13" s="8">
        <f t="shared" si="0"/>
        <v>2026</v>
      </c>
      <c r="H13" s="8">
        <f t="shared" si="0"/>
        <v>2027</v>
      </c>
      <c r="I13" s="8">
        <f t="shared" si="0"/>
        <v>2028</v>
      </c>
      <c r="J13" s="8">
        <f t="shared" si="0"/>
        <v>2029</v>
      </c>
      <c r="K13" s="8">
        <f t="shared" si="0"/>
        <v>2030</v>
      </c>
      <c r="L13" s="8">
        <f t="shared" si="0"/>
        <v>2031</v>
      </c>
      <c r="M13" s="8">
        <f t="shared" si="0"/>
        <v>2032</v>
      </c>
      <c r="N13" s="8">
        <f t="shared" si="0"/>
        <v>2033</v>
      </c>
      <c r="O13" s="8">
        <f t="shared" si="0"/>
        <v>2034</v>
      </c>
      <c r="P13" s="8">
        <f t="shared" si="0"/>
        <v>2035</v>
      </c>
      <c r="Q13" s="8">
        <f t="shared" si="0"/>
        <v>2036</v>
      </c>
      <c r="R13" s="8">
        <f t="shared" si="0"/>
        <v>2037</v>
      </c>
      <c r="S13" s="8">
        <f t="shared" si="0"/>
        <v>2038</v>
      </c>
      <c r="T13" s="8">
        <f t="shared" si="0"/>
        <v>2039</v>
      </c>
      <c r="U13" s="8">
        <f t="shared" si="0"/>
        <v>2040</v>
      </c>
      <c r="V13" s="8">
        <f t="shared" si="0"/>
        <v>2041</v>
      </c>
      <c r="W13" s="8">
        <f t="shared" si="0"/>
        <v>2042</v>
      </c>
      <c r="X13" s="8">
        <f t="shared" si="0"/>
        <v>2043</v>
      </c>
      <c r="Y13" s="8">
        <f t="shared" si="0"/>
        <v>2044</v>
      </c>
      <c r="Z13" s="8">
        <f t="shared" si="0"/>
        <v>2045</v>
      </c>
      <c r="AA13" s="8">
        <f t="shared" si="0"/>
        <v>2046</v>
      </c>
      <c r="AB13" s="8">
        <f t="shared" si="0"/>
        <v>2047</v>
      </c>
      <c r="AC13" s="8">
        <f t="shared" si="0"/>
        <v>2048</v>
      </c>
      <c r="AD13" s="8">
        <f t="shared" si="0"/>
        <v>2049</v>
      </c>
      <c r="AE13" s="8">
        <f t="shared" si="0"/>
        <v>2050</v>
      </c>
      <c r="AF13" s="8">
        <f t="shared" si="0"/>
        <v>2051</v>
      </c>
      <c r="AG13" s="8">
        <f t="shared" si="0"/>
        <v>2052</v>
      </c>
      <c r="AH13" s="8">
        <f t="shared" si="0"/>
        <v>2053</v>
      </c>
      <c r="AI13" s="8">
        <f t="shared" si="0"/>
        <v>2054</v>
      </c>
      <c r="AJ13" s="8">
        <f t="shared" si="0"/>
        <v>2055</v>
      </c>
      <c r="AK13" s="8">
        <f t="shared" si="0"/>
        <v>2056</v>
      </c>
      <c r="AL13" s="8">
        <f t="shared" si="0"/>
        <v>2057</v>
      </c>
      <c r="AM13" s="8">
        <f t="shared" si="0"/>
        <v>2058</v>
      </c>
      <c r="AN13" s="8">
        <f t="shared" si="0"/>
        <v>2059</v>
      </c>
      <c r="AO13" s="8">
        <f t="shared" si="0"/>
        <v>2060</v>
      </c>
      <c r="AP13" s="72">
        <f t="shared" si="0"/>
        <v>2061</v>
      </c>
    </row>
    <row r="14" spans="1:42" ht="15" customHeight="1" x14ac:dyDescent="0.35">
      <c r="A14" s="15"/>
      <c r="B14" s="21"/>
      <c r="C14" s="226"/>
      <c r="D14" s="10"/>
      <c r="E14" s="9"/>
      <c r="F14" s="10"/>
      <c r="G14" s="9"/>
      <c r="H14" s="10"/>
      <c r="I14" s="9"/>
      <c r="J14" s="10"/>
      <c r="K14" s="9"/>
      <c r="L14" s="10"/>
      <c r="M14" s="9"/>
      <c r="N14" s="10"/>
      <c r="O14" s="9"/>
      <c r="P14" s="10"/>
      <c r="Q14" s="9"/>
      <c r="R14" s="10"/>
      <c r="S14" s="9"/>
      <c r="T14" s="10"/>
      <c r="U14" s="9"/>
      <c r="V14" s="10"/>
      <c r="W14" s="9"/>
      <c r="X14" s="10"/>
      <c r="Y14" s="9"/>
      <c r="Z14" s="10"/>
      <c r="AA14" s="9"/>
      <c r="AB14" s="10"/>
      <c r="AC14" s="9"/>
      <c r="AD14" s="10"/>
      <c r="AE14" s="9"/>
      <c r="AF14" s="10"/>
      <c r="AG14" s="9"/>
      <c r="AH14" s="10"/>
      <c r="AI14" s="10"/>
      <c r="AJ14" s="10"/>
      <c r="AK14" s="10"/>
      <c r="AL14" s="10"/>
      <c r="AM14" s="10"/>
      <c r="AN14" s="10"/>
      <c r="AO14" s="10"/>
      <c r="AP14" s="71"/>
    </row>
    <row r="15" spans="1:42" ht="15" customHeight="1" x14ac:dyDescent="0.35">
      <c r="A15" s="16" t="s">
        <v>287</v>
      </c>
      <c r="B15" s="22"/>
      <c r="C15" s="225"/>
      <c r="D15" s="8"/>
      <c r="E15" s="11"/>
      <c r="F15" s="8"/>
      <c r="G15" s="11"/>
      <c r="H15" s="8"/>
      <c r="I15" s="11"/>
      <c r="J15" s="8"/>
      <c r="K15" s="11"/>
      <c r="L15" s="8"/>
      <c r="M15" s="11"/>
      <c r="N15" s="8"/>
      <c r="O15" s="11"/>
      <c r="P15" s="8"/>
      <c r="Q15" s="11"/>
      <c r="R15" s="8"/>
      <c r="S15" s="11"/>
      <c r="T15" s="8"/>
      <c r="U15" s="11"/>
      <c r="V15" s="8"/>
      <c r="W15" s="11"/>
      <c r="X15" s="8"/>
      <c r="Y15" s="11"/>
      <c r="Z15" s="8"/>
      <c r="AA15" s="11"/>
      <c r="AB15" s="8"/>
      <c r="AC15" s="11"/>
      <c r="AD15" s="8"/>
      <c r="AE15" s="11"/>
      <c r="AF15" s="8"/>
      <c r="AG15" s="11"/>
      <c r="AH15" s="8"/>
      <c r="AI15" s="8"/>
      <c r="AJ15" s="8"/>
      <c r="AK15" s="8"/>
      <c r="AL15" s="8"/>
      <c r="AM15" s="8"/>
      <c r="AN15" s="8"/>
      <c r="AO15" s="8"/>
      <c r="AP15" s="72"/>
    </row>
    <row r="16" spans="1:42" ht="15" customHeight="1" x14ac:dyDescent="0.35">
      <c r="A16" s="16"/>
      <c r="B16" s="22"/>
      <c r="C16" s="225"/>
      <c r="D16" s="8"/>
      <c r="E16" s="11"/>
      <c r="F16" s="8"/>
      <c r="G16" s="11"/>
      <c r="H16" s="8"/>
      <c r="I16" s="11"/>
      <c r="J16" s="8"/>
      <c r="K16" s="11"/>
      <c r="L16" s="8"/>
      <c r="M16" s="11"/>
      <c r="N16" s="8"/>
      <c r="O16" s="11"/>
      <c r="P16" s="8"/>
      <c r="Q16" s="11"/>
      <c r="R16" s="8"/>
      <c r="S16" s="11"/>
      <c r="T16" s="8"/>
      <c r="U16" s="11"/>
      <c r="V16" s="8"/>
      <c r="W16" s="11"/>
      <c r="X16" s="8"/>
      <c r="Y16" s="11"/>
      <c r="Z16" s="8"/>
      <c r="AA16" s="11"/>
      <c r="AB16" s="8"/>
      <c r="AC16" s="11"/>
      <c r="AD16" s="8"/>
      <c r="AE16" s="11"/>
      <c r="AF16" s="8"/>
      <c r="AG16" s="11"/>
      <c r="AH16" s="8"/>
      <c r="AI16" s="8"/>
      <c r="AJ16" s="8"/>
      <c r="AK16" s="8"/>
      <c r="AL16" s="8"/>
      <c r="AM16" s="8"/>
      <c r="AN16" s="8"/>
      <c r="AO16" s="8"/>
      <c r="AP16" s="72"/>
    </row>
    <row r="17" spans="1:42" ht="15" customHeight="1" x14ac:dyDescent="0.35">
      <c r="A17" s="17" t="s">
        <v>288</v>
      </c>
      <c r="B17" s="28"/>
      <c r="C17" s="227">
        <v>2</v>
      </c>
      <c r="D17">
        <v>3</v>
      </c>
      <c r="E17" s="29">
        <v>4</v>
      </c>
      <c r="F17">
        <v>5</v>
      </c>
      <c r="G17" s="29">
        <v>6</v>
      </c>
      <c r="H17">
        <v>7</v>
      </c>
      <c r="I17" s="29">
        <v>8</v>
      </c>
      <c r="J17">
        <v>9</v>
      </c>
      <c r="K17" s="29">
        <v>10</v>
      </c>
      <c r="L17">
        <v>11</v>
      </c>
      <c r="M17" s="29">
        <v>12</v>
      </c>
      <c r="N17">
        <v>13</v>
      </c>
      <c r="O17" s="29">
        <v>14</v>
      </c>
      <c r="P17">
        <v>15</v>
      </c>
      <c r="Q17" s="29">
        <v>16</v>
      </c>
      <c r="R17">
        <v>17</v>
      </c>
      <c r="S17" s="29">
        <v>18</v>
      </c>
      <c r="T17">
        <v>19</v>
      </c>
      <c r="U17" s="29">
        <v>20</v>
      </c>
      <c r="V17">
        <v>21</v>
      </c>
      <c r="W17" s="29">
        <v>22</v>
      </c>
      <c r="X17">
        <v>23</v>
      </c>
      <c r="Y17" s="29">
        <v>24</v>
      </c>
      <c r="Z17">
        <v>25</v>
      </c>
      <c r="AA17" s="29">
        <v>26</v>
      </c>
      <c r="AB17">
        <v>27</v>
      </c>
      <c r="AC17" s="29">
        <v>28</v>
      </c>
      <c r="AD17">
        <v>29</v>
      </c>
      <c r="AE17" s="29">
        <v>30</v>
      </c>
      <c r="AF17">
        <v>31</v>
      </c>
      <c r="AG17" s="29">
        <v>32</v>
      </c>
      <c r="AH17">
        <v>33</v>
      </c>
      <c r="AI17" s="29">
        <v>34</v>
      </c>
      <c r="AJ17">
        <v>35</v>
      </c>
      <c r="AK17" s="29">
        <v>36</v>
      </c>
      <c r="AL17">
        <v>37</v>
      </c>
      <c r="AM17" s="29">
        <v>38</v>
      </c>
      <c r="AN17">
        <v>39</v>
      </c>
      <c r="AO17" s="29">
        <v>40</v>
      </c>
      <c r="AP17" s="30">
        <v>41</v>
      </c>
    </row>
    <row r="18" spans="1:42" ht="15" customHeight="1" x14ac:dyDescent="0.35">
      <c r="A18" s="17" t="s">
        <v>289</v>
      </c>
      <c r="B18" s="171"/>
      <c r="C18" s="196"/>
      <c r="AP18" s="30"/>
    </row>
    <row r="19" spans="1:42" ht="15" customHeight="1" x14ac:dyDescent="0.35">
      <c r="A19" s="17" t="s">
        <v>290</v>
      </c>
      <c r="B19" s="258">
        <f>Inflation!Z10</f>
        <v>3.3428844317096473E-2</v>
      </c>
      <c r="C19" s="228">
        <f>Inflation!AD10</f>
        <v>7.3012939001848354E-2</v>
      </c>
      <c r="D19" s="229">
        <f>Inflation!AH10</f>
        <v>6.4000000000000001E-2</v>
      </c>
      <c r="E19" s="230">
        <f>Inflation!AL10</f>
        <v>3.5000000000000003E-2</v>
      </c>
      <c r="F19" s="230">
        <f>Inflation!AP10</f>
        <v>2.5000000000000001E-2</v>
      </c>
      <c r="G19" s="230">
        <f>Inflation!AT10</f>
        <v>0.02</v>
      </c>
      <c r="H19" s="230">
        <f>Inflation!AX10</f>
        <v>0.02</v>
      </c>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172"/>
    </row>
    <row r="20" spans="1:42" ht="15" customHeight="1" x14ac:dyDescent="0.35">
      <c r="A20" s="17" t="s">
        <v>291</v>
      </c>
      <c r="B20" s="257">
        <v>0.02</v>
      </c>
      <c r="C20" s="17"/>
      <c r="I20" s="20">
        <f t="shared" ref="I20:AP20" si="1">$B$20</f>
        <v>0.02</v>
      </c>
      <c r="J20" s="20">
        <f t="shared" si="1"/>
        <v>0.02</v>
      </c>
      <c r="K20" s="20">
        <f t="shared" si="1"/>
        <v>0.02</v>
      </c>
      <c r="L20" s="20">
        <f t="shared" si="1"/>
        <v>0.02</v>
      </c>
      <c r="M20" s="20">
        <f t="shared" si="1"/>
        <v>0.02</v>
      </c>
      <c r="N20" s="20">
        <f t="shared" si="1"/>
        <v>0.02</v>
      </c>
      <c r="O20" s="20">
        <f t="shared" si="1"/>
        <v>0.02</v>
      </c>
      <c r="P20" s="20">
        <f t="shared" si="1"/>
        <v>0.02</v>
      </c>
      <c r="Q20" s="20">
        <f t="shared" si="1"/>
        <v>0.02</v>
      </c>
      <c r="R20" s="20">
        <f t="shared" si="1"/>
        <v>0.02</v>
      </c>
      <c r="S20" s="20">
        <f t="shared" si="1"/>
        <v>0.02</v>
      </c>
      <c r="T20" s="20">
        <f t="shared" si="1"/>
        <v>0.02</v>
      </c>
      <c r="U20" s="20">
        <f t="shared" si="1"/>
        <v>0.02</v>
      </c>
      <c r="V20" s="20">
        <f t="shared" si="1"/>
        <v>0.02</v>
      </c>
      <c r="W20" s="20">
        <f t="shared" si="1"/>
        <v>0.02</v>
      </c>
      <c r="X20" s="20">
        <f t="shared" si="1"/>
        <v>0.02</v>
      </c>
      <c r="Y20" s="20">
        <f t="shared" si="1"/>
        <v>0.02</v>
      </c>
      <c r="Z20" s="20">
        <f t="shared" si="1"/>
        <v>0.02</v>
      </c>
      <c r="AA20" s="20">
        <f t="shared" si="1"/>
        <v>0.02</v>
      </c>
      <c r="AB20" s="20">
        <f t="shared" si="1"/>
        <v>0.02</v>
      </c>
      <c r="AC20" s="20">
        <f t="shared" si="1"/>
        <v>0.02</v>
      </c>
      <c r="AD20" s="20">
        <f t="shared" si="1"/>
        <v>0.02</v>
      </c>
      <c r="AE20" s="20">
        <f t="shared" si="1"/>
        <v>0.02</v>
      </c>
      <c r="AF20" s="20">
        <f t="shared" si="1"/>
        <v>0.02</v>
      </c>
      <c r="AG20" s="20">
        <f t="shared" si="1"/>
        <v>0.02</v>
      </c>
      <c r="AH20" s="20">
        <f t="shared" si="1"/>
        <v>0.02</v>
      </c>
      <c r="AI20" s="20">
        <f t="shared" si="1"/>
        <v>0.02</v>
      </c>
      <c r="AJ20" s="20">
        <f t="shared" si="1"/>
        <v>0.02</v>
      </c>
      <c r="AK20" s="20">
        <f t="shared" si="1"/>
        <v>0.02</v>
      </c>
      <c r="AL20" s="20">
        <f t="shared" si="1"/>
        <v>0.02</v>
      </c>
      <c r="AM20" s="20">
        <f t="shared" si="1"/>
        <v>0.02</v>
      </c>
      <c r="AN20" s="20">
        <f t="shared" si="1"/>
        <v>0.02</v>
      </c>
      <c r="AO20" s="20">
        <f t="shared" si="1"/>
        <v>0.02</v>
      </c>
      <c r="AP20" s="173">
        <f t="shared" si="1"/>
        <v>0.02</v>
      </c>
    </row>
    <row r="21" spans="1:42" ht="15" customHeight="1" x14ac:dyDescent="0.35">
      <c r="A21" s="17" t="s">
        <v>292</v>
      </c>
      <c r="B21" s="171"/>
      <c r="C21" s="17"/>
      <c r="E21" s="8">
        <v>1</v>
      </c>
      <c r="F21" s="232">
        <f>E21*(1+SUM(F19:F20))</f>
        <v>1.0249999999999999</v>
      </c>
      <c r="G21" s="232">
        <f t="shared" ref="G21:AP21" si="2">F21*(1+SUM(G19:G20))</f>
        <v>1.0454999999999999</v>
      </c>
      <c r="H21" s="232">
        <f t="shared" si="2"/>
        <v>1.0664099999999999</v>
      </c>
      <c r="I21" s="232">
        <f t="shared" si="2"/>
        <v>1.0877381999999998</v>
      </c>
      <c r="J21" s="232">
        <f>I21*(1+SUM(J19:J20))</f>
        <v>1.1094929639999997</v>
      </c>
      <c r="K21" s="232">
        <f t="shared" si="2"/>
        <v>1.1316828232799998</v>
      </c>
      <c r="L21" s="232">
        <f t="shared" si="2"/>
        <v>1.1543164797455998</v>
      </c>
      <c r="M21" s="232">
        <f t="shared" si="2"/>
        <v>1.1774028093405118</v>
      </c>
      <c r="N21" s="232">
        <f t="shared" si="2"/>
        <v>1.200950865527322</v>
      </c>
      <c r="O21" s="232">
        <f t="shared" si="2"/>
        <v>1.2249698828378686</v>
      </c>
      <c r="P21" s="232">
        <f t="shared" si="2"/>
        <v>1.2494692804946259</v>
      </c>
      <c r="Q21" s="232">
        <f t="shared" si="2"/>
        <v>1.2744586661045185</v>
      </c>
      <c r="R21" s="232">
        <f t="shared" si="2"/>
        <v>1.2999478394266089</v>
      </c>
      <c r="S21" s="232">
        <f t="shared" si="2"/>
        <v>1.325946796215141</v>
      </c>
      <c r="T21" s="232">
        <f t="shared" si="2"/>
        <v>1.3524657321394438</v>
      </c>
      <c r="U21" s="232">
        <f t="shared" si="2"/>
        <v>1.3795150467822326</v>
      </c>
      <c r="V21" s="232">
        <f t="shared" si="2"/>
        <v>1.4071053477178772</v>
      </c>
      <c r="W21" s="232">
        <f t="shared" si="2"/>
        <v>1.4352474546722347</v>
      </c>
      <c r="X21" s="232">
        <f t="shared" si="2"/>
        <v>1.4639524037656795</v>
      </c>
      <c r="Y21" s="232">
        <f t="shared" si="2"/>
        <v>1.493231451840993</v>
      </c>
      <c r="Z21" s="232">
        <f t="shared" si="2"/>
        <v>1.5230960808778129</v>
      </c>
      <c r="AA21" s="232">
        <f t="shared" si="2"/>
        <v>1.5535580024953692</v>
      </c>
      <c r="AB21" s="232">
        <f t="shared" si="2"/>
        <v>1.5846291625452766</v>
      </c>
      <c r="AC21" s="232">
        <f t="shared" si="2"/>
        <v>1.6163217457961823</v>
      </c>
      <c r="AD21" s="232">
        <f t="shared" si="2"/>
        <v>1.6486481807121058</v>
      </c>
      <c r="AE21" s="232">
        <f t="shared" si="2"/>
        <v>1.681621144326348</v>
      </c>
      <c r="AF21" s="232">
        <f t="shared" si="2"/>
        <v>1.715253567212875</v>
      </c>
      <c r="AG21" s="232">
        <f t="shared" si="2"/>
        <v>1.7495586385571325</v>
      </c>
      <c r="AH21" s="232">
        <f t="shared" si="2"/>
        <v>1.7845498113282752</v>
      </c>
      <c r="AI21" s="232">
        <f t="shared" si="2"/>
        <v>1.8202408075548406</v>
      </c>
      <c r="AJ21" s="232">
        <f t="shared" si="2"/>
        <v>1.8566456237059374</v>
      </c>
      <c r="AK21" s="232">
        <f t="shared" si="2"/>
        <v>1.8937785361800563</v>
      </c>
      <c r="AL21" s="232">
        <f t="shared" si="2"/>
        <v>1.9316541069036575</v>
      </c>
      <c r="AM21" s="232">
        <f t="shared" si="2"/>
        <v>1.9702871890417306</v>
      </c>
      <c r="AN21" s="232">
        <f t="shared" si="2"/>
        <v>2.0096929328225652</v>
      </c>
      <c r="AO21" s="232">
        <f t="shared" si="2"/>
        <v>2.0498867914790164</v>
      </c>
      <c r="AP21" s="233">
        <f t="shared" si="2"/>
        <v>2.0908845273085968</v>
      </c>
    </row>
    <row r="22" spans="1:42" ht="15" customHeight="1" x14ac:dyDescent="0.35">
      <c r="A22" s="17" t="s">
        <v>293</v>
      </c>
      <c r="B22" s="171"/>
      <c r="C22" s="234">
        <v>1</v>
      </c>
      <c r="D22" s="231">
        <f t="shared" ref="D22:AP22" si="3">C22*(1+SUM(D19:D20))</f>
        <v>1.0640000000000001</v>
      </c>
      <c r="E22" s="231">
        <f t="shared" si="3"/>
        <v>1.10124</v>
      </c>
      <c r="F22" s="231">
        <f t="shared" si="3"/>
        <v>1.128771</v>
      </c>
      <c r="G22" s="231">
        <f t="shared" si="3"/>
        <v>1.1513464200000001</v>
      </c>
      <c r="H22" s="231">
        <f t="shared" si="3"/>
        <v>1.1743733484000001</v>
      </c>
      <c r="I22" s="231">
        <f t="shared" si="3"/>
        <v>1.1978608153680002</v>
      </c>
      <c r="J22" s="231">
        <f t="shared" si="3"/>
        <v>1.2218180316753602</v>
      </c>
      <c r="K22" s="231">
        <f t="shared" si="3"/>
        <v>1.2462543923088674</v>
      </c>
      <c r="L22" s="231">
        <f t="shared" si="3"/>
        <v>1.2711794801550447</v>
      </c>
      <c r="M22" s="231">
        <f t="shared" si="3"/>
        <v>1.2966030697581457</v>
      </c>
      <c r="N22" s="231">
        <f t="shared" si="3"/>
        <v>1.3225351311533087</v>
      </c>
      <c r="O22" s="231">
        <f t="shared" si="3"/>
        <v>1.3489858337763749</v>
      </c>
      <c r="P22" s="231">
        <f t="shared" si="3"/>
        <v>1.3759655504519024</v>
      </c>
      <c r="Q22" s="231">
        <f t="shared" si="3"/>
        <v>1.4034848614609405</v>
      </c>
      <c r="R22" s="231">
        <f t="shared" si="3"/>
        <v>1.4315545586901595</v>
      </c>
      <c r="S22" s="231">
        <f t="shared" si="3"/>
        <v>1.4601856498639627</v>
      </c>
      <c r="T22" s="231">
        <f t="shared" si="3"/>
        <v>1.489389362861242</v>
      </c>
      <c r="U22" s="231">
        <f t="shared" si="3"/>
        <v>1.519177150118467</v>
      </c>
      <c r="V22" s="231">
        <f t="shared" si="3"/>
        <v>1.5495606931208363</v>
      </c>
      <c r="W22" s="231">
        <f t="shared" si="3"/>
        <v>1.580551906983253</v>
      </c>
      <c r="X22" s="231">
        <f t="shared" si="3"/>
        <v>1.612162945122918</v>
      </c>
      <c r="Y22" s="231">
        <f t="shared" si="3"/>
        <v>1.6444062040253764</v>
      </c>
      <c r="Z22" s="231">
        <f t="shared" si="3"/>
        <v>1.6772943281058839</v>
      </c>
      <c r="AA22" s="231">
        <f t="shared" si="3"/>
        <v>1.7108402146680015</v>
      </c>
      <c r="AB22" s="231">
        <f t="shared" si="3"/>
        <v>1.7450570189613617</v>
      </c>
      <c r="AC22" s="231">
        <f t="shared" si="3"/>
        <v>1.7799581593405889</v>
      </c>
      <c r="AD22" s="231">
        <f t="shared" si="3"/>
        <v>1.8155573225274007</v>
      </c>
      <c r="AE22" s="231">
        <f t="shared" si="3"/>
        <v>1.8518684689779488</v>
      </c>
      <c r="AF22" s="231">
        <f t="shared" si="3"/>
        <v>1.8889058383575077</v>
      </c>
      <c r="AG22" s="231">
        <f t="shared" si="3"/>
        <v>1.926683955124658</v>
      </c>
      <c r="AH22" s="231">
        <f t="shared" si="3"/>
        <v>1.9652176342271512</v>
      </c>
      <c r="AI22" s="231">
        <f t="shared" si="3"/>
        <v>2.0045219869116941</v>
      </c>
      <c r="AJ22" s="231">
        <f t="shared" si="3"/>
        <v>2.0446124266499281</v>
      </c>
      <c r="AK22" s="231">
        <f t="shared" si="3"/>
        <v>2.0855046751829267</v>
      </c>
      <c r="AL22" s="231">
        <f t="shared" si="3"/>
        <v>2.1272147686865854</v>
      </c>
      <c r="AM22" s="231">
        <f t="shared" si="3"/>
        <v>2.169759064060317</v>
      </c>
      <c r="AN22" s="231">
        <f t="shared" si="3"/>
        <v>2.2131542453415234</v>
      </c>
      <c r="AO22" s="231">
        <f t="shared" si="3"/>
        <v>2.2574173302483538</v>
      </c>
      <c r="AP22" s="172">
        <f t="shared" si="3"/>
        <v>2.3025656768533209</v>
      </c>
    </row>
    <row r="23" spans="1:42" ht="15" customHeight="1" x14ac:dyDescent="0.35">
      <c r="A23" s="17" t="s">
        <v>294</v>
      </c>
      <c r="B23" s="171"/>
      <c r="C23" s="234">
        <f>(1+B19)*(1+C19)</f>
        <v>1.1088825214899714</v>
      </c>
      <c r="D23" s="231">
        <f>C23*(1+D19)</f>
        <v>1.1798510028653295</v>
      </c>
      <c r="E23" s="231">
        <f>D23*(1+E19)</f>
        <v>1.221145787965616</v>
      </c>
      <c r="F23" s="231">
        <f>E23*(1+F19)</f>
        <v>1.2516744326647562</v>
      </c>
      <c r="G23" s="231">
        <f>F23*(1+G19)</f>
        <v>1.2767079213180514</v>
      </c>
      <c r="H23" s="231">
        <f>G23*(1+H19)</f>
        <v>1.3022420797444125</v>
      </c>
      <c r="I23" s="231">
        <f t="shared" ref="I23:AP23" si="4">H23*(1+$B$20)</f>
        <v>1.3282869213393007</v>
      </c>
      <c r="J23" s="231">
        <f t="shared" si="4"/>
        <v>1.3548526597660868</v>
      </c>
      <c r="K23" s="231">
        <f t="shared" si="4"/>
        <v>1.3819497129614087</v>
      </c>
      <c r="L23" s="231">
        <f t="shared" si="4"/>
        <v>1.4095887072206368</v>
      </c>
      <c r="M23" s="231">
        <f t="shared" si="4"/>
        <v>1.4377804813650494</v>
      </c>
      <c r="N23" s="231">
        <f t="shared" si="4"/>
        <v>1.4665360909923504</v>
      </c>
      <c r="O23" s="231">
        <f t="shared" si="4"/>
        <v>1.4958668128121975</v>
      </c>
      <c r="P23" s="231">
        <f t="shared" si="4"/>
        <v>1.5257841490684414</v>
      </c>
      <c r="Q23" s="231">
        <f t="shared" si="4"/>
        <v>1.5562998320498103</v>
      </c>
      <c r="R23" s="231">
        <f t="shared" si="4"/>
        <v>1.5874258286908065</v>
      </c>
      <c r="S23" s="231">
        <f t="shared" si="4"/>
        <v>1.6191743452646226</v>
      </c>
      <c r="T23" s="231">
        <f t="shared" si="4"/>
        <v>1.6515578321699151</v>
      </c>
      <c r="U23" s="231">
        <f t="shared" si="4"/>
        <v>1.6845889888133134</v>
      </c>
      <c r="V23" s="231">
        <f t="shared" si="4"/>
        <v>1.7182807685895798</v>
      </c>
      <c r="W23" s="231">
        <f t="shared" si="4"/>
        <v>1.7526463839613715</v>
      </c>
      <c r="X23" s="231">
        <f t="shared" si="4"/>
        <v>1.787699311640599</v>
      </c>
      <c r="Y23" s="231">
        <f t="shared" si="4"/>
        <v>1.823453297873411</v>
      </c>
      <c r="Z23" s="231">
        <f t="shared" si="4"/>
        <v>1.8599223638308793</v>
      </c>
      <c r="AA23" s="231">
        <f t="shared" si="4"/>
        <v>1.8971208111074969</v>
      </c>
      <c r="AB23" s="231">
        <f t="shared" si="4"/>
        <v>1.9350632273296469</v>
      </c>
      <c r="AC23" s="231">
        <f t="shared" si="4"/>
        <v>1.9737644918762398</v>
      </c>
      <c r="AD23" s="231">
        <f t="shared" si="4"/>
        <v>2.0132397817137648</v>
      </c>
      <c r="AE23" s="231">
        <f t="shared" si="4"/>
        <v>2.0535045773480403</v>
      </c>
      <c r="AF23" s="231">
        <f t="shared" si="4"/>
        <v>2.0945746688950013</v>
      </c>
      <c r="AG23" s="231">
        <f t="shared" si="4"/>
        <v>2.1364661622729013</v>
      </c>
      <c r="AH23" s="231">
        <f t="shared" si="4"/>
        <v>2.1791954855183593</v>
      </c>
      <c r="AI23" s="231">
        <f t="shared" si="4"/>
        <v>2.2227793952287267</v>
      </c>
      <c r="AJ23" s="231">
        <f t="shared" si="4"/>
        <v>2.2672349831333012</v>
      </c>
      <c r="AK23" s="231">
        <f t="shared" si="4"/>
        <v>2.3125796827959673</v>
      </c>
      <c r="AL23" s="231">
        <f t="shared" si="4"/>
        <v>2.3588312764518866</v>
      </c>
      <c r="AM23" s="231">
        <f t="shared" si="4"/>
        <v>2.4060079019809244</v>
      </c>
      <c r="AN23" s="231">
        <f t="shared" si="4"/>
        <v>2.4541280600205431</v>
      </c>
      <c r="AO23" s="231">
        <f t="shared" si="4"/>
        <v>2.5032106212209539</v>
      </c>
      <c r="AP23" s="172">
        <f t="shared" si="4"/>
        <v>2.5532748336453732</v>
      </c>
    </row>
    <row r="24" spans="1:42" ht="15" customHeight="1" x14ac:dyDescent="0.35">
      <c r="A24" s="17"/>
      <c r="B24" s="171"/>
      <c r="C24" s="196"/>
      <c r="AP24" s="30"/>
    </row>
    <row r="25" spans="1:42" ht="15" customHeight="1" x14ac:dyDescent="0.35">
      <c r="A25" s="17" t="s">
        <v>295</v>
      </c>
      <c r="B25" s="257">
        <v>0.02</v>
      </c>
      <c r="C25" s="234"/>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172"/>
    </row>
    <row r="26" spans="1:42" ht="15" customHeight="1" x14ac:dyDescent="0.35">
      <c r="A26" s="17" t="s">
        <v>296</v>
      </c>
      <c r="B26" s="257">
        <f>IF(B4=$B$310,B25,B8)</f>
        <v>0.01</v>
      </c>
      <c r="C26" s="234">
        <v>1</v>
      </c>
      <c r="D26" s="231">
        <f>IF(OR(D13=$D$13, D13=$E$13), C26*(1+SUM(D19:D20)+$B$25), C26*(1+SUM(D19:D20)+$B$26))</f>
        <v>1.0840000000000001</v>
      </c>
      <c r="E26" s="231">
        <f>IF(OR(E13=$D$13, E13=$E$13), D26*(1+SUM(E19:E20)+$B$25), D26*(1+SUM(E19:E20)+$B$26))</f>
        <v>1.1436200000000001</v>
      </c>
      <c r="F26" s="231">
        <f t="shared" ref="F26:AP26" si="5">IF(OR(F13=$D$13, F13=$E$13), E26*(1+SUM(F19:F20)+$B$25), E26*(1+SUM(F19:F20)+$B$26))</f>
        <v>1.1836466999999999</v>
      </c>
      <c r="G26" s="231">
        <f t="shared" si="5"/>
        <v>1.219156101</v>
      </c>
      <c r="H26" s="231">
        <f t="shared" si="5"/>
        <v>1.25573078403</v>
      </c>
      <c r="I26" s="231">
        <f t="shared" si="5"/>
        <v>1.2934027075509</v>
      </c>
      <c r="J26" s="231">
        <f t="shared" si="5"/>
        <v>1.3322047887774271</v>
      </c>
      <c r="K26" s="231">
        <f t="shared" si="5"/>
        <v>1.3721709324407498</v>
      </c>
      <c r="L26" s="231">
        <f t="shared" si="5"/>
        <v>1.4133360604139724</v>
      </c>
      <c r="M26" s="231">
        <f t="shared" si="5"/>
        <v>1.4557361422263917</v>
      </c>
      <c r="N26" s="231">
        <f t="shared" si="5"/>
        <v>1.4994082264931834</v>
      </c>
      <c r="O26" s="231">
        <f t="shared" si="5"/>
        <v>1.544390473287979</v>
      </c>
      <c r="P26" s="231">
        <f t="shared" si="5"/>
        <v>1.5907221874866184</v>
      </c>
      <c r="Q26" s="231">
        <f t="shared" si="5"/>
        <v>1.6384438531112171</v>
      </c>
      <c r="R26" s="231">
        <f t="shared" si="5"/>
        <v>1.6875971687045537</v>
      </c>
      <c r="S26" s="231">
        <f t="shared" si="5"/>
        <v>1.7382250837656903</v>
      </c>
      <c r="T26" s="231">
        <f t="shared" si="5"/>
        <v>1.7903718362786611</v>
      </c>
      <c r="U26" s="231">
        <f t="shared" si="5"/>
        <v>1.8440829913670209</v>
      </c>
      <c r="V26" s="231">
        <f t="shared" si="5"/>
        <v>1.8994054811080316</v>
      </c>
      <c r="W26" s="231">
        <f t="shared" si="5"/>
        <v>1.9563876455412725</v>
      </c>
      <c r="X26" s="231">
        <f t="shared" si="5"/>
        <v>2.0150792749075106</v>
      </c>
      <c r="Y26" s="231">
        <f t="shared" si="5"/>
        <v>2.0755316531547359</v>
      </c>
      <c r="Z26" s="231">
        <f t="shared" si="5"/>
        <v>2.1377976027493779</v>
      </c>
      <c r="AA26" s="231">
        <f t="shared" si="5"/>
        <v>2.2019315308318594</v>
      </c>
      <c r="AB26" s="231">
        <f t="shared" si="5"/>
        <v>2.2679894767568154</v>
      </c>
      <c r="AC26" s="231">
        <f t="shared" si="5"/>
        <v>2.3360291610595199</v>
      </c>
      <c r="AD26" s="231">
        <f t="shared" si="5"/>
        <v>2.4061100358913055</v>
      </c>
      <c r="AE26" s="231">
        <f t="shared" si="5"/>
        <v>2.4782933369680449</v>
      </c>
      <c r="AF26" s="231">
        <f t="shared" si="5"/>
        <v>2.5526421370770862</v>
      </c>
      <c r="AG26" s="231">
        <f t="shared" si="5"/>
        <v>2.6292214011893988</v>
      </c>
      <c r="AH26" s="231">
        <f t="shared" si="5"/>
        <v>2.708098043225081</v>
      </c>
      <c r="AI26" s="231">
        <f t="shared" si="5"/>
        <v>2.7893409845218335</v>
      </c>
      <c r="AJ26" s="231">
        <f t="shared" si="5"/>
        <v>2.8730212140574887</v>
      </c>
      <c r="AK26" s="231">
        <f t="shared" si="5"/>
        <v>2.9592118504792135</v>
      </c>
      <c r="AL26" s="231">
        <f t="shared" si="5"/>
        <v>3.0479882059935899</v>
      </c>
      <c r="AM26" s="231">
        <f t="shared" si="5"/>
        <v>3.1394278521733976</v>
      </c>
      <c r="AN26" s="231">
        <f t="shared" si="5"/>
        <v>3.2336106877385995</v>
      </c>
      <c r="AO26" s="231">
        <f t="shared" si="5"/>
        <v>3.3306190083707574</v>
      </c>
      <c r="AP26" s="172">
        <f t="shared" si="5"/>
        <v>3.4305375786218804</v>
      </c>
    </row>
    <row r="27" spans="1:42" ht="15" customHeight="1" x14ac:dyDescent="0.35">
      <c r="A27" s="17"/>
      <c r="B27" s="171"/>
      <c r="C27" s="234"/>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172"/>
    </row>
    <row r="28" spans="1:42" ht="15" customHeight="1" x14ac:dyDescent="0.35">
      <c r="A28" s="17" t="s">
        <v>297</v>
      </c>
      <c r="B28" s="257">
        <f>Data!BW80</f>
        <v>2.0914706452245468E-2</v>
      </c>
      <c r="C28" s="234">
        <f t="shared" ref="C28:AP28" si="6">(1+$B$28)^C17</f>
        <v>1.0422668378504745</v>
      </c>
      <c r="D28" s="231">
        <f t="shared" si="6"/>
        <v>1.0640655428090273</v>
      </c>
      <c r="E28" s="231">
        <f t="shared" si="6"/>
        <v>1.0863201612828273</v>
      </c>
      <c r="F28" s="231">
        <f t="shared" si="6"/>
        <v>1.1090402285692136</v>
      </c>
      <c r="G28" s="231">
        <f t="shared" si="6"/>
        <v>1.1322354793934699</v>
      </c>
      <c r="H28" s="231">
        <f t="shared" si="6"/>
        <v>1.1559158520798016</v>
      </c>
      <c r="I28" s="231">
        <f t="shared" si="6"/>
        <v>1.1800914928095478</v>
      </c>
      <c r="J28" s="231">
        <f t="shared" si="6"/>
        <v>1.2047727599684517</v>
      </c>
      <c r="K28" s="231">
        <f t="shared" si="6"/>
        <v>1.2299702285848533</v>
      </c>
      <c r="L28" s="231">
        <f t="shared" si="6"/>
        <v>1.2556946948607068</v>
      </c>
      <c r="M28" s="231">
        <f t="shared" si="6"/>
        <v>1.2819571807973604</v>
      </c>
      <c r="N28" s="231">
        <f t="shared" si="6"/>
        <v>1.3087689389180854</v>
      </c>
      <c r="O28" s="231">
        <f t="shared" si="6"/>
        <v>1.3361414570893739</v>
      </c>
      <c r="P28" s="231">
        <f t="shared" si="6"/>
        <v>1.3640864634430736</v>
      </c>
      <c r="Q28" s="231">
        <f t="shared" si="6"/>
        <v>1.392615931401467</v>
      </c>
      <c r="R28" s="231">
        <f t="shared" si="6"/>
        <v>1.4217420848074491</v>
      </c>
      <c r="S28" s="231">
        <f t="shared" si="6"/>
        <v>1.4514774031620004</v>
      </c>
      <c r="T28" s="231">
        <f t="shared" si="6"/>
        <v>1.4818346269712011</v>
      </c>
      <c r="U28" s="231">
        <f t="shared" si="6"/>
        <v>1.5128267632050763</v>
      </c>
      <c r="V28" s="231">
        <f t="shared" si="6"/>
        <v>1.5444670908706113</v>
      </c>
      <c r="W28" s="231">
        <f t="shared" si="6"/>
        <v>1.5767691667013235</v>
      </c>
      <c r="X28" s="231">
        <f t="shared" si="6"/>
        <v>1.6097468309658334</v>
      </c>
      <c r="Y28" s="231">
        <f t="shared" si="6"/>
        <v>1.6434142133979162</v>
      </c>
      <c r="Z28" s="231">
        <f t="shared" si="6"/>
        <v>1.6777857392505813</v>
      </c>
      <c r="AA28" s="231">
        <f t="shared" si="6"/>
        <v>1.7128761354767708</v>
      </c>
      <c r="AB28" s="231">
        <f t="shared" si="6"/>
        <v>1.7487004370393242</v>
      </c>
      <c r="AC28" s="231">
        <f t="shared" si="6"/>
        <v>1.7852739933529149</v>
      </c>
      <c r="AD28" s="231">
        <f t="shared" si="6"/>
        <v>1.8226124748607193</v>
      </c>
      <c r="AE28" s="231">
        <f t="shared" si="6"/>
        <v>1.8607318797486316</v>
      </c>
      <c r="AF28" s="231">
        <f t="shared" si="6"/>
        <v>1.8996485407999091</v>
      </c>
      <c r="AG28" s="231">
        <f t="shared" si="6"/>
        <v>1.9393791323931755</v>
      </c>
      <c r="AH28" s="231">
        <f t="shared" si="6"/>
        <v>1.9799406776467892</v>
      </c>
      <c r="AI28" s="231">
        <f t="shared" si="6"/>
        <v>2.0213505557126319</v>
      </c>
      <c r="AJ28" s="231">
        <f t="shared" si="6"/>
        <v>2.0636265092224448</v>
      </c>
      <c r="AK28" s="231">
        <f t="shared" si="6"/>
        <v>2.1067866518899039</v>
      </c>
      <c r="AL28" s="231">
        <f t="shared" si="6"/>
        <v>2.1508494762716905</v>
      </c>
      <c r="AM28" s="231">
        <f t="shared" si="6"/>
        <v>2.195833861690879</v>
      </c>
      <c r="AN28" s="231">
        <f t="shared" si="6"/>
        <v>2.2417590823260438</v>
      </c>
      <c r="AO28" s="231">
        <f t="shared" si="6"/>
        <v>2.288644815469548</v>
      </c>
      <c r="AP28" s="172">
        <f t="shared" si="6"/>
        <v>2.3365111499585471</v>
      </c>
    </row>
    <row r="29" spans="1:42" ht="15" customHeight="1" x14ac:dyDescent="0.35">
      <c r="A29" s="17" t="s">
        <v>298</v>
      </c>
      <c r="B29" s="171"/>
      <c r="C29" s="234"/>
      <c r="D29" s="231"/>
      <c r="E29" s="235">
        <v>1</v>
      </c>
      <c r="F29" s="235">
        <f t="shared" ref="F29:AP29" si="7">E29*(1+$B$28)</f>
        <v>1.0209147064522455</v>
      </c>
      <c r="G29" s="235">
        <f t="shared" si="7"/>
        <v>1.0422668378504745</v>
      </c>
      <c r="H29" s="235">
        <f t="shared" si="7"/>
        <v>1.0640655428090273</v>
      </c>
      <c r="I29" s="235">
        <f t="shared" si="7"/>
        <v>1.0863201612828273</v>
      </c>
      <c r="J29" s="235">
        <f t="shared" si="7"/>
        <v>1.1090402285692136</v>
      </c>
      <c r="K29" s="235">
        <f t="shared" si="7"/>
        <v>1.1322354793934699</v>
      </c>
      <c r="L29" s="235">
        <f t="shared" si="7"/>
        <v>1.1559158520798019</v>
      </c>
      <c r="M29" s="235">
        <f t="shared" si="7"/>
        <v>1.1800914928095481</v>
      </c>
      <c r="N29" s="235">
        <f t="shared" si="7"/>
        <v>1.2047727599684519</v>
      </c>
      <c r="O29" s="235">
        <f t="shared" si="7"/>
        <v>1.2299702285848537</v>
      </c>
      <c r="P29" s="235">
        <f t="shared" si="7"/>
        <v>1.2556946948607073</v>
      </c>
      <c r="Q29" s="235">
        <f t="shared" si="7"/>
        <v>1.2819571807973609</v>
      </c>
      <c r="R29" s="235">
        <f t="shared" si="7"/>
        <v>1.3087689389180859</v>
      </c>
      <c r="S29" s="235">
        <f t="shared" si="7"/>
        <v>1.3361414570893744</v>
      </c>
      <c r="T29" s="235">
        <f t="shared" si="7"/>
        <v>1.3640864634430743</v>
      </c>
      <c r="U29" s="235">
        <f t="shared" si="7"/>
        <v>1.3926159314014679</v>
      </c>
      <c r="V29" s="235">
        <f t="shared" si="7"/>
        <v>1.42174208480745</v>
      </c>
      <c r="W29" s="235">
        <f t="shared" si="7"/>
        <v>1.4514774031620012</v>
      </c>
      <c r="X29" s="235">
        <f t="shared" si="7"/>
        <v>1.4818346269712019</v>
      </c>
      <c r="Y29" s="235">
        <f t="shared" si="7"/>
        <v>1.5128267632050774</v>
      </c>
      <c r="Z29" s="235">
        <f t="shared" si="7"/>
        <v>1.5444670908706122</v>
      </c>
      <c r="AA29" s="235">
        <f t="shared" si="7"/>
        <v>1.5767691667013246</v>
      </c>
      <c r="AB29" s="235">
        <f t="shared" si="7"/>
        <v>1.6097468309658345</v>
      </c>
      <c r="AC29" s="235">
        <f t="shared" si="7"/>
        <v>1.6434142133979173</v>
      </c>
      <c r="AD29" s="235">
        <f t="shared" si="7"/>
        <v>1.6777857392505826</v>
      </c>
      <c r="AE29" s="235">
        <f t="shared" si="7"/>
        <v>1.7128761354767723</v>
      </c>
      <c r="AF29" s="235">
        <f t="shared" si="7"/>
        <v>1.7487004370393255</v>
      </c>
      <c r="AG29" s="235">
        <f t="shared" si="7"/>
        <v>1.7852739933529165</v>
      </c>
      <c r="AH29" s="235">
        <f t="shared" si="7"/>
        <v>1.8226124748607206</v>
      </c>
      <c r="AI29" s="235">
        <f t="shared" si="7"/>
        <v>1.8607318797486332</v>
      </c>
      <c r="AJ29" s="235">
        <f t="shared" si="7"/>
        <v>1.8996485407999109</v>
      </c>
      <c r="AK29" s="235">
        <f t="shared" si="7"/>
        <v>1.9393791323931775</v>
      </c>
      <c r="AL29" s="235">
        <f t="shared" si="7"/>
        <v>1.9799406776467914</v>
      </c>
      <c r="AM29" s="235">
        <f t="shared" si="7"/>
        <v>2.0213505557126341</v>
      </c>
      <c r="AN29" s="235">
        <f t="shared" si="7"/>
        <v>2.0636265092224471</v>
      </c>
      <c r="AO29" s="235">
        <f t="shared" si="7"/>
        <v>2.1067866518899065</v>
      </c>
      <c r="AP29" s="236">
        <f t="shared" si="7"/>
        <v>2.1508494762716932</v>
      </c>
    </row>
    <row r="30" spans="1:42" ht="15" customHeight="1" x14ac:dyDescent="0.35">
      <c r="A30" s="17"/>
      <c r="B30" s="171"/>
      <c r="C30" s="234"/>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172"/>
    </row>
    <row r="31" spans="1:42" ht="15" customHeight="1" x14ac:dyDescent="0.35">
      <c r="A31" s="17" t="s">
        <v>299</v>
      </c>
      <c r="B31" s="28">
        <v>2025</v>
      </c>
      <c r="C31" s="234"/>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172"/>
    </row>
    <row r="32" spans="1:42" ht="15" customHeight="1" thickBot="1" x14ac:dyDescent="0.4">
      <c r="A32" s="17" t="s">
        <v>300</v>
      </c>
      <c r="B32" s="28">
        <v>2054</v>
      </c>
      <c r="C32" s="18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4"/>
    </row>
    <row r="33" spans="1:42" ht="15" customHeight="1" x14ac:dyDescent="0.35">
      <c r="A33" s="15" t="s">
        <v>301</v>
      </c>
      <c r="B33" s="32"/>
      <c r="C33" s="237"/>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6"/>
    </row>
    <row r="34" spans="1:42" ht="15" customHeight="1" x14ac:dyDescent="0.35">
      <c r="A34" s="17"/>
      <c r="B34" s="28"/>
      <c r="C34" s="196"/>
      <c r="AP34" s="30"/>
    </row>
    <row r="35" spans="1:42" ht="15" customHeight="1" x14ac:dyDescent="0.35">
      <c r="A35" s="17" t="s">
        <v>302</v>
      </c>
      <c r="B35" s="253">
        <f>Data!BR80</f>
        <v>25492720392.456287</v>
      </c>
      <c r="C35" s="196">
        <f>B35*(1+Inflation!Z19)*(1+Inflation!AD19)</f>
        <v>29964574988.785858</v>
      </c>
      <c r="D35" s="29">
        <f>$C35*D$26</f>
        <v>32481599287.843872</v>
      </c>
      <c r="E35" s="29">
        <f>$C35*E$26</f>
        <v>34268087248.675285</v>
      </c>
      <c r="F35" s="29">
        <f>$C35*F$26</f>
        <v>35467470302.378914</v>
      </c>
      <c r="AP35" s="30"/>
    </row>
    <row r="36" spans="1:42" ht="15" customHeight="1" x14ac:dyDescent="0.35">
      <c r="A36" s="17" t="s">
        <v>303</v>
      </c>
      <c r="B36" s="253">
        <f>B35</f>
        <v>25492720392.456287</v>
      </c>
      <c r="C36" s="196">
        <f>C35</f>
        <v>29964574988.785858</v>
      </c>
      <c r="D36" s="29">
        <f t="shared" ref="D36:F37" si="8">$C36*D$26</f>
        <v>32481599287.843872</v>
      </c>
      <c r="E36" s="29">
        <f t="shared" si="8"/>
        <v>34268087248.675285</v>
      </c>
      <c r="F36" s="29">
        <f t="shared" si="8"/>
        <v>35467470302.378914</v>
      </c>
      <c r="AP36" s="30"/>
    </row>
    <row r="37" spans="1:42" ht="15" customHeight="1" x14ac:dyDescent="0.35">
      <c r="A37" s="17" t="s">
        <v>304</v>
      </c>
      <c r="B37" s="253">
        <f>B36/2</f>
        <v>12746360196.228144</v>
      </c>
      <c r="C37" s="196">
        <f>C36/2</f>
        <v>14982287494.392929</v>
      </c>
      <c r="D37" s="29">
        <f t="shared" si="8"/>
        <v>16240799643.921936</v>
      </c>
      <c r="E37" s="29">
        <f>$C37*E$26</f>
        <v>17134043624.337643</v>
      </c>
      <c r="F37" s="29">
        <f>$C37*F$26</f>
        <v>17733735151.189457</v>
      </c>
      <c r="AP37" s="30"/>
    </row>
    <row r="38" spans="1:42" ht="15" customHeight="1" x14ac:dyDescent="0.35">
      <c r="A38" s="17"/>
      <c r="B38" s="174"/>
      <c r="C38" s="196"/>
      <c r="AP38" s="30"/>
    </row>
    <row r="39" spans="1:42" ht="15" customHeight="1" x14ac:dyDescent="0.35">
      <c r="A39" s="17" t="s">
        <v>305</v>
      </c>
      <c r="B39" s="302">
        <v>2923601352.2188272</v>
      </c>
      <c r="C39" s="296" t="s">
        <v>67</v>
      </c>
      <c r="E39" s="1">
        <v>4146739686.7008281</v>
      </c>
      <c r="F39" s="296" t="s">
        <v>67</v>
      </c>
      <c r="AP39" s="30"/>
    </row>
    <row r="40" spans="1:42" ht="15" customHeight="1" x14ac:dyDescent="0.35">
      <c r="A40" s="17"/>
      <c r="B40" s="33"/>
      <c r="C40" s="196"/>
      <c r="E40" s="1"/>
      <c r="AP40" s="30"/>
    </row>
    <row r="41" spans="1:42" ht="15" customHeight="1" x14ac:dyDescent="0.35">
      <c r="A41" s="175" t="s">
        <v>306</v>
      </c>
      <c r="B41" s="256">
        <f>3000000000</f>
        <v>3000000000</v>
      </c>
      <c r="C41" s="176" t="s">
        <v>307</v>
      </c>
      <c r="E41" s="1"/>
      <c r="AP41" s="30"/>
    </row>
    <row r="42" spans="1:42" ht="15" customHeight="1" x14ac:dyDescent="0.35">
      <c r="A42" s="175"/>
      <c r="B42" s="110"/>
      <c r="C42" s="177"/>
      <c r="E42" s="1"/>
      <c r="AP42" s="30"/>
    </row>
    <row r="43" spans="1:42" ht="15" customHeight="1" x14ac:dyDescent="0.35">
      <c r="A43" s="178" t="s">
        <v>308</v>
      </c>
      <c r="B43" s="46">
        <f>Data!BV80</f>
        <v>1725853.0649999999</v>
      </c>
      <c r="C43" s="177"/>
      <c r="E43" s="1"/>
      <c r="AP43" s="30"/>
    </row>
    <row r="44" spans="1:42" ht="15" customHeight="1" x14ac:dyDescent="0.35">
      <c r="A44" s="178"/>
      <c r="B44" s="46"/>
      <c r="C44" s="177"/>
      <c r="E44" s="1"/>
      <c r="AP44" s="30"/>
    </row>
    <row r="45" spans="1:42" ht="15" customHeight="1" x14ac:dyDescent="0.35">
      <c r="A45" s="178" t="s">
        <v>309</v>
      </c>
      <c r="B45" s="46">
        <v>4344965.8520436771</v>
      </c>
      <c r="C45" s="177"/>
      <c r="E45" s="1"/>
      <c r="AP45" s="30"/>
    </row>
    <row r="46" spans="1:42" ht="15" customHeight="1" x14ac:dyDescent="0.35">
      <c r="A46" s="178" t="s">
        <v>310</v>
      </c>
      <c r="B46" s="68">
        <f>$B$43/B45</f>
        <v>0.39720750951085981</v>
      </c>
      <c r="C46" s="177"/>
      <c r="E46" s="1"/>
      <c r="AP46" s="30"/>
    </row>
    <row r="47" spans="1:42" ht="15" customHeight="1" x14ac:dyDescent="0.35">
      <c r="A47" s="178"/>
      <c r="B47" s="68"/>
      <c r="C47" s="177"/>
      <c r="E47" s="1"/>
      <c r="AP47" s="30"/>
    </row>
    <row r="48" spans="1:42" ht="15" customHeight="1" x14ac:dyDescent="0.35">
      <c r="A48" s="178" t="s">
        <v>311</v>
      </c>
      <c r="B48" s="46">
        <f>$B$45-Data!$BV$12</f>
        <v>2715965.8520436771</v>
      </c>
      <c r="C48" s="177"/>
      <c r="E48" s="1"/>
      <c r="AP48" s="30"/>
    </row>
    <row r="49" spans="1:42" ht="15" customHeight="1" x14ac:dyDescent="0.35">
      <c r="A49" s="178" t="s">
        <v>310</v>
      </c>
      <c r="B49" s="68">
        <f>$B$43/B48</f>
        <v>0.63544726223319448</v>
      </c>
      <c r="C49" s="177"/>
      <c r="E49" s="1"/>
      <c r="AP49" s="30"/>
    </row>
    <row r="50" spans="1:42" ht="15" customHeight="1" x14ac:dyDescent="0.35">
      <c r="A50" s="178"/>
      <c r="B50" s="46"/>
      <c r="C50" s="177"/>
      <c r="E50" s="1"/>
      <c r="AP50" s="30"/>
    </row>
    <row r="51" spans="1:42" ht="15" customHeight="1" x14ac:dyDescent="0.35">
      <c r="A51" s="178" t="s">
        <v>312</v>
      </c>
      <c r="B51" s="46">
        <f>$B$45-Data!$BV$12-Data!$BV$22-Data!$BV$33-Data!$BV$78</f>
        <v>2619112.7870436772</v>
      </c>
      <c r="C51" s="177"/>
      <c r="E51" s="1"/>
      <c r="AP51" s="30"/>
    </row>
    <row r="52" spans="1:42" ht="15" customHeight="1" x14ac:dyDescent="0.35">
      <c r="A52" s="178" t="s">
        <v>310</v>
      </c>
      <c r="B52" s="68">
        <f>$B$43/B51</f>
        <v>0.65894568326248226</v>
      </c>
      <c r="C52" s="177"/>
      <c r="E52" s="1"/>
      <c r="AP52" s="30"/>
    </row>
    <row r="53" spans="1:42" ht="15" customHeight="1" x14ac:dyDescent="0.35">
      <c r="A53" s="178"/>
      <c r="B53" s="68"/>
      <c r="C53" s="177"/>
      <c r="E53" s="1"/>
      <c r="AP53" s="30"/>
    </row>
    <row r="54" spans="1:42" ht="15" customHeight="1" x14ac:dyDescent="0.35">
      <c r="A54" s="178" t="s">
        <v>313</v>
      </c>
      <c r="B54" s="46"/>
      <c r="C54" s="177"/>
      <c r="E54" s="1"/>
      <c r="AP54" s="30"/>
    </row>
    <row r="55" spans="1:42" ht="15" customHeight="1" x14ac:dyDescent="0.35">
      <c r="A55" s="221" t="s">
        <v>314</v>
      </c>
      <c r="B55" s="68">
        <v>0</v>
      </c>
      <c r="C55" s="177"/>
      <c r="E55" s="1"/>
      <c r="AP55" s="30"/>
    </row>
    <row r="56" spans="1:42" ht="15" customHeight="1" x14ac:dyDescent="0.35">
      <c r="A56" s="221" t="s">
        <v>315</v>
      </c>
      <c r="B56" s="68">
        <f>B52</f>
        <v>0.65894568326248226</v>
      </c>
      <c r="C56" s="177"/>
      <c r="E56" s="1"/>
      <c r="AP56" s="30"/>
    </row>
    <row r="57" spans="1:42" ht="15" customHeight="1" x14ac:dyDescent="0.35">
      <c r="A57" s="221" t="s">
        <v>316</v>
      </c>
      <c r="B57" s="68">
        <v>0</v>
      </c>
      <c r="C57" s="177"/>
      <c r="E57" s="1"/>
      <c r="AP57" s="30"/>
    </row>
    <row r="58" spans="1:42" ht="15" customHeight="1" x14ac:dyDescent="0.35">
      <c r="A58" s="221" t="s">
        <v>317</v>
      </c>
      <c r="B58" s="68">
        <f>B52</f>
        <v>0.65894568326248226</v>
      </c>
      <c r="C58" s="177"/>
      <c r="E58" s="1"/>
      <c r="AP58" s="30"/>
    </row>
    <row r="59" spans="1:42" ht="15" customHeight="1" x14ac:dyDescent="0.35">
      <c r="A59" s="221" t="s">
        <v>280</v>
      </c>
      <c r="B59" s="68">
        <v>0</v>
      </c>
      <c r="C59" s="177"/>
      <c r="E59" s="1"/>
      <c r="AP59" s="30"/>
    </row>
    <row r="60" spans="1:42" ht="15" customHeight="1" x14ac:dyDescent="0.35">
      <c r="A60" s="221" t="s">
        <v>318</v>
      </c>
      <c r="B60" s="68">
        <f>B52</f>
        <v>0.65894568326248226</v>
      </c>
      <c r="C60" s="177"/>
      <c r="E60" s="1"/>
      <c r="AP60" s="30"/>
    </row>
    <row r="61" spans="1:42" ht="15" customHeight="1" x14ac:dyDescent="0.35">
      <c r="A61" s="221" t="s">
        <v>319</v>
      </c>
      <c r="B61" s="68">
        <v>0</v>
      </c>
      <c r="C61" s="177"/>
      <c r="E61" s="1"/>
      <c r="AP61" s="30"/>
    </row>
    <row r="62" spans="1:42" ht="15" customHeight="1" x14ac:dyDescent="0.35">
      <c r="A62" s="222" t="s">
        <v>320</v>
      </c>
      <c r="B62" s="68">
        <f>B49</f>
        <v>0.63544726223319448</v>
      </c>
      <c r="C62" s="177"/>
      <c r="E62" s="1"/>
      <c r="AP62" s="30"/>
    </row>
    <row r="63" spans="1:42" ht="15" customHeight="1" x14ac:dyDescent="0.35">
      <c r="A63" s="178"/>
      <c r="B63" s="46"/>
      <c r="C63" s="177"/>
      <c r="E63" s="1"/>
      <c r="AP63" s="30"/>
    </row>
    <row r="64" spans="1:42" ht="15" customHeight="1" x14ac:dyDescent="0.35">
      <c r="A64" s="178" t="s">
        <v>321</v>
      </c>
      <c r="B64" s="254">
        <f>10^9</f>
        <v>1000000000</v>
      </c>
      <c r="C64" s="177"/>
      <c r="E64" s="1"/>
      <c r="AP64" s="30"/>
    </row>
    <row r="65" spans="1:42" ht="15" customHeight="1" x14ac:dyDescent="0.35">
      <c r="A65" s="178"/>
      <c r="B65" s="46"/>
      <c r="C65" s="177"/>
      <c r="E65" s="1"/>
      <c r="AP65" s="30"/>
    </row>
    <row r="66" spans="1:42" ht="15" customHeight="1" x14ac:dyDescent="0.35">
      <c r="A66" s="178" t="s">
        <v>322</v>
      </c>
      <c r="B66" s="174">
        <v>137349588.96063778</v>
      </c>
      <c r="C66" s="295" t="s">
        <v>67</v>
      </c>
      <c r="E66" s="1"/>
      <c r="AP66" s="30"/>
    </row>
    <row r="67" spans="1:42" ht="15" customHeight="1" x14ac:dyDescent="0.35">
      <c r="A67" s="178" t="s">
        <v>323</v>
      </c>
      <c r="B67" s="174">
        <v>397207509.51085979</v>
      </c>
      <c r="C67" s="295" t="s">
        <v>67</v>
      </c>
      <c r="E67" s="1"/>
      <c r="AP67" s="30"/>
    </row>
    <row r="68" spans="1:42" ht="15" customHeight="1" x14ac:dyDescent="0.35">
      <c r="A68" s="178" t="s">
        <v>324</v>
      </c>
      <c r="B68" s="174">
        <f>B66+B67</f>
        <v>534557098.47149754</v>
      </c>
      <c r="C68" s="177"/>
      <c r="E68" s="1"/>
      <c r="AP68" s="30"/>
    </row>
    <row r="69" spans="1:42" ht="15" customHeight="1" x14ac:dyDescent="0.35">
      <c r="A69" s="175"/>
      <c r="B69" s="153"/>
      <c r="C69" s="238"/>
      <c r="E69" s="1"/>
      <c r="AP69" s="30"/>
    </row>
    <row r="70" spans="1:42" ht="15" customHeight="1" x14ac:dyDescent="0.35">
      <c r="A70" s="178" t="s">
        <v>325</v>
      </c>
      <c r="B70" s="282" cm="1">
        <f t="array" ref="B70">INDEX(B71:B75,MATCH(B3,A71:A75,0),)*INDEX(B55:B62, MATCH(B9, A55:A62, 0), )</f>
        <v>0</v>
      </c>
      <c r="C70" s="238"/>
      <c r="E70" s="1"/>
      <c r="AP70" s="30"/>
    </row>
    <row r="71" spans="1:42" ht="15" customHeight="1" x14ac:dyDescent="0.35">
      <c r="A71" s="179" t="str">
        <f>B319</f>
        <v>No centralised services entity (CSE)</v>
      </c>
      <c r="B71" s="283">
        <v>0</v>
      </c>
      <c r="C71" s="238"/>
      <c r="E71" s="1"/>
      <c r="AP71" s="30"/>
    </row>
    <row r="72" spans="1:42" ht="15" customHeight="1" x14ac:dyDescent="0.35">
      <c r="A72" s="179" t="str">
        <f>$B$320</f>
        <v>1 CSE - Base case</v>
      </c>
      <c r="B72" s="283">
        <v>150000000</v>
      </c>
      <c r="C72" s="238"/>
      <c r="E72" s="1"/>
      <c r="AP72" s="30"/>
    </row>
    <row r="73" spans="1:42" ht="15" customHeight="1" x14ac:dyDescent="0.35">
      <c r="A73" s="179" t="str">
        <f>$B$321</f>
        <v>1 CSE - Best case</v>
      </c>
      <c r="B73" s="283">
        <v>75000000</v>
      </c>
      <c r="C73" s="238"/>
      <c r="E73" s="1"/>
      <c r="AP73" s="30"/>
    </row>
    <row r="74" spans="1:42" ht="15" customHeight="1" x14ac:dyDescent="0.35">
      <c r="A74" s="179" t="str">
        <f>$B$322</f>
        <v>4 CSE - Base case</v>
      </c>
      <c r="B74" s="283">
        <v>200000000</v>
      </c>
      <c r="C74" s="238"/>
      <c r="E74" s="1"/>
      <c r="AP74" s="30"/>
    </row>
    <row r="75" spans="1:42" ht="15" customHeight="1" x14ac:dyDescent="0.35">
      <c r="A75" s="179" t="str">
        <f>$B$323</f>
        <v>4 CSE - Best case</v>
      </c>
      <c r="B75" s="283">
        <v>100000000</v>
      </c>
      <c r="C75" s="238"/>
      <c r="E75" s="1"/>
      <c r="AP75" s="30"/>
    </row>
    <row r="76" spans="1:42" ht="15" customHeight="1" x14ac:dyDescent="0.35">
      <c r="A76" s="179"/>
      <c r="B76" s="174"/>
      <c r="C76" s="238"/>
      <c r="E76" s="1"/>
      <c r="AP76" s="30"/>
    </row>
    <row r="77" spans="1:42" ht="15" customHeight="1" x14ac:dyDescent="0.35">
      <c r="A77" s="17" t="s">
        <v>326</v>
      </c>
      <c r="B77" s="284">
        <f>B31</f>
        <v>2025</v>
      </c>
      <c r="C77" s="196"/>
      <c r="E77" s="1"/>
      <c r="AP77" s="30"/>
    </row>
    <row r="78" spans="1:42" ht="15" customHeight="1" x14ac:dyDescent="0.35">
      <c r="A78" s="17" t="s">
        <v>327</v>
      </c>
      <c r="B78" s="174">
        <f>IF($B$4=$B$310,0,$B68+$B70)</f>
        <v>534557098.47149754</v>
      </c>
      <c r="C78" s="196"/>
      <c r="AP78" s="30"/>
    </row>
    <row r="79" spans="1:42" ht="15" customHeight="1" x14ac:dyDescent="0.35">
      <c r="A79" s="17"/>
      <c r="B79" s="33"/>
      <c r="C79" s="196"/>
      <c r="E79" s="1"/>
      <c r="AP79" s="30"/>
    </row>
    <row r="80" spans="1:42" ht="15" customHeight="1" x14ac:dyDescent="0.35">
      <c r="A80" s="17" t="s">
        <v>328</v>
      </c>
      <c r="B80" s="253">
        <f t="shared" ref="B80:AP80" si="9">IF(B13=$B$77,$B$78,0)</f>
        <v>0</v>
      </c>
      <c r="C80" s="239">
        <f t="shared" si="9"/>
        <v>0</v>
      </c>
      <c r="D80" s="180">
        <f t="shared" si="9"/>
        <v>0</v>
      </c>
      <c r="E80" s="180">
        <f t="shared" si="9"/>
        <v>0</v>
      </c>
      <c r="F80" s="180">
        <f t="shared" si="9"/>
        <v>534557098.47149754</v>
      </c>
      <c r="G80" s="180">
        <f t="shared" si="9"/>
        <v>0</v>
      </c>
      <c r="H80" s="180">
        <f t="shared" si="9"/>
        <v>0</v>
      </c>
      <c r="I80" s="180">
        <f t="shared" si="9"/>
        <v>0</v>
      </c>
      <c r="J80" s="180">
        <f t="shared" si="9"/>
        <v>0</v>
      </c>
      <c r="K80" s="180">
        <f t="shared" si="9"/>
        <v>0</v>
      </c>
      <c r="L80" s="180">
        <f t="shared" si="9"/>
        <v>0</v>
      </c>
      <c r="M80" s="180">
        <f t="shared" si="9"/>
        <v>0</v>
      </c>
      <c r="N80" s="180">
        <f t="shared" si="9"/>
        <v>0</v>
      </c>
      <c r="O80" s="180">
        <f t="shared" si="9"/>
        <v>0</v>
      </c>
      <c r="P80" s="180">
        <f t="shared" si="9"/>
        <v>0</v>
      </c>
      <c r="Q80" s="180">
        <f t="shared" si="9"/>
        <v>0</v>
      </c>
      <c r="R80" s="180">
        <f t="shared" si="9"/>
        <v>0</v>
      </c>
      <c r="S80" s="180">
        <f t="shared" si="9"/>
        <v>0</v>
      </c>
      <c r="T80" s="180">
        <f t="shared" si="9"/>
        <v>0</v>
      </c>
      <c r="U80" s="180">
        <f t="shared" si="9"/>
        <v>0</v>
      </c>
      <c r="V80" s="180">
        <f t="shared" si="9"/>
        <v>0</v>
      </c>
      <c r="W80" s="180">
        <f t="shared" si="9"/>
        <v>0</v>
      </c>
      <c r="X80" s="180">
        <f t="shared" si="9"/>
        <v>0</v>
      </c>
      <c r="Y80" s="180">
        <f t="shared" si="9"/>
        <v>0</v>
      </c>
      <c r="Z80" s="180">
        <f t="shared" si="9"/>
        <v>0</v>
      </c>
      <c r="AA80" s="180">
        <f t="shared" si="9"/>
        <v>0</v>
      </c>
      <c r="AB80" s="180">
        <f t="shared" si="9"/>
        <v>0</v>
      </c>
      <c r="AC80" s="180">
        <f t="shared" si="9"/>
        <v>0</v>
      </c>
      <c r="AD80" s="180">
        <f t="shared" si="9"/>
        <v>0</v>
      </c>
      <c r="AE80" s="180">
        <f t="shared" si="9"/>
        <v>0</v>
      </c>
      <c r="AF80" s="180">
        <f t="shared" si="9"/>
        <v>0</v>
      </c>
      <c r="AG80" s="180">
        <f t="shared" si="9"/>
        <v>0</v>
      </c>
      <c r="AH80" s="180">
        <f t="shared" si="9"/>
        <v>0</v>
      </c>
      <c r="AI80" s="180">
        <f t="shared" si="9"/>
        <v>0</v>
      </c>
      <c r="AJ80" s="180">
        <f t="shared" si="9"/>
        <v>0</v>
      </c>
      <c r="AK80" s="180">
        <f t="shared" si="9"/>
        <v>0</v>
      </c>
      <c r="AL80" s="180">
        <f t="shared" si="9"/>
        <v>0</v>
      </c>
      <c r="AM80" s="180">
        <f t="shared" si="9"/>
        <v>0</v>
      </c>
      <c r="AN80" s="180">
        <f t="shared" si="9"/>
        <v>0</v>
      </c>
      <c r="AO80" s="180">
        <f t="shared" si="9"/>
        <v>0</v>
      </c>
      <c r="AP80" s="240">
        <f t="shared" si="9"/>
        <v>0</v>
      </c>
    </row>
    <row r="81" spans="1:42" ht="15" customHeight="1" x14ac:dyDescent="0.35">
      <c r="A81" s="17"/>
      <c r="B81" s="174"/>
      <c r="C81" s="196"/>
      <c r="AP81" s="30"/>
    </row>
    <row r="82" spans="1:42" ht="15" customHeight="1" x14ac:dyDescent="0.35">
      <c r="A82" s="17" t="s">
        <v>329</v>
      </c>
      <c r="B82" s="255">
        <f>B32-(B77-1)</f>
        <v>30</v>
      </c>
      <c r="C82" s="17"/>
      <c r="AP82" s="30"/>
    </row>
    <row r="83" spans="1:42" ht="15" customHeight="1" x14ac:dyDescent="0.35">
      <c r="A83" s="17"/>
      <c r="B83" s="174"/>
      <c r="C83" s="196"/>
      <c r="AP83" s="30"/>
    </row>
    <row r="84" spans="1:42" ht="15" customHeight="1" x14ac:dyDescent="0.35">
      <c r="A84" s="17" t="s">
        <v>330</v>
      </c>
      <c r="B84" s="254">
        <v>1000000000</v>
      </c>
      <c r="C84" s="196"/>
      <c r="AP84" s="30"/>
    </row>
    <row r="85" spans="1:42" ht="15" customHeight="1" x14ac:dyDescent="0.35">
      <c r="A85" s="17"/>
      <c r="B85" s="46"/>
      <c r="C85" s="196"/>
      <c r="AP85" s="30"/>
    </row>
    <row r="86" spans="1:42" ht="15" customHeight="1" x14ac:dyDescent="0.35">
      <c r="A86" s="17" t="s">
        <v>331</v>
      </c>
      <c r="B86" s="254">
        <f>IF(B4=$B$311,$B$84,0)</f>
        <v>1000000000</v>
      </c>
      <c r="C86" s="196"/>
      <c r="AP86" s="30"/>
    </row>
    <row r="87" spans="1:42" ht="15" customHeight="1" x14ac:dyDescent="0.35">
      <c r="A87" s="17"/>
      <c r="B87" s="46"/>
      <c r="C87" s="196"/>
      <c r="AP87" s="30"/>
    </row>
    <row r="88" spans="1:42" ht="15" customHeight="1" x14ac:dyDescent="0.35">
      <c r="A88" s="17" t="s">
        <v>332</v>
      </c>
      <c r="B88" s="46">
        <f>Data!BV80</f>
        <v>1725853.0649999999</v>
      </c>
      <c r="C88" s="196"/>
      <c r="AP88" s="30"/>
    </row>
    <row r="89" spans="1:42" ht="15" customHeight="1" x14ac:dyDescent="0.35">
      <c r="A89" s="17" t="s">
        <v>333</v>
      </c>
      <c r="B89" s="46">
        <v>4344965.8520436771</v>
      </c>
      <c r="C89" s="196"/>
      <c r="AP89" s="30"/>
    </row>
    <row r="90" spans="1:42" ht="15" customHeight="1" x14ac:dyDescent="0.35">
      <c r="A90" s="17" t="s">
        <v>310</v>
      </c>
      <c r="B90" s="68">
        <f>B88/B89</f>
        <v>0.39720750951085981</v>
      </c>
      <c r="C90" s="196"/>
      <c r="AP90" s="30"/>
    </row>
    <row r="91" spans="1:42" ht="15" customHeight="1" x14ac:dyDescent="0.35">
      <c r="A91" s="17"/>
      <c r="B91" s="174"/>
      <c r="C91" s="196"/>
      <c r="AP91" s="30"/>
    </row>
    <row r="92" spans="1:42" ht="15" customHeight="1" x14ac:dyDescent="0.35">
      <c r="A92" s="17" t="s">
        <v>330</v>
      </c>
      <c r="B92" s="254">
        <f>B86*B90</f>
        <v>397207509.51085979</v>
      </c>
      <c r="C92" s="196"/>
      <c r="AP92" s="30"/>
    </row>
    <row r="93" spans="1:42" ht="15" customHeight="1" x14ac:dyDescent="0.35">
      <c r="A93" s="17" t="s">
        <v>334</v>
      </c>
      <c r="B93" s="254">
        <v>5</v>
      </c>
      <c r="C93" s="196"/>
      <c r="AP93" s="30"/>
    </row>
    <row r="94" spans="1:42" ht="15" customHeight="1" x14ac:dyDescent="0.35">
      <c r="A94" s="17" t="s">
        <v>335</v>
      </c>
      <c r="B94" s="46"/>
      <c r="C94" s="196"/>
      <c r="D94" s="1"/>
      <c r="E94" s="1"/>
      <c r="F94" s="1">
        <f>$B$92/$B$93</f>
        <v>79441501.902171955</v>
      </c>
      <c r="G94" s="1">
        <f>$B$92/$B$93</f>
        <v>79441501.902171955</v>
      </c>
      <c r="H94" s="1">
        <f>$B$92/$B$93</f>
        <v>79441501.902171955</v>
      </c>
      <c r="I94" s="1">
        <f t="shared" ref="I94:J94" si="10">$B$92/$B$93</f>
        <v>79441501.902171955</v>
      </c>
      <c r="J94" s="1">
        <f t="shared" si="10"/>
        <v>79441501.902171955</v>
      </c>
      <c r="AP94" s="30"/>
    </row>
    <row r="95" spans="1:42" ht="15" customHeight="1" thickBot="1" x14ac:dyDescent="0.4">
      <c r="A95" s="17"/>
      <c r="B95" s="174"/>
      <c r="C95" s="18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4"/>
    </row>
    <row r="96" spans="1:42" ht="15" customHeight="1" x14ac:dyDescent="0.35">
      <c r="A96" s="15" t="s">
        <v>336</v>
      </c>
      <c r="B96" s="32"/>
      <c r="C96" s="34"/>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6"/>
    </row>
    <row r="97" spans="1:42" ht="15" customHeight="1" x14ac:dyDescent="0.35">
      <c r="A97" s="17" t="s">
        <v>337</v>
      </c>
      <c r="B97" s="28"/>
      <c r="D97" s="181">
        <v>4.3999999999999997E-2</v>
      </c>
      <c r="E97" s="181">
        <v>4.8000000000000001E-2</v>
      </c>
      <c r="F97" s="181">
        <v>4.7E-2</v>
      </c>
      <c r="G97" s="181">
        <v>4.4999999999999998E-2</v>
      </c>
      <c r="H97" s="181">
        <v>4.2000000000000003E-2</v>
      </c>
      <c r="I97" s="181"/>
      <c r="AP97" s="30"/>
    </row>
    <row r="98" spans="1:42" ht="15" customHeight="1" x14ac:dyDescent="0.35">
      <c r="A98" s="17" t="s">
        <v>338</v>
      </c>
      <c r="B98" s="252">
        <f>B103+B104</f>
        <v>2.3E-2</v>
      </c>
      <c r="I98" s="20">
        <f>$B$98</f>
        <v>2.3E-2</v>
      </c>
      <c r="J98" s="101">
        <f t="shared" ref="J98:AP98" si="11">$B$98</f>
        <v>2.3E-2</v>
      </c>
      <c r="K98" s="101">
        <f t="shared" si="11"/>
        <v>2.3E-2</v>
      </c>
      <c r="L98" s="101">
        <f t="shared" si="11"/>
        <v>2.3E-2</v>
      </c>
      <c r="M98" s="101">
        <f t="shared" si="11"/>
        <v>2.3E-2</v>
      </c>
      <c r="N98" s="101">
        <f t="shared" si="11"/>
        <v>2.3E-2</v>
      </c>
      <c r="O98" s="101">
        <f t="shared" si="11"/>
        <v>2.3E-2</v>
      </c>
      <c r="P98" s="101">
        <f t="shared" si="11"/>
        <v>2.3E-2</v>
      </c>
      <c r="Q98" s="101">
        <f t="shared" si="11"/>
        <v>2.3E-2</v>
      </c>
      <c r="R98" s="101">
        <f t="shared" si="11"/>
        <v>2.3E-2</v>
      </c>
      <c r="S98" s="101">
        <f t="shared" si="11"/>
        <v>2.3E-2</v>
      </c>
      <c r="T98" s="101">
        <f t="shared" si="11"/>
        <v>2.3E-2</v>
      </c>
      <c r="U98" s="101">
        <f t="shared" si="11"/>
        <v>2.3E-2</v>
      </c>
      <c r="V98" s="101">
        <f t="shared" si="11"/>
        <v>2.3E-2</v>
      </c>
      <c r="W98" s="101">
        <f t="shared" si="11"/>
        <v>2.3E-2</v>
      </c>
      <c r="X98" s="101">
        <f t="shared" si="11"/>
        <v>2.3E-2</v>
      </c>
      <c r="Y98" s="101">
        <f t="shared" si="11"/>
        <v>2.3E-2</v>
      </c>
      <c r="Z98" s="101">
        <f t="shared" si="11"/>
        <v>2.3E-2</v>
      </c>
      <c r="AA98" s="101">
        <f t="shared" si="11"/>
        <v>2.3E-2</v>
      </c>
      <c r="AB98" s="101">
        <f t="shared" si="11"/>
        <v>2.3E-2</v>
      </c>
      <c r="AC98" s="101">
        <f t="shared" si="11"/>
        <v>2.3E-2</v>
      </c>
      <c r="AD98" s="101">
        <f t="shared" si="11"/>
        <v>2.3E-2</v>
      </c>
      <c r="AE98" s="101">
        <f t="shared" si="11"/>
        <v>2.3E-2</v>
      </c>
      <c r="AF98" s="101">
        <f t="shared" si="11"/>
        <v>2.3E-2</v>
      </c>
      <c r="AG98" s="101">
        <f t="shared" si="11"/>
        <v>2.3E-2</v>
      </c>
      <c r="AH98" s="101">
        <f t="shared" si="11"/>
        <v>2.3E-2</v>
      </c>
      <c r="AI98" s="101">
        <f t="shared" si="11"/>
        <v>2.3E-2</v>
      </c>
      <c r="AJ98" s="101">
        <f t="shared" si="11"/>
        <v>2.3E-2</v>
      </c>
      <c r="AK98" s="101">
        <f t="shared" si="11"/>
        <v>2.3E-2</v>
      </c>
      <c r="AL98" s="101">
        <f t="shared" si="11"/>
        <v>2.3E-2</v>
      </c>
      <c r="AM98" s="101">
        <f t="shared" si="11"/>
        <v>2.3E-2</v>
      </c>
      <c r="AN98" s="101">
        <f t="shared" si="11"/>
        <v>2.3E-2</v>
      </c>
      <c r="AO98" s="101">
        <f t="shared" si="11"/>
        <v>2.3E-2</v>
      </c>
      <c r="AP98" s="173">
        <f t="shared" si="11"/>
        <v>2.3E-2</v>
      </c>
    </row>
    <row r="99" spans="1:42" ht="15" customHeight="1" x14ac:dyDescent="0.35">
      <c r="A99" s="17" t="s">
        <v>585</v>
      </c>
      <c r="B99" s="303">
        <v>0.14000000000000001</v>
      </c>
      <c r="C99" s="295" t="s">
        <v>67</v>
      </c>
      <c r="AP99" s="30"/>
    </row>
    <row r="100" spans="1:42" ht="15" customHeight="1" thickBot="1" x14ac:dyDescent="0.4">
      <c r="A100" s="17" t="s">
        <v>339</v>
      </c>
      <c r="B100" s="253">
        <f>Data!AL80</f>
        <v>1002514234.6660497</v>
      </c>
      <c r="C100" s="1">
        <f>Data!AO80</f>
        <v>1145864890.416733</v>
      </c>
      <c r="E100" s="6">
        <f>Data!AX80</f>
        <v>1285677792.56885</v>
      </c>
      <c r="AP100" s="30"/>
    </row>
    <row r="101" spans="1:42" ht="15" customHeight="1" x14ac:dyDescent="0.35">
      <c r="A101" s="17" t="s">
        <v>586</v>
      </c>
      <c r="B101" s="174"/>
      <c r="E101" s="6">
        <f>(1+B99)*E100</f>
        <v>1465672683.5284891</v>
      </c>
      <c r="G101" s="404" t="s">
        <v>340</v>
      </c>
      <c r="H101" s="405"/>
      <c r="AP101" s="30"/>
    </row>
    <row r="102" spans="1:42" ht="15" customHeight="1" x14ac:dyDescent="0.35">
      <c r="A102" s="17" t="s">
        <v>341</v>
      </c>
      <c r="B102" s="253">
        <f>Data!AZ80</f>
        <v>341756503.05790001</v>
      </c>
      <c r="C102" s="1">
        <f>Data!BA80</f>
        <v>442547140.21506417</v>
      </c>
      <c r="E102" s="6">
        <f>Data!BH80*E22</f>
        <v>498483700.03916693</v>
      </c>
      <c r="G102" s="406"/>
      <c r="H102" s="407"/>
      <c r="AP102" s="30"/>
    </row>
    <row r="103" spans="1:42" ht="15" customHeight="1" thickBot="1" x14ac:dyDescent="0.4">
      <c r="A103" s="17" t="s">
        <v>342</v>
      </c>
      <c r="B103" s="252">
        <v>1.7999999999999999E-2</v>
      </c>
      <c r="D103" s="1"/>
      <c r="E103" s="29"/>
      <c r="G103" s="183"/>
      <c r="H103" s="184">
        <v>799608.4320436765</v>
      </c>
      <c r="AP103" s="30"/>
    </row>
    <row r="104" spans="1:42" ht="15" customHeight="1" x14ac:dyDescent="0.35">
      <c r="A104" s="17" t="s">
        <v>343</v>
      </c>
      <c r="B104" s="252">
        <v>5.0000000000000001E-3</v>
      </c>
      <c r="D104" s="1"/>
      <c r="E104" s="29"/>
      <c r="AP104" s="30"/>
    </row>
    <row r="105" spans="1:42" ht="15" customHeight="1" x14ac:dyDescent="0.35">
      <c r="A105" s="17" t="s">
        <v>344</v>
      </c>
      <c r="B105" s="182"/>
      <c r="D105" s="101" cm="1">
        <f t="array" ref="D105">IF($B$4=$B$310,D106,INDEX(D$106:D$110, MATCH($B$3, $A$106:$A$110, 0), ))</f>
        <v>6.2E-2</v>
      </c>
      <c r="E105" s="101" cm="1">
        <f t="array" ref="E105">IF($B$4=$B$310,E106,INDEX(E$106:E$110, MATCH($B$3, $A$106:$A$110, 0), ))</f>
        <v>6.6000000000000003E-2</v>
      </c>
      <c r="F105" s="101" cm="1">
        <f t="array" ref="F105">IF($B$4=$B$310,F106,INDEX(F$106:F$110, MATCH($B$3, $A$106:$A$110, 0), ))</f>
        <v>6.5000000000000002E-2</v>
      </c>
      <c r="G105" s="101" cm="1">
        <f t="array" ref="G105">IF($B$4=$B$310,G106,INDEX(G$106:G$110, MATCH($B$3, $A$106:$A$110, 0), ))</f>
        <v>6.3E-2</v>
      </c>
      <c r="H105" s="101" cm="1">
        <f t="array" ref="H105">IF($B$4=$B$310,H106,INDEX(H$106:H$110, MATCH($B$3, $A$106:$A$110, 0), ))</f>
        <v>0.06</v>
      </c>
      <c r="I105" s="101" cm="1">
        <f t="array" ref="I105">IF($B$4=$B$310,I106,INDEX(I$106:I$110, MATCH($B$3, $A$106:$A$110, 0), ))</f>
        <v>4.2999999999999997E-2</v>
      </c>
      <c r="J105" s="101" cm="1">
        <f t="array" ref="J105">IF($B$4=$B$310,J106,INDEX(J$106:J$110, MATCH($B$3, $A$106:$A$110, 0), ))</f>
        <v>4.2999999999999997E-2</v>
      </c>
      <c r="K105" s="101" cm="1">
        <f t="array" ref="K105">IF($B$4=$B$310,K106,INDEX(K$106:K$110, MATCH($B$3, $A$106:$A$110, 0), ))</f>
        <v>4.2999999999999997E-2</v>
      </c>
      <c r="L105" s="101" cm="1">
        <f t="array" ref="L105">IF($B$4=$B$310,L106,INDEX(L$106:L$110, MATCH($B$3, $A$106:$A$110, 0), ))</f>
        <v>4.2999999999999997E-2</v>
      </c>
      <c r="M105" s="101" cm="1">
        <f t="array" ref="M105">IF($B$4=$B$310,M106,INDEX(M$106:M$110, MATCH($B$3, $A$106:$A$110, 0), ))</f>
        <v>4.2999999999999997E-2</v>
      </c>
      <c r="N105" s="101" cm="1">
        <f t="array" ref="N105">IF($B$4=$B$310,N106,INDEX(N$106:N$110, MATCH($B$3, $A$106:$A$110, 0), ))</f>
        <v>4.2999999999999997E-2</v>
      </c>
      <c r="O105" s="101" cm="1">
        <f t="array" ref="O105">IF($B$4=$B$310,O106,INDEX(O$106:O$110, MATCH($B$3, $A$106:$A$110, 0), ))</f>
        <v>4.2999999999999997E-2</v>
      </c>
      <c r="P105" s="101" cm="1">
        <f t="array" ref="P105">IF($B$4=$B$310,P106,INDEX(P$106:P$110, MATCH($B$3, $A$106:$A$110, 0), ))</f>
        <v>4.2999999999999997E-2</v>
      </c>
      <c r="Q105" s="101" cm="1">
        <f t="array" ref="Q105">IF($B$4=$B$310,Q106,INDEX(Q$106:Q$110, MATCH($B$3, $A$106:$A$110, 0), ))</f>
        <v>4.2999999999999997E-2</v>
      </c>
      <c r="R105" s="101" cm="1">
        <f t="array" ref="R105">IF($B$4=$B$310,R106,INDEX(R$106:R$110, MATCH($B$3, $A$106:$A$110, 0), ))</f>
        <v>4.2999999999999997E-2</v>
      </c>
      <c r="S105" s="101" cm="1">
        <f t="array" ref="S105">IF($B$4=$B$310,S106,INDEX(S$106:S$110, MATCH($B$3, $A$106:$A$110, 0), ))</f>
        <v>4.2999999999999997E-2</v>
      </c>
      <c r="T105" s="101" cm="1">
        <f t="array" ref="T105">IF($B$4=$B$310,T106,INDEX(T$106:T$110, MATCH($B$3, $A$106:$A$110, 0), ))</f>
        <v>4.2999999999999997E-2</v>
      </c>
      <c r="U105" s="101" cm="1">
        <f t="array" ref="U105">IF($B$4=$B$310,U106,INDEX(U$106:U$110, MATCH($B$3, $A$106:$A$110, 0), ))</f>
        <v>4.2999999999999997E-2</v>
      </c>
      <c r="V105" s="101" cm="1">
        <f t="array" ref="V105">IF($B$4=$B$310,V106,INDEX(V$106:V$110, MATCH($B$3, $A$106:$A$110, 0), ))</f>
        <v>4.2999999999999997E-2</v>
      </c>
      <c r="W105" s="101" cm="1">
        <f t="array" ref="W105">IF($B$4=$B$310,W106,INDEX(W$106:W$110, MATCH($B$3, $A$106:$A$110, 0), ))</f>
        <v>4.2999999999999997E-2</v>
      </c>
      <c r="X105" s="101" cm="1">
        <f t="array" ref="X105">IF($B$4=$B$310,X106,INDEX(X$106:X$110, MATCH($B$3, $A$106:$A$110, 0), ))</f>
        <v>4.2999999999999997E-2</v>
      </c>
      <c r="Y105" s="101" cm="1">
        <f t="array" ref="Y105">IF($B$4=$B$310,Y106,INDEX(Y$106:Y$110, MATCH($B$3, $A$106:$A$110, 0), ))</f>
        <v>4.2999999999999997E-2</v>
      </c>
      <c r="Z105" s="101" cm="1">
        <f t="array" ref="Z105">IF($B$4=$B$310,Z106,INDEX(Z$106:Z$110, MATCH($B$3, $A$106:$A$110, 0), ))</f>
        <v>4.2999999999999997E-2</v>
      </c>
      <c r="AA105" s="101" cm="1">
        <f t="array" ref="AA105">IF($B$4=$B$310,AA106,INDEX(AA$106:AA$110, MATCH($B$3, $A$106:$A$110, 0), ))</f>
        <v>4.2999999999999997E-2</v>
      </c>
      <c r="AB105" s="101" cm="1">
        <f t="array" ref="AB105">IF($B$4=$B$310,AB106,INDEX(AB$106:AB$110, MATCH($B$3, $A$106:$A$110, 0), ))</f>
        <v>4.2999999999999997E-2</v>
      </c>
      <c r="AC105" s="101" cm="1">
        <f t="array" ref="AC105">IF($B$4=$B$310,AC106,INDEX(AC$106:AC$110, MATCH($B$3, $A$106:$A$110, 0), ))</f>
        <v>4.2999999999999997E-2</v>
      </c>
      <c r="AD105" s="101" cm="1">
        <f t="array" ref="AD105">IF($B$4=$B$310,AD106,INDEX(AD$106:AD$110, MATCH($B$3, $A$106:$A$110, 0), ))</f>
        <v>4.2999999999999997E-2</v>
      </c>
      <c r="AE105" s="101" cm="1">
        <f t="array" ref="AE105">IF($B$4=$B$310,AE106,INDEX(AE$106:AE$110, MATCH($B$3, $A$106:$A$110, 0), ))</f>
        <v>4.2999999999999997E-2</v>
      </c>
      <c r="AF105" s="101" cm="1">
        <f t="array" ref="AF105">IF($B$4=$B$310,AF106,INDEX(AF$106:AF$110, MATCH($B$3, $A$106:$A$110, 0), ))</f>
        <v>4.2999999999999997E-2</v>
      </c>
      <c r="AG105" s="101" cm="1">
        <f t="array" ref="AG105">IF($B$4=$B$310,AG106,INDEX(AG$106:AG$110, MATCH($B$3, $A$106:$A$110, 0), ))</f>
        <v>4.2999999999999997E-2</v>
      </c>
      <c r="AH105" s="101" cm="1">
        <f t="array" ref="AH105">IF($B$4=$B$310,AH106,INDEX(AH$106:AH$110, MATCH($B$3, $A$106:$A$110, 0), ))</f>
        <v>4.2999999999999997E-2</v>
      </c>
      <c r="AI105" s="101" cm="1">
        <f t="array" ref="AI105">IF($B$4=$B$310,AI106,INDEX(AI$106:AI$110, MATCH($B$3, $A$106:$A$110, 0), ))</f>
        <v>4.2999999999999997E-2</v>
      </c>
      <c r="AJ105" s="101" cm="1">
        <f t="array" ref="AJ105">IF($B$4=$B$310,AJ106,INDEX(AJ$106:AJ$110, MATCH($B$3, $A$106:$A$110, 0), ))</f>
        <v>4.2999999999999997E-2</v>
      </c>
      <c r="AK105" s="101" cm="1">
        <f t="array" ref="AK105">IF($B$4=$B$310,AK106,INDEX(AK$106:AK$110, MATCH($B$3, $A$106:$A$110, 0), ))</f>
        <v>4.2999999999999997E-2</v>
      </c>
      <c r="AL105" s="101" cm="1">
        <f t="array" ref="AL105">IF($B$4=$B$310,AL106,INDEX(AL$106:AL$110, MATCH($B$3, $A$106:$A$110, 0), ))</f>
        <v>4.2999999999999997E-2</v>
      </c>
      <c r="AM105" s="101" cm="1">
        <f t="array" ref="AM105">IF($B$4=$B$310,AM106,INDEX(AM$106:AM$110, MATCH($B$3, $A$106:$A$110, 0), ))</f>
        <v>4.2999999999999997E-2</v>
      </c>
      <c r="AN105" s="101" cm="1">
        <f t="array" ref="AN105">IF($B$4=$B$310,AN106,INDEX(AN$106:AN$110, MATCH($B$3, $A$106:$A$110, 0), ))</f>
        <v>4.2999999999999997E-2</v>
      </c>
      <c r="AO105" s="101" cm="1">
        <f t="array" ref="AO105">IF($B$4=$B$310,AO106,INDEX(AO$106:AO$110, MATCH($B$3, $A$106:$A$110, 0), ))</f>
        <v>4.2999999999999997E-2</v>
      </c>
      <c r="AP105" s="173" cm="1">
        <f t="array" ref="AP105">IF($B$4=$B$310,AP106,INDEX(AP$106:AP$110, MATCH($B$3, $A$106:$A$110, 0), ))</f>
        <v>4.2999999999999997E-2</v>
      </c>
    </row>
    <row r="106" spans="1:42" ht="15" customHeight="1" x14ac:dyDescent="0.35">
      <c r="A106" s="179" t="str">
        <f>B319</f>
        <v>No centralised services entity (CSE)</v>
      </c>
      <c r="B106" s="185"/>
      <c r="C106">
        <v>2028</v>
      </c>
      <c r="D106" s="20">
        <f t="shared" ref="D106:M110" si="12">IF(D$13&lt;$C106, D$97+$B$103, D$98+SUM(D$19:D$20))</f>
        <v>6.2E-2</v>
      </c>
      <c r="E106" s="20">
        <f t="shared" si="12"/>
        <v>6.6000000000000003E-2</v>
      </c>
      <c r="F106" s="20">
        <f t="shared" si="12"/>
        <v>6.5000000000000002E-2</v>
      </c>
      <c r="G106" s="20">
        <f t="shared" si="12"/>
        <v>6.3E-2</v>
      </c>
      <c r="H106" s="20">
        <f t="shared" si="12"/>
        <v>0.06</v>
      </c>
      <c r="I106" s="20">
        <f t="shared" si="12"/>
        <v>4.2999999999999997E-2</v>
      </c>
      <c r="J106" s="20">
        <f t="shared" si="12"/>
        <v>4.2999999999999997E-2</v>
      </c>
      <c r="K106" s="20">
        <f t="shared" si="12"/>
        <v>4.2999999999999997E-2</v>
      </c>
      <c r="L106" s="20">
        <f t="shared" si="12"/>
        <v>4.2999999999999997E-2</v>
      </c>
      <c r="M106" s="20">
        <f t="shared" si="12"/>
        <v>4.2999999999999997E-2</v>
      </c>
      <c r="N106" s="20">
        <f t="shared" ref="N106:W110" si="13">IF(N$13&lt;$C106, N$97+$B$103, N$98+SUM(N$19:N$20))</f>
        <v>4.2999999999999997E-2</v>
      </c>
      <c r="O106" s="20">
        <f t="shared" si="13"/>
        <v>4.2999999999999997E-2</v>
      </c>
      <c r="P106" s="20">
        <f t="shared" si="13"/>
        <v>4.2999999999999997E-2</v>
      </c>
      <c r="Q106" s="20">
        <f t="shared" si="13"/>
        <v>4.2999999999999997E-2</v>
      </c>
      <c r="R106" s="20">
        <f t="shared" si="13"/>
        <v>4.2999999999999997E-2</v>
      </c>
      <c r="S106" s="20">
        <f t="shared" si="13"/>
        <v>4.2999999999999997E-2</v>
      </c>
      <c r="T106" s="20">
        <f t="shared" si="13"/>
        <v>4.2999999999999997E-2</v>
      </c>
      <c r="U106" s="20">
        <f t="shared" si="13"/>
        <v>4.2999999999999997E-2</v>
      </c>
      <c r="V106" s="20">
        <f t="shared" si="13"/>
        <v>4.2999999999999997E-2</v>
      </c>
      <c r="W106" s="20">
        <f t="shared" si="13"/>
        <v>4.2999999999999997E-2</v>
      </c>
      <c r="X106" s="20">
        <f t="shared" ref="X106:AG110" si="14">IF(X$13&lt;$C106, X$97+$B$103, X$98+SUM(X$19:X$20))</f>
        <v>4.2999999999999997E-2</v>
      </c>
      <c r="Y106" s="20">
        <f t="shared" si="14"/>
        <v>4.2999999999999997E-2</v>
      </c>
      <c r="Z106" s="20">
        <f t="shared" si="14"/>
        <v>4.2999999999999997E-2</v>
      </c>
      <c r="AA106" s="20">
        <f t="shared" si="14"/>
        <v>4.2999999999999997E-2</v>
      </c>
      <c r="AB106" s="20">
        <f t="shared" si="14"/>
        <v>4.2999999999999997E-2</v>
      </c>
      <c r="AC106" s="20">
        <f t="shared" si="14"/>
        <v>4.2999999999999997E-2</v>
      </c>
      <c r="AD106" s="20">
        <f t="shared" si="14"/>
        <v>4.2999999999999997E-2</v>
      </c>
      <c r="AE106" s="20">
        <f t="shared" si="14"/>
        <v>4.2999999999999997E-2</v>
      </c>
      <c r="AF106" s="20">
        <f t="shared" si="14"/>
        <v>4.2999999999999997E-2</v>
      </c>
      <c r="AG106" s="20">
        <f t="shared" si="14"/>
        <v>4.2999999999999997E-2</v>
      </c>
      <c r="AH106" s="20">
        <f t="shared" ref="AH106:AP110" si="15">IF(AH$13&lt;$C106, AH$97+$B$103, AH$98+SUM(AH$19:AH$20))</f>
        <v>4.2999999999999997E-2</v>
      </c>
      <c r="AI106" s="20">
        <f t="shared" si="15"/>
        <v>4.2999999999999997E-2</v>
      </c>
      <c r="AJ106" s="20">
        <f t="shared" si="15"/>
        <v>4.2999999999999997E-2</v>
      </c>
      <c r="AK106" s="20">
        <f t="shared" si="15"/>
        <v>4.2999999999999997E-2</v>
      </c>
      <c r="AL106" s="20">
        <f t="shared" si="15"/>
        <v>4.2999999999999997E-2</v>
      </c>
      <c r="AM106" s="20">
        <f t="shared" si="15"/>
        <v>4.2999999999999997E-2</v>
      </c>
      <c r="AN106" s="20">
        <f t="shared" si="15"/>
        <v>4.2999999999999997E-2</v>
      </c>
      <c r="AO106" s="20">
        <f t="shared" si="15"/>
        <v>4.2999999999999997E-2</v>
      </c>
      <c r="AP106" s="173">
        <f t="shared" si="15"/>
        <v>4.2999999999999997E-2</v>
      </c>
    </row>
    <row r="107" spans="1:42" ht="15" customHeight="1" x14ac:dyDescent="0.35">
      <c r="A107" s="179" t="str">
        <f>$B$320</f>
        <v>1 CSE - Base case</v>
      </c>
      <c r="B107" s="185"/>
      <c r="C107">
        <v>2028</v>
      </c>
      <c r="D107" s="20">
        <f t="shared" si="12"/>
        <v>6.2E-2</v>
      </c>
      <c r="E107" s="20">
        <f t="shared" si="12"/>
        <v>6.6000000000000003E-2</v>
      </c>
      <c r="F107" s="20">
        <f t="shared" si="12"/>
        <v>6.5000000000000002E-2</v>
      </c>
      <c r="G107" s="20">
        <f t="shared" si="12"/>
        <v>6.3E-2</v>
      </c>
      <c r="H107" s="20">
        <f t="shared" si="12"/>
        <v>0.06</v>
      </c>
      <c r="I107" s="20">
        <f t="shared" si="12"/>
        <v>4.2999999999999997E-2</v>
      </c>
      <c r="J107" s="20">
        <f t="shared" si="12"/>
        <v>4.2999999999999997E-2</v>
      </c>
      <c r="K107" s="20">
        <f t="shared" si="12"/>
        <v>4.2999999999999997E-2</v>
      </c>
      <c r="L107" s="20">
        <f t="shared" si="12"/>
        <v>4.2999999999999997E-2</v>
      </c>
      <c r="M107" s="20">
        <f t="shared" si="12"/>
        <v>4.2999999999999997E-2</v>
      </c>
      <c r="N107" s="20">
        <f t="shared" si="13"/>
        <v>4.2999999999999997E-2</v>
      </c>
      <c r="O107" s="20">
        <f t="shared" si="13"/>
        <v>4.2999999999999997E-2</v>
      </c>
      <c r="P107" s="20">
        <f t="shared" si="13"/>
        <v>4.2999999999999997E-2</v>
      </c>
      <c r="Q107" s="20">
        <f t="shared" si="13"/>
        <v>4.2999999999999997E-2</v>
      </c>
      <c r="R107" s="20">
        <f t="shared" si="13"/>
        <v>4.2999999999999997E-2</v>
      </c>
      <c r="S107" s="20">
        <f t="shared" si="13"/>
        <v>4.2999999999999997E-2</v>
      </c>
      <c r="T107" s="20">
        <f t="shared" si="13"/>
        <v>4.2999999999999997E-2</v>
      </c>
      <c r="U107" s="20">
        <f t="shared" si="13"/>
        <v>4.2999999999999997E-2</v>
      </c>
      <c r="V107" s="20">
        <f t="shared" si="13"/>
        <v>4.2999999999999997E-2</v>
      </c>
      <c r="W107" s="20">
        <f t="shared" si="13"/>
        <v>4.2999999999999997E-2</v>
      </c>
      <c r="X107" s="20">
        <f t="shared" si="14"/>
        <v>4.2999999999999997E-2</v>
      </c>
      <c r="Y107" s="20">
        <f t="shared" si="14"/>
        <v>4.2999999999999997E-2</v>
      </c>
      <c r="Z107" s="20">
        <f t="shared" si="14"/>
        <v>4.2999999999999997E-2</v>
      </c>
      <c r="AA107" s="20">
        <f t="shared" si="14"/>
        <v>4.2999999999999997E-2</v>
      </c>
      <c r="AB107" s="20">
        <f t="shared" si="14"/>
        <v>4.2999999999999997E-2</v>
      </c>
      <c r="AC107" s="20">
        <f t="shared" si="14"/>
        <v>4.2999999999999997E-2</v>
      </c>
      <c r="AD107" s="20">
        <f t="shared" si="14"/>
        <v>4.2999999999999997E-2</v>
      </c>
      <c r="AE107" s="20">
        <f t="shared" si="14"/>
        <v>4.2999999999999997E-2</v>
      </c>
      <c r="AF107" s="20">
        <f t="shared" si="14"/>
        <v>4.2999999999999997E-2</v>
      </c>
      <c r="AG107" s="20">
        <f t="shared" si="14"/>
        <v>4.2999999999999997E-2</v>
      </c>
      <c r="AH107" s="20">
        <f t="shared" si="15"/>
        <v>4.2999999999999997E-2</v>
      </c>
      <c r="AI107" s="20">
        <f t="shared" si="15"/>
        <v>4.2999999999999997E-2</v>
      </c>
      <c r="AJ107" s="20">
        <f t="shared" si="15"/>
        <v>4.2999999999999997E-2</v>
      </c>
      <c r="AK107" s="20">
        <f t="shared" si="15"/>
        <v>4.2999999999999997E-2</v>
      </c>
      <c r="AL107" s="20">
        <f t="shared" si="15"/>
        <v>4.2999999999999997E-2</v>
      </c>
      <c r="AM107" s="20">
        <f t="shared" si="15"/>
        <v>4.2999999999999997E-2</v>
      </c>
      <c r="AN107" s="20">
        <f t="shared" si="15"/>
        <v>4.2999999999999997E-2</v>
      </c>
      <c r="AO107" s="20">
        <f t="shared" si="15"/>
        <v>4.2999999999999997E-2</v>
      </c>
      <c r="AP107" s="173">
        <f t="shared" si="15"/>
        <v>4.2999999999999997E-2</v>
      </c>
    </row>
    <row r="108" spans="1:42" ht="15" customHeight="1" x14ac:dyDescent="0.35">
      <c r="A108" s="179" t="str">
        <f>$B$321</f>
        <v>1 CSE - Best case</v>
      </c>
      <c r="B108" s="185"/>
      <c r="C108">
        <v>2028</v>
      </c>
      <c r="D108" s="20">
        <f t="shared" si="12"/>
        <v>6.2E-2</v>
      </c>
      <c r="E108" s="20">
        <f t="shared" si="12"/>
        <v>6.6000000000000003E-2</v>
      </c>
      <c r="F108" s="20">
        <f t="shared" si="12"/>
        <v>6.5000000000000002E-2</v>
      </c>
      <c r="G108" s="20">
        <f t="shared" si="12"/>
        <v>6.3E-2</v>
      </c>
      <c r="H108" s="20">
        <f t="shared" si="12"/>
        <v>0.06</v>
      </c>
      <c r="I108" s="20">
        <f t="shared" si="12"/>
        <v>4.2999999999999997E-2</v>
      </c>
      <c r="J108" s="20">
        <f t="shared" si="12"/>
        <v>4.2999999999999997E-2</v>
      </c>
      <c r="K108" s="20">
        <f t="shared" si="12"/>
        <v>4.2999999999999997E-2</v>
      </c>
      <c r="L108" s="20">
        <f t="shared" si="12"/>
        <v>4.2999999999999997E-2</v>
      </c>
      <c r="M108" s="20">
        <f t="shared" si="12"/>
        <v>4.2999999999999997E-2</v>
      </c>
      <c r="N108" s="20">
        <f t="shared" si="13"/>
        <v>4.2999999999999997E-2</v>
      </c>
      <c r="O108" s="20">
        <f t="shared" si="13"/>
        <v>4.2999999999999997E-2</v>
      </c>
      <c r="P108" s="20">
        <f t="shared" si="13"/>
        <v>4.2999999999999997E-2</v>
      </c>
      <c r="Q108" s="20">
        <f t="shared" si="13"/>
        <v>4.2999999999999997E-2</v>
      </c>
      <c r="R108" s="20">
        <f t="shared" si="13"/>
        <v>4.2999999999999997E-2</v>
      </c>
      <c r="S108" s="20">
        <f t="shared" si="13"/>
        <v>4.2999999999999997E-2</v>
      </c>
      <c r="T108" s="20">
        <f t="shared" si="13"/>
        <v>4.2999999999999997E-2</v>
      </c>
      <c r="U108" s="20">
        <f t="shared" si="13"/>
        <v>4.2999999999999997E-2</v>
      </c>
      <c r="V108" s="20">
        <f t="shared" si="13"/>
        <v>4.2999999999999997E-2</v>
      </c>
      <c r="W108" s="20">
        <f t="shared" si="13"/>
        <v>4.2999999999999997E-2</v>
      </c>
      <c r="X108" s="20">
        <f t="shared" si="14"/>
        <v>4.2999999999999997E-2</v>
      </c>
      <c r="Y108" s="20">
        <f t="shared" si="14"/>
        <v>4.2999999999999997E-2</v>
      </c>
      <c r="Z108" s="20">
        <f t="shared" si="14"/>
        <v>4.2999999999999997E-2</v>
      </c>
      <c r="AA108" s="20">
        <f t="shared" si="14"/>
        <v>4.2999999999999997E-2</v>
      </c>
      <c r="AB108" s="20">
        <f t="shared" si="14"/>
        <v>4.2999999999999997E-2</v>
      </c>
      <c r="AC108" s="20">
        <f t="shared" si="14"/>
        <v>4.2999999999999997E-2</v>
      </c>
      <c r="AD108" s="20">
        <f t="shared" si="14"/>
        <v>4.2999999999999997E-2</v>
      </c>
      <c r="AE108" s="20">
        <f t="shared" si="14"/>
        <v>4.2999999999999997E-2</v>
      </c>
      <c r="AF108" s="20">
        <f t="shared" si="14"/>
        <v>4.2999999999999997E-2</v>
      </c>
      <c r="AG108" s="20">
        <f t="shared" si="14"/>
        <v>4.2999999999999997E-2</v>
      </c>
      <c r="AH108" s="20">
        <f t="shared" si="15"/>
        <v>4.2999999999999997E-2</v>
      </c>
      <c r="AI108" s="20">
        <f t="shared" si="15"/>
        <v>4.2999999999999997E-2</v>
      </c>
      <c r="AJ108" s="20">
        <f t="shared" si="15"/>
        <v>4.2999999999999997E-2</v>
      </c>
      <c r="AK108" s="20">
        <f t="shared" si="15"/>
        <v>4.2999999999999997E-2</v>
      </c>
      <c r="AL108" s="20">
        <f t="shared" si="15"/>
        <v>4.2999999999999997E-2</v>
      </c>
      <c r="AM108" s="20">
        <f t="shared" si="15"/>
        <v>4.2999999999999997E-2</v>
      </c>
      <c r="AN108" s="20">
        <f t="shared" si="15"/>
        <v>4.2999999999999997E-2</v>
      </c>
      <c r="AO108" s="20">
        <f t="shared" si="15"/>
        <v>4.2999999999999997E-2</v>
      </c>
      <c r="AP108" s="173">
        <f t="shared" si="15"/>
        <v>4.2999999999999997E-2</v>
      </c>
    </row>
    <row r="109" spans="1:42" ht="15" customHeight="1" x14ac:dyDescent="0.35">
      <c r="A109" s="179" t="str">
        <f>$B$322</f>
        <v>4 CSE - Base case</v>
      </c>
      <c r="B109" s="185"/>
      <c r="C109">
        <v>2028</v>
      </c>
      <c r="D109" s="20">
        <f t="shared" si="12"/>
        <v>6.2E-2</v>
      </c>
      <c r="E109" s="20">
        <f t="shared" si="12"/>
        <v>6.6000000000000003E-2</v>
      </c>
      <c r="F109" s="20">
        <f t="shared" si="12"/>
        <v>6.5000000000000002E-2</v>
      </c>
      <c r="G109" s="20">
        <f t="shared" si="12"/>
        <v>6.3E-2</v>
      </c>
      <c r="H109" s="20">
        <f t="shared" si="12"/>
        <v>0.06</v>
      </c>
      <c r="I109" s="20">
        <f t="shared" si="12"/>
        <v>4.2999999999999997E-2</v>
      </c>
      <c r="J109" s="20">
        <f t="shared" si="12"/>
        <v>4.2999999999999997E-2</v>
      </c>
      <c r="K109" s="20">
        <f t="shared" si="12"/>
        <v>4.2999999999999997E-2</v>
      </c>
      <c r="L109" s="20">
        <f t="shared" si="12"/>
        <v>4.2999999999999997E-2</v>
      </c>
      <c r="M109" s="20">
        <f t="shared" si="12"/>
        <v>4.2999999999999997E-2</v>
      </c>
      <c r="N109" s="20">
        <f t="shared" si="13"/>
        <v>4.2999999999999997E-2</v>
      </c>
      <c r="O109" s="20">
        <f t="shared" si="13"/>
        <v>4.2999999999999997E-2</v>
      </c>
      <c r="P109" s="20">
        <f t="shared" si="13"/>
        <v>4.2999999999999997E-2</v>
      </c>
      <c r="Q109" s="20">
        <f t="shared" si="13"/>
        <v>4.2999999999999997E-2</v>
      </c>
      <c r="R109" s="20">
        <f t="shared" si="13"/>
        <v>4.2999999999999997E-2</v>
      </c>
      <c r="S109" s="20">
        <f t="shared" si="13"/>
        <v>4.2999999999999997E-2</v>
      </c>
      <c r="T109" s="20">
        <f t="shared" si="13"/>
        <v>4.2999999999999997E-2</v>
      </c>
      <c r="U109" s="20">
        <f t="shared" si="13"/>
        <v>4.2999999999999997E-2</v>
      </c>
      <c r="V109" s="20">
        <f t="shared" si="13"/>
        <v>4.2999999999999997E-2</v>
      </c>
      <c r="W109" s="20">
        <f t="shared" si="13"/>
        <v>4.2999999999999997E-2</v>
      </c>
      <c r="X109" s="20">
        <f t="shared" si="14"/>
        <v>4.2999999999999997E-2</v>
      </c>
      <c r="Y109" s="20">
        <f t="shared" si="14"/>
        <v>4.2999999999999997E-2</v>
      </c>
      <c r="Z109" s="20">
        <f t="shared" si="14"/>
        <v>4.2999999999999997E-2</v>
      </c>
      <c r="AA109" s="20">
        <f t="shared" si="14"/>
        <v>4.2999999999999997E-2</v>
      </c>
      <c r="AB109" s="20">
        <f t="shared" si="14"/>
        <v>4.2999999999999997E-2</v>
      </c>
      <c r="AC109" s="20">
        <f t="shared" si="14"/>
        <v>4.2999999999999997E-2</v>
      </c>
      <c r="AD109" s="20">
        <f t="shared" si="14"/>
        <v>4.2999999999999997E-2</v>
      </c>
      <c r="AE109" s="20">
        <f t="shared" si="14"/>
        <v>4.2999999999999997E-2</v>
      </c>
      <c r="AF109" s="20">
        <f t="shared" si="14"/>
        <v>4.2999999999999997E-2</v>
      </c>
      <c r="AG109" s="20">
        <f t="shared" si="14"/>
        <v>4.2999999999999997E-2</v>
      </c>
      <c r="AH109" s="20">
        <f t="shared" si="15"/>
        <v>4.2999999999999997E-2</v>
      </c>
      <c r="AI109" s="20">
        <f t="shared" si="15"/>
        <v>4.2999999999999997E-2</v>
      </c>
      <c r="AJ109" s="20">
        <f t="shared" si="15"/>
        <v>4.2999999999999997E-2</v>
      </c>
      <c r="AK109" s="20">
        <f t="shared" si="15"/>
        <v>4.2999999999999997E-2</v>
      </c>
      <c r="AL109" s="20">
        <f t="shared" si="15"/>
        <v>4.2999999999999997E-2</v>
      </c>
      <c r="AM109" s="20">
        <f t="shared" si="15"/>
        <v>4.2999999999999997E-2</v>
      </c>
      <c r="AN109" s="20">
        <f t="shared" si="15"/>
        <v>4.2999999999999997E-2</v>
      </c>
      <c r="AO109" s="20">
        <f t="shared" si="15"/>
        <v>4.2999999999999997E-2</v>
      </c>
      <c r="AP109" s="173">
        <f t="shared" si="15"/>
        <v>4.2999999999999997E-2</v>
      </c>
    </row>
    <row r="110" spans="1:42" ht="15" customHeight="1" x14ac:dyDescent="0.35">
      <c r="A110" s="179" t="str">
        <f>$B$323</f>
        <v>4 CSE - Best case</v>
      </c>
      <c r="B110" s="185"/>
      <c r="C110">
        <v>2028</v>
      </c>
      <c r="D110" s="20">
        <f t="shared" si="12"/>
        <v>6.2E-2</v>
      </c>
      <c r="E110" s="20">
        <f t="shared" si="12"/>
        <v>6.6000000000000003E-2</v>
      </c>
      <c r="F110" s="20">
        <f t="shared" si="12"/>
        <v>6.5000000000000002E-2</v>
      </c>
      <c r="G110" s="20">
        <f t="shared" si="12"/>
        <v>6.3E-2</v>
      </c>
      <c r="H110" s="20">
        <f t="shared" si="12"/>
        <v>0.06</v>
      </c>
      <c r="I110" s="20">
        <f t="shared" si="12"/>
        <v>4.2999999999999997E-2</v>
      </c>
      <c r="J110" s="20">
        <f t="shared" si="12"/>
        <v>4.2999999999999997E-2</v>
      </c>
      <c r="K110" s="20">
        <f t="shared" si="12"/>
        <v>4.2999999999999997E-2</v>
      </c>
      <c r="L110" s="20">
        <f t="shared" si="12"/>
        <v>4.2999999999999997E-2</v>
      </c>
      <c r="M110" s="20">
        <f t="shared" si="12"/>
        <v>4.2999999999999997E-2</v>
      </c>
      <c r="N110" s="20">
        <f t="shared" si="13"/>
        <v>4.2999999999999997E-2</v>
      </c>
      <c r="O110" s="20">
        <f t="shared" si="13"/>
        <v>4.2999999999999997E-2</v>
      </c>
      <c r="P110" s="20">
        <f t="shared" si="13"/>
        <v>4.2999999999999997E-2</v>
      </c>
      <c r="Q110" s="20">
        <f t="shared" si="13"/>
        <v>4.2999999999999997E-2</v>
      </c>
      <c r="R110" s="20">
        <f t="shared" si="13"/>
        <v>4.2999999999999997E-2</v>
      </c>
      <c r="S110" s="20">
        <f t="shared" si="13"/>
        <v>4.2999999999999997E-2</v>
      </c>
      <c r="T110" s="20">
        <f t="shared" si="13"/>
        <v>4.2999999999999997E-2</v>
      </c>
      <c r="U110" s="20">
        <f t="shared" si="13"/>
        <v>4.2999999999999997E-2</v>
      </c>
      <c r="V110" s="20">
        <f t="shared" si="13"/>
        <v>4.2999999999999997E-2</v>
      </c>
      <c r="W110" s="20">
        <f t="shared" si="13"/>
        <v>4.2999999999999997E-2</v>
      </c>
      <c r="X110" s="20">
        <f t="shared" si="14"/>
        <v>4.2999999999999997E-2</v>
      </c>
      <c r="Y110" s="20">
        <f t="shared" si="14"/>
        <v>4.2999999999999997E-2</v>
      </c>
      <c r="Z110" s="20">
        <f t="shared" si="14"/>
        <v>4.2999999999999997E-2</v>
      </c>
      <c r="AA110" s="20">
        <f t="shared" si="14"/>
        <v>4.2999999999999997E-2</v>
      </c>
      <c r="AB110" s="20">
        <f t="shared" si="14"/>
        <v>4.2999999999999997E-2</v>
      </c>
      <c r="AC110" s="20">
        <f t="shared" si="14"/>
        <v>4.2999999999999997E-2</v>
      </c>
      <c r="AD110" s="20">
        <f t="shared" si="14"/>
        <v>4.2999999999999997E-2</v>
      </c>
      <c r="AE110" s="20">
        <f t="shared" si="14"/>
        <v>4.2999999999999997E-2</v>
      </c>
      <c r="AF110" s="20">
        <f t="shared" si="14"/>
        <v>4.2999999999999997E-2</v>
      </c>
      <c r="AG110" s="20">
        <f t="shared" si="14"/>
        <v>4.2999999999999997E-2</v>
      </c>
      <c r="AH110" s="20">
        <f t="shared" si="15"/>
        <v>4.2999999999999997E-2</v>
      </c>
      <c r="AI110" s="20">
        <f t="shared" si="15"/>
        <v>4.2999999999999997E-2</v>
      </c>
      <c r="AJ110" s="20">
        <f t="shared" si="15"/>
        <v>4.2999999999999997E-2</v>
      </c>
      <c r="AK110" s="20">
        <f t="shared" si="15"/>
        <v>4.2999999999999997E-2</v>
      </c>
      <c r="AL110" s="20">
        <f t="shared" si="15"/>
        <v>4.2999999999999997E-2</v>
      </c>
      <c r="AM110" s="20">
        <f t="shared" si="15"/>
        <v>4.2999999999999997E-2</v>
      </c>
      <c r="AN110" s="20">
        <f t="shared" si="15"/>
        <v>4.2999999999999997E-2</v>
      </c>
      <c r="AO110" s="20">
        <f t="shared" si="15"/>
        <v>4.2999999999999997E-2</v>
      </c>
      <c r="AP110" s="173">
        <f t="shared" si="15"/>
        <v>4.2999999999999997E-2</v>
      </c>
    </row>
    <row r="111" spans="1:42" ht="15" customHeight="1" x14ac:dyDescent="0.35">
      <c r="A111" s="17" t="s">
        <v>345</v>
      </c>
      <c r="B111" s="252">
        <v>5.0000000000000001E-3</v>
      </c>
      <c r="AP111" s="186"/>
    </row>
    <row r="112" spans="1:42" ht="15" customHeight="1" thickBot="1" x14ac:dyDescent="0.4">
      <c r="A112" s="17"/>
      <c r="B112" s="23"/>
      <c r="AP112" s="30"/>
    </row>
    <row r="113" spans="1:42" ht="15" customHeight="1" x14ac:dyDescent="0.35">
      <c r="A113" s="15" t="s">
        <v>346</v>
      </c>
      <c r="B113" s="32"/>
      <c r="C113" s="34"/>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6"/>
    </row>
    <row r="114" spans="1:42" ht="15" customHeight="1" x14ac:dyDescent="0.35">
      <c r="A114" s="17"/>
      <c r="B114" s="28"/>
      <c r="AP114" s="30"/>
    </row>
    <row r="115" spans="1:42" ht="15" customHeight="1" x14ac:dyDescent="0.35">
      <c r="A115" s="17" t="s">
        <v>347</v>
      </c>
      <c r="B115" s="293"/>
      <c r="AP115" s="30"/>
    </row>
    <row r="116" spans="1:42" ht="15" customHeight="1" x14ac:dyDescent="0.35">
      <c r="A116" s="179" t="str">
        <f>$B$320</f>
        <v>1 CSE - Base case</v>
      </c>
      <c r="B116" s="185">
        <f>1-0.05</f>
        <v>0.95</v>
      </c>
      <c r="AP116" s="30"/>
    </row>
    <row r="117" spans="1:42" ht="15" customHeight="1" x14ac:dyDescent="0.35">
      <c r="A117" s="179" t="str">
        <f>$B$321</f>
        <v>1 CSE - Best case</v>
      </c>
      <c r="B117" s="187">
        <f>1-0.025</f>
        <v>0.97499999999999998</v>
      </c>
      <c r="AP117" s="30"/>
    </row>
    <row r="118" spans="1:42" ht="15" customHeight="1" x14ac:dyDescent="0.35">
      <c r="A118" s="179" t="str">
        <f>$B$322</f>
        <v>4 CSE - Base case</v>
      </c>
      <c r="B118" s="187">
        <f>1-0.1</f>
        <v>0.9</v>
      </c>
      <c r="AP118" s="30"/>
    </row>
    <row r="119" spans="1:42" ht="15" customHeight="1" x14ac:dyDescent="0.35">
      <c r="A119" s="179" t="str">
        <f>$B$323</f>
        <v>4 CSE - Best case</v>
      </c>
      <c r="B119" s="187">
        <v>0.95</v>
      </c>
      <c r="AP119" s="30"/>
    </row>
    <row r="120" spans="1:42" ht="15" customHeight="1" x14ac:dyDescent="0.35">
      <c r="A120" s="17"/>
      <c r="B120" s="68"/>
      <c r="AP120" s="30"/>
    </row>
    <row r="121" spans="1:42" ht="15" customHeight="1" x14ac:dyDescent="0.35">
      <c r="A121" s="17" t="s">
        <v>348</v>
      </c>
      <c r="B121" s="171">
        <v>-0.53266802747993225</v>
      </c>
      <c r="C121" s="180" t="s">
        <v>67</v>
      </c>
      <c r="AP121" s="30"/>
    </row>
    <row r="122" spans="1:42" ht="15" customHeight="1" x14ac:dyDescent="0.35">
      <c r="A122" s="17" t="s">
        <v>349</v>
      </c>
      <c r="B122" s="171">
        <v>-0.53266802747993225</v>
      </c>
      <c r="C122" s="180" t="s">
        <v>67</v>
      </c>
      <c r="AP122" s="30"/>
    </row>
    <row r="123" spans="1:42" ht="15" customHeight="1" x14ac:dyDescent="0.35">
      <c r="A123" s="17" t="s">
        <v>350</v>
      </c>
      <c r="B123" s="171"/>
      <c r="AP123" s="30"/>
    </row>
    <row r="124" spans="1:42" ht="15" customHeight="1" x14ac:dyDescent="0.35">
      <c r="A124" s="179" t="str">
        <f>$B$320</f>
        <v>1 CSE - Base case</v>
      </c>
      <c r="B124" s="171">
        <f>$B$122+($B$121-$B$122)*B129</f>
        <v>-0.53266802747993225</v>
      </c>
      <c r="AP124" s="30"/>
    </row>
    <row r="125" spans="1:42" ht="15" customHeight="1" x14ac:dyDescent="0.35">
      <c r="A125" s="179" t="str">
        <f>$B$321</f>
        <v>1 CSE - Best case</v>
      </c>
      <c r="B125" s="171">
        <f t="shared" ref="B125:B126" si="16">$B$122+($B$121-$B$122)*B130</f>
        <v>-0.53266802747993225</v>
      </c>
      <c r="AP125" s="30"/>
    </row>
    <row r="126" spans="1:42" ht="15" customHeight="1" x14ac:dyDescent="0.35">
      <c r="A126" s="179" t="str">
        <f>$B$322</f>
        <v>4 CSE - Base case</v>
      </c>
      <c r="B126" s="171">
        <f t="shared" si="16"/>
        <v>-0.53266802747993225</v>
      </c>
      <c r="AP126" s="30"/>
    </row>
    <row r="127" spans="1:42" ht="15" customHeight="1" x14ac:dyDescent="0.35">
      <c r="A127" s="179" t="str">
        <f>$B$323</f>
        <v>4 CSE - Best case</v>
      </c>
      <c r="B127" s="171">
        <f>$B$122+($B$121-$B$122)*B132</f>
        <v>-0.53266802747993225</v>
      </c>
      <c r="AP127" s="30"/>
    </row>
    <row r="128" spans="1:42" ht="15" customHeight="1" x14ac:dyDescent="0.35">
      <c r="A128" s="17" t="s">
        <v>351</v>
      </c>
      <c r="B128" s="28"/>
      <c r="AP128" s="30"/>
    </row>
    <row r="129" spans="1:42" ht="15" customHeight="1" x14ac:dyDescent="0.35">
      <c r="A129" s="179" t="str">
        <f>$B$320</f>
        <v>1 CSE - Base case</v>
      </c>
      <c r="B129" s="68">
        <v>0.2</v>
      </c>
      <c r="AP129" s="30"/>
    </row>
    <row r="130" spans="1:42" ht="15" customHeight="1" x14ac:dyDescent="0.35">
      <c r="A130" s="179" t="str">
        <f>$B$321</f>
        <v>1 CSE - Best case</v>
      </c>
      <c r="B130" s="68">
        <v>0.4</v>
      </c>
      <c r="AP130" s="30"/>
    </row>
    <row r="131" spans="1:42" ht="15" customHeight="1" x14ac:dyDescent="0.35">
      <c r="A131" s="179" t="str">
        <f>$B$322</f>
        <v>4 CSE - Base case</v>
      </c>
      <c r="B131" s="68">
        <v>0.5</v>
      </c>
      <c r="AP131" s="30"/>
    </row>
    <row r="132" spans="1:42" ht="15" customHeight="1" x14ac:dyDescent="0.35">
      <c r="A132" s="179" t="str">
        <f>$B$323</f>
        <v>4 CSE - Best case</v>
      </c>
      <c r="B132" s="68">
        <v>0.8</v>
      </c>
      <c r="AP132" s="30"/>
    </row>
    <row r="133" spans="1:42" ht="15" customHeight="1" x14ac:dyDescent="0.35">
      <c r="A133" s="17"/>
      <c r="B133" s="28"/>
      <c r="AP133" s="30"/>
    </row>
    <row r="134" spans="1:42" ht="15" customHeight="1" x14ac:dyDescent="0.35">
      <c r="A134" s="51" t="s">
        <v>352</v>
      </c>
      <c r="B134" s="171">
        <f>INDEX(A135:B139, MATCH(B3, A135:A139, 0), 2)</f>
        <v>-0.53266802747993225</v>
      </c>
      <c r="C134" s="180"/>
      <c r="AP134" s="30"/>
    </row>
    <row r="135" spans="1:42" ht="15" customHeight="1" x14ac:dyDescent="0.35">
      <c r="A135" s="179" t="str">
        <f>B319</f>
        <v>No centralised services entity (CSE)</v>
      </c>
      <c r="B135" s="187">
        <f>B122</f>
        <v>-0.53266802747993225</v>
      </c>
      <c r="AP135" s="30"/>
    </row>
    <row r="136" spans="1:42" ht="15" customHeight="1" x14ac:dyDescent="0.35">
      <c r="A136" s="179" t="str">
        <f>$B$320</f>
        <v>1 CSE - Base case</v>
      </c>
      <c r="B136" s="187">
        <f>B124*B116</f>
        <v>-0.50603462610593564</v>
      </c>
      <c r="AP136" s="30"/>
    </row>
    <row r="137" spans="1:42" ht="15" customHeight="1" x14ac:dyDescent="0.35">
      <c r="A137" s="179" t="str">
        <f>$B$321</f>
        <v>1 CSE - Best case</v>
      </c>
      <c r="B137" s="185">
        <f>B125*B117</f>
        <v>-0.51935132679293394</v>
      </c>
      <c r="AP137" s="30"/>
    </row>
    <row r="138" spans="1:42" ht="15" customHeight="1" x14ac:dyDescent="0.35">
      <c r="A138" s="179" t="str">
        <f>$B$322</f>
        <v>4 CSE - Base case</v>
      </c>
      <c r="B138" s="185">
        <f t="shared" ref="B138:B139" si="17">B126*B118</f>
        <v>-0.47940122473193902</v>
      </c>
      <c r="AP138" s="30"/>
    </row>
    <row r="139" spans="1:42" ht="15" customHeight="1" thickBot="1" x14ac:dyDescent="0.4">
      <c r="A139" s="179" t="str">
        <f>$B$323</f>
        <v>4 CSE - Best case</v>
      </c>
      <c r="B139" s="185">
        <f t="shared" si="17"/>
        <v>-0.50603462610593564</v>
      </c>
      <c r="AP139" s="30"/>
    </row>
    <row r="140" spans="1:42" ht="31.5" thickBot="1" x14ac:dyDescent="0.4">
      <c r="A140" s="179"/>
      <c r="B140" s="187"/>
      <c r="C140" s="279" t="s">
        <v>353</v>
      </c>
      <c r="D140" s="278">
        <v>-0.5</v>
      </c>
      <c r="AP140" s="30"/>
    </row>
    <row r="141" spans="1:42" ht="15" customHeight="1" x14ac:dyDescent="0.35">
      <c r="A141" s="51" t="s">
        <v>354</v>
      </c>
      <c r="B141" s="171">
        <f>INDEX(A142:B146, MATCH($B$3, A142:A146, 0), 2)</f>
        <v>-0.5</v>
      </c>
      <c r="C141" s="180"/>
      <c r="F141" t="s">
        <v>355</v>
      </c>
      <c r="AP141" s="30"/>
    </row>
    <row r="142" spans="1:42" ht="15" customHeight="1" x14ac:dyDescent="0.35">
      <c r="A142" s="179" t="str">
        <f>B319</f>
        <v>No centralised services entity (CSE)</v>
      </c>
      <c r="B142" s="187">
        <v>-0.5</v>
      </c>
      <c r="C142" s="180" t="s">
        <v>67</v>
      </c>
      <c r="AP142" s="30"/>
    </row>
    <row r="143" spans="1:42" ht="15" customHeight="1" x14ac:dyDescent="0.35">
      <c r="A143" s="179" t="str">
        <f>$B$320</f>
        <v>1 CSE - Base case</v>
      </c>
      <c r="B143" s="187">
        <f>($B$142+($D$140-$B$142)*B148)*B116</f>
        <v>-0.47499999999999998</v>
      </c>
      <c r="C143" s="180"/>
      <c r="D143" s="181"/>
      <c r="AP143" s="30"/>
    </row>
    <row r="144" spans="1:42" ht="15" customHeight="1" x14ac:dyDescent="0.35">
      <c r="A144" s="179" t="str">
        <f>$B$321</f>
        <v>1 CSE - Best case</v>
      </c>
      <c r="B144" s="187">
        <f>($B$142+($D$140-$B$142)*B149)*B117</f>
        <v>-0.48749999999999999</v>
      </c>
      <c r="C144" s="180"/>
      <c r="AP144" s="30"/>
    </row>
    <row r="145" spans="1:42" ht="15" customHeight="1" x14ac:dyDescent="0.35">
      <c r="A145" s="179" t="str">
        <f>$B$322</f>
        <v>4 CSE - Base case</v>
      </c>
      <c r="B145" s="187">
        <f>($B$142+($D$140-$B$142)*B150)*B118</f>
        <v>-0.45</v>
      </c>
      <c r="C145" s="180"/>
      <c r="AP145" s="30"/>
    </row>
    <row r="146" spans="1:42" ht="15" customHeight="1" x14ac:dyDescent="0.35">
      <c r="A146" s="179" t="str">
        <f>$B$323</f>
        <v>4 CSE - Best case</v>
      </c>
      <c r="B146" s="187">
        <f>($B$142+($D$140-$B$142)*B151)*B119</f>
        <v>-0.47499999999999998</v>
      </c>
      <c r="C146" s="180"/>
      <c r="AP146" s="30"/>
    </row>
    <row r="147" spans="1:42" ht="15" customHeight="1" x14ac:dyDescent="0.35">
      <c r="A147" s="17" t="s">
        <v>351</v>
      </c>
      <c r="B147" s="187"/>
      <c r="AP147" s="30"/>
    </row>
    <row r="148" spans="1:42" ht="15" customHeight="1" x14ac:dyDescent="0.35">
      <c r="A148" s="179" t="str">
        <f>$B$320</f>
        <v>1 CSE - Base case</v>
      </c>
      <c r="B148" s="171">
        <v>0.2</v>
      </c>
      <c r="AP148" s="30"/>
    </row>
    <row r="149" spans="1:42" ht="15" customHeight="1" x14ac:dyDescent="0.35">
      <c r="A149" s="179" t="str">
        <f>$B$321</f>
        <v>1 CSE - Best case</v>
      </c>
      <c r="B149" s="171">
        <v>0.4</v>
      </c>
      <c r="AP149" s="30"/>
    </row>
    <row r="150" spans="1:42" ht="15" customHeight="1" x14ac:dyDescent="0.35">
      <c r="A150" s="179" t="str">
        <f>$B$322</f>
        <v>4 CSE - Base case</v>
      </c>
      <c r="B150" s="171">
        <v>0.5</v>
      </c>
      <c r="AP150" s="30"/>
    </row>
    <row r="151" spans="1:42" ht="15" customHeight="1" x14ac:dyDescent="0.35">
      <c r="A151" s="179" t="str">
        <f>$B$323</f>
        <v>4 CSE - Best case</v>
      </c>
      <c r="B151" s="171">
        <v>0.8</v>
      </c>
      <c r="AP151" s="30"/>
    </row>
    <row r="152" spans="1:42" ht="15" customHeight="1" x14ac:dyDescent="0.35">
      <c r="A152" s="179"/>
      <c r="B152" s="187"/>
      <c r="AP152" s="30"/>
    </row>
    <row r="153" spans="1:42" ht="15" customHeight="1" x14ac:dyDescent="0.35">
      <c r="A153" s="51" t="s">
        <v>356</v>
      </c>
      <c r="B153" s="171">
        <f>INDEX(A154:B158, MATCH($B$3, A154:A158, 0), 2)</f>
        <v>-0.5</v>
      </c>
      <c r="C153" s="180"/>
      <c r="AP153" s="30"/>
    </row>
    <row r="154" spans="1:42" ht="15" customHeight="1" x14ac:dyDescent="0.35">
      <c r="A154" s="179" t="str">
        <f>B319</f>
        <v>No centralised services entity (CSE)</v>
      </c>
      <c r="B154" s="187">
        <v>-0.5</v>
      </c>
      <c r="C154" s="180" t="s">
        <v>67</v>
      </c>
      <c r="AP154" s="30"/>
    </row>
    <row r="155" spans="1:42" ht="15" customHeight="1" x14ac:dyDescent="0.35">
      <c r="A155" s="179" t="str">
        <f>$B$320</f>
        <v>1 CSE - Base case</v>
      </c>
      <c r="B155" s="187">
        <f>($B$154+($D$140-$B$154)*B160)*B116</f>
        <v>-0.47499999999999998</v>
      </c>
      <c r="C155" s="180"/>
      <c r="D155" s="20"/>
      <c r="AP155" s="30"/>
    </row>
    <row r="156" spans="1:42" ht="15" customHeight="1" x14ac:dyDescent="0.35">
      <c r="A156" s="179" t="str">
        <f>$B$321</f>
        <v>1 CSE - Best case</v>
      </c>
      <c r="B156" s="187">
        <f>($B$154+($D$140-$B$154)*B161)*B117</f>
        <v>-0.48749999999999999</v>
      </c>
      <c r="C156" s="180"/>
      <c r="AP156" s="30"/>
    </row>
    <row r="157" spans="1:42" ht="15" customHeight="1" x14ac:dyDescent="0.35">
      <c r="A157" s="179" t="str">
        <f>$B$322</f>
        <v>4 CSE - Base case</v>
      </c>
      <c r="B157" s="187">
        <f>($B$154+($D$140-$B$154)*B162)*B118</f>
        <v>-0.45</v>
      </c>
      <c r="C157" s="180"/>
      <c r="AP157" s="30"/>
    </row>
    <row r="158" spans="1:42" ht="15" customHeight="1" x14ac:dyDescent="0.35">
      <c r="A158" s="179" t="str">
        <f>$B$323</f>
        <v>4 CSE - Best case</v>
      </c>
      <c r="B158" s="187">
        <f>($B$154+($D$140-$B$154)*B163)*B119</f>
        <v>-0.47499999999999998</v>
      </c>
      <c r="C158" s="180"/>
      <c r="AP158" s="30"/>
    </row>
    <row r="159" spans="1:42" ht="15" customHeight="1" x14ac:dyDescent="0.35">
      <c r="A159" s="17" t="s">
        <v>351</v>
      </c>
      <c r="B159" s="187"/>
      <c r="AP159" s="30"/>
    </row>
    <row r="160" spans="1:42" ht="15" customHeight="1" x14ac:dyDescent="0.35">
      <c r="A160" s="179" t="str">
        <f>$B$320</f>
        <v>1 CSE - Base case</v>
      </c>
      <c r="B160" s="171">
        <v>0.8</v>
      </c>
      <c r="AP160" s="30"/>
    </row>
    <row r="161" spans="1:42" ht="15" customHeight="1" x14ac:dyDescent="0.35">
      <c r="A161" s="179" t="str">
        <f>$B$321</f>
        <v>1 CSE - Best case</v>
      </c>
      <c r="B161" s="171">
        <v>0.9</v>
      </c>
      <c r="AP161" s="30"/>
    </row>
    <row r="162" spans="1:42" ht="15" customHeight="1" x14ac:dyDescent="0.35">
      <c r="A162" s="179" t="str">
        <f>$B$322</f>
        <v>4 CSE - Base case</v>
      </c>
      <c r="B162" s="171">
        <v>0.8</v>
      </c>
      <c r="AP162" s="30"/>
    </row>
    <row r="163" spans="1:42" ht="15" customHeight="1" x14ac:dyDescent="0.35">
      <c r="A163" s="179" t="str">
        <f>$B$323</f>
        <v>4 CSE - Best case</v>
      </c>
      <c r="B163" s="171">
        <v>0.9</v>
      </c>
      <c r="AP163" s="30"/>
    </row>
    <row r="164" spans="1:42" ht="15" customHeight="1" x14ac:dyDescent="0.35">
      <c r="A164" s="261"/>
      <c r="B164" s="171"/>
      <c r="AP164" s="30"/>
    </row>
    <row r="165" spans="1:42" ht="15" customHeight="1" x14ac:dyDescent="0.35">
      <c r="A165" s="51" t="s">
        <v>357</v>
      </c>
      <c r="B165" s="171">
        <v>-8.0999999999999996E-3</v>
      </c>
      <c r="AP165" s="30"/>
    </row>
    <row r="166" spans="1:42" ht="15" customHeight="1" x14ac:dyDescent="0.35">
      <c r="A166" s="51"/>
      <c r="B166" s="188"/>
      <c r="AP166" s="30"/>
    </row>
    <row r="167" spans="1:42" ht="15" customHeight="1" x14ac:dyDescent="0.35">
      <c r="A167" s="51" t="s">
        <v>358</v>
      </c>
      <c r="B167" s="171">
        <f>IF($B$4=$B$310,0,50%)</f>
        <v>0.5</v>
      </c>
      <c r="AP167" s="30"/>
    </row>
    <row r="168" spans="1:42" ht="15" customHeight="1" x14ac:dyDescent="0.35">
      <c r="A168" s="51"/>
      <c r="B168" s="28"/>
      <c r="AP168" s="30"/>
    </row>
    <row r="169" spans="1:42" ht="15" customHeight="1" x14ac:dyDescent="0.35">
      <c r="A169" s="51" t="s">
        <v>359</v>
      </c>
      <c r="B169" s="189">
        <f>B43</f>
        <v>1725853.0649999999</v>
      </c>
      <c r="AP169" s="30"/>
    </row>
    <row r="170" spans="1:42" ht="15" customHeight="1" x14ac:dyDescent="0.35">
      <c r="A170" s="51" t="str">
        <f>"Population required for "&amp;B167*100&amp;"% of TFP"</f>
        <v>Population required for 50% of TFP</v>
      </c>
      <c r="B170" s="46">
        <v>800000</v>
      </c>
      <c r="AP170" s="30"/>
    </row>
    <row r="171" spans="1:42" ht="15" customHeight="1" x14ac:dyDescent="0.35">
      <c r="A171" s="51" t="s">
        <v>360</v>
      </c>
      <c r="B171" s="182">
        <f>IF(B169&gt;=B170,1,B169/B170)</f>
        <v>1</v>
      </c>
      <c r="AP171" s="30"/>
    </row>
    <row r="172" spans="1:42" ht="15" customHeight="1" x14ac:dyDescent="0.35">
      <c r="A172" s="51" t="s">
        <v>361</v>
      </c>
      <c r="B172" s="190">
        <f>B165*B167</f>
        <v>-4.0499999999999998E-3</v>
      </c>
      <c r="AP172" s="30"/>
    </row>
    <row r="173" spans="1:42" ht="15" customHeight="1" x14ac:dyDescent="0.35">
      <c r="A173" s="51" t="s">
        <v>362</v>
      </c>
      <c r="B173" s="190">
        <f>B172*B171</f>
        <v>-4.0499999999999998E-3</v>
      </c>
      <c r="AP173" s="30"/>
    </row>
    <row r="174" spans="1:42" ht="15" customHeight="1" x14ac:dyDescent="0.35">
      <c r="A174" s="51"/>
      <c r="B174" s="28"/>
      <c r="AP174" s="30"/>
    </row>
    <row r="175" spans="1:42" ht="15" customHeight="1" x14ac:dyDescent="0.35">
      <c r="A175" s="262" t="s">
        <v>363</v>
      </c>
      <c r="B175" s="191">
        <f>INDEX(A176:B180,MATCH(B3,A176:A180,0),2)</f>
        <v>-4.0499999999999998E-3</v>
      </c>
      <c r="AP175" s="30"/>
    </row>
    <row r="176" spans="1:42" ht="15" customHeight="1" x14ac:dyDescent="0.35">
      <c r="A176" s="263" t="str">
        <f>B319</f>
        <v>No centralised services entity (CSE)</v>
      </c>
      <c r="B176" s="192">
        <f>B173</f>
        <v>-4.0499999999999998E-3</v>
      </c>
      <c r="C176" s="113"/>
      <c r="AP176" s="30"/>
    </row>
    <row r="177" spans="1:42" ht="15" customHeight="1" x14ac:dyDescent="0.35">
      <c r="A177" s="179" t="str">
        <f>$B$320</f>
        <v>1 CSE - Base case</v>
      </c>
      <c r="B177" s="192">
        <f>($B$173+($B$172-$B$173)*B182)</f>
        <v>-4.0499999999999998E-3</v>
      </c>
      <c r="C177" s="113"/>
      <c r="AP177" s="30"/>
    </row>
    <row r="178" spans="1:42" ht="15" customHeight="1" x14ac:dyDescent="0.35">
      <c r="A178" s="179" t="str">
        <f>$B$321</f>
        <v>1 CSE - Best case</v>
      </c>
      <c r="B178" s="192">
        <f>($B$173+($B$172-$B$173)*B183)</f>
        <v>-4.0499999999999998E-3</v>
      </c>
      <c r="C178" s="113"/>
      <c r="AP178" s="30"/>
    </row>
    <row r="179" spans="1:42" ht="15" customHeight="1" x14ac:dyDescent="0.35">
      <c r="A179" s="179" t="str">
        <f>$B$322</f>
        <v>4 CSE - Base case</v>
      </c>
      <c r="B179" s="192">
        <f>($B$173+($B$172-$B$173)*B184)</f>
        <v>-4.0499999999999998E-3</v>
      </c>
      <c r="C179" s="113"/>
      <c r="AP179" s="30"/>
    </row>
    <row r="180" spans="1:42" ht="15" customHeight="1" x14ac:dyDescent="0.35">
      <c r="A180" s="179" t="str">
        <f>$B$323</f>
        <v>4 CSE - Best case</v>
      </c>
      <c r="B180" s="192">
        <f>($B$173+($B$172-$B$173)*B185)</f>
        <v>-4.0499999999999998E-3</v>
      </c>
      <c r="C180" s="113"/>
      <c r="AP180" s="30"/>
    </row>
    <row r="181" spans="1:42" ht="15" customHeight="1" x14ac:dyDescent="0.35">
      <c r="A181" s="17" t="s">
        <v>351</v>
      </c>
      <c r="B181" s="192"/>
      <c r="C181" s="113"/>
      <c r="AP181" s="30"/>
    </row>
    <row r="182" spans="1:42" ht="15" customHeight="1" x14ac:dyDescent="0.35">
      <c r="A182" s="179" t="str">
        <f>$B$320</f>
        <v>1 CSE - Base case</v>
      </c>
      <c r="B182" s="193">
        <v>0.2</v>
      </c>
      <c r="C182" s="194"/>
      <c r="AP182" s="30"/>
    </row>
    <row r="183" spans="1:42" ht="15" customHeight="1" x14ac:dyDescent="0.35">
      <c r="A183" s="179" t="str">
        <f>$B$321</f>
        <v>1 CSE - Best case</v>
      </c>
      <c r="B183" s="193">
        <v>0.4</v>
      </c>
      <c r="C183" s="194"/>
      <c r="AP183" s="30"/>
    </row>
    <row r="184" spans="1:42" ht="15" customHeight="1" x14ac:dyDescent="0.35">
      <c r="A184" s="179" t="str">
        <f>$B$322</f>
        <v>4 CSE - Base case</v>
      </c>
      <c r="B184" s="193">
        <v>0.5</v>
      </c>
      <c r="C184" s="194"/>
      <c r="AP184" s="30"/>
    </row>
    <row r="185" spans="1:42" ht="15" customHeight="1" x14ac:dyDescent="0.35">
      <c r="A185" s="179" t="str">
        <f>$B$323</f>
        <v>4 CSE - Best case</v>
      </c>
      <c r="B185" s="193">
        <v>0.8</v>
      </c>
      <c r="C185" s="194"/>
      <c r="AP185" s="30"/>
    </row>
    <row r="186" spans="1:42" ht="15" customHeight="1" x14ac:dyDescent="0.35">
      <c r="A186" s="51"/>
      <c r="B186" s="188"/>
      <c r="C186" s="194"/>
      <c r="AP186" s="30"/>
    </row>
    <row r="187" spans="1:42" ht="15.5" hidden="1" outlineLevel="1" x14ac:dyDescent="0.35">
      <c r="A187" s="51" t="s">
        <v>364</v>
      </c>
      <c r="B187" s="195">
        <v>1</v>
      </c>
      <c r="AP187" s="30"/>
    </row>
    <row r="188" spans="1:42" ht="15" hidden="1" customHeight="1" outlineLevel="1" x14ac:dyDescent="0.35">
      <c r="A188" s="51" t="s">
        <v>365</v>
      </c>
      <c r="B188" s="195">
        <f>1+B134</f>
        <v>0.46733197252006775</v>
      </c>
      <c r="AP188" s="30"/>
    </row>
    <row r="189" spans="1:42" ht="15" hidden="1" customHeight="1" outlineLevel="1" x14ac:dyDescent="0.35">
      <c r="A189" s="51" t="s">
        <v>366</v>
      </c>
      <c r="B189" s="195">
        <f>B188/B187-1</f>
        <v>-0.53266802747993225</v>
      </c>
      <c r="AP189" s="30"/>
    </row>
    <row r="190" spans="1:42" ht="15" hidden="1" customHeight="1" outlineLevel="1" x14ac:dyDescent="0.35">
      <c r="A190" s="51"/>
      <c r="B190" s="195"/>
      <c r="AP190" s="30"/>
    </row>
    <row r="191" spans="1:42" ht="15" hidden="1" customHeight="1" outlineLevel="1" x14ac:dyDescent="0.35">
      <c r="A191" s="51" t="s">
        <v>367</v>
      </c>
      <c r="B191" s="195">
        <v>0.6</v>
      </c>
      <c r="AP191" s="30"/>
    </row>
    <row r="192" spans="1:42" ht="15" hidden="1" customHeight="1" outlineLevel="1" x14ac:dyDescent="0.35">
      <c r="A192" s="51" t="s">
        <v>368</v>
      </c>
      <c r="B192" s="195">
        <f>B189*B191</f>
        <v>-0.31960081648795935</v>
      </c>
      <c r="AP192" s="30"/>
    </row>
    <row r="193" spans="1:42" ht="15" hidden="1" customHeight="1" outlineLevel="1" x14ac:dyDescent="0.35">
      <c r="A193" s="51"/>
      <c r="B193" s="195"/>
      <c r="AP193" s="30"/>
    </row>
    <row r="194" spans="1:42" ht="15" hidden="1" customHeight="1" outlineLevel="1" x14ac:dyDescent="0.35">
      <c r="A194" s="51" t="s">
        <v>369</v>
      </c>
      <c r="B194" s="195">
        <f>1+B192</f>
        <v>0.68039918351204065</v>
      </c>
      <c r="AP194" s="30"/>
    </row>
    <row r="195" spans="1:42" ht="15" hidden="1" customHeight="1" outlineLevel="1" x14ac:dyDescent="0.35">
      <c r="A195" s="51" t="s">
        <v>365</v>
      </c>
      <c r="B195" s="195">
        <f>B188</f>
        <v>0.46733197252006775</v>
      </c>
      <c r="C195" s="196"/>
      <c r="AP195" s="30"/>
    </row>
    <row r="196" spans="1:42" ht="15" hidden="1" customHeight="1" outlineLevel="1" x14ac:dyDescent="0.35">
      <c r="A196" s="51" t="s">
        <v>366</v>
      </c>
      <c r="B196" s="195">
        <f>B195/B194-1</f>
        <v>-0.31315030375576924</v>
      </c>
      <c r="AP196" s="30"/>
    </row>
    <row r="197" spans="1:42" ht="15" hidden="1" customHeight="1" outlineLevel="1" x14ac:dyDescent="0.35">
      <c r="A197" s="51"/>
      <c r="B197" s="195"/>
      <c r="AP197" s="30"/>
    </row>
    <row r="198" spans="1:42" ht="15" hidden="1" customHeight="1" outlineLevel="1" x14ac:dyDescent="0.35">
      <c r="A198" s="51" t="s">
        <v>367</v>
      </c>
      <c r="B198" s="195">
        <v>0.6</v>
      </c>
      <c r="AP198" s="30"/>
    </row>
    <row r="199" spans="1:42" ht="15" hidden="1" customHeight="1" outlineLevel="1" x14ac:dyDescent="0.35">
      <c r="A199" s="51" t="s">
        <v>370</v>
      </c>
      <c r="B199" s="195">
        <f>B196*B198</f>
        <v>-0.18789018225346155</v>
      </c>
      <c r="AP199" s="30"/>
    </row>
    <row r="200" spans="1:42" ht="15" hidden="1" customHeight="1" outlineLevel="1" x14ac:dyDescent="0.35">
      <c r="A200" s="51"/>
      <c r="B200" s="195"/>
      <c r="AP200" s="30"/>
    </row>
    <row r="201" spans="1:42" ht="15" hidden="1" customHeight="1" outlineLevel="1" x14ac:dyDescent="0.35">
      <c r="A201" s="51" t="s">
        <v>371</v>
      </c>
      <c r="B201" s="195">
        <f>(1+B192)*(1+B199)</f>
        <v>0.55255885691685691</v>
      </c>
      <c r="AP201" s="30"/>
    </row>
    <row r="202" spans="1:42" ht="15" hidden="1" customHeight="1" outlineLevel="1" x14ac:dyDescent="0.35">
      <c r="A202" s="51" t="s">
        <v>365</v>
      </c>
      <c r="B202" s="195">
        <f>B195</f>
        <v>0.46733197252006775</v>
      </c>
      <c r="AP202" s="30"/>
    </row>
    <row r="203" spans="1:42" ht="15" hidden="1" customHeight="1" outlineLevel="1" x14ac:dyDescent="0.35">
      <c r="A203" s="51" t="s">
        <v>372</v>
      </c>
      <c r="B203" s="195">
        <f>B202/B201-1</f>
        <v>-0.15424037336462992</v>
      </c>
      <c r="AP203" s="30"/>
    </row>
    <row r="204" spans="1:42" ht="15" hidden="1" customHeight="1" outlineLevel="1" x14ac:dyDescent="0.35">
      <c r="A204" s="51"/>
      <c r="B204" s="195"/>
      <c r="AP204" s="30"/>
    </row>
    <row r="205" spans="1:42" ht="15" customHeight="1" collapsed="1" x14ac:dyDescent="0.35">
      <c r="A205" s="51" t="s">
        <v>373</v>
      </c>
      <c r="B205" s="171">
        <f>((1+B192)^(1/5))-1</f>
        <v>-7.4124149162968722E-2</v>
      </c>
      <c r="AP205" s="30"/>
    </row>
    <row r="206" spans="1:42" ht="15" customHeight="1" x14ac:dyDescent="0.35">
      <c r="A206" s="51" t="s">
        <v>374</v>
      </c>
      <c r="B206" s="171">
        <f>((1+B199)^(1/5))-1</f>
        <v>-4.076955989791553E-2</v>
      </c>
      <c r="AP206" s="30"/>
    </row>
    <row r="207" spans="1:42" ht="15" customHeight="1" x14ac:dyDescent="0.35">
      <c r="A207" s="51" t="s">
        <v>375</v>
      </c>
      <c r="B207" s="171">
        <f>((1+B203)^(1/5))-1</f>
        <v>-3.2948974198055314E-2</v>
      </c>
      <c r="AP207" s="30"/>
    </row>
    <row r="208" spans="1:42" ht="15" customHeight="1" thickBot="1" x14ac:dyDescent="0.4">
      <c r="A208" s="51"/>
      <c r="B208" s="171"/>
      <c r="AP208" s="30"/>
    </row>
    <row r="209" spans="1:42" ht="50.5" customHeight="1" x14ac:dyDescent="0.35">
      <c r="A209" s="51"/>
      <c r="B209" s="197" t="s">
        <v>376</v>
      </c>
      <c r="C209" s="197" t="s">
        <v>377</v>
      </c>
      <c r="AP209" s="30"/>
    </row>
    <row r="210" spans="1:42" ht="15" hidden="1" customHeight="1" outlineLevel="1" x14ac:dyDescent="0.35">
      <c r="A210" s="51" t="s">
        <v>378</v>
      </c>
      <c r="B210" s="171">
        <v>1</v>
      </c>
      <c r="C210" s="198">
        <f>B210</f>
        <v>1</v>
      </c>
      <c r="AP210" s="30"/>
    </row>
    <row r="211" spans="1:42" ht="15" hidden="1" customHeight="1" outlineLevel="1" x14ac:dyDescent="0.35">
      <c r="A211" s="51" t="s">
        <v>379</v>
      </c>
      <c r="B211" s="171">
        <f>1+B141</f>
        <v>0.5</v>
      </c>
      <c r="C211" s="198">
        <f>1+B153</f>
        <v>0.5</v>
      </c>
      <c r="AP211" s="30"/>
    </row>
    <row r="212" spans="1:42" ht="15" hidden="1" customHeight="1" outlineLevel="1" x14ac:dyDescent="0.35">
      <c r="A212" s="51" t="s">
        <v>366</v>
      </c>
      <c r="B212" s="171">
        <f>B211/B210-1</f>
        <v>-0.5</v>
      </c>
      <c r="C212" s="198">
        <f>C211/C210-1</f>
        <v>-0.5</v>
      </c>
      <c r="AP212" s="30"/>
    </row>
    <row r="213" spans="1:42" ht="15" hidden="1" customHeight="1" outlineLevel="1" x14ac:dyDescent="0.35">
      <c r="A213" s="51"/>
      <c r="B213" s="171"/>
      <c r="C213" s="198"/>
      <c r="AP213" s="30"/>
    </row>
    <row r="214" spans="1:42" ht="15" hidden="1" customHeight="1" outlineLevel="1" x14ac:dyDescent="0.35">
      <c r="A214" s="51" t="s">
        <v>367</v>
      </c>
      <c r="B214" s="171">
        <v>0.6</v>
      </c>
      <c r="C214" s="198">
        <v>0.6</v>
      </c>
      <c r="AP214" s="30"/>
    </row>
    <row r="215" spans="1:42" ht="15" hidden="1" customHeight="1" outlineLevel="1" x14ac:dyDescent="0.35">
      <c r="A215" s="51" t="s">
        <v>368</v>
      </c>
      <c r="B215" s="171">
        <f>B212*B214</f>
        <v>-0.3</v>
      </c>
      <c r="C215" s="198">
        <f>C212*C214</f>
        <v>-0.3</v>
      </c>
      <c r="AP215" s="30"/>
    </row>
    <row r="216" spans="1:42" ht="15" hidden="1" customHeight="1" outlineLevel="1" x14ac:dyDescent="0.35">
      <c r="A216" s="51"/>
      <c r="B216" s="171"/>
      <c r="C216" s="198"/>
      <c r="AP216" s="30"/>
    </row>
    <row r="217" spans="1:42" ht="15" hidden="1" customHeight="1" outlineLevel="1" x14ac:dyDescent="0.35">
      <c r="A217" s="51" t="s">
        <v>380</v>
      </c>
      <c r="B217" s="171">
        <f>1+B215</f>
        <v>0.7</v>
      </c>
      <c r="C217" s="198">
        <f>1+C215</f>
        <v>0.7</v>
      </c>
      <c r="AP217" s="30"/>
    </row>
    <row r="218" spans="1:42" ht="15" hidden="1" customHeight="1" outlineLevel="1" x14ac:dyDescent="0.35">
      <c r="A218" s="51" t="s">
        <v>379</v>
      </c>
      <c r="B218" s="171">
        <f>B211</f>
        <v>0.5</v>
      </c>
      <c r="C218" s="198">
        <f>C211</f>
        <v>0.5</v>
      </c>
      <c r="AP218" s="30"/>
    </row>
    <row r="219" spans="1:42" ht="15" hidden="1" customHeight="1" outlineLevel="1" x14ac:dyDescent="0.35">
      <c r="A219" s="51" t="s">
        <v>366</v>
      </c>
      <c r="B219" s="171">
        <f>B218/B217-1</f>
        <v>-0.2857142857142857</v>
      </c>
      <c r="C219" s="198">
        <f>C218/C217-1</f>
        <v>-0.2857142857142857</v>
      </c>
      <c r="AP219" s="30"/>
    </row>
    <row r="220" spans="1:42" ht="15" hidden="1" customHeight="1" outlineLevel="1" x14ac:dyDescent="0.35">
      <c r="A220" s="51"/>
      <c r="B220" s="171"/>
      <c r="C220" s="198"/>
      <c r="AP220" s="30"/>
    </row>
    <row r="221" spans="1:42" ht="15" hidden="1" customHeight="1" outlineLevel="1" x14ac:dyDescent="0.35">
      <c r="A221" s="51" t="s">
        <v>367</v>
      </c>
      <c r="B221" s="171">
        <v>0.6</v>
      </c>
      <c r="C221" s="198">
        <v>0.6</v>
      </c>
      <c r="AP221" s="30"/>
    </row>
    <row r="222" spans="1:42" ht="15" hidden="1" customHeight="1" outlineLevel="1" x14ac:dyDescent="0.35">
      <c r="A222" s="51" t="s">
        <v>370</v>
      </c>
      <c r="B222" s="171">
        <f>B219*B221</f>
        <v>-0.1714285714285714</v>
      </c>
      <c r="C222" s="198">
        <f>C219*C221</f>
        <v>-0.1714285714285714</v>
      </c>
      <c r="AP222" s="30"/>
    </row>
    <row r="223" spans="1:42" ht="15" hidden="1" customHeight="1" outlineLevel="1" x14ac:dyDescent="0.35">
      <c r="A223" s="51"/>
      <c r="B223" s="171"/>
      <c r="C223" s="198"/>
      <c r="AP223" s="30"/>
    </row>
    <row r="224" spans="1:42" ht="15" hidden="1" customHeight="1" outlineLevel="1" x14ac:dyDescent="0.35">
      <c r="A224" s="51" t="s">
        <v>381</v>
      </c>
      <c r="B224" s="171">
        <f>(1+B215)*(1+B222)</f>
        <v>0.57999999999999996</v>
      </c>
      <c r="C224" s="198">
        <f>(1+C215)*(1+C222)</f>
        <v>0.57999999999999996</v>
      </c>
      <c r="AP224" s="30"/>
    </row>
    <row r="225" spans="1:42" ht="15" hidden="1" customHeight="1" outlineLevel="1" x14ac:dyDescent="0.35">
      <c r="A225" s="51" t="s">
        <v>379</v>
      </c>
      <c r="B225" s="171">
        <f>B218</f>
        <v>0.5</v>
      </c>
      <c r="C225" s="198">
        <f>C218</f>
        <v>0.5</v>
      </c>
      <c r="AP225" s="30"/>
    </row>
    <row r="226" spans="1:42" ht="15" hidden="1" customHeight="1" outlineLevel="1" x14ac:dyDescent="0.35">
      <c r="A226" s="51" t="s">
        <v>372</v>
      </c>
      <c r="B226" s="171">
        <f>B225/B224-1</f>
        <v>-0.13793103448275856</v>
      </c>
      <c r="C226" s="198">
        <f>C225/C224-1</f>
        <v>-0.13793103448275856</v>
      </c>
      <c r="AP226" s="30"/>
    </row>
    <row r="227" spans="1:42" ht="15" hidden="1" customHeight="1" outlineLevel="1" x14ac:dyDescent="0.35">
      <c r="A227" s="51"/>
      <c r="B227" s="171"/>
      <c r="C227" s="198"/>
      <c r="AP227" s="30"/>
    </row>
    <row r="228" spans="1:42" ht="15" customHeight="1" collapsed="1" x14ac:dyDescent="0.35">
      <c r="A228" s="51" t="s">
        <v>382</v>
      </c>
      <c r="B228" s="171">
        <f>((1+B215)^(1/5))-1</f>
        <v>-6.8850084905162312E-2</v>
      </c>
      <c r="C228" s="198">
        <f>((1+C215)^(1/5))-1</f>
        <v>-6.8850084905162312E-2</v>
      </c>
      <c r="AP228" s="30"/>
    </row>
    <row r="229" spans="1:42" ht="15" customHeight="1" x14ac:dyDescent="0.35">
      <c r="A229" s="51" t="s">
        <v>383</v>
      </c>
      <c r="B229" s="171">
        <f>((1+B222)^(1/5))-1</f>
        <v>-3.6911957664870432E-2</v>
      </c>
      <c r="C229" s="198">
        <f>((1+C222)^(1/5))-1</f>
        <v>-3.6911957664870432E-2</v>
      </c>
      <c r="AP229" s="30"/>
    </row>
    <row r="230" spans="1:42" ht="15" customHeight="1" thickBot="1" x14ac:dyDescent="0.4">
      <c r="A230" s="51" t="s">
        <v>384</v>
      </c>
      <c r="B230" s="199">
        <f>((1+B226)^(1/5))-1</f>
        <v>-2.9247758199096863E-2</v>
      </c>
      <c r="C230" s="200">
        <f>((1+C226)^(1/5))-1</f>
        <v>-2.9247758199096863E-2</v>
      </c>
      <c r="AP230" s="30"/>
    </row>
    <row r="231" spans="1:42" ht="15" customHeight="1" x14ac:dyDescent="0.35">
      <c r="A231" s="51"/>
      <c r="B231" s="188"/>
      <c r="D231" s="150">
        <v>1</v>
      </c>
      <c r="E231" s="150">
        <v>2</v>
      </c>
      <c r="F231" s="150">
        <v>3</v>
      </c>
      <c r="G231" s="150">
        <v>4</v>
      </c>
      <c r="H231" s="150">
        <v>5</v>
      </c>
      <c r="I231" s="150">
        <v>6</v>
      </c>
      <c r="J231" s="150">
        <v>7</v>
      </c>
      <c r="K231" s="150">
        <v>8</v>
      </c>
      <c r="L231" s="150">
        <v>9</v>
      </c>
      <c r="M231" s="150">
        <v>10</v>
      </c>
      <c r="N231" s="150">
        <v>11</v>
      </c>
      <c r="O231" s="150">
        <v>12</v>
      </c>
      <c r="P231" s="150">
        <v>13</v>
      </c>
      <c r="Q231" s="150">
        <v>14</v>
      </c>
      <c r="R231" s="150">
        <v>15</v>
      </c>
      <c r="S231" s="150">
        <v>16</v>
      </c>
      <c r="T231" s="150">
        <v>17</v>
      </c>
      <c r="U231" s="150">
        <v>18</v>
      </c>
      <c r="V231" s="150">
        <v>19</v>
      </c>
      <c r="W231" s="150">
        <v>20</v>
      </c>
      <c r="X231" s="150">
        <v>21</v>
      </c>
      <c r="Y231" s="150">
        <v>22</v>
      </c>
      <c r="Z231" s="150">
        <v>23</v>
      </c>
      <c r="AA231" s="150">
        <v>24</v>
      </c>
      <c r="AB231" s="150">
        <v>25</v>
      </c>
      <c r="AC231" s="150">
        <v>26</v>
      </c>
      <c r="AD231" s="150">
        <v>27</v>
      </c>
      <c r="AE231" s="150">
        <v>28</v>
      </c>
      <c r="AF231" s="150">
        <v>29</v>
      </c>
      <c r="AG231" s="150">
        <v>30</v>
      </c>
      <c r="AH231" s="150">
        <v>31</v>
      </c>
      <c r="AI231" s="150">
        <v>32</v>
      </c>
      <c r="AJ231" s="150">
        <v>33</v>
      </c>
      <c r="AK231" s="150">
        <v>34</v>
      </c>
      <c r="AL231" s="150">
        <v>35</v>
      </c>
      <c r="AM231" s="150">
        <v>36</v>
      </c>
      <c r="AN231" s="150">
        <v>37</v>
      </c>
      <c r="AO231" s="150">
        <v>38</v>
      </c>
      <c r="AP231" s="201">
        <v>39</v>
      </c>
    </row>
    <row r="232" spans="1:42" ht="15" customHeight="1" x14ac:dyDescent="0.35">
      <c r="A232" s="51" t="s">
        <v>385</v>
      </c>
      <c r="B232" s="28">
        <v>1</v>
      </c>
      <c r="C232" s="43">
        <v>1</v>
      </c>
      <c r="D232" s="4">
        <v>1</v>
      </c>
      <c r="E232" s="4">
        <v>1</v>
      </c>
      <c r="F232" s="4">
        <v>1</v>
      </c>
      <c r="G232" s="4">
        <v>1</v>
      </c>
      <c r="H232" s="4">
        <f>G232*(1+$B$205)</f>
        <v>0.92587585083703128</v>
      </c>
      <c r="I232" s="4">
        <f>H232*(1+$B$205)</f>
        <v>0.85724609116319661</v>
      </c>
      <c r="J232" s="4">
        <f>I232*(1+$B$205)</f>
        <v>0.79370345403244391</v>
      </c>
      <c r="K232" s="4">
        <f>J232*(1+$B$205)</f>
        <v>0.73487086081457953</v>
      </c>
      <c r="L232" s="4">
        <f>K232*(1+$B$205)</f>
        <v>0.68039918351204043</v>
      </c>
      <c r="M232" s="4">
        <f>L232*(1+$B$206)</f>
        <v>0.65265960824535352</v>
      </c>
      <c r="N232" s="4">
        <f>M232*(1+$B$206)</f>
        <v>0.62605096325404452</v>
      </c>
      <c r="O232" s="4">
        <f>N232*(1+$B$206)</f>
        <v>0.60052714100851101</v>
      </c>
      <c r="P232" s="4">
        <f>O232*(1+$B$206)</f>
        <v>0.57604391376284059</v>
      </c>
      <c r="Q232" s="4">
        <f>P232*(1+$B$206)</f>
        <v>0.5525588569168568</v>
      </c>
      <c r="R232" s="4">
        <f>Q232*(1+$B$207)</f>
        <v>0.53435260939739637</v>
      </c>
      <c r="S232" s="4">
        <f>R232*(1+$B$207)</f>
        <v>0.51674623905769801</v>
      </c>
      <c r="T232" s="4">
        <f>S232*(1+$B$207)</f>
        <v>0.4997199805600438</v>
      </c>
      <c r="U232" s="4">
        <f>T232*(1+$B$207)</f>
        <v>0.48325471981431822</v>
      </c>
      <c r="V232" s="4">
        <f>U232*(1+$B$207)</f>
        <v>0.46733197252006781</v>
      </c>
      <c r="W232" s="4">
        <f t="shared" ref="W232:AP232" si="18">V232</f>
        <v>0.46733197252006781</v>
      </c>
      <c r="X232" s="4">
        <f t="shared" si="18"/>
        <v>0.46733197252006781</v>
      </c>
      <c r="Y232" s="4">
        <f t="shared" si="18"/>
        <v>0.46733197252006781</v>
      </c>
      <c r="Z232" s="4">
        <f t="shared" si="18"/>
        <v>0.46733197252006781</v>
      </c>
      <c r="AA232" s="4">
        <f t="shared" si="18"/>
        <v>0.46733197252006781</v>
      </c>
      <c r="AB232" s="4">
        <f t="shared" si="18"/>
        <v>0.46733197252006781</v>
      </c>
      <c r="AC232" s="4">
        <f t="shared" si="18"/>
        <v>0.46733197252006781</v>
      </c>
      <c r="AD232" s="4">
        <f t="shared" si="18"/>
        <v>0.46733197252006781</v>
      </c>
      <c r="AE232" s="4">
        <f t="shared" si="18"/>
        <v>0.46733197252006781</v>
      </c>
      <c r="AF232" s="4">
        <f t="shared" si="18"/>
        <v>0.46733197252006781</v>
      </c>
      <c r="AG232" s="4">
        <f t="shared" si="18"/>
        <v>0.46733197252006781</v>
      </c>
      <c r="AH232" s="4">
        <f t="shared" si="18"/>
        <v>0.46733197252006781</v>
      </c>
      <c r="AI232" s="4">
        <f t="shared" si="18"/>
        <v>0.46733197252006781</v>
      </c>
      <c r="AJ232" s="4">
        <f t="shared" si="18"/>
        <v>0.46733197252006781</v>
      </c>
      <c r="AK232" s="4">
        <f t="shared" si="18"/>
        <v>0.46733197252006781</v>
      </c>
      <c r="AL232" s="4">
        <f t="shared" si="18"/>
        <v>0.46733197252006781</v>
      </c>
      <c r="AM232" s="4">
        <f t="shared" si="18"/>
        <v>0.46733197252006781</v>
      </c>
      <c r="AN232" s="4">
        <f t="shared" si="18"/>
        <v>0.46733197252006781</v>
      </c>
      <c r="AO232" s="4">
        <f t="shared" si="18"/>
        <v>0.46733197252006781</v>
      </c>
      <c r="AP232" s="202">
        <f t="shared" si="18"/>
        <v>0.46733197252006781</v>
      </c>
    </row>
    <row r="233" spans="1:42" ht="15" customHeight="1" x14ac:dyDescent="0.35">
      <c r="A233" s="51" t="s">
        <v>386</v>
      </c>
      <c r="B233" s="28">
        <v>1</v>
      </c>
      <c r="C233" s="43">
        <v>1</v>
      </c>
      <c r="D233" s="4">
        <v>1</v>
      </c>
      <c r="E233" s="4">
        <v>1</v>
      </c>
      <c r="F233" s="4">
        <v>1</v>
      </c>
      <c r="G233" s="4">
        <v>1</v>
      </c>
      <c r="H233" s="4">
        <f>G233*(1+$B$228)</f>
        <v>0.93114991509483769</v>
      </c>
      <c r="I233" s="4">
        <f>H233*(1+$B$228)</f>
        <v>0.86704016438112341</v>
      </c>
      <c r="J233" s="4">
        <f>I233*(1+$B$228)</f>
        <v>0.8073443754472972</v>
      </c>
      <c r="K233" s="4">
        <f>J233*(1+$B$228)</f>
        <v>0.75175864665004555</v>
      </c>
      <c r="L233" s="4">
        <f>K233*(1+$B$228)</f>
        <v>0.7</v>
      </c>
      <c r="M233" s="4">
        <f>L233*(1+$B$229)</f>
        <v>0.6741616296345907</v>
      </c>
      <c r="N233" s="4">
        <f>M233*(1+$B$229)</f>
        <v>0.64927700410223865</v>
      </c>
      <c r="O233" s="4">
        <f>N233*(1+$B$229)</f>
        <v>0.62531091881404288</v>
      </c>
      <c r="P233" s="4">
        <f>O233*(1+$B$229)</f>
        <v>0.6022294686513977</v>
      </c>
      <c r="Q233" s="4">
        <f>P233*(1+$B$229)</f>
        <v>0.57999999999999985</v>
      </c>
      <c r="R233" s="4">
        <f>Q233*(1+$B$230)</f>
        <v>0.56303630024452367</v>
      </c>
      <c r="S233" s="4">
        <f>R233*(1+$B$230)</f>
        <v>0.54656875067765776</v>
      </c>
      <c r="T233" s="4">
        <f>S233*(1+$B$230)</f>
        <v>0.53058284001865519</v>
      </c>
      <c r="U233" s="4">
        <f>T233*(1+$B$230)</f>
        <v>0.51506448140919947</v>
      </c>
      <c r="V233" s="4">
        <f>U233*(1+$B$230)</f>
        <v>0.5</v>
      </c>
      <c r="W233" s="4">
        <f t="shared" ref="W233:AP233" si="19">V233</f>
        <v>0.5</v>
      </c>
      <c r="X233" s="4">
        <f t="shared" si="19"/>
        <v>0.5</v>
      </c>
      <c r="Y233" s="4">
        <f t="shared" si="19"/>
        <v>0.5</v>
      </c>
      <c r="Z233" s="4">
        <f t="shared" si="19"/>
        <v>0.5</v>
      </c>
      <c r="AA233" s="4">
        <f t="shared" si="19"/>
        <v>0.5</v>
      </c>
      <c r="AB233" s="4">
        <f t="shared" si="19"/>
        <v>0.5</v>
      </c>
      <c r="AC233" s="4">
        <f t="shared" si="19"/>
        <v>0.5</v>
      </c>
      <c r="AD233" s="4">
        <f t="shared" si="19"/>
        <v>0.5</v>
      </c>
      <c r="AE233" s="4">
        <f t="shared" si="19"/>
        <v>0.5</v>
      </c>
      <c r="AF233" s="4">
        <f t="shared" si="19"/>
        <v>0.5</v>
      </c>
      <c r="AG233" s="4">
        <f t="shared" si="19"/>
        <v>0.5</v>
      </c>
      <c r="AH233" s="4">
        <f t="shared" si="19"/>
        <v>0.5</v>
      </c>
      <c r="AI233" s="4">
        <f t="shared" si="19"/>
        <v>0.5</v>
      </c>
      <c r="AJ233" s="4">
        <f t="shared" si="19"/>
        <v>0.5</v>
      </c>
      <c r="AK233" s="4">
        <f t="shared" si="19"/>
        <v>0.5</v>
      </c>
      <c r="AL233" s="4">
        <f t="shared" si="19"/>
        <v>0.5</v>
      </c>
      <c r="AM233" s="4">
        <f t="shared" si="19"/>
        <v>0.5</v>
      </c>
      <c r="AN233" s="4">
        <f t="shared" si="19"/>
        <v>0.5</v>
      </c>
      <c r="AO233" s="4">
        <f t="shared" si="19"/>
        <v>0.5</v>
      </c>
      <c r="AP233" s="202">
        <f t="shared" si="19"/>
        <v>0.5</v>
      </c>
    </row>
    <row r="234" spans="1:42" ht="15" customHeight="1" x14ac:dyDescent="0.35">
      <c r="A234" s="51" t="s">
        <v>387</v>
      </c>
      <c r="B234" s="28">
        <v>1</v>
      </c>
      <c r="C234" s="43">
        <v>1</v>
      </c>
      <c r="D234" s="4">
        <v>1</v>
      </c>
      <c r="E234" s="4">
        <v>1</v>
      </c>
      <c r="F234" s="4">
        <v>1</v>
      </c>
      <c r="G234" s="4">
        <v>1</v>
      </c>
      <c r="H234" s="4">
        <f>G234*(1+$C$228)</f>
        <v>0.93114991509483769</v>
      </c>
      <c r="I234" s="4">
        <f>H234*(1+$C$228)</f>
        <v>0.86704016438112341</v>
      </c>
      <c r="J234" s="4">
        <f>I234*(1+$C$228)</f>
        <v>0.8073443754472972</v>
      </c>
      <c r="K234" s="4">
        <f>J234*(1+$C$228)</f>
        <v>0.75175864665004555</v>
      </c>
      <c r="L234" s="4">
        <f>K234*(1+$C$228)</f>
        <v>0.7</v>
      </c>
      <c r="M234" s="4">
        <f>L234*(1+$C$229)</f>
        <v>0.6741616296345907</v>
      </c>
      <c r="N234" s="4">
        <f>M234*(1+$C$229)</f>
        <v>0.64927700410223865</v>
      </c>
      <c r="O234" s="4">
        <f>N234*(1+$C$229)</f>
        <v>0.62531091881404288</v>
      </c>
      <c r="P234" s="4">
        <f>O234*(1+$C$229)</f>
        <v>0.6022294686513977</v>
      </c>
      <c r="Q234" s="4">
        <f>P234*(1+$C$229)</f>
        <v>0.57999999999999985</v>
      </c>
      <c r="R234" s="4">
        <f>Q234*(1+$C$230)</f>
        <v>0.56303630024452367</v>
      </c>
      <c r="S234" s="4">
        <f>R234*(1+$C$230)</f>
        <v>0.54656875067765776</v>
      </c>
      <c r="T234" s="4">
        <f>S234*(1+$C$230)</f>
        <v>0.53058284001865519</v>
      </c>
      <c r="U234" s="4">
        <f>T234*(1+$C$230)</f>
        <v>0.51506448140919947</v>
      </c>
      <c r="V234" s="4">
        <f>U234*(1+$C$230)</f>
        <v>0.5</v>
      </c>
      <c r="W234" s="4">
        <f t="shared" ref="W234:AP234" si="20">V234</f>
        <v>0.5</v>
      </c>
      <c r="X234" s="4">
        <f t="shared" si="20"/>
        <v>0.5</v>
      </c>
      <c r="Y234" s="4">
        <f t="shared" si="20"/>
        <v>0.5</v>
      </c>
      <c r="Z234" s="4">
        <f t="shared" si="20"/>
        <v>0.5</v>
      </c>
      <c r="AA234" s="4">
        <f t="shared" si="20"/>
        <v>0.5</v>
      </c>
      <c r="AB234" s="4">
        <f t="shared" si="20"/>
        <v>0.5</v>
      </c>
      <c r="AC234" s="4">
        <f t="shared" si="20"/>
        <v>0.5</v>
      </c>
      <c r="AD234" s="4">
        <f t="shared" si="20"/>
        <v>0.5</v>
      </c>
      <c r="AE234" s="4">
        <f t="shared" si="20"/>
        <v>0.5</v>
      </c>
      <c r="AF234" s="4">
        <f t="shared" si="20"/>
        <v>0.5</v>
      </c>
      <c r="AG234" s="4">
        <f t="shared" si="20"/>
        <v>0.5</v>
      </c>
      <c r="AH234" s="4">
        <f t="shared" si="20"/>
        <v>0.5</v>
      </c>
      <c r="AI234" s="4">
        <f t="shared" si="20"/>
        <v>0.5</v>
      </c>
      <c r="AJ234" s="4">
        <f t="shared" si="20"/>
        <v>0.5</v>
      </c>
      <c r="AK234" s="4">
        <f t="shared" si="20"/>
        <v>0.5</v>
      </c>
      <c r="AL234" s="4">
        <f t="shared" si="20"/>
        <v>0.5</v>
      </c>
      <c r="AM234" s="4">
        <f t="shared" si="20"/>
        <v>0.5</v>
      </c>
      <c r="AN234" s="4">
        <f t="shared" si="20"/>
        <v>0.5</v>
      </c>
      <c r="AO234" s="4">
        <f t="shared" si="20"/>
        <v>0.5</v>
      </c>
      <c r="AP234" s="202">
        <f t="shared" si="20"/>
        <v>0.5</v>
      </c>
    </row>
    <row r="235" spans="1:42" ht="15" customHeight="1" x14ac:dyDescent="0.35">
      <c r="A235" s="51" t="s">
        <v>388</v>
      </c>
      <c r="B235" s="28">
        <v>1</v>
      </c>
      <c r="C235" s="43">
        <v>1</v>
      </c>
      <c r="D235" s="43">
        <v>1</v>
      </c>
      <c r="E235" s="43">
        <v>1</v>
      </c>
      <c r="F235" s="203">
        <f>E235*(1+$B$175)</f>
        <v>0.99595</v>
      </c>
      <c r="G235" s="4">
        <f t="shared" ref="G235:AP235" si="21">F235*(1+$B$175)</f>
        <v>0.99191640250000002</v>
      </c>
      <c r="H235" s="4">
        <f t="shared" si="21"/>
        <v>0.98789914106987498</v>
      </c>
      <c r="I235" s="4">
        <f t="shared" si="21"/>
        <v>0.98389814954854193</v>
      </c>
      <c r="J235" s="4">
        <f t="shared" si="21"/>
        <v>0.97991336204287038</v>
      </c>
      <c r="K235" s="4">
        <f t="shared" si="21"/>
        <v>0.97594471292659679</v>
      </c>
      <c r="L235" s="4">
        <f t="shared" si="21"/>
        <v>0.97199213683924413</v>
      </c>
      <c r="M235" s="4">
        <f t="shared" si="21"/>
        <v>0.96805556868504516</v>
      </c>
      <c r="N235" s="4">
        <f t="shared" si="21"/>
        <v>0.96413494363187069</v>
      </c>
      <c r="O235" s="4">
        <f t="shared" si="21"/>
        <v>0.96023019711016167</v>
      </c>
      <c r="P235" s="4">
        <f t="shared" si="21"/>
        <v>0.95634126481186554</v>
      </c>
      <c r="Q235" s="4">
        <f t="shared" si="21"/>
        <v>0.95246808268937744</v>
      </c>
      <c r="R235" s="4">
        <f t="shared" si="21"/>
        <v>0.94861058695448541</v>
      </c>
      <c r="S235" s="4">
        <f t="shared" si="21"/>
        <v>0.94476871407731977</v>
      </c>
      <c r="T235" s="4">
        <f t="shared" si="21"/>
        <v>0.94094240078530667</v>
      </c>
      <c r="U235" s="4">
        <f t="shared" si="21"/>
        <v>0.93713158406212616</v>
      </c>
      <c r="V235" s="4">
        <f t="shared" si="21"/>
        <v>0.93333620114667459</v>
      </c>
      <c r="W235" s="4">
        <f t="shared" si="21"/>
        <v>0.92955618953203056</v>
      </c>
      <c r="X235" s="4">
        <f t="shared" si="21"/>
        <v>0.92579148696442581</v>
      </c>
      <c r="Y235" s="4">
        <f t="shared" si="21"/>
        <v>0.92204203144221986</v>
      </c>
      <c r="Z235" s="4">
        <f t="shared" si="21"/>
        <v>0.91830776121487889</v>
      </c>
      <c r="AA235" s="4">
        <f t="shared" si="21"/>
        <v>0.91458861478195863</v>
      </c>
      <c r="AB235" s="4">
        <f t="shared" si="21"/>
        <v>0.91088453089209165</v>
      </c>
      <c r="AC235" s="4">
        <f t="shared" si="21"/>
        <v>0.90719544854197864</v>
      </c>
      <c r="AD235" s="4">
        <f t="shared" si="21"/>
        <v>0.90352130697538369</v>
      </c>
      <c r="AE235" s="4">
        <f t="shared" si="21"/>
        <v>0.89986204568213335</v>
      </c>
      <c r="AF235" s="4">
        <f t="shared" si="21"/>
        <v>0.89621760439712073</v>
      </c>
      <c r="AG235" s="4">
        <f t="shared" si="21"/>
        <v>0.89258792309931234</v>
      </c>
      <c r="AH235" s="4">
        <f t="shared" si="21"/>
        <v>0.88897294201076016</v>
      </c>
      <c r="AI235" s="4">
        <f t="shared" si="21"/>
        <v>0.88537260159561659</v>
      </c>
      <c r="AJ235" s="4">
        <f t="shared" si="21"/>
        <v>0.88178684255915429</v>
      </c>
      <c r="AK235" s="4">
        <f t="shared" si="21"/>
        <v>0.8782156058467897</v>
      </c>
      <c r="AL235" s="4">
        <f t="shared" si="21"/>
        <v>0.87465883264311017</v>
      </c>
      <c r="AM235" s="4">
        <f t="shared" si="21"/>
        <v>0.87111646437090562</v>
      </c>
      <c r="AN235" s="4">
        <f t="shared" si="21"/>
        <v>0.86758844269020341</v>
      </c>
      <c r="AO235" s="4">
        <f t="shared" si="21"/>
        <v>0.86407470949730814</v>
      </c>
      <c r="AP235" s="202">
        <f t="shared" si="21"/>
        <v>0.86057520692384404</v>
      </c>
    </row>
    <row r="236" spans="1:42" ht="15" customHeight="1" thickBot="1" x14ac:dyDescent="0.4">
      <c r="A236" s="67"/>
      <c r="B236" s="204"/>
      <c r="C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4"/>
    </row>
    <row r="237" spans="1:42" ht="15" customHeight="1" x14ac:dyDescent="0.35">
      <c r="A237" s="27" t="s">
        <v>389</v>
      </c>
      <c r="B237" s="32"/>
      <c r="C237" s="34"/>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row>
    <row r="238" spans="1:42" ht="15" customHeight="1" x14ac:dyDescent="0.35">
      <c r="A238" s="51"/>
      <c r="B238" s="28"/>
      <c r="E238" s="29"/>
      <c r="G238" s="37"/>
      <c r="AP238" s="30"/>
    </row>
    <row r="239" spans="1:42" ht="15" customHeight="1" x14ac:dyDescent="0.35">
      <c r="A239" s="51" t="s">
        <v>390</v>
      </c>
      <c r="B239" s="254">
        <f>Data!BS80</f>
        <v>507704446.62833738</v>
      </c>
      <c r="C239" s="1">
        <f>B239*(1+Inflation!Z19)*(1+Inflation!AD19)</f>
        <v>596764398.9708004</v>
      </c>
      <c r="E239" s="29"/>
      <c r="G239" s="37"/>
      <c r="AP239" s="30"/>
    </row>
    <row r="240" spans="1:42" ht="15" customHeight="1" x14ac:dyDescent="0.35">
      <c r="A240" s="51"/>
      <c r="B240" s="28"/>
      <c r="D240" s="5"/>
      <c r="E240" s="115"/>
      <c r="AP240" s="30"/>
    </row>
    <row r="241" spans="1:42" ht="15" customHeight="1" x14ac:dyDescent="0.35">
      <c r="A241" s="51" t="s">
        <v>391</v>
      </c>
      <c r="B241" s="254" cm="1">
        <f t="array" ref="B241">INDEX(B242:B244, MATCH(B6, A242:A244, 0), )</f>
        <v>33425633160.357578</v>
      </c>
      <c r="C241" s="1">
        <f>B241*(1+Inflation!Z19)*(1+Inflation!AD19)</f>
        <v>39289054913.008316</v>
      </c>
      <c r="E241" s="29"/>
      <c r="G241" s="37"/>
      <c r="AP241" s="30"/>
    </row>
    <row r="242" spans="1:42" ht="15" customHeight="1" x14ac:dyDescent="0.35">
      <c r="A242" s="179" t="str">
        <f t="shared" ref="A242:A244" si="22">B305</f>
        <v>Method 1: RFI G tables</v>
      </c>
      <c r="B242" s="254">
        <f>Data!BM80</f>
        <v>15990948792.141529</v>
      </c>
      <c r="E242" s="29"/>
      <c r="G242" s="37"/>
      <c r="AP242" s="30"/>
    </row>
    <row r="243" spans="1:42" ht="15" customHeight="1" x14ac:dyDescent="0.35">
      <c r="A243" s="179" t="str">
        <f t="shared" si="22"/>
        <v>Method 2: Original NZ$185bn</v>
      </c>
      <c r="B243" s="254">
        <f>Data!BN80</f>
        <v>30434971323.743187</v>
      </c>
      <c r="E243" s="29"/>
      <c r="G243" s="37"/>
      <c r="AP243" s="30"/>
    </row>
    <row r="244" spans="1:42" ht="15" customHeight="1" x14ac:dyDescent="0.35">
      <c r="A244" s="179" t="str">
        <f t="shared" si="22"/>
        <v>Method 3: Revised NZ$185bn</v>
      </c>
      <c r="B244" s="254">
        <f>Data!BO80</f>
        <v>33425633160.357578</v>
      </c>
      <c r="E244" s="29"/>
      <c r="G244" s="37"/>
      <c r="AP244" s="30"/>
    </row>
    <row r="245" spans="1:42" ht="15" customHeight="1" x14ac:dyDescent="0.35">
      <c r="A245" s="51"/>
      <c r="B245" s="46"/>
      <c r="E245" s="29"/>
      <c r="G245" s="37"/>
      <c r="AP245" s="30"/>
    </row>
    <row r="246" spans="1:42" ht="15" customHeight="1" x14ac:dyDescent="0.35">
      <c r="A246" s="51" t="s">
        <v>392</v>
      </c>
      <c r="B246" s="291">
        <f>B10</f>
        <v>1</v>
      </c>
      <c r="E246" s="29"/>
      <c r="G246" s="37"/>
      <c r="AP246" s="30"/>
    </row>
    <row r="247" spans="1:42" ht="15" customHeight="1" x14ac:dyDescent="0.35">
      <c r="A247" s="51"/>
      <c r="B247" s="68"/>
      <c r="E247" s="29"/>
      <c r="G247" s="37"/>
      <c r="AP247" s="30"/>
    </row>
    <row r="248" spans="1:42" ht="15" customHeight="1" x14ac:dyDescent="0.35">
      <c r="A248" s="51" t="s">
        <v>393</v>
      </c>
      <c r="B248" s="286">
        <f>B241*B246</f>
        <v>33425633160.357578</v>
      </c>
      <c r="C248" s="1">
        <f>C241*B246</f>
        <v>39289054913.008316</v>
      </c>
      <c r="E248" s="29"/>
      <c r="G248" s="37"/>
      <c r="AP248" s="30"/>
    </row>
    <row r="249" spans="1:42" ht="15" customHeight="1" x14ac:dyDescent="0.35">
      <c r="A249" s="51"/>
      <c r="B249" s="46"/>
      <c r="E249" s="29"/>
      <c r="G249" s="37"/>
      <c r="AP249" s="30"/>
    </row>
    <row r="250" spans="1:42" ht="15" customHeight="1" x14ac:dyDescent="0.35">
      <c r="A250" s="51" t="s">
        <v>394</v>
      </c>
      <c r="B250" s="28">
        <f>B5</f>
        <v>30</v>
      </c>
      <c r="C250">
        <f>B32-(B31-1)</f>
        <v>30</v>
      </c>
      <c r="E250" s="29"/>
      <c r="G250" s="37"/>
      <c r="AP250" s="30"/>
    </row>
    <row r="251" spans="1:42" ht="15" customHeight="1" x14ac:dyDescent="0.35">
      <c r="A251" s="51"/>
      <c r="B251" s="28"/>
      <c r="D251" s="26"/>
      <c r="E251" s="248"/>
      <c r="F251" s="26"/>
      <c r="G251" s="37"/>
      <c r="AP251" s="30"/>
    </row>
    <row r="252" spans="1:42" ht="15" customHeight="1" x14ac:dyDescent="0.35">
      <c r="A252" s="51" t="s">
        <v>395</v>
      </c>
      <c r="B252" s="286">
        <f>B248/B250</f>
        <v>1114187772.0119193</v>
      </c>
      <c r="C252" s="1">
        <f>C248/C250</f>
        <v>1309635163.7669439</v>
      </c>
      <c r="D252" s="26"/>
      <c r="E252" s="248"/>
      <c r="F252" s="26"/>
      <c r="G252" s="37"/>
      <c r="AP252" s="30"/>
    </row>
    <row r="253" spans="1:42" ht="15" customHeight="1" x14ac:dyDescent="0.35">
      <c r="A253" s="51"/>
      <c r="B253" s="286"/>
      <c r="D253" s="249"/>
      <c r="E253" s="26"/>
      <c r="F253" s="248"/>
      <c r="AP253" s="30"/>
    </row>
    <row r="254" spans="1:42" ht="15" customHeight="1" x14ac:dyDescent="0.35">
      <c r="A254" s="51" t="s">
        <v>396</v>
      </c>
      <c r="B254" s="264">
        <v>0.4</v>
      </c>
      <c r="C254" s="289">
        <v>0.4</v>
      </c>
      <c r="D254" s="250"/>
      <c r="E254" s="26"/>
      <c r="F254" s="248"/>
      <c r="AP254" s="30"/>
    </row>
    <row r="255" spans="1:42" ht="15" customHeight="1" x14ac:dyDescent="0.35">
      <c r="A255" s="51"/>
      <c r="B255" s="287">
        <v>10</v>
      </c>
      <c r="C255">
        <v>10</v>
      </c>
      <c r="D255" s="180"/>
      <c r="E255" s="26"/>
      <c r="F255" s="248"/>
      <c r="AP255" s="30"/>
    </row>
    <row r="256" spans="1:42" ht="15" customHeight="1" x14ac:dyDescent="0.35">
      <c r="A256" s="51" t="s">
        <v>397</v>
      </c>
      <c r="B256" s="286">
        <f>$B$252*B254</f>
        <v>445675108.80476773</v>
      </c>
      <c r="C256" s="1">
        <f>$C$252*C254</f>
        <v>523854065.50677758</v>
      </c>
      <c r="D256" s="180"/>
      <c r="E256" s="26"/>
      <c r="F256" s="248"/>
      <c r="AP256" s="30"/>
    </row>
    <row r="257" spans="1:42" ht="15" customHeight="1" x14ac:dyDescent="0.35">
      <c r="A257" s="51"/>
      <c r="B257" s="28"/>
      <c r="D257" s="180"/>
      <c r="E257" s="26"/>
      <c r="F257" s="26"/>
      <c r="AP257" s="30"/>
    </row>
    <row r="258" spans="1:42" ht="15" customHeight="1" x14ac:dyDescent="0.35">
      <c r="A258" s="51" t="str">
        <f>IF($B$5=$B$316,"Enhancement and growth percentage (years 11-20)","Enhancement and growth percentage (years 11-30)")</f>
        <v>Enhancement and growth percentage (years 11-20)</v>
      </c>
      <c r="B258" s="264">
        <v>1</v>
      </c>
      <c r="C258" s="290">
        <v>1</v>
      </c>
      <c r="D258" s="250"/>
      <c r="E258" s="26"/>
      <c r="F258" s="248"/>
      <c r="AP258" s="30"/>
    </row>
    <row r="259" spans="1:42" ht="15" customHeight="1" x14ac:dyDescent="0.35">
      <c r="A259" s="51"/>
      <c r="B259" s="287">
        <f>IF($B$5=$B$316,20,30)</f>
        <v>20</v>
      </c>
      <c r="C259">
        <v>20</v>
      </c>
      <c r="D259" s="180"/>
      <c r="E259" s="26"/>
      <c r="F259" s="248"/>
      <c r="AP259" s="30"/>
    </row>
    <row r="260" spans="1:42" ht="15" customHeight="1" x14ac:dyDescent="0.35">
      <c r="A260" s="51" t="s">
        <v>395</v>
      </c>
      <c r="B260" s="286">
        <f>$B$252*B258</f>
        <v>1114187772.0119193</v>
      </c>
      <c r="C260" s="1">
        <f>$C$252*C258</f>
        <v>1309635163.7669439</v>
      </c>
      <c r="D260" s="180"/>
      <c r="E260" s="251"/>
      <c r="F260" s="248"/>
      <c r="AP260" s="30"/>
    </row>
    <row r="261" spans="1:42" ht="15" customHeight="1" x14ac:dyDescent="0.35">
      <c r="A261" s="51"/>
      <c r="B261" s="46"/>
      <c r="D261" s="180"/>
      <c r="E261" s="180"/>
      <c r="F261" s="248"/>
      <c r="AP261" s="30"/>
    </row>
    <row r="262" spans="1:42" ht="15" customHeight="1" x14ac:dyDescent="0.35">
      <c r="A262" s="51" t="str">
        <f>IF($B$5=$B$316,"Enhancement and growth percentage (years 21-29)","Enhancement and growth percentage (years 31-40)")</f>
        <v>Enhancement and growth percentage (years 21-29)</v>
      </c>
      <c r="B262" s="264">
        <f>3-B258-B254</f>
        <v>1.6</v>
      </c>
      <c r="C262" s="290">
        <f>((C248-(C255*C256)-(C255*C260))/(C263-C259))/C252</f>
        <v>1.6</v>
      </c>
      <c r="D262" s="250"/>
      <c r="E262" s="26"/>
      <c r="F262" s="248"/>
      <c r="AP262" s="30"/>
    </row>
    <row r="263" spans="1:42" ht="15" customHeight="1" x14ac:dyDescent="0.35">
      <c r="A263" s="51"/>
      <c r="B263" s="287">
        <f>IF($B$5=$B$316,30,40)</f>
        <v>30</v>
      </c>
      <c r="C263">
        <f>C250</f>
        <v>30</v>
      </c>
      <c r="E263" s="29"/>
      <c r="G263" s="37"/>
      <c r="AP263" s="30"/>
    </row>
    <row r="264" spans="1:42" ht="15" customHeight="1" x14ac:dyDescent="0.35">
      <c r="A264" s="51" t="s">
        <v>395</v>
      </c>
      <c r="B264" s="286">
        <f>$B$252*B262</f>
        <v>1782700435.2190709</v>
      </c>
      <c r="C264" s="1">
        <f>$C$252*C262</f>
        <v>2095416262.0271103</v>
      </c>
      <c r="E264" s="29"/>
      <c r="G264" s="37"/>
      <c r="AP264" s="30"/>
    </row>
    <row r="265" spans="1:42" ht="15" customHeight="1" x14ac:dyDescent="0.35">
      <c r="A265" s="51"/>
      <c r="B265" s="28"/>
      <c r="D265" s="6"/>
      <c r="E265" s="29"/>
      <c r="G265" s="37"/>
      <c r="AP265" s="30"/>
    </row>
    <row r="266" spans="1:42" ht="15" customHeight="1" x14ac:dyDescent="0.35">
      <c r="A266" s="51" t="s">
        <v>398</v>
      </c>
      <c r="B266" s="264">
        <v>0.6</v>
      </c>
      <c r="E266" s="29"/>
      <c r="G266" s="37"/>
      <c r="K266" s="6"/>
      <c r="AP266" s="30"/>
    </row>
    <row r="267" spans="1:42" ht="15" customHeight="1" x14ac:dyDescent="0.35">
      <c r="A267" s="51" t="s">
        <v>399</v>
      </c>
      <c r="B267" s="264">
        <v>0.4</v>
      </c>
      <c r="E267" s="29"/>
      <c r="G267" s="37"/>
      <c r="K267" s="84"/>
      <c r="AP267" s="30"/>
    </row>
    <row r="268" spans="1:42" ht="15" customHeight="1" x14ac:dyDescent="0.35">
      <c r="A268" s="51" t="s">
        <v>400</v>
      </c>
      <c r="B268" s="255">
        <v>30</v>
      </c>
      <c r="E268" s="29"/>
      <c r="G268" s="37"/>
      <c r="AP268" s="30"/>
    </row>
    <row r="269" spans="1:42" ht="15" customHeight="1" x14ac:dyDescent="0.35">
      <c r="A269" s="51" t="s">
        <v>401</v>
      </c>
      <c r="B269" s="255">
        <v>100</v>
      </c>
      <c r="D269" s="6"/>
      <c r="E269" s="29"/>
      <c r="G269" s="37"/>
      <c r="AP269" s="30"/>
    </row>
    <row r="270" spans="1:42" ht="15" customHeight="1" x14ac:dyDescent="0.35">
      <c r="A270" s="51"/>
      <c r="B270" s="28"/>
      <c r="E270" s="29"/>
      <c r="G270" s="37"/>
      <c r="AP270" s="30"/>
    </row>
    <row r="271" spans="1:42" ht="15" customHeight="1" x14ac:dyDescent="0.35">
      <c r="A271" s="51" t="s">
        <v>402</v>
      </c>
      <c r="B271" s="264">
        <v>0.03</v>
      </c>
      <c r="E271" s="29"/>
      <c r="G271" s="37"/>
      <c r="AP271" s="30"/>
    </row>
    <row r="272" spans="1:42" ht="15" customHeight="1" x14ac:dyDescent="0.35">
      <c r="A272" s="51"/>
      <c r="B272" s="68"/>
      <c r="E272" s="29"/>
      <c r="G272" s="37"/>
      <c r="AP272" s="30"/>
    </row>
    <row r="273" spans="1:42" ht="15" customHeight="1" x14ac:dyDescent="0.35">
      <c r="A273" s="51" t="s">
        <v>403</v>
      </c>
      <c r="B273" s="264">
        <f>IFERROR(1-B134/B121, 1)</f>
        <v>0</v>
      </c>
      <c r="E273" s="29"/>
      <c r="G273" s="37"/>
      <c r="AP273" s="30"/>
    </row>
    <row r="274" spans="1:42" ht="15" customHeight="1" x14ac:dyDescent="0.35">
      <c r="A274" s="51"/>
      <c r="B274" s="28"/>
      <c r="E274" s="29"/>
      <c r="G274" s="37"/>
      <c r="AP274" s="30"/>
    </row>
    <row r="275" spans="1:42" ht="15" customHeight="1" x14ac:dyDescent="0.35">
      <c r="A275" s="51" t="s">
        <v>404</v>
      </c>
      <c r="B275" s="258">
        <f>B271*B273</f>
        <v>0</v>
      </c>
      <c r="E275" s="29"/>
      <c r="G275" s="37"/>
      <c r="AP275" s="30"/>
    </row>
    <row r="276" spans="1:42" s="150" customFormat="1" ht="15" customHeight="1" x14ac:dyDescent="0.35">
      <c r="A276" s="206"/>
      <c r="B276" s="153"/>
      <c r="C276" s="205"/>
      <c r="F276" s="150">
        <v>1</v>
      </c>
      <c r="G276" s="150">
        <v>2</v>
      </c>
      <c r="H276" s="150">
        <v>3</v>
      </c>
      <c r="I276" s="150">
        <v>4</v>
      </c>
      <c r="J276" s="150">
        <v>5</v>
      </c>
      <c r="K276" s="150">
        <v>6</v>
      </c>
      <c r="L276" s="150">
        <v>7</v>
      </c>
      <c r="M276" s="150">
        <v>8</v>
      </c>
      <c r="N276" s="150">
        <v>9</v>
      </c>
      <c r="O276" s="150">
        <v>10</v>
      </c>
      <c r="P276" s="150">
        <v>11</v>
      </c>
      <c r="Q276" s="150">
        <v>12</v>
      </c>
      <c r="R276" s="150">
        <v>13</v>
      </c>
      <c r="S276" s="150">
        <v>14</v>
      </c>
      <c r="T276" s="150">
        <v>15</v>
      </c>
      <c r="U276" s="150">
        <v>16</v>
      </c>
      <c r="V276" s="150">
        <v>17</v>
      </c>
      <c r="W276" s="150">
        <v>18</v>
      </c>
      <c r="X276" s="150">
        <v>19</v>
      </c>
      <c r="Y276" s="150">
        <v>20</v>
      </c>
      <c r="Z276" s="150">
        <v>21</v>
      </c>
      <c r="AA276" s="150">
        <v>22</v>
      </c>
      <c r="AB276" s="150">
        <v>23</v>
      </c>
      <c r="AC276" s="150">
        <v>24</v>
      </c>
      <c r="AD276" s="150">
        <v>25</v>
      </c>
      <c r="AE276" s="150">
        <v>26</v>
      </c>
      <c r="AF276" s="150">
        <v>27</v>
      </c>
      <c r="AG276" s="150">
        <v>28</v>
      </c>
      <c r="AH276" s="150">
        <v>29</v>
      </c>
      <c r="AI276" s="150">
        <v>30</v>
      </c>
      <c r="AJ276" s="150">
        <v>31</v>
      </c>
      <c r="AK276" s="150">
        <v>32</v>
      </c>
      <c r="AL276" s="150">
        <v>33</v>
      </c>
      <c r="AM276" s="150">
        <v>34</v>
      </c>
      <c r="AN276" s="150">
        <v>35</v>
      </c>
      <c r="AO276" s="150">
        <v>36</v>
      </c>
      <c r="AP276" s="201">
        <v>37</v>
      </c>
    </row>
    <row r="277" spans="1:42" ht="15" customHeight="1" x14ac:dyDescent="0.35">
      <c r="A277" s="51" t="s">
        <v>405</v>
      </c>
      <c r="B277" s="46"/>
      <c r="C277" s="6"/>
      <c r="D277" s="6"/>
      <c r="E277" s="6"/>
      <c r="F277" s="6">
        <f t="shared" ref="F277:AP277" si="23">$C$239</f>
        <v>596764398.9708004</v>
      </c>
      <c r="G277" s="6">
        <f t="shared" si="23"/>
        <v>596764398.9708004</v>
      </c>
      <c r="H277" s="6">
        <f t="shared" si="23"/>
        <v>596764398.9708004</v>
      </c>
      <c r="I277" s="6">
        <f t="shared" si="23"/>
        <v>596764398.9708004</v>
      </c>
      <c r="J277" s="6">
        <f t="shared" si="23"/>
        <v>596764398.9708004</v>
      </c>
      <c r="K277" s="6">
        <f t="shared" si="23"/>
        <v>596764398.9708004</v>
      </c>
      <c r="L277" s="6">
        <f t="shared" si="23"/>
        <v>596764398.9708004</v>
      </c>
      <c r="M277" s="6">
        <f t="shared" si="23"/>
        <v>596764398.9708004</v>
      </c>
      <c r="N277" s="6">
        <f t="shared" si="23"/>
        <v>596764398.9708004</v>
      </c>
      <c r="O277" s="6">
        <f t="shared" si="23"/>
        <v>596764398.9708004</v>
      </c>
      <c r="P277" s="6">
        <f t="shared" si="23"/>
        <v>596764398.9708004</v>
      </c>
      <c r="Q277" s="6">
        <f t="shared" si="23"/>
        <v>596764398.9708004</v>
      </c>
      <c r="R277" s="6">
        <f t="shared" si="23"/>
        <v>596764398.9708004</v>
      </c>
      <c r="S277" s="6">
        <f t="shared" si="23"/>
        <v>596764398.9708004</v>
      </c>
      <c r="T277" s="6">
        <f t="shared" si="23"/>
        <v>596764398.9708004</v>
      </c>
      <c r="U277" s="6">
        <f t="shared" si="23"/>
        <v>596764398.9708004</v>
      </c>
      <c r="V277" s="6">
        <f t="shared" si="23"/>
        <v>596764398.9708004</v>
      </c>
      <c r="W277" s="6">
        <f t="shared" si="23"/>
        <v>596764398.9708004</v>
      </c>
      <c r="X277" s="6">
        <f t="shared" si="23"/>
        <v>596764398.9708004</v>
      </c>
      <c r="Y277" s="6">
        <f t="shared" si="23"/>
        <v>596764398.9708004</v>
      </c>
      <c r="Z277" s="6">
        <f t="shared" si="23"/>
        <v>596764398.9708004</v>
      </c>
      <c r="AA277" s="6">
        <f t="shared" si="23"/>
        <v>596764398.9708004</v>
      </c>
      <c r="AB277" s="6">
        <f t="shared" si="23"/>
        <v>596764398.9708004</v>
      </c>
      <c r="AC277" s="6">
        <f t="shared" si="23"/>
        <v>596764398.9708004</v>
      </c>
      <c r="AD277" s="6">
        <f t="shared" si="23"/>
        <v>596764398.9708004</v>
      </c>
      <c r="AE277" s="6">
        <f t="shared" si="23"/>
        <v>596764398.9708004</v>
      </c>
      <c r="AF277" s="6">
        <f t="shared" si="23"/>
        <v>596764398.9708004</v>
      </c>
      <c r="AG277" s="6">
        <f t="shared" si="23"/>
        <v>596764398.9708004</v>
      </c>
      <c r="AH277" s="6">
        <f t="shared" si="23"/>
        <v>596764398.9708004</v>
      </c>
      <c r="AI277" s="6">
        <f t="shared" si="23"/>
        <v>596764398.9708004</v>
      </c>
      <c r="AJ277" s="6">
        <f t="shared" si="23"/>
        <v>596764398.9708004</v>
      </c>
      <c r="AK277" s="6">
        <f t="shared" si="23"/>
        <v>596764398.9708004</v>
      </c>
      <c r="AL277" s="6">
        <f t="shared" si="23"/>
        <v>596764398.9708004</v>
      </c>
      <c r="AM277" s="6">
        <f t="shared" si="23"/>
        <v>596764398.9708004</v>
      </c>
      <c r="AN277" s="6">
        <f t="shared" si="23"/>
        <v>596764398.9708004</v>
      </c>
      <c r="AO277" s="6">
        <f t="shared" si="23"/>
        <v>596764398.9708004</v>
      </c>
      <c r="AP277" s="64">
        <f t="shared" si="23"/>
        <v>596764398.9708004</v>
      </c>
    </row>
    <row r="278" spans="1:42" ht="15" customHeight="1" x14ac:dyDescent="0.35">
      <c r="A278" s="51"/>
      <c r="B278" s="4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4"/>
    </row>
    <row r="279" spans="1:42" ht="15" customHeight="1" x14ac:dyDescent="0.35">
      <c r="A279" s="28" t="s">
        <v>406</v>
      </c>
      <c r="B279" s="46"/>
      <c r="C279" s="161"/>
      <c r="D279" s="161"/>
      <c r="E279" s="161"/>
      <c r="F279" s="6">
        <f>IF(F$276&lt;=$C$255,$C$256,IF(F$276&lt;=$C$259,$C$260,IF(F$276&lt;=$C$263,$C$264,0)))</f>
        <v>523854065.50677758</v>
      </c>
      <c r="G279" s="6">
        <f t="shared" ref="G279:AE279" si="24">IF(G$276&lt;=$C$255,$C$256,IF(G$276&lt;=$C$259,$C$260,IF(G$276&lt;=$C$263,$C$264,0)))</f>
        <v>523854065.50677758</v>
      </c>
      <c r="H279" s="6">
        <f t="shared" si="24"/>
        <v>523854065.50677758</v>
      </c>
      <c r="I279" s="6">
        <f t="shared" si="24"/>
        <v>523854065.50677758</v>
      </c>
      <c r="J279" s="6">
        <f t="shared" si="24"/>
        <v>523854065.50677758</v>
      </c>
      <c r="K279" s="6">
        <f t="shared" si="24"/>
        <v>523854065.50677758</v>
      </c>
      <c r="L279" s="6">
        <f t="shared" si="24"/>
        <v>523854065.50677758</v>
      </c>
      <c r="M279" s="6">
        <f t="shared" si="24"/>
        <v>523854065.50677758</v>
      </c>
      <c r="N279" s="6">
        <f t="shared" si="24"/>
        <v>523854065.50677758</v>
      </c>
      <c r="O279" s="6">
        <f t="shared" si="24"/>
        <v>523854065.50677758</v>
      </c>
      <c r="P279" s="6">
        <f t="shared" si="24"/>
        <v>1309635163.7669439</v>
      </c>
      <c r="Q279" s="6">
        <f t="shared" si="24"/>
        <v>1309635163.7669439</v>
      </c>
      <c r="R279" s="6">
        <f t="shared" si="24"/>
        <v>1309635163.7669439</v>
      </c>
      <c r="S279" s="6">
        <f t="shared" si="24"/>
        <v>1309635163.7669439</v>
      </c>
      <c r="T279" s="6">
        <f t="shared" si="24"/>
        <v>1309635163.7669439</v>
      </c>
      <c r="U279" s="6">
        <f t="shared" si="24"/>
        <v>1309635163.7669439</v>
      </c>
      <c r="V279" s="6">
        <f t="shared" si="24"/>
        <v>1309635163.7669439</v>
      </c>
      <c r="W279" s="6">
        <f t="shared" si="24"/>
        <v>1309635163.7669439</v>
      </c>
      <c r="X279" s="6">
        <f t="shared" si="24"/>
        <v>1309635163.7669439</v>
      </c>
      <c r="Y279" s="6">
        <f t="shared" si="24"/>
        <v>1309635163.7669439</v>
      </c>
      <c r="Z279" s="6">
        <f t="shared" si="24"/>
        <v>2095416262.0271103</v>
      </c>
      <c r="AA279" s="6">
        <f t="shared" si="24"/>
        <v>2095416262.0271103</v>
      </c>
      <c r="AB279" s="6">
        <f t="shared" si="24"/>
        <v>2095416262.0271103</v>
      </c>
      <c r="AC279" s="6">
        <f t="shared" si="24"/>
        <v>2095416262.0271103</v>
      </c>
      <c r="AD279" s="6">
        <f t="shared" si="24"/>
        <v>2095416262.0271103</v>
      </c>
      <c r="AE279" s="6">
        <f t="shared" si="24"/>
        <v>2095416262.0271103</v>
      </c>
      <c r="AF279" s="6">
        <f>IF(AF$276&lt;=$C$255,$C$256,IF(AF$276&lt;=$C$259,$C$260,IF(AF$276&lt;=$C$263,$C$264,0)))</f>
        <v>2095416262.0271103</v>
      </c>
      <c r="AG279" s="6">
        <f t="shared" ref="AG279:AI279" si="25">IF(AG$276&lt;=$C$255,$C$256,IF(AG$276&lt;=$C$259,$C$260,IF(AG$276&lt;=$C$263,$C$264,0)))</f>
        <v>2095416262.0271103</v>
      </c>
      <c r="AH279" s="6">
        <f t="shared" si="25"/>
        <v>2095416262.0271103</v>
      </c>
      <c r="AI279" s="6">
        <f t="shared" si="25"/>
        <v>2095416262.0271103</v>
      </c>
      <c r="AJ279" s="6"/>
      <c r="AK279" s="6"/>
      <c r="AL279" s="6"/>
      <c r="AM279" s="6"/>
      <c r="AN279" s="6"/>
      <c r="AO279" s="6"/>
      <c r="AP279" s="64"/>
    </row>
    <row r="280" spans="1:42" ht="15" customHeight="1" x14ac:dyDescent="0.35">
      <c r="A280" s="28" t="s">
        <v>407</v>
      </c>
      <c r="B280" s="4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f t="shared" ref="AJ280:AP280" si="26">IF(AJ$17&lt;=$B$250,$B$264,0)</f>
        <v>0</v>
      </c>
      <c r="AK280" s="6">
        <f t="shared" si="26"/>
        <v>0</v>
      </c>
      <c r="AL280" s="6">
        <f t="shared" si="26"/>
        <v>0</v>
      </c>
      <c r="AM280" s="6">
        <f t="shared" si="26"/>
        <v>0</v>
      </c>
      <c r="AN280" s="6">
        <f t="shared" si="26"/>
        <v>0</v>
      </c>
      <c r="AO280" s="6">
        <f t="shared" si="26"/>
        <v>0</v>
      </c>
      <c r="AP280" s="64">
        <f t="shared" si="26"/>
        <v>0</v>
      </c>
    </row>
    <row r="281" spans="1:42" ht="15" customHeight="1" x14ac:dyDescent="0.35">
      <c r="A281" s="51" t="s">
        <v>408</v>
      </c>
      <c r="B281" s="46">
        <f>SUM(C281:AP281)</f>
        <v>39289054913.008324</v>
      </c>
      <c r="C281" s="161"/>
      <c r="D281" s="161"/>
      <c r="E281" s="161"/>
      <c r="F281" s="6">
        <f t="shared" ref="F281:AP281" si="27">F279+F280</f>
        <v>523854065.50677758</v>
      </c>
      <c r="G281" s="6">
        <f t="shared" si="27"/>
        <v>523854065.50677758</v>
      </c>
      <c r="H281" s="6">
        <f t="shared" si="27"/>
        <v>523854065.50677758</v>
      </c>
      <c r="I281" s="6">
        <f t="shared" si="27"/>
        <v>523854065.50677758</v>
      </c>
      <c r="J281" s="6">
        <f t="shared" si="27"/>
        <v>523854065.50677758</v>
      </c>
      <c r="K281" s="6">
        <f t="shared" si="27"/>
        <v>523854065.50677758</v>
      </c>
      <c r="L281" s="6">
        <f t="shared" si="27"/>
        <v>523854065.50677758</v>
      </c>
      <c r="M281" s="6">
        <f t="shared" si="27"/>
        <v>523854065.50677758</v>
      </c>
      <c r="N281" s="6">
        <f t="shared" si="27"/>
        <v>523854065.50677758</v>
      </c>
      <c r="O281" s="6">
        <f t="shared" si="27"/>
        <v>523854065.50677758</v>
      </c>
      <c r="P281" s="6">
        <f t="shared" si="27"/>
        <v>1309635163.7669439</v>
      </c>
      <c r="Q281" s="6">
        <f t="shared" si="27"/>
        <v>1309635163.7669439</v>
      </c>
      <c r="R281" s="6">
        <f t="shared" si="27"/>
        <v>1309635163.7669439</v>
      </c>
      <c r="S281" s="6">
        <f t="shared" si="27"/>
        <v>1309635163.7669439</v>
      </c>
      <c r="T281" s="6">
        <f t="shared" si="27"/>
        <v>1309635163.7669439</v>
      </c>
      <c r="U281" s="6">
        <f t="shared" si="27"/>
        <v>1309635163.7669439</v>
      </c>
      <c r="V281" s="6">
        <f t="shared" si="27"/>
        <v>1309635163.7669439</v>
      </c>
      <c r="W281" s="6">
        <f t="shared" si="27"/>
        <v>1309635163.7669439</v>
      </c>
      <c r="X281" s="6">
        <f t="shared" si="27"/>
        <v>1309635163.7669439</v>
      </c>
      <c r="Y281" s="6">
        <f t="shared" si="27"/>
        <v>1309635163.7669439</v>
      </c>
      <c r="Z281" s="6">
        <f t="shared" si="27"/>
        <v>2095416262.0271103</v>
      </c>
      <c r="AA281" s="6">
        <f t="shared" si="27"/>
        <v>2095416262.0271103</v>
      </c>
      <c r="AB281" s="6">
        <f t="shared" si="27"/>
        <v>2095416262.0271103</v>
      </c>
      <c r="AC281" s="6">
        <f t="shared" si="27"/>
        <v>2095416262.0271103</v>
      </c>
      <c r="AD281" s="6">
        <f t="shared" si="27"/>
        <v>2095416262.0271103</v>
      </c>
      <c r="AE281" s="6">
        <f t="shared" si="27"/>
        <v>2095416262.0271103</v>
      </c>
      <c r="AF281" s="6">
        <f t="shared" si="27"/>
        <v>2095416262.0271103</v>
      </c>
      <c r="AG281" s="6">
        <f t="shared" si="27"/>
        <v>2095416262.0271103</v>
      </c>
      <c r="AH281" s="6">
        <f t="shared" si="27"/>
        <v>2095416262.0271103</v>
      </c>
      <c r="AI281" s="6">
        <f t="shared" si="27"/>
        <v>2095416262.0271103</v>
      </c>
      <c r="AJ281" s="6">
        <f t="shared" si="27"/>
        <v>0</v>
      </c>
      <c r="AK281" s="6">
        <f t="shared" si="27"/>
        <v>0</v>
      </c>
      <c r="AL281" s="6">
        <f t="shared" si="27"/>
        <v>0</v>
      </c>
      <c r="AM281" s="6">
        <f t="shared" si="27"/>
        <v>0</v>
      </c>
      <c r="AN281" s="6">
        <f t="shared" si="27"/>
        <v>0</v>
      </c>
      <c r="AO281" s="6">
        <f t="shared" si="27"/>
        <v>0</v>
      </c>
      <c r="AP281" s="64">
        <f t="shared" si="27"/>
        <v>0</v>
      </c>
    </row>
    <row r="282" spans="1:42" ht="15" customHeight="1" x14ac:dyDescent="0.35">
      <c r="A282" s="51" t="s">
        <v>409</v>
      </c>
      <c r="B282" s="68">
        <v>0.2</v>
      </c>
      <c r="C282" s="161"/>
      <c r="D282" s="161"/>
      <c r="E282" s="161"/>
      <c r="F282" s="6">
        <f t="shared" ref="F282:L283" si="28">$B282*F$281</f>
        <v>104770813.10135552</v>
      </c>
      <c r="G282" s="6">
        <f>$B282*G$281</f>
        <v>104770813.10135552</v>
      </c>
      <c r="H282" s="6">
        <f t="shared" si="28"/>
        <v>104770813.10135552</v>
      </c>
      <c r="I282" s="6">
        <f t="shared" si="28"/>
        <v>104770813.10135552</v>
      </c>
      <c r="J282" s="6">
        <f t="shared" si="28"/>
        <v>104770813.10135552</v>
      </c>
      <c r="K282" s="6">
        <f t="shared" si="28"/>
        <v>104770813.10135552</v>
      </c>
      <c r="L282" s="6">
        <f t="shared" si="28"/>
        <v>104770813.10135552</v>
      </c>
      <c r="M282" s="6">
        <f t="shared" ref="M282:V283" si="29">$B282*M$281</f>
        <v>104770813.10135552</v>
      </c>
      <c r="N282" s="6">
        <f t="shared" si="29"/>
        <v>104770813.10135552</v>
      </c>
      <c r="O282" s="6">
        <f t="shared" si="29"/>
        <v>104770813.10135552</v>
      </c>
      <c r="P282" s="6">
        <f t="shared" si="29"/>
        <v>261927032.75338879</v>
      </c>
      <c r="Q282" s="6">
        <f t="shared" si="29"/>
        <v>261927032.75338879</v>
      </c>
      <c r="R282" s="6">
        <f t="shared" si="29"/>
        <v>261927032.75338879</v>
      </c>
      <c r="S282" s="6">
        <f t="shared" si="29"/>
        <v>261927032.75338879</v>
      </c>
      <c r="T282" s="6">
        <f t="shared" si="29"/>
        <v>261927032.75338879</v>
      </c>
      <c r="U282" s="6">
        <f t="shared" si="29"/>
        <v>261927032.75338879</v>
      </c>
      <c r="V282" s="6">
        <f t="shared" si="29"/>
        <v>261927032.75338879</v>
      </c>
      <c r="W282" s="6">
        <f t="shared" ref="W282:AF283" si="30">$B282*W$281</f>
        <v>261927032.75338879</v>
      </c>
      <c r="X282" s="6">
        <f t="shared" si="30"/>
        <v>261927032.75338879</v>
      </c>
      <c r="Y282" s="6">
        <f t="shared" si="30"/>
        <v>261927032.75338879</v>
      </c>
      <c r="Z282" s="6">
        <f t="shared" si="30"/>
        <v>419083252.40542209</v>
      </c>
      <c r="AA282" s="6">
        <f t="shared" si="30"/>
        <v>419083252.40542209</v>
      </c>
      <c r="AB282" s="6">
        <f t="shared" si="30"/>
        <v>419083252.40542209</v>
      </c>
      <c r="AC282" s="6">
        <f t="shared" si="30"/>
        <v>419083252.40542209</v>
      </c>
      <c r="AD282" s="6">
        <f t="shared" si="30"/>
        <v>419083252.40542209</v>
      </c>
      <c r="AE282" s="6">
        <f t="shared" si="30"/>
        <v>419083252.40542209</v>
      </c>
      <c r="AF282" s="6">
        <f t="shared" si="30"/>
        <v>419083252.40542209</v>
      </c>
      <c r="AG282" s="6">
        <f t="shared" ref="AG282:AP283" si="31">$B282*AG$281</f>
        <v>419083252.40542209</v>
      </c>
      <c r="AH282" s="6">
        <f t="shared" si="31"/>
        <v>419083252.40542209</v>
      </c>
      <c r="AI282" s="6">
        <f t="shared" si="31"/>
        <v>419083252.40542209</v>
      </c>
      <c r="AJ282" s="6">
        <f t="shared" si="31"/>
        <v>0</v>
      </c>
      <c r="AK282" s="6">
        <f t="shared" si="31"/>
        <v>0</v>
      </c>
      <c r="AL282" s="6">
        <f t="shared" si="31"/>
        <v>0</v>
      </c>
      <c r="AM282" s="6">
        <f t="shared" si="31"/>
        <v>0</v>
      </c>
      <c r="AN282" s="6">
        <f t="shared" si="31"/>
        <v>0</v>
      </c>
      <c r="AO282" s="6">
        <f t="shared" si="31"/>
        <v>0</v>
      </c>
      <c r="AP282" s="64">
        <f t="shared" si="31"/>
        <v>0</v>
      </c>
    </row>
    <row r="283" spans="1:42" ht="15" customHeight="1" x14ac:dyDescent="0.35">
      <c r="A283" s="51" t="s">
        <v>410</v>
      </c>
      <c r="B283" s="68">
        <v>0.8</v>
      </c>
      <c r="C283" s="161"/>
      <c r="D283" s="161"/>
      <c r="E283" s="161"/>
      <c r="F283" s="6">
        <f t="shared" si="28"/>
        <v>419083252.40542209</v>
      </c>
      <c r="G283" s="6">
        <f t="shared" si="28"/>
        <v>419083252.40542209</v>
      </c>
      <c r="H283" s="6">
        <f t="shared" si="28"/>
        <v>419083252.40542209</v>
      </c>
      <c r="I283" s="6">
        <f t="shared" si="28"/>
        <v>419083252.40542209</v>
      </c>
      <c r="J283" s="6">
        <f t="shared" si="28"/>
        <v>419083252.40542209</v>
      </c>
      <c r="K283" s="6">
        <f t="shared" si="28"/>
        <v>419083252.40542209</v>
      </c>
      <c r="L283" s="6">
        <f t="shared" si="28"/>
        <v>419083252.40542209</v>
      </c>
      <c r="M283" s="6">
        <f t="shared" si="29"/>
        <v>419083252.40542209</v>
      </c>
      <c r="N283" s="6">
        <f t="shared" si="29"/>
        <v>419083252.40542209</v>
      </c>
      <c r="O283" s="6">
        <f t="shared" si="29"/>
        <v>419083252.40542209</v>
      </c>
      <c r="P283" s="6">
        <f t="shared" si="29"/>
        <v>1047708131.0135552</v>
      </c>
      <c r="Q283" s="6">
        <f t="shared" si="29"/>
        <v>1047708131.0135552</v>
      </c>
      <c r="R283" s="6">
        <f t="shared" si="29"/>
        <v>1047708131.0135552</v>
      </c>
      <c r="S283" s="6">
        <f t="shared" si="29"/>
        <v>1047708131.0135552</v>
      </c>
      <c r="T283" s="6">
        <f t="shared" si="29"/>
        <v>1047708131.0135552</v>
      </c>
      <c r="U283" s="6">
        <f t="shared" si="29"/>
        <v>1047708131.0135552</v>
      </c>
      <c r="V283" s="6">
        <f t="shared" si="29"/>
        <v>1047708131.0135552</v>
      </c>
      <c r="W283" s="6">
        <f t="shared" si="30"/>
        <v>1047708131.0135552</v>
      </c>
      <c r="X283" s="6">
        <f t="shared" si="30"/>
        <v>1047708131.0135552</v>
      </c>
      <c r="Y283" s="6">
        <f t="shared" si="30"/>
        <v>1047708131.0135552</v>
      </c>
      <c r="Z283" s="6">
        <f t="shared" si="30"/>
        <v>1676333009.6216884</v>
      </c>
      <c r="AA283" s="6">
        <f t="shared" si="30"/>
        <v>1676333009.6216884</v>
      </c>
      <c r="AB283" s="6">
        <f t="shared" si="30"/>
        <v>1676333009.6216884</v>
      </c>
      <c r="AC283" s="6">
        <f t="shared" si="30"/>
        <v>1676333009.6216884</v>
      </c>
      <c r="AD283" s="6">
        <f t="shared" si="30"/>
        <v>1676333009.6216884</v>
      </c>
      <c r="AE283" s="6">
        <f t="shared" si="30"/>
        <v>1676333009.6216884</v>
      </c>
      <c r="AF283" s="6">
        <f t="shared" si="30"/>
        <v>1676333009.6216884</v>
      </c>
      <c r="AG283" s="6">
        <f t="shared" si="31"/>
        <v>1676333009.6216884</v>
      </c>
      <c r="AH283" s="6">
        <f t="shared" si="31"/>
        <v>1676333009.6216884</v>
      </c>
      <c r="AI283" s="6">
        <f t="shared" si="31"/>
        <v>1676333009.6216884</v>
      </c>
      <c r="AJ283" s="6">
        <f t="shared" si="31"/>
        <v>0</v>
      </c>
      <c r="AK283" s="6">
        <f t="shared" si="31"/>
        <v>0</v>
      </c>
      <c r="AL283" s="6">
        <f t="shared" si="31"/>
        <v>0</v>
      </c>
      <c r="AM283" s="6">
        <f t="shared" si="31"/>
        <v>0</v>
      </c>
      <c r="AN283" s="6">
        <f t="shared" si="31"/>
        <v>0</v>
      </c>
      <c r="AO283" s="6">
        <f t="shared" si="31"/>
        <v>0</v>
      </c>
      <c r="AP283" s="64">
        <f t="shared" si="31"/>
        <v>0</v>
      </c>
    </row>
    <row r="284" spans="1:42" ht="15" customHeight="1" x14ac:dyDescent="0.35">
      <c r="A284" s="51"/>
      <c r="B284" s="285">
        <f>B281-C248</f>
        <v>0</v>
      </c>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4"/>
    </row>
    <row r="285" spans="1:42" ht="15" customHeight="1" x14ac:dyDescent="0.35">
      <c r="A285" s="51" t="s">
        <v>411</v>
      </c>
      <c r="B285" s="28"/>
      <c r="C285" s="161"/>
      <c r="D285" s="161"/>
      <c r="E285" s="161"/>
      <c r="F285" s="6">
        <f t="shared" ref="F285:AP285" si="32">(F282*F$233)-F282</f>
        <v>0</v>
      </c>
      <c r="G285" s="6">
        <f>(G282*G$233)-G282</f>
        <v>0</v>
      </c>
      <c r="H285" s="6">
        <f>(H282*H$233)-H282</f>
        <v>-7213479.3776112199</v>
      </c>
      <c r="I285" s="6">
        <f t="shared" si="32"/>
        <v>-13930310.087612271</v>
      </c>
      <c r="J285" s="6">
        <f t="shared" si="32"/>
        <v>-20184686.432936147</v>
      </c>
      <c r="K285" s="6">
        <f t="shared" si="32"/>
        <v>-26008448.435855627</v>
      </c>
      <c r="L285" s="6">
        <f t="shared" si="32"/>
        <v>-31431243.93040666</v>
      </c>
      <c r="M285" s="6">
        <f t="shared" si="32"/>
        <v>-34138351.002804562</v>
      </c>
      <c r="N285" s="6">
        <f t="shared" si="32"/>
        <v>-36745533.453551829</v>
      </c>
      <c r="O285" s="6">
        <f t="shared" si="32"/>
        <v>-39256479.696052536</v>
      </c>
      <c r="P285" s="6">
        <f t="shared" si="32"/>
        <v>-104186854.99287823</v>
      </c>
      <c r="Q285" s="6">
        <f t="shared" si="32"/>
        <v>-110009353.75642332</v>
      </c>
      <c r="R285" s="6">
        <f t="shared" si="32"/>
        <v>-114452605.2978946</v>
      </c>
      <c r="S285" s="6">
        <f t="shared" si="32"/>
        <v>-118765901.69266313</v>
      </c>
      <c r="T285" s="6">
        <f t="shared" si="32"/>
        <v>-122953043.83743644</v>
      </c>
      <c r="U285" s="6">
        <f t="shared" si="32"/>
        <v>-127017721.46121418</v>
      </c>
      <c r="V285" s="6">
        <f t="shared" si="32"/>
        <v>-130963516.3766944</v>
      </c>
      <c r="W285" s="6">
        <f t="shared" si="32"/>
        <v>-130963516.3766944</v>
      </c>
      <c r="X285" s="6">
        <f t="shared" si="32"/>
        <v>-130963516.3766944</v>
      </c>
      <c r="Y285" s="6">
        <f t="shared" si="32"/>
        <v>-130963516.3766944</v>
      </c>
      <c r="Z285" s="6">
        <f t="shared" si="32"/>
        <v>-209541626.20271105</v>
      </c>
      <c r="AA285" s="6">
        <f t="shared" si="32"/>
        <v>-209541626.20271105</v>
      </c>
      <c r="AB285" s="6">
        <f t="shared" si="32"/>
        <v>-209541626.20271105</v>
      </c>
      <c r="AC285" s="6">
        <f t="shared" si="32"/>
        <v>-209541626.20271105</v>
      </c>
      <c r="AD285" s="6">
        <f t="shared" si="32"/>
        <v>-209541626.20271105</v>
      </c>
      <c r="AE285" s="6">
        <f t="shared" si="32"/>
        <v>-209541626.20271105</v>
      </c>
      <c r="AF285" s="6">
        <f t="shared" si="32"/>
        <v>-209541626.20271105</v>
      </c>
      <c r="AG285" s="6">
        <f t="shared" si="32"/>
        <v>-209541626.20271105</v>
      </c>
      <c r="AH285" s="6">
        <f t="shared" si="32"/>
        <v>-209541626.20271105</v>
      </c>
      <c r="AI285" s="6">
        <f t="shared" si="32"/>
        <v>-209541626.20271105</v>
      </c>
      <c r="AJ285" s="6">
        <f t="shared" si="32"/>
        <v>0</v>
      </c>
      <c r="AK285" s="6">
        <f t="shared" si="32"/>
        <v>0</v>
      </c>
      <c r="AL285" s="6">
        <f t="shared" si="32"/>
        <v>0</v>
      </c>
      <c r="AM285" s="6">
        <f t="shared" si="32"/>
        <v>0</v>
      </c>
      <c r="AN285" s="6">
        <f t="shared" si="32"/>
        <v>0</v>
      </c>
      <c r="AO285" s="6">
        <f t="shared" si="32"/>
        <v>0</v>
      </c>
      <c r="AP285" s="64">
        <f t="shared" si="32"/>
        <v>0</v>
      </c>
    </row>
    <row r="286" spans="1:42" ht="15" customHeight="1" x14ac:dyDescent="0.35">
      <c r="A286" s="51" t="s">
        <v>412</v>
      </c>
      <c r="B286" s="28"/>
      <c r="C286" s="161"/>
      <c r="D286" s="161"/>
      <c r="E286" s="161"/>
      <c r="F286" s="6">
        <f t="shared" ref="F286:AP286" si="33">(F283*F$234)-F283</f>
        <v>0</v>
      </c>
      <c r="G286" s="6">
        <f>(G283*G$234)-G283</f>
        <v>0</v>
      </c>
      <c r="H286" s="6">
        <f t="shared" si="33"/>
        <v>-28853917.51044488</v>
      </c>
      <c r="I286" s="6">
        <f t="shared" si="33"/>
        <v>-55721240.350449085</v>
      </c>
      <c r="J286" s="6">
        <f t="shared" si="33"/>
        <v>-80738745.731744587</v>
      </c>
      <c r="K286" s="6">
        <f t="shared" si="33"/>
        <v>-104033793.74342251</v>
      </c>
      <c r="L286" s="6">
        <f t="shared" si="33"/>
        <v>-125724975.72162664</v>
      </c>
      <c r="M286" s="6">
        <f t="shared" si="33"/>
        <v>-136553404.01121825</v>
      </c>
      <c r="N286" s="6">
        <f t="shared" si="33"/>
        <v>-146982133.81420732</v>
      </c>
      <c r="O286" s="6">
        <f t="shared" si="33"/>
        <v>-157025918.78421015</v>
      </c>
      <c r="P286" s="6">
        <f t="shared" si="33"/>
        <v>-416747419.97151291</v>
      </c>
      <c r="Q286" s="6">
        <f t="shared" si="33"/>
        <v>-440037415.0256933</v>
      </c>
      <c r="R286" s="6">
        <f t="shared" si="33"/>
        <v>-457810421.19157839</v>
      </c>
      <c r="S286" s="6">
        <f t="shared" si="33"/>
        <v>-475063606.77065253</v>
      </c>
      <c r="T286" s="6">
        <f t="shared" si="33"/>
        <v>-491812175.34974575</v>
      </c>
      <c r="U286" s="6">
        <f t="shared" si="33"/>
        <v>-508070885.84485674</v>
      </c>
      <c r="V286" s="6">
        <f t="shared" si="33"/>
        <v>-523854065.50677758</v>
      </c>
      <c r="W286" s="6">
        <f t="shared" si="33"/>
        <v>-523854065.50677758</v>
      </c>
      <c r="X286" s="6">
        <f t="shared" si="33"/>
        <v>-523854065.50677758</v>
      </c>
      <c r="Y286" s="6">
        <f t="shared" si="33"/>
        <v>-523854065.50677758</v>
      </c>
      <c r="Z286" s="6">
        <f t="shared" si="33"/>
        <v>-838166504.81084418</v>
      </c>
      <c r="AA286" s="6">
        <f t="shared" si="33"/>
        <v>-838166504.81084418</v>
      </c>
      <c r="AB286" s="6">
        <f t="shared" si="33"/>
        <v>-838166504.81084418</v>
      </c>
      <c r="AC286" s="6">
        <f t="shared" si="33"/>
        <v>-838166504.81084418</v>
      </c>
      <c r="AD286" s="6">
        <f t="shared" si="33"/>
        <v>-838166504.81084418</v>
      </c>
      <c r="AE286" s="6">
        <f t="shared" si="33"/>
        <v>-838166504.81084418</v>
      </c>
      <c r="AF286" s="6">
        <f t="shared" si="33"/>
        <v>-838166504.81084418</v>
      </c>
      <c r="AG286" s="6">
        <f t="shared" si="33"/>
        <v>-838166504.81084418</v>
      </c>
      <c r="AH286" s="6">
        <f t="shared" si="33"/>
        <v>-838166504.81084418</v>
      </c>
      <c r="AI286" s="6">
        <f t="shared" si="33"/>
        <v>-838166504.81084418</v>
      </c>
      <c r="AJ286" s="6">
        <f t="shared" si="33"/>
        <v>0</v>
      </c>
      <c r="AK286" s="6">
        <f t="shared" si="33"/>
        <v>0</v>
      </c>
      <c r="AL286" s="6">
        <f t="shared" si="33"/>
        <v>0</v>
      </c>
      <c r="AM286" s="6">
        <f t="shared" si="33"/>
        <v>0</v>
      </c>
      <c r="AN286" s="6">
        <f t="shared" si="33"/>
        <v>0</v>
      </c>
      <c r="AO286" s="6">
        <f t="shared" si="33"/>
        <v>0</v>
      </c>
      <c r="AP286" s="64">
        <f t="shared" si="33"/>
        <v>0</v>
      </c>
    </row>
    <row r="287" spans="1:42" ht="15" customHeight="1" x14ac:dyDescent="0.35">
      <c r="A287" s="51" t="s">
        <v>413</v>
      </c>
      <c r="B287" s="28"/>
      <c r="C287" s="161"/>
      <c r="D287" s="161"/>
      <c r="E287" s="161"/>
      <c r="F287" s="6">
        <f t="shared" ref="F287:AF287" si="34">(F281*F$235)-F281</f>
        <v>-2121608.9653024673</v>
      </c>
      <c r="G287" s="6">
        <f>(G281*G$235)-G281</f>
        <v>-4234625.414295435</v>
      </c>
      <c r="H287" s="6">
        <f t="shared" si="34"/>
        <v>-6339084.1466699839</v>
      </c>
      <c r="I287" s="6">
        <f t="shared" si="34"/>
        <v>-8435019.8211784363</v>
      </c>
      <c r="J287" s="6">
        <f t="shared" si="34"/>
        <v>-10522466.95620513</v>
      </c>
      <c r="K287" s="6">
        <f t="shared" si="34"/>
        <v>-12601459.930334926</v>
      </c>
      <c r="L287" s="6">
        <f t="shared" si="34"/>
        <v>-14672032.982919455</v>
      </c>
      <c r="M287" s="6">
        <f t="shared" si="34"/>
        <v>-16734220.214641094</v>
      </c>
      <c r="N287" s="6">
        <f t="shared" si="34"/>
        <v>-18788055.588074267</v>
      </c>
      <c r="O287" s="6">
        <f t="shared" si="34"/>
        <v>-20833572.928245008</v>
      </c>
      <c r="P287" s="6">
        <f t="shared" si="34"/>
        <v>-57177014.807970047</v>
      </c>
      <c r="Q287" s="6">
        <f t="shared" si="34"/>
        <v>-62249470.311254025</v>
      </c>
      <c r="R287" s="6">
        <f t="shared" si="34"/>
        <v>-67301382.369749546</v>
      </c>
      <c r="S287" s="6">
        <f t="shared" si="34"/>
        <v>-72332834.184408188</v>
      </c>
      <c r="T287" s="6">
        <f t="shared" si="34"/>
        <v>-77343908.619217396</v>
      </c>
      <c r="U287" s="6">
        <f t="shared" si="34"/>
        <v>-82334688.20256567</v>
      </c>
      <c r="V287" s="6">
        <f t="shared" si="34"/>
        <v>-87305255.128601313</v>
      </c>
      <c r="W287" s="6">
        <f t="shared" si="34"/>
        <v>-92255691.258586645</v>
      </c>
      <c r="X287" s="6">
        <f t="shared" si="34"/>
        <v>-97186078.12224555</v>
      </c>
      <c r="Y287" s="6">
        <f t="shared" si="34"/>
        <v>-102096496.91910672</v>
      </c>
      <c r="Z287" s="6">
        <f t="shared" si="34"/>
        <v>-171179245.63174462</v>
      </c>
      <c r="AA287" s="6">
        <f t="shared" si="34"/>
        <v>-178972405.54814577</v>
      </c>
      <c r="AB287" s="6">
        <f t="shared" si="34"/>
        <v>-186734003.16688585</v>
      </c>
      <c r="AC287" s="6">
        <f t="shared" si="34"/>
        <v>-194464166.31526971</v>
      </c>
      <c r="AD287" s="6">
        <f t="shared" si="34"/>
        <v>-202163022.30290246</v>
      </c>
      <c r="AE287" s="6">
        <f t="shared" si="34"/>
        <v>-209830697.92378569</v>
      </c>
      <c r="AF287" s="6">
        <f t="shared" si="34"/>
        <v>-217467319.45840406</v>
      </c>
      <c r="AG287" s="6">
        <f t="shared" ref="AG287:AP287" si="35">(AG281*AG$235)-AG281</f>
        <v>-225073012.67580748</v>
      </c>
      <c r="AH287" s="6">
        <f t="shared" si="35"/>
        <v>-232647902.83568025</v>
      </c>
      <c r="AI287" s="6">
        <f t="shared" si="35"/>
        <v>-240192114.69040537</v>
      </c>
      <c r="AJ287" s="6">
        <f t="shared" si="35"/>
        <v>0</v>
      </c>
      <c r="AK287" s="6">
        <f t="shared" si="35"/>
        <v>0</v>
      </c>
      <c r="AL287" s="6">
        <f t="shared" si="35"/>
        <v>0</v>
      </c>
      <c r="AM287" s="6">
        <f t="shared" si="35"/>
        <v>0</v>
      </c>
      <c r="AN287" s="6">
        <f t="shared" si="35"/>
        <v>0</v>
      </c>
      <c r="AO287" s="6">
        <f t="shared" si="35"/>
        <v>0</v>
      </c>
      <c r="AP287" s="64">
        <f t="shared" si="35"/>
        <v>0</v>
      </c>
    </row>
    <row r="288" spans="1:42" ht="15" customHeight="1" x14ac:dyDescent="0.35">
      <c r="A288" s="51"/>
      <c r="B288" s="28"/>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4"/>
    </row>
    <row r="289" spans="1:42" ht="15" customHeight="1" x14ac:dyDescent="0.35">
      <c r="A289" s="51" t="s">
        <v>414</v>
      </c>
      <c r="B289" s="28"/>
      <c r="C289" s="161"/>
      <c r="D289" s="161"/>
      <c r="E289" s="161"/>
      <c r="F289" s="6">
        <f t="shared" ref="F289:AP289" si="36">F281+F285+F286+F287</f>
        <v>521732456.54147512</v>
      </c>
      <c r="G289" s="6">
        <f>G281+G285+G286+G287</f>
        <v>519619440.09248215</v>
      </c>
      <c r="H289" s="6">
        <f t="shared" si="36"/>
        <v>481447584.4720515</v>
      </c>
      <c r="I289" s="6">
        <f t="shared" si="36"/>
        <v>445767495.24753779</v>
      </c>
      <c r="J289" s="6">
        <f t="shared" si="36"/>
        <v>412408166.38589174</v>
      </c>
      <c r="K289" s="6">
        <f t="shared" si="36"/>
        <v>381210363.39716452</v>
      </c>
      <c r="L289" s="6">
        <f t="shared" si="36"/>
        <v>352025812.87182486</v>
      </c>
      <c r="M289" s="6">
        <f t="shared" si="36"/>
        <v>336428090.27811366</v>
      </c>
      <c r="N289" s="6">
        <f t="shared" si="36"/>
        <v>321338342.65094417</v>
      </c>
      <c r="O289" s="6">
        <f t="shared" si="36"/>
        <v>306738094.09826988</v>
      </c>
      <c r="P289" s="6">
        <f t="shared" si="36"/>
        <v>731523873.99458277</v>
      </c>
      <c r="Q289" s="6">
        <f t="shared" si="36"/>
        <v>697338924.67357337</v>
      </c>
      <c r="R289" s="6">
        <f t="shared" si="36"/>
        <v>670070754.90772152</v>
      </c>
      <c r="S289" s="6">
        <f t="shared" si="36"/>
        <v>643472821.11922002</v>
      </c>
      <c r="T289" s="6">
        <f t="shared" si="36"/>
        <v>617526035.96054435</v>
      </c>
      <c r="U289" s="6">
        <f t="shared" si="36"/>
        <v>592211868.25830746</v>
      </c>
      <c r="V289" s="6">
        <f t="shared" si="36"/>
        <v>567512326.75487065</v>
      </c>
      <c r="W289" s="6">
        <f t="shared" si="36"/>
        <v>562561890.62488532</v>
      </c>
      <c r="X289" s="6">
        <f t="shared" si="36"/>
        <v>557631503.76122642</v>
      </c>
      <c r="Y289" s="6">
        <f t="shared" si="36"/>
        <v>552721084.96436524</v>
      </c>
      <c r="Z289" s="6">
        <f t="shared" si="36"/>
        <v>876528885.38181043</v>
      </c>
      <c r="AA289" s="6">
        <f t="shared" si="36"/>
        <v>868735725.46540928</v>
      </c>
      <c r="AB289" s="6">
        <f t="shared" si="36"/>
        <v>860974127.8466692</v>
      </c>
      <c r="AC289" s="6">
        <f t="shared" si="36"/>
        <v>853243964.69828534</v>
      </c>
      <c r="AD289" s="6">
        <f t="shared" si="36"/>
        <v>845545108.71065259</v>
      </c>
      <c r="AE289" s="6">
        <f t="shared" si="36"/>
        <v>837877433.08976936</v>
      </c>
      <c r="AF289" s="6">
        <f t="shared" si="36"/>
        <v>830240811.55515099</v>
      </c>
      <c r="AG289" s="6">
        <f t="shared" si="36"/>
        <v>822635118.33774757</v>
      </c>
      <c r="AH289" s="6">
        <f t="shared" si="36"/>
        <v>815060228.1778748</v>
      </c>
      <c r="AI289" s="6">
        <f t="shared" si="36"/>
        <v>807516016.32314968</v>
      </c>
      <c r="AJ289" s="6">
        <f t="shared" si="36"/>
        <v>0</v>
      </c>
      <c r="AK289" s="6">
        <f t="shared" si="36"/>
        <v>0</v>
      </c>
      <c r="AL289" s="6">
        <f t="shared" si="36"/>
        <v>0</v>
      </c>
      <c r="AM289" s="6">
        <f t="shared" si="36"/>
        <v>0</v>
      </c>
      <c r="AN289" s="6">
        <f t="shared" si="36"/>
        <v>0</v>
      </c>
      <c r="AO289" s="6">
        <f t="shared" si="36"/>
        <v>0</v>
      </c>
      <c r="AP289" s="64">
        <f t="shared" si="36"/>
        <v>0</v>
      </c>
    </row>
    <row r="290" spans="1:42" ht="15" customHeight="1" x14ac:dyDescent="0.35">
      <c r="A290" s="51"/>
      <c r="B290" s="28"/>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4"/>
    </row>
    <row r="291" spans="1:42" ht="15" customHeight="1" x14ac:dyDescent="0.35">
      <c r="A291" s="51" t="s">
        <v>415</v>
      </c>
      <c r="B291" s="28"/>
      <c r="C291" s="161"/>
      <c r="D291" s="161"/>
      <c r="E291" s="161"/>
      <c r="F291" s="6">
        <f>(SUM($C$289:F289)*$B$266/$B$268)+(SUM($C$289:F289)*$B$267/$B$269)</f>
        <v>12521578.956995402</v>
      </c>
      <c r="G291" s="6">
        <f>(SUM($C$289:G289)*$B$266/$B$268)+(SUM($C$289:G289)*$B$267/$B$269)</f>
        <v>24992445.519214973</v>
      </c>
      <c r="H291" s="6">
        <f>(SUM($C$289:H289)*$B$266/$B$268)+(SUM($C$289:H289)*$B$267/$B$269)</f>
        <v>36547187.546544209</v>
      </c>
      <c r="I291" s="6">
        <f>(SUM($C$289:I289)*$B$266/$B$268)+(SUM($C$289:I289)*$B$267/$B$269)</f>
        <v>47245607.432485111</v>
      </c>
      <c r="J291" s="6">
        <f>(SUM($C$289:J289)*$B$266/$B$268)+(SUM($C$289:J289)*$B$267/$B$269)</f>
        <v>57143403.42574653</v>
      </c>
      <c r="K291" s="6">
        <f>(SUM($C$289:K289)*$B$266/$B$268)+(SUM($C$289:K289)*$B$267/$B$269)</f>
        <v>66292452.147278473</v>
      </c>
      <c r="L291" s="6">
        <f>(SUM($C$289:L289)*$B$266/$B$268)+(SUM($C$289:L289)*$B$267/$B$269)</f>
        <v>74741071.656202257</v>
      </c>
      <c r="M291" s="6">
        <f>(SUM($C$289:M289)*$B$266/$B$268)+(SUM($C$289:M289)*$B$267/$B$269)</f>
        <v>82815345.82287699</v>
      </c>
      <c r="N291" s="6">
        <f>(SUM($C$289:N289)*$B$266/$B$268)+(SUM($C$289:N289)*$B$267/$B$269)</f>
        <v>90527466.046499655</v>
      </c>
      <c r="O291" s="6">
        <f>(SUM($C$289:O289)*$B$266/$B$268)+(SUM($C$289:O289)*$B$267/$B$269)</f>
        <v>97889180.304858133</v>
      </c>
      <c r="P291" s="6">
        <f>(SUM($C$289:P289)*$B$266/$B$268)+(SUM($C$289:P289)*$B$267/$B$269)</f>
        <v>115445753.28072812</v>
      </c>
      <c r="Q291" s="6">
        <f>(SUM($C$289:Q289)*$B$266/$B$268)+(SUM($C$289:Q289)*$B$267/$B$269)</f>
        <v>132181887.47289389</v>
      </c>
      <c r="R291" s="6">
        <f>(SUM($C$289:R289)*$B$266/$B$268)+(SUM($C$289:R289)*$B$267/$B$269)</f>
        <v>148263585.5906792</v>
      </c>
      <c r="S291" s="6">
        <f>(SUM($C$289:S289)*$B$266/$B$268)+(SUM($C$289:S289)*$B$267/$B$269)</f>
        <v>163706933.29754049</v>
      </c>
      <c r="T291" s="6">
        <f>(SUM($C$289:T289)*$B$266/$B$268)+(SUM($C$289:T289)*$B$267/$B$269)</f>
        <v>178527558.16059354</v>
      </c>
      <c r="U291" s="6">
        <f>(SUM($C$289:U289)*$B$266/$B$268)+(SUM($C$289:U289)*$B$267/$B$269)</f>
        <v>192740642.99879292</v>
      </c>
      <c r="V291" s="6">
        <f>(SUM($C$289:V289)*$B$266/$B$268)+(SUM($C$289:V289)*$B$267/$B$269)</f>
        <v>206360938.84090984</v>
      </c>
      <c r="W291" s="6">
        <f>(SUM($C$289:W289)*$B$266/$B$268)+(SUM($C$289:W289)*$B$267/$B$269)</f>
        <v>219862424.2159071</v>
      </c>
      <c r="X291" s="6">
        <f>(SUM($C$289:X289)*$B$266/$B$268)+(SUM($C$289:X289)*$B$267/$B$269)</f>
        <v>233245580.30617654</v>
      </c>
      <c r="Y291" s="6">
        <f>(SUM($C$289:Y289)*$B$266/$B$268)+(SUM($C$289:Y289)*$B$267/$B$269)</f>
        <v>246510886.34532127</v>
      </c>
      <c r="Z291" s="6">
        <f>(SUM($C$289:Z289)*$B$266/$B$268)+(SUM($C$289:Z289)*$B$267/$B$269)</f>
        <v>267547579.59448475</v>
      </c>
      <c r="AA291" s="6">
        <f>(SUM($C$289:AA289)*$B$266/$B$268)+(SUM($C$289:AA289)*$B$267/$B$269)</f>
        <v>288397237.00565463</v>
      </c>
      <c r="AB291" s="6">
        <f>(SUM($C$289:AB289)*$B$266/$B$268)+(SUM($C$289:AB289)*$B$267/$B$269)</f>
        <v>309060616.07397461</v>
      </c>
      <c r="AC291" s="6">
        <f>(SUM($C$289:AC289)*$B$266/$B$268)+(SUM($C$289:AC289)*$B$267/$B$269)</f>
        <v>329538471.22673351</v>
      </c>
      <c r="AD291" s="6">
        <f>(SUM($C$289:AD289)*$B$266/$B$268)+(SUM($C$289:AD289)*$B$267/$B$269)</f>
        <v>349831553.83578914</v>
      </c>
      <c r="AE291" s="6">
        <f>(SUM($C$289:AE289)*$B$266/$B$268)+(SUM($C$289:AE289)*$B$267/$B$269)</f>
        <v>369940612.22994363</v>
      </c>
      <c r="AF291" s="6">
        <f>(SUM($C$289:AF289)*$B$266/$B$268)+(SUM($C$289:AF289)*$B$267/$B$269)</f>
        <v>389866391.70726722</v>
      </c>
      <c r="AG291" s="6">
        <f>(SUM($C$289:AG289)*$B$266/$B$268)+(SUM($C$289:AG289)*$B$267/$B$269)</f>
        <v>409609634.54737324</v>
      </c>
      <c r="AH291" s="6">
        <f>(SUM($C$289:AH289)*$B$266/$B$268)+(SUM($C$289:AH289)*$B$267/$B$269)</f>
        <v>429171080.02364224</v>
      </c>
      <c r="AI291" s="6">
        <f>(SUM($C$289:AI289)*$B$266/$B$268)+(SUM($C$289:AI289)*$B$267/$B$269)</f>
        <v>448551464.41539782</v>
      </c>
      <c r="AJ291" s="6">
        <f>(SUM($C$289:AJ289)*$B$266/$B$268)+(SUM($C$289:AJ289)*$B$267/$B$269)</f>
        <v>448551464.41539782</v>
      </c>
      <c r="AK291" s="6">
        <f>(SUM($C$289:AK289)*$B$266/$B$268)+(SUM($C$289:AK289)*$B$267/$B$269)</f>
        <v>448551464.41539782</v>
      </c>
      <c r="AL291" s="6">
        <f>(SUM($C$289:AL289)*$B$266/$B$268)+(SUM($C$289:AL289)*$B$267/$B$269)</f>
        <v>448551464.41539782</v>
      </c>
      <c r="AM291" s="6">
        <f>(SUM($C$289:AM289)*$B$266/$B$268)+(SUM($C$289:AM289)*$B$267/$B$269)</f>
        <v>448551464.41539782</v>
      </c>
      <c r="AN291" s="6">
        <f>(SUM($C$289:AN289)*$B$266/$B$268)+(SUM($C$289:AN289)*$B$267/$B$269)</f>
        <v>448551464.41539782</v>
      </c>
      <c r="AO291" s="6">
        <f>(SUM($C$289:AO289)*$B$266/$B$268)+(SUM($C$289:AO289)*$B$267/$B$269)</f>
        <v>448551464.41539782</v>
      </c>
      <c r="AP291" s="64">
        <f>(SUM($C$289:AP289)*$B$266/$B$268)+(SUM($C$289:AP289)*$B$267/$B$269)</f>
        <v>448551464.41539782</v>
      </c>
    </row>
    <row r="292" spans="1:42" ht="15" customHeight="1" x14ac:dyDescent="0.35">
      <c r="A292" s="66"/>
      <c r="B292" s="2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4"/>
    </row>
    <row r="293" spans="1:42" ht="15" customHeight="1" x14ac:dyDescent="0.35">
      <c r="A293" s="51" t="s">
        <v>416</v>
      </c>
      <c r="B293" s="28"/>
      <c r="C293" s="157"/>
      <c r="D293" s="157"/>
      <c r="E293" s="157"/>
      <c r="F293" s="1">
        <f>(SUM($C$289:F289)*$B$275)</f>
        <v>0</v>
      </c>
      <c r="G293" s="1">
        <f>(SUM($C$289:G289)*$B$275)</f>
        <v>0</v>
      </c>
      <c r="H293" s="1">
        <f>(SUM($C$289:H289)*$B$275)</f>
        <v>0</v>
      </c>
      <c r="I293" s="1">
        <f>(SUM($C$289:I289)*$B$275)</f>
        <v>0</v>
      </c>
      <c r="J293" s="1">
        <f>(SUM($C$289:J289)*$B$275)</f>
        <v>0</v>
      </c>
      <c r="K293" s="1">
        <f>(SUM($C$289:K289)*$B$275)</f>
        <v>0</v>
      </c>
      <c r="L293" s="1">
        <f>(SUM($C$289:L289)*$B$275)</f>
        <v>0</v>
      </c>
      <c r="M293" s="1">
        <f>(SUM($C$289:M289)*$B$275)</f>
        <v>0</v>
      </c>
      <c r="N293" s="1">
        <f>(SUM($C$289:N289)*$B$275)</f>
        <v>0</v>
      </c>
      <c r="O293" s="1">
        <f>(SUM($C$289:O289)*$B$275)</f>
        <v>0</v>
      </c>
      <c r="P293" s="1">
        <f>(SUM($C$289:P289)*$B$275)</f>
        <v>0</v>
      </c>
      <c r="Q293" s="1">
        <f>(SUM($C$289:Q289)*$B$275)</f>
        <v>0</v>
      </c>
      <c r="R293" s="1">
        <f>(SUM($C$289:R289)*$B$275)</f>
        <v>0</v>
      </c>
      <c r="S293" s="1">
        <f>(SUM($C$289:S289)*$B$275)</f>
        <v>0</v>
      </c>
      <c r="T293" s="1">
        <f>(SUM($C$289:T289)*$B$275)</f>
        <v>0</v>
      </c>
      <c r="U293" s="1">
        <f>(SUM($C$289:U289)*$B$275)</f>
        <v>0</v>
      </c>
      <c r="V293" s="1">
        <f>(SUM($C$289:V289)*$B$275)</f>
        <v>0</v>
      </c>
      <c r="W293" s="1">
        <f>(SUM($C$289:W289)*$B$275)</f>
        <v>0</v>
      </c>
      <c r="X293" s="1">
        <f>(SUM($C$289:X289)*$B$275)</f>
        <v>0</v>
      </c>
      <c r="Y293" s="1">
        <f>(SUM($C$289:Y289)*$B$275)</f>
        <v>0</v>
      </c>
      <c r="Z293" s="1">
        <f>(SUM($C$289:Z289)*$B$275)</f>
        <v>0</v>
      </c>
      <c r="AA293" s="1">
        <f>(SUM($C$289:AA289)*$B$275)</f>
        <v>0</v>
      </c>
      <c r="AB293" s="1">
        <f>(SUM($C$289:AB289)*$B$275)</f>
        <v>0</v>
      </c>
      <c r="AC293" s="1">
        <f>(SUM($C$289:AC289)*$B$275)</f>
        <v>0</v>
      </c>
      <c r="AD293" s="1">
        <f>(SUM($C$289:AD289)*$B$275)</f>
        <v>0</v>
      </c>
      <c r="AE293" s="1">
        <f>(SUM($C$289:AE289)*$B$275)</f>
        <v>0</v>
      </c>
      <c r="AF293" s="1">
        <f>(SUM($C$289:AF289)*$B$275)</f>
        <v>0</v>
      </c>
      <c r="AG293" s="1">
        <f>(SUM($C$289:AG289)*$B$275)</f>
        <v>0</v>
      </c>
      <c r="AH293" s="1">
        <f>(SUM($C$289:AH289)*$B$275)</f>
        <v>0</v>
      </c>
      <c r="AI293" s="1">
        <f>(SUM($C$289:AI289)*$B$275)</f>
        <v>0</v>
      </c>
      <c r="AJ293" s="1">
        <f>(SUM($C$289:AJ289)*$B$275)</f>
        <v>0</v>
      </c>
      <c r="AK293" s="1">
        <f>(SUM($C$289:AK289)*$B$275)</f>
        <v>0</v>
      </c>
      <c r="AL293" s="1">
        <f>(SUM($C$289:AL289)*$B$275)</f>
        <v>0</v>
      </c>
      <c r="AM293" s="1">
        <f>(SUM($C$289:AM289)*$B$275)</f>
        <v>0</v>
      </c>
      <c r="AN293" s="1">
        <f>(SUM($C$289:AN289)*$B$275)</f>
        <v>0</v>
      </c>
      <c r="AO293" s="1">
        <f>(SUM($C$289:AO289)*$B$275)</f>
        <v>0</v>
      </c>
      <c r="AP293" s="65">
        <f>(SUM($C$289:AP289)*$B$275)</f>
        <v>0</v>
      </c>
    </row>
    <row r="294" spans="1:42" ht="15" customHeight="1" thickBot="1" x14ac:dyDescent="0.4">
      <c r="A294" s="67"/>
      <c r="B294" s="23"/>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4"/>
    </row>
    <row r="295" spans="1:42" ht="15" customHeight="1" x14ac:dyDescent="0.35">
      <c r="A295" s="15" t="s">
        <v>417</v>
      </c>
      <c r="B295" s="32"/>
      <c r="AP295" s="30"/>
    </row>
    <row r="296" spans="1:42" ht="15" customHeight="1" x14ac:dyDescent="0.35">
      <c r="A296" s="17"/>
      <c r="B296" s="28"/>
      <c r="AP296" s="30"/>
    </row>
    <row r="297" spans="1:42" ht="15" customHeight="1" x14ac:dyDescent="0.35">
      <c r="A297" s="17" t="s">
        <v>418</v>
      </c>
      <c r="B297" s="255">
        <f>C250</f>
        <v>30</v>
      </c>
      <c r="AP297" s="30"/>
    </row>
    <row r="298" spans="1:42" ht="15" customHeight="1" x14ac:dyDescent="0.35">
      <c r="A298" s="17" t="s">
        <v>419</v>
      </c>
      <c r="B298" s="258">
        <f>B104</f>
        <v>5.0000000000000001E-3</v>
      </c>
      <c r="AP298" s="30"/>
    </row>
    <row r="299" spans="1:42" ht="15" customHeight="1" thickBot="1" x14ac:dyDescent="0.4">
      <c r="A299" s="17"/>
      <c r="B299" s="23"/>
      <c r="AP299" s="30"/>
    </row>
    <row r="300" spans="1:42" ht="15" customHeight="1" x14ac:dyDescent="0.35">
      <c r="A300" s="15" t="s">
        <v>420</v>
      </c>
      <c r="B300" s="32"/>
      <c r="C300" s="34"/>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6"/>
    </row>
    <row r="301" spans="1:42" ht="15" customHeight="1" x14ac:dyDescent="0.35">
      <c r="A301" s="17"/>
      <c r="B301" s="51"/>
      <c r="P301" s="39"/>
      <c r="AP301" s="30"/>
    </row>
    <row r="302" spans="1:42" ht="15" customHeight="1" thickBot="1" x14ac:dyDescent="0.4">
      <c r="A302" s="18" t="s">
        <v>421</v>
      </c>
      <c r="B302" s="265">
        <f>Data!BV80</f>
        <v>1725853.0649999999</v>
      </c>
      <c r="C302" s="99">
        <f t="shared" ref="C302:AP302" si="37">$B$302*C28</f>
        <v>1798799.4166520992</v>
      </c>
      <c r="D302" s="69">
        <f t="shared" si="37"/>
        <v>1836420.7784178485</v>
      </c>
      <c r="E302" s="69">
        <f t="shared" si="37"/>
        <v>1874828.9799212618</v>
      </c>
      <c r="F302" s="69">
        <f t="shared" si="37"/>
        <v>1914040.4776844778</v>
      </c>
      <c r="G302" s="69">
        <f t="shared" si="37"/>
        <v>1954072.0724129644</v>
      </c>
      <c r="H302" s="69">
        <f t="shared" si="37"/>
        <v>1994940.9161940122</v>
      </c>
      <c r="I302" s="69">
        <f t="shared" si="37"/>
        <v>2036664.5198457835</v>
      </c>
      <c r="J302" s="69">
        <f t="shared" si="37"/>
        <v>2079260.7604200616</v>
      </c>
      <c r="K302" s="69">
        <f t="shared" si="37"/>
        <v>2122747.8888619198</v>
      </c>
      <c r="L302" s="69">
        <f t="shared" si="37"/>
        <v>2167144.5378295905</v>
      </c>
      <c r="M302" s="69">
        <f t="shared" si="37"/>
        <v>2212469.7296778834</v>
      </c>
      <c r="N302" s="69">
        <f t="shared" si="37"/>
        <v>2258742.8846085756</v>
      </c>
      <c r="O302" s="69">
        <f t="shared" si="37"/>
        <v>2305983.8289912618</v>
      </c>
      <c r="P302" s="69">
        <f t="shared" si="37"/>
        <v>2354212.8038582387</v>
      </c>
      <c r="Q302" s="69">
        <f t="shared" si="37"/>
        <v>2403450.4735770514</v>
      </c>
      <c r="R302" s="69">
        <f t="shared" si="37"/>
        <v>2453717.9347044257</v>
      </c>
      <c r="S302" s="69">
        <f t="shared" si="37"/>
        <v>2505036.7250253791</v>
      </c>
      <c r="T302" s="69">
        <f t="shared" si="37"/>
        <v>2557428.8327813791</v>
      </c>
      <c r="U302" s="69">
        <f t="shared" si="37"/>
        <v>2610916.7060915101</v>
      </c>
      <c r="V302" s="69">
        <f t="shared" si="37"/>
        <v>2665523.2625706778</v>
      </c>
      <c r="W302" s="69">
        <f t="shared" si="37"/>
        <v>2721271.899148975</v>
      </c>
      <c r="X302" s="69">
        <f t="shared" si="37"/>
        <v>2778186.5020964202</v>
      </c>
      <c r="Y302" s="69">
        <f t="shared" si="37"/>
        <v>2836291.4572573574</v>
      </c>
      <c r="Z302" s="69">
        <f t="shared" si="37"/>
        <v>2895611.6604989064</v>
      </c>
      <c r="AA302" s="69">
        <f t="shared" si="37"/>
        <v>2956172.5283779399</v>
      </c>
      <c r="AB302" s="69">
        <f t="shared" si="37"/>
        <v>3018000.009031157</v>
      </c>
      <c r="AC302" s="69">
        <f t="shared" si="37"/>
        <v>3081120.5932929176</v>
      </c>
      <c r="AD302" s="69">
        <f t="shared" si="37"/>
        <v>3145561.3260456077</v>
      </c>
      <c r="AE302" s="69">
        <f t="shared" si="37"/>
        <v>3211349.8178073871</v>
      </c>
      <c r="AF302" s="69">
        <f t="shared" si="37"/>
        <v>3278514.2565623005</v>
      </c>
      <c r="AG302" s="69">
        <f t="shared" si="37"/>
        <v>3347083.4198378026</v>
      </c>
      <c r="AH302" s="69">
        <f t="shared" si="37"/>
        <v>3417086.6870348877</v>
      </c>
      <c r="AI302" s="69">
        <f t="shared" si="37"/>
        <v>3488554.052016099</v>
      </c>
      <c r="AJ302" s="69">
        <f t="shared" si="37"/>
        <v>3561516.1359568071</v>
      </c>
      <c r="AK302" s="69">
        <f t="shared" si="37"/>
        <v>3636004.2004652787</v>
      </c>
      <c r="AL302" s="69">
        <f t="shared" si="37"/>
        <v>3712050.1609771419</v>
      </c>
      <c r="AM302" s="69">
        <f t="shared" si="37"/>
        <v>3789686.6004299894</v>
      </c>
      <c r="AN302" s="69">
        <f t="shared" si="37"/>
        <v>3868946.7832239899</v>
      </c>
      <c r="AO302" s="69">
        <f t="shared" si="37"/>
        <v>3949864.6694744788</v>
      </c>
      <c r="AP302" s="76">
        <f t="shared" si="37"/>
        <v>4032474.9295626329</v>
      </c>
    </row>
    <row r="303" spans="1:42" ht="15" customHeight="1" x14ac:dyDescent="0.35">
      <c r="A303" s="73"/>
      <c r="B303" s="32"/>
      <c r="C303" s="237"/>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5"/>
      <c r="AI303" s="75"/>
      <c r="AJ303" s="75"/>
      <c r="AK303" s="75"/>
      <c r="AL303" s="75"/>
      <c r="AM303" s="75"/>
      <c r="AN303" s="75"/>
      <c r="AO303" s="75"/>
      <c r="AP303" s="36"/>
    </row>
    <row r="304" spans="1:42" ht="15" customHeight="1" x14ac:dyDescent="0.35">
      <c r="A304" s="17" t="s">
        <v>422</v>
      </c>
      <c r="B304" s="28"/>
      <c r="C304" s="196"/>
      <c r="AP304" s="30"/>
    </row>
    <row r="305" spans="1:42" ht="15" customHeight="1" x14ac:dyDescent="0.35">
      <c r="A305" s="17"/>
      <c r="B305" s="28" t="s">
        <v>423</v>
      </c>
      <c r="C305" s="196"/>
      <c r="AP305" s="30"/>
    </row>
    <row r="306" spans="1:42" ht="15" customHeight="1" x14ac:dyDescent="0.35">
      <c r="A306" s="17"/>
      <c r="B306" s="28" t="s">
        <v>424</v>
      </c>
      <c r="C306" s="196"/>
      <c r="AP306" s="30"/>
    </row>
    <row r="307" spans="1:42" ht="15" customHeight="1" x14ac:dyDescent="0.35">
      <c r="A307" s="17"/>
      <c r="B307" s="28" t="s">
        <v>272</v>
      </c>
      <c r="C307" s="196"/>
      <c r="AP307" s="30"/>
    </row>
    <row r="308" spans="1:42" ht="15" customHeight="1" x14ac:dyDescent="0.35">
      <c r="A308" s="17"/>
      <c r="B308" s="28"/>
      <c r="C308" s="196"/>
      <c r="AP308" s="30"/>
    </row>
    <row r="309" spans="1:42" ht="15" customHeight="1" x14ac:dyDescent="0.35">
      <c r="A309" s="17"/>
      <c r="B309" s="28"/>
      <c r="C309" s="196"/>
      <c r="AP309" s="30"/>
    </row>
    <row r="310" spans="1:42" ht="15" customHeight="1" x14ac:dyDescent="0.35">
      <c r="A310" s="17"/>
      <c r="B310" s="28" t="s">
        <v>425</v>
      </c>
      <c r="C310" s="196"/>
      <c r="AP310" s="30"/>
    </row>
    <row r="311" spans="1:42" ht="15" customHeight="1" x14ac:dyDescent="0.35">
      <c r="A311" s="17"/>
      <c r="B311" s="28" t="s">
        <v>267</v>
      </c>
      <c r="C311" s="196"/>
      <c r="AP311" s="30"/>
    </row>
    <row r="312" spans="1:42" ht="15" customHeight="1" x14ac:dyDescent="0.35">
      <c r="A312" s="17"/>
      <c r="B312" s="28"/>
      <c r="C312" s="196"/>
      <c r="AP312" s="30"/>
    </row>
    <row r="313" spans="1:42" ht="15" customHeight="1" x14ac:dyDescent="0.35">
      <c r="A313" s="17"/>
      <c r="B313" s="68">
        <v>0.75</v>
      </c>
      <c r="C313" s="196"/>
      <c r="AP313" s="30"/>
    </row>
    <row r="314" spans="1:42" ht="15" customHeight="1" x14ac:dyDescent="0.35">
      <c r="A314" s="17"/>
      <c r="B314" s="68">
        <v>1</v>
      </c>
      <c r="C314" s="196"/>
      <c r="AP314" s="30"/>
    </row>
    <row r="315" spans="1:42" ht="15" customHeight="1" x14ac:dyDescent="0.35">
      <c r="A315" s="17"/>
      <c r="B315" s="28"/>
      <c r="C315" s="196"/>
      <c r="AP315" s="30"/>
    </row>
    <row r="316" spans="1:42" ht="15" customHeight="1" x14ac:dyDescent="0.35">
      <c r="A316" s="17"/>
      <c r="B316" s="28">
        <v>30</v>
      </c>
      <c r="C316" s="196"/>
      <c r="AP316" s="30"/>
    </row>
    <row r="317" spans="1:42" ht="15" customHeight="1" x14ac:dyDescent="0.35">
      <c r="A317" s="17"/>
      <c r="B317" s="28">
        <v>40</v>
      </c>
      <c r="C317" s="196"/>
      <c r="AP317" s="30"/>
    </row>
    <row r="318" spans="1:42" ht="15" customHeight="1" x14ac:dyDescent="0.35">
      <c r="A318" s="17"/>
      <c r="B318" s="28"/>
      <c r="C318" s="196"/>
      <c r="AP318" s="30"/>
    </row>
    <row r="319" spans="1:42" ht="15" customHeight="1" x14ac:dyDescent="0.35">
      <c r="A319" s="17"/>
      <c r="B319" s="28" t="s">
        <v>264</v>
      </c>
      <c r="C319" s="196"/>
      <c r="AP319" s="30"/>
    </row>
    <row r="320" spans="1:42" ht="15" customHeight="1" x14ac:dyDescent="0.35">
      <c r="A320" s="17"/>
      <c r="B320" s="28" t="s">
        <v>426</v>
      </c>
      <c r="C320" s="196"/>
      <c r="AP320" s="30"/>
    </row>
    <row r="321" spans="1:42" ht="15" customHeight="1" x14ac:dyDescent="0.35">
      <c r="A321" s="17"/>
      <c r="B321" s="28" t="s">
        <v>427</v>
      </c>
      <c r="C321" s="196"/>
      <c r="AP321" s="30"/>
    </row>
    <row r="322" spans="1:42" ht="15" customHeight="1" x14ac:dyDescent="0.35">
      <c r="A322" s="17"/>
      <c r="B322" s="28" t="s">
        <v>428</v>
      </c>
      <c r="C322" s="196"/>
      <c r="AP322" s="30"/>
    </row>
    <row r="323" spans="1:42" ht="15" customHeight="1" x14ac:dyDescent="0.35">
      <c r="A323" s="17"/>
      <c r="B323" s="28" t="s">
        <v>429</v>
      </c>
      <c r="C323" s="196"/>
      <c r="AP323" s="30"/>
    </row>
    <row r="324" spans="1:42" ht="15" customHeight="1" x14ac:dyDescent="0.35">
      <c r="A324" s="17"/>
      <c r="B324" s="28"/>
      <c r="C324" s="196"/>
      <c r="AP324" s="30"/>
    </row>
    <row r="325" spans="1:42" ht="15" customHeight="1" x14ac:dyDescent="0.35">
      <c r="B325" s="28" t="s">
        <v>275</v>
      </c>
      <c r="C325" s="196"/>
      <c r="AP325" s="30"/>
    </row>
    <row r="326" spans="1:42" ht="15" customHeight="1" x14ac:dyDescent="0.35">
      <c r="A326" s="17"/>
      <c r="B326" s="28" t="s">
        <v>430</v>
      </c>
      <c r="C326" s="196"/>
      <c r="AP326" s="30"/>
    </row>
    <row r="327" spans="1:42" ht="15" customHeight="1" x14ac:dyDescent="0.35">
      <c r="B327" s="28"/>
      <c r="C327" s="196"/>
      <c r="AP327" s="30"/>
    </row>
    <row r="328" spans="1:42" ht="15" customHeight="1" x14ac:dyDescent="0.35">
      <c r="B328" s="193">
        <v>0</v>
      </c>
      <c r="C328" s="196"/>
      <c r="AP328" s="30"/>
    </row>
    <row r="329" spans="1:42" ht="15" customHeight="1" x14ac:dyDescent="0.35">
      <c r="B329" s="193">
        <v>0.01</v>
      </c>
      <c r="C329" s="196"/>
      <c r="AP329" s="30"/>
    </row>
    <row r="330" spans="1:42" ht="15" customHeight="1" thickBot="1" x14ac:dyDescent="0.4">
      <c r="A330" s="18"/>
      <c r="B330" s="23"/>
      <c r="C330" s="18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4"/>
    </row>
    <row r="334" spans="1:42" ht="15" customHeight="1" x14ac:dyDescent="0.35">
      <c r="C334" s="40"/>
    </row>
    <row r="341" spans="3:42" ht="15" customHeight="1" x14ac:dyDescent="0.35">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row>
    <row r="344" spans="3:42" ht="15" customHeight="1" x14ac:dyDescent="0.35">
      <c r="C344" s="41"/>
    </row>
    <row r="347" spans="3:42" ht="15" customHeight="1" x14ac:dyDescent="0.35">
      <c r="C347" s="38"/>
    </row>
    <row r="350" spans="3:42" ht="15" customHeight="1" x14ac:dyDescent="0.35">
      <c r="C350" s="40"/>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row>
    <row r="351" spans="3:42" ht="15" customHeight="1" x14ac:dyDescent="0.35">
      <c r="C351" s="40"/>
    </row>
    <row r="354" spans="3:12" ht="15" customHeight="1" x14ac:dyDescent="0.35">
      <c r="L354" s="4"/>
    </row>
    <row r="362" spans="3:12" ht="15" customHeight="1" x14ac:dyDescent="0.35">
      <c r="C362" s="42"/>
    </row>
    <row r="363" spans="3:12" ht="15" customHeight="1" x14ac:dyDescent="0.35">
      <c r="C363" s="42"/>
    </row>
    <row r="364" spans="3:12" ht="15" customHeight="1" x14ac:dyDescent="0.35">
      <c r="C364" s="40"/>
    </row>
    <row r="365" spans="3:12" ht="15" customHeight="1" x14ac:dyDescent="0.35">
      <c r="C365" s="40"/>
    </row>
    <row r="367" spans="3:12" ht="15" customHeight="1" x14ac:dyDescent="0.35">
      <c r="C367" s="43"/>
    </row>
    <row r="368" spans="3:12" ht="15" customHeight="1" x14ac:dyDescent="0.35">
      <c r="C368" s="42"/>
    </row>
    <row r="369" spans="3:3" ht="15" customHeight="1" x14ac:dyDescent="0.35">
      <c r="C369" s="42"/>
    </row>
    <row r="374" spans="3:3" ht="15" customHeight="1" x14ac:dyDescent="0.35">
      <c r="C374" s="44"/>
    </row>
    <row r="383" spans="3:3" ht="15" customHeight="1" x14ac:dyDescent="0.35">
      <c r="C383" s="40"/>
    </row>
  </sheetData>
  <sheetProtection algorithmName="SHA-512" hashValue="j6UpDRfHGiJSNuLnmBR2yDBbYNfj3SWX9w6CMx7xAZkKIyOy6R7EG2L1IA4LlAQAtgwHqUQRiLjOqIQEU2n22Q==" saltValue="MgdZwRsMaHmxKHhvNPoMNg==" spinCount="100000" sheet="1" objects="1" scenarios="1"/>
  <mergeCells count="1">
    <mergeCell ref="G101:H102"/>
  </mergeCells>
  <phoneticPr fontId="16" type="noConversion"/>
  <dataValidations count="9">
    <dataValidation type="list" allowBlank="1" showInputMessage="1" showErrorMessage="1" sqref="B4" xr:uid="{AFAD5032-725B-4CAD-99E4-ABC2E62D464E}">
      <formula1>$B$310:$B$311</formula1>
    </dataValidation>
    <dataValidation type="list" allowBlank="1" showInputMessage="1" showErrorMessage="1" sqref="B240" xr:uid="{17023A9E-E968-4A14-871A-44AC39F5976D}">
      <formula1>$B$305:$B$306</formula1>
    </dataValidation>
    <dataValidation type="list" allowBlank="1" showInputMessage="1" showErrorMessage="1" sqref="B6" xr:uid="{6A760544-CC97-43A0-AE2F-507D0B4CCFE8}">
      <formula1>$B$305:$B$307</formula1>
    </dataValidation>
    <dataValidation type="list" allowBlank="1" showInputMessage="1" showErrorMessage="1" sqref="B5" xr:uid="{AFC1FEAD-DEF1-448D-8F7B-176F81790FA9}">
      <formula1>$B$316:$B$317</formula1>
    </dataValidation>
    <dataValidation type="list" allowBlank="1" showInputMessage="1" showErrorMessage="1" sqref="B10" xr:uid="{9358B950-1EA8-4108-A03D-96B29591D21B}">
      <formula1>$B$313:$B$314</formula1>
    </dataValidation>
    <dataValidation type="list" allowBlank="1" showInputMessage="1" showErrorMessage="1" sqref="B3" xr:uid="{83A42C08-CB5F-43A7-95B1-BE1BA521F8E0}">
      <formula1>$B$319:$B$323</formula1>
    </dataValidation>
    <dataValidation type="list" allowBlank="1" showInputMessage="1" showErrorMessage="1" sqref="B7" xr:uid="{D2639971-3C27-4716-85F0-328D698EFDF0}">
      <formula1>$B$325:$B$326</formula1>
    </dataValidation>
    <dataValidation type="list" allowBlank="1" showInputMessage="1" showErrorMessage="1" sqref="B8" xr:uid="{80AD765C-4D1A-40BA-B132-A2F697F02BA5}">
      <formula1>$B$328:$B$329</formula1>
    </dataValidation>
    <dataValidation type="list" allowBlank="1" showInputMessage="1" showErrorMessage="1" sqref="B9" xr:uid="{585A852F-A0BA-4621-A878-0F0E692436D4}">
      <formula1>$A$55:$A$62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dimension ref="A1:AS72"/>
  <sheetViews>
    <sheetView zoomScaleNormal="100" workbookViewId="0">
      <selection sqref="A1:XFD1048576"/>
    </sheetView>
  </sheetViews>
  <sheetFormatPr defaultColWidth="12.58203125" defaultRowHeight="15.5" x14ac:dyDescent="0.35"/>
  <cols>
    <col min="1" max="1" width="41.25" style="305" customWidth="1"/>
    <col min="2" max="2" width="24.58203125" style="305" customWidth="1"/>
    <col min="3" max="4" width="23" style="305" customWidth="1"/>
    <col min="5" max="5" width="15.58203125" style="305" bestFit="1" customWidth="1"/>
    <col min="6" max="6" width="15.33203125" style="305" bestFit="1" customWidth="1"/>
    <col min="7" max="7" width="14.5" style="305" bestFit="1" customWidth="1"/>
    <col min="8" max="8" width="15.08203125" style="305" bestFit="1" customWidth="1"/>
    <col min="9" max="34" width="16.08203125" style="305" customWidth="1"/>
    <col min="35" max="37" width="15.58203125" style="305" bestFit="1" customWidth="1"/>
    <col min="38" max="45" width="12.58203125" style="305" customWidth="1"/>
    <col min="46" max="16384" width="12.58203125" style="305"/>
  </cols>
  <sheetData>
    <row r="1" spans="1:45" ht="26" x14ac:dyDescent="0.6">
      <c r="A1" s="317" t="s">
        <v>431</v>
      </c>
      <c r="D1" s="318"/>
      <c r="E1" s="319"/>
      <c r="F1" s="320"/>
      <c r="G1" s="320"/>
      <c r="H1" s="319"/>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45" ht="16" thickBot="1" x14ac:dyDescent="0.4"/>
    <row r="3" spans="1:45" s="328" customFormat="1" ht="21.5" thickBot="1" x14ac:dyDescent="0.55000000000000004">
      <c r="A3" s="321" t="s">
        <v>285</v>
      </c>
      <c r="B3" s="322" t="s">
        <v>432</v>
      </c>
      <c r="C3" s="323"/>
      <c r="D3" s="324"/>
      <c r="E3" s="325">
        <v>2022</v>
      </c>
      <c r="F3" s="326">
        <f t="shared" ref="F3:AR3" si="0">E3+1</f>
        <v>2023</v>
      </c>
      <c r="G3" s="326">
        <f t="shared" si="0"/>
        <v>2024</v>
      </c>
      <c r="H3" s="326">
        <f t="shared" si="0"/>
        <v>2025</v>
      </c>
      <c r="I3" s="326">
        <f t="shared" si="0"/>
        <v>2026</v>
      </c>
      <c r="J3" s="326">
        <f t="shared" si="0"/>
        <v>2027</v>
      </c>
      <c r="K3" s="326">
        <f t="shared" si="0"/>
        <v>2028</v>
      </c>
      <c r="L3" s="326">
        <f t="shared" si="0"/>
        <v>2029</v>
      </c>
      <c r="M3" s="326">
        <f t="shared" si="0"/>
        <v>2030</v>
      </c>
      <c r="N3" s="326">
        <f t="shared" si="0"/>
        <v>2031</v>
      </c>
      <c r="O3" s="326">
        <f t="shared" si="0"/>
        <v>2032</v>
      </c>
      <c r="P3" s="326">
        <f t="shared" si="0"/>
        <v>2033</v>
      </c>
      <c r="Q3" s="326">
        <f t="shared" si="0"/>
        <v>2034</v>
      </c>
      <c r="R3" s="326">
        <f t="shared" si="0"/>
        <v>2035</v>
      </c>
      <c r="S3" s="326">
        <f t="shared" si="0"/>
        <v>2036</v>
      </c>
      <c r="T3" s="326">
        <f t="shared" si="0"/>
        <v>2037</v>
      </c>
      <c r="U3" s="326">
        <f t="shared" si="0"/>
        <v>2038</v>
      </c>
      <c r="V3" s="326">
        <f t="shared" si="0"/>
        <v>2039</v>
      </c>
      <c r="W3" s="326">
        <f t="shared" si="0"/>
        <v>2040</v>
      </c>
      <c r="X3" s="326">
        <f t="shared" si="0"/>
        <v>2041</v>
      </c>
      <c r="Y3" s="326">
        <f t="shared" si="0"/>
        <v>2042</v>
      </c>
      <c r="Z3" s="326">
        <f t="shared" si="0"/>
        <v>2043</v>
      </c>
      <c r="AA3" s="326">
        <f t="shared" si="0"/>
        <v>2044</v>
      </c>
      <c r="AB3" s="326">
        <f t="shared" si="0"/>
        <v>2045</v>
      </c>
      <c r="AC3" s="326">
        <f t="shared" si="0"/>
        <v>2046</v>
      </c>
      <c r="AD3" s="326">
        <f t="shared" si="0"/>
        <v>2047</v>
      </c>
      <c r="AE3" s="326">
        <f t="shared" si="0"/>
        <v>2048</v>
      </c>
      <c r="AF3" s="326">
        <f t="shared" si="0"/>
        <v>2049</v>
      </c>
      <c r="AG3" s="326">
        <f t="shared" si="0"/>
        <v>2050</v>
      </c>
      <c r="AH3" s="326">
        <f t="shared" si="0"/>
        <v>2051</v>
      </c>
      <c r="AI3" s="326">
        <f t="shared" si="0"/>
        <v>2052</v>
      </c>
      <c r="AJ3" s="326">
        <f t="shared" si="0"/>
        <v>2053</v>
      </c>
      <c r="AK3" s="326">
        <f t="shared" si="0"/>
        <v>2054</v>
      </c>
      <c r="AL3" s="326">
        <f t="shared" si="0"/>
        <v>2055</v>
      </c>
      <c r="AM3" s="326">
        <f t="shared" si="0"/>
        <v>2056</v>
      </c>
      <c r="AN3" s="326">
        <f t="shared" si="0"/>
        <v>2057</v>
      </c>
      <c r="AO3" s="326">
        <f t="shared" si="0"/>
        <v>2058</v>
      </c>
      <c r="AP3" s="326">
        <f t="shared" si="0"/>
        <v>2059</v>
      </c>
      <c r="AQ3" s="326">
        <f t="shared" si="0"/>
        <v>2060</v>
      </c>
      <c r="AR3" s="326">
        <f t="shared" si="0"/>
        <v>2061</v>
      </c>
      <c r="AS3" s="327"/>
    </row>
    <row r="4" spans="1:45" s="337" customFormat="1" ht="21.5" thickBot="1" x14ac:dyDescent="0.55000000000000004">
      <c r="A4" s="329" t="s">
        <v>433</v>
      </c>
      <c r="B4" s="330"/>
      <c r="C4" s="331"/>
      <c r="D4" s="332"/>
      <c r="E4" s="333"/>
      <c r="F4" s="333"/>
      <c r="G4" s="333"/>
      <c r="H4" s="333"/>
      <c r="I4" s="334">
        <v>0.08</v>
      </c>
      <c r="J4" s="334">
        <v>0.03</v>
      </c>
      <c r="K4" s="334">
        <v>0.02</v>
      </c>
      <c r="L4" s="334">
        <v>0.01</v>
      </c>
      <c r="M4" s="334">
        <v>0</v>
      </c>
      <c r="N4" s="334">
        <v>0</v>
      </c>
      <c r="O4" s="334">
        <v>0</v>
      </c>
      <c r="P4" s="334">
        <v>-0.01</v>
      </c>
      <c r="Q4" s="334">
        <v>-0.01</v>
      </c>
      <c r="R4" s="334">
        <v>0.06</v>
      </c>
      <c r="S4" s="334">
        <v>0.04</v>
      </c>
      <c r="T4" s="334">
        <v>0.04</v>
      </c>
      <c r="U4" s="334">
        <v>0.03</v>
      </c>
      <c r="V4" s="334">
        <v>0.03</v>
      </c>
      <c r="W4" s="334">
        <v>0.02</v>
      </c>
      <c r="X4" s="334">
        <v>0.02</v>
      </c>
      <c r="Y4" s="334">
        <v>0.02</v>
      </c>
      <c r="Z4" s="334">
        <v>0.02</v>
      </c>
      <c r="AA4" s="334">
        <v>0.02</v>
      </c>
      <c r="AB4" s="334">
        <v>0.05</v>
      </c>
      <c r="AC4" s="334">
        <v>0.04</v>
      </c>
      <c r="AD4" s="334">
        <v>0.04</v>
      </c>
      <c r="AE4" s="334">
        <v>0.03</v>
      </c>
      <c r="AF4" s="334">
        <v>0.03</v>
      </c>
      <c r="AG4" s="334">
        <v>0.03</v>
      </c>
      <c r="AH4" s="334">
        <v>0.02</v>
      </c>
      <c r="AI4" s="334">
        <v>0.02</v>
      </c>
      <c r="AJ4" s="334">
        <v>0.01</v>
      </c>
      <c r="AK4" s="334">
        <v>0.01</v>
      </c>
      <c r="AL4" s="335">
        <v>0</v>
      </c>
      <c r="AM4" s="335">
        <v>0</v>
      </c>
      <c r="AN4" s="335">
        <v>0</v>
      </c>
      <c r="AO4" s="335">
        <v>0</v>
      </c>
      <c r="AP4" s="335">
        <v>0</v>
      </c>
      <c r="AQ4" s="335">
        <v>0</v>
      </c>
      <c r="AR4" s="335">
        <v>0</v>
      </c>
      <c r="AS4" s="336"/>
    </row>
    <row r="5" spans="1:45" s="337" customFormat="1" ht="21.5" thickBot="1" x14ac:dyDescent="0.55000000000000004">
      <c r="A5" s="338"/>
      <c r="B5" s="339"/>
      <c r="C5" s="340"/>
      <c r="D5" s="341"/>
      <c r="E5" s="342"/>
      <c r="F5" s="343"/>
      <c r="G5" s="343"/>
      <c r="H5" s="343"/>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5"/>
      <c r="AS5" s="345"/>
    </row>
    <row r="6" spans="1:45" ht="21" x14ac:dyDescent="0.5">
      <c r="A6" s="329" t="s">
        <v>434</v>
      </c>
      <c r="B6" s="346"/>
      <c r="C6" s="346"/>
      <c r="D6" s="346"/>
      <c r="E6" s="347"/>
      <c r="F6" s="348"/>
      <c r="G6" s="348"/>
      <c r="H6" s="348"/>
      <c r="I6" s="349">
        <f ca="1">'Debt worksheet'!G8/'Profit and Loss'!G3</f>
        <v>3.7665571838590313</v>
      </c>
      <c r="J6" s="349">
        <f ca="1">'Debt worksheet'!H8/'Profit and Loss'!H3</f>
        <v>3.9802700412508645</v>
      </c>
      <c r="K6" s="349">
        <f ca="1">'Debt worksheet'!I8/'Profit and Loss'!I3</f>
        <v>4.1729209792441742</v>
      </c>
      <c r="L6" s="349">
        <f ca="1">'Debt worksheet'!J8/'Profit and Loss'!J3</f>
        <v>4.3642587748626225</v>
      </c>
      <c r="M6" s="349">
        <f ca="1">'Debt worksheet'!K8/'Profit and Loss'!K3</f>
        <v>4.5137921951796516</v>
      </c>
      <c r="N6" s="349">
        <f ca="1">'Debt worksheet'!L8/'Profit and Loss'!L3</f>
        <v>4.6389106906227555</v>
      </c>
      <c r="O6" s="349">
        <f ca="1">'Debt worksheet'!M8/'Profit and Loss'!M3</f>
        <v>4.7579286649322174</v>
      </c>
      <c r="P6" s="349">
        <f ca="1">'Debt worksheet'!N8/'Profit and Loss'!N3</f>
        <v>4.93052664399519</v>
      </c>
      <c r="Q6" s="349">
        <f ca="1">'Debt worksheet'!O8/'Profit and Loss'!O3</f>
        <v>5.1105490934041606</v>
      </c>
      <c r="R6" s="349">
        <f ca="1">'Debt worksheet'!P8/'Profit and Loss'!P3</f>
        <v>5.219938751469229</v>
      </c>
      <c r="S6" s="349">
        <f ca="1">'Debt worksheet'!Q8/'Profit and Loss'!Q3</f>
        <v>5.3580196432351093</v>
      </c>
      <c r="T6" s="349">
        <f ca="1">'Debt worksheet'!R8/'Profit and Loss'!R3</f>
        <v>5.4382531997228458</v>
      </c>
      <c r="U6" s="349">
        <f ca="1">'Debt worksheet'!S8/'Profit and Loss'!S3</f>
        <v>5.5270091365709089</v>
      </c>
      <c r="V6" s="349">
        <f ca="1">'Debt worksheet'!T8/'Profit and Loss'!T3</f>
        <v>5.5743216102475426</v>
      </c>
      <c r="W6" s="349">
        <f ca="1">'Debt worksheet'!U8/'Profit and Loss'!U3</f>
        <v>5.646664707062973</v>
      </c>
      <c r="X6" s="349">
        <f ca="1">'Debt worksheet'!V8/'Profit and Loss'!V3</f>
        <v>5.6908374057256346</v>
      </c>
      <c r="Y6" s="349">
        <f ca="1">'Debt worksheet'!W8/'Profit and Loss'!W3</f>
        <v>5.7256855151245309</v>
      </c>
      <c r="Z6" s="349">
        <f ca="1">'Debt worksheet'!X8/'Profit and Loss'!X3</f>
        <v>5.7511555168640722</v>
      </c>
      <c r="AA6" s="349">
        <f ca="1">'Debt worksheet'!Y8/'Profit and Loss'!Y3</f>
        <v>5.7671972658998207</v>
      </c>
      <c r="AB6" s="349">
        <f ca="1">'Debt worksheet'!Z8/'Profit and Loss'!Z3</f>
        <v>5.7882656098827878</v>
      </c>
      <c r="AC6" s="349">
        <f ca="1">'Debt worksheet'!AA8/'Profit and Loss'!AA3</f>
        <v>5.8309725831858303</v>
      </c>
      <c r="AD6" s="349">
        <f ca="1">'Debt worksheet'!AB8/'Profit and Loss'!AB3</f>
        <v>5.8416039301698959</v>
      </c>
      <c r="AE6" s="349">
        <f ca="1">'Debt worksheet'!AC8/'Profit and Loss'!AC3</f>
        <v>5.8880085777263629</v>
      </c>
      <c r="AF6" s="349">
        <f ca="1">'Debt worksheet'!AD8/'Profit and Loss'!AD3</f>
        <v>5.9144372698714642</v>
      </c>
      <c r="AG6" s="349">
        <f ca="1">'Debt worksheet'!AE8/'Profit and Loss'!AE3</f>
        <v>5.9212106752204994</v>
      </c>
      <c r="AH6" s="349">
        <f ca="1">'Debt worksheet'!AF8/'Profit and Loss'!AF3</f>
        <v>5.9768243048732215</v>
      </c>
      <c r="AI6" s="349">
        <f ca="1">'Debt worksheet'!AG8/'Profit and Loss'!AG3</f>
        <v>6.0237571529121317</v>
      </c>
      <c r="AJ6" s="349">
        <f ca="1">'Debt worksheet'!AH8/'Profit and Loss'!AH3</f>
        <v>6.1322797375566713</v>
      </c>
      <c r="AK6" s="349">
        <f ca="1">'Debt worksheet'!AI8/'Profit and Loss'!AI3</f>
        <v>6.2437017905539465</v>
      </c>
      <c r="AL6" s="349">
        <f ca="1">'Debt worksheet'!AJ3/'Profit and Loss'!AJ3</f>
        <v>6.1157918003270568</v>
      </c>
      <c r="AM6" s="349">
        <f ca="1">'Debt worksheet'!AK3/'Profit and Loss'!AK3</f>
        <v>5.8657378855666007</v>
      </c>
      <c r="AN6" s="349">
        <f ca="1">'Debt worksheet'!AL3/'Profit and Loss'!AL3</f>
        <v>5.6127142526117408</v>
      </c>
      <c r="AO6" s="349">
        <f ca="1">'Debt worksheet'!AM3/'Profit and Loss'!AM3</f>
        <v>5.3566762179966565</v>
      </c>
      <c r="AP6" s="349">
        <f ca="1">'Debt worksheet'!AN3/'Profit and Loss'!AN3</f>
        <v>5.097577638382881</v>
      </c>
      <c r="AQ6" s="349">
        <f ca="1">'Debt worksheet'!AO3/'Profit and Loss'!AO3</f>
        <v>4.835370871519574</v>
      </c>
      <c r="AR6" s="350">
        <f ca="1">'Debt worksheet'!AP3/'Profit and Loss'!AP3</f>
        <v>4.5700067359270582</v>
      </c>
      <c r="AS6" s="351"/>
    </row>
    <row r="7" spans="1:45" ht="21" x14ac:dyDescent="0.5">
      <c r="A7" s="352" t="s">
        <v>435</v>
      </c>
      <c r="B7" s="353">
        <f ca="1">MIN('Price and Financial Ratios'!H7:AK7)</f>
        <v>0.10016436209116439</v>
      </c>
      <c r="C7" s="353"/>
      <c r="D7" s="353"/>
      <c r="E7" s="354"/>
      <c r="F7" s="355"/>
      <c r="G7" s="356"/>
      <c r="H7" s="356"/>
      <c r="I7" s="357">
        <f ca="1">'Cash Flow'!G5/'Debt worksheet'!G3</f>
        <v>0.11643317060223649</v>
      </c>
      <c r="J7" s="357">
        <f ca="1">'Cash Flow'!H5/'Debt worksheet'!H3</f>
        <v>0.11250998677663054</v>
      </c>
      <c r="K7" s="357">
        <f ca="1">'Cash Flow'!I5/'Debt worksheet'!I3</f>
        <v>0.11044597741522051</v>
      </c>
      <c r="L7" s="357">
        <f ca="1">'Cash Flow'!J5/'Debt worksheet'!J3</f>
        <v>0.10771032385016924</v>
      </c>
      <c r="M7" s="357">
        <f ca="1">'Cash Flow'!K5/'Debt worksheet'!K3</f>
        <v>0.11766884055373775</v>
      </c>
      <c r="N7" s="357">
        <f ca="1">'Cash Flow'!L5/'Debt worksheet'!L3</f>
        <v>0.1162088004221456</v>
      </c>
      <c r="O7" s="357">
        <f ca="1">'Cash Flow'!M5/'Debt worksheet'!M3</f>
        <v>0.11360041075906517</v>
      </c>
      <c r="P7" s="357">
        <f ca="1">'Cash Flow'!N5/'Debt worksheet'!N3</f>
        <v>0.10907217599956774</v>
      </c>
      <c r="Q7" s="357">
        <f ca="1">'Cash Flow'!O5/'Debt worksheet'!O3</f>
        <v>0.10464210404480816</v>
      </c>
      <c r="R7" s="357">
        <f ca="1">'Cash Flow'!P5/'Debt worksheet'!P3</f>
        <v>0.11182385969171604</v>
      </c>
      <c r="S7" s="357">
        <f ca="1">'Cash Flow'!Q5/'Debt worksheet'!Q3</f>
        <v>0.10951082148527154</v>
      </c>
      <c r="T7" s="357">
        <f ca="1">'Cash Flow'!R5/'Debt worksheet'!R3</f>
        <v>0.10874551822579372</v>
      </c>
      <c r="U7" s="357">
        <f ca="1">'Cash Flow'!S5/'Debt worksheet'!S3</f>
        <v>0.10752599531174352</v>
      </c>
      <c r="V7" s="357">
        <f ca="1">'Cash Flow'!T5/'Debt worksheet'!T3</f>
        <v>0.10744452700367657</v>
      </c>
      <c r="W7" s="357">
        <f ca="1">'Cash Flow'!U5/'Debt worksheet'!U3</f>
        <v>0.10649212111780217</v>
      </c>
      <c r="X7" s="357">
        <f ca="1">'Cash Flow'!V5/'Debt worksheet'!V3</f>
        <v>0.10628785795884726</v>
      </c>
      <c r="Y7" s="357">
        <f ca="1">'Cash Flow'!W5/'Debt worksheet'!W3</f>
        <v>0.10569594579463801</v>
      </c>
      <c r="Z7" s="357">
        <f ca="1">'Cash Flow'!X5/'Debt worksheet'!X3</f>
        <v>0.10534770526364715</v>
      </c>
      <c r="AA7" s="357">
        <f ca="1">'Cash Flow'!Y5/'Debt worksheet'!Y3</f>
        <v>0.10523867267863476</v>
      </c>
      <c r="AB7" s="357">
        <f ca="1">'Cash Flow'!Z5/'Debt worksheet'!Z3</f>
        <v>0.10924295134488375</v>
      </c>
      <c r="AC7" s="357">
        <f ca="1">'Cash Flow'!AA5/'Debt worksheet'!AA3</f>
        <v>0.10849598375092903</v>
      </c>
      <c r="AD7" s="357">
        <f ca="1">'Cash Flow'!AB5/'Debt worksheet'!AB3</f>
        <v>0.10859834980090544</v>
      </c>
      <c r="AE7" s="357">
        <f ca="1">'Cash Flow'!AC5/'Debt worksheet'!AC3</f>
        <v>0.10767641271352717</v>
      </c>
      <c r="AF7" s="357">
        <f ca="1">'Cash Flow'!AD5/'Debt worksheet'!AD3</f>
        <v>0.10727871637839599</v>
      </c>
      <c r="AG7" s="357">
        <f ca="1">'Cash Flow'!AE5/'Debt worksheet'!AE3</f>
        <v>0.10738117778132729</v>
      </c>
      <c r="AH7" s="357">
        <f ca="1">'Cash Flow'!AF5/'Debt worksheet'!AF3</f>
        <v>0.10616873695655063</v>
      </c>
      <c r="AI7" s="357">
        <f ca="1">'Cash Flow'!AG5/'Debt worksheet'!AG3</f>
        <v>0.10519142949703154</v>
      </c>
      <c r="AJ7" s="357">
        <f ca="1">'Cash Flow'!AH5/'Debt worksheet'!AH3</f>
        <v>0.10267021438793782</v>
      </c>
      <c r="AK7" s="357">
        <f ca="1">'Cash Flow'!AI5/'Debt worksheet'!AI3</f>
        <v>0.10016436209116439</v>
      </c>
      <c r="AL7" s="358">
        <f ca="1">'Cash Flow'!AJ5/'Debt worksheet'!AJ3</f>
        <v>9.9111476994831069E-2</v>
      </c>
      <c r="AM7" s="358">
        <f ca="1">'Cash Flow'!AK5/'Debt worksheet'!AK3</f>
        <v>0.1051378687410096</v>
      </c>
      <c r="AN7" s="358">
        <f ca="1">'Cash Flow'!AL5/'Debt worksheet'!AL3</f>
        <v>0.11178121552458636</v>
      </c>
      <c r="AO7" s="358">
        <f ca="1">'Cash Flow'!AM5/'Debt worksheet'!AM3</f>
        <v>0.11914144810765896</v>
      </c>
      <c r="AP7" s="358">
        <f ca="1">'Cash Flow'!AN5/'Debt worksheet'!AN3</f>
        <v>0.12734129722550683</v>
      </c>
      <c r="AQ7" s="358">
        <f ca="1">'Cash Flow'!AO5/'Debt worksheet'!AO3</f>
        <v>0.13653318916073992</v>
      </c>
      <c r="AR7" s="359">
        <f ca="1">'Cash Flow'!AP5/'Debt worksheet'!AP3</f>
        <v>0.14690880499689676</v>
      </c>
      <c r="AS7" s="360"/>
    </row>
    <row r="8" spans="1:45" ht="21" x14ac:dyDescent="0.5">
      <c r="A8" s="352" t="s">
        <v>436</v>
      </c>
      <c r="B8" s="353">
        <f ca="1">MAX('Price and Financial Ratios'!H8:AK8)</f>
        <v>0.72460295071069492</v>
      </c>
      <c r="C8" s="353"/>
      <c r="D8" s="353"/>
      <c r="E8" s="354"/>
      <c r="F8" s="355"/>
      <c r="G8" s="356"/>
      <c r="H8" s="356"/>
      <c r="I8" s="358">
        <f ca="1">'Balance Sheet'!F9/'Balance Sheet'!F6</f>
        <v>0.35327258457901783</v>
      </c>
      <c r="J8" s="358">
        <f ca="1">'Balance Sheet'!G9/'Balance Sheet'!G6</f>
        <v>0.37981662780925751</v>
      </c>
      <c r="K8" s="358">
        <f ca="1">'Balance Sheet'!H9/'Balance Sheet'!H6</f>
        <v>0.40232738215329844</v>
      </c>
      <c r="L8" s="358">
        <f ca="1">'Balance Sheet'!I9/'Balance Sheet'!I6</f>
        <v>0.42204675649790113</v>
      </c>
      <c r="M8" s="358">
        <f ca="1">'Balance Sheet'!J9/'Balance Sheet'!J6</f>
        <v>0.43451108660263077</v>
      </c>
      <c r="N8" s="358">
        <f ca="1">'Balance Sheet'!K9/'Balance Sheet'!K6</f>
        <v>0.44547806316540867</v>
      </c>
      <c r="O8" s="358">
        <f ca="1">'Balance Sheet'!L9/'Balance Sheet'!L6</f>
        <v>0.4567332405210433</v>
      </c>
      <c r="P8" s="358">
        <f ca="1">'Balance Sheet'!M9/'Balance Sheet'!M6</f>
        <v>0.46890123053001942</v>
      </c>
      <c r="Q8" s="358">
        <f ca="1">'Balance Sheet'!N9/'Balance Sheet'!N6</f>
        <v>0.4820132874871691</v>
      </c>
      <c r="R8" s="358">
        <f ca="1">'Balance Sheet'!O9/'Balance Sheet'!O6</f>
        <v>0.52373563458296846</v>
      </c>
      <c r="S8" s="358">
        <f ca="1">'Balance Sheet'!P9/'Balance Sheet'!P6</f>
        <v>0.54453653053668571</v>
      </c>
      <c r="T8" s="358">
        <f ca="1">'Balance Sheet'!Q9/'Balance Sheet'!Q6</f>
        <v>0.56172214426887934</v>
      </c>
      <c r="U8" s="358">
        <f ca="1">'Balance Sheet'!R9/'Balance Sheet'!R6</f>
        <v>0.57618203874152774</v>
      </c>
      <c r="V8" s="358">
        <f ca="1">'Balance Sheet'!S9/'Balance Sheet'!S6</f>
        <v>0.58795725266491927</v>
      </c>
      <c r="W8" s="358">
        <f ca="1">'Balance Sheet'!T9/'Balance Sheet'!T6</f>
        <v>0.59812891625251419</v>
      </c>
      <c r="X8" s="358">
        <f ca="1">'Balance Sheet'!U9/'Balance Sheet'!U6</f>
        <v>0.60668826786351571</v>
      </c>
      <c r="Y8" s="358">
        <f ca="1">'Balance Sheet'!V9/'Balance Sheet'!V6</f>
        <v>0.6156008790648565</v>
      </c>
      <c r="Z8" s="358">
        <f ca="1">'Balance Sheet'!W9/'Balance Sheet'!W6</f>
        <v>0.62403284717976748</v>
      </c>
      <c r="AA8" s="358">
        <f ca="1">'Balance Sheet'!X9/'Balance Sheet'!X6</f>
        <v>0.63195692784022783</v>
      </c>
      <c r="AB8" s="358">
        <f ca="1">'Balance Sheet'!Y9/'Balance Sheet'!Y6</f>
        <v>0.66015435354008722</v>
      </c>
      <c r="AC8" s="358">
        <f ca="1">'Balance Sheet'!Z9/'Balance Sheet'!Z6</f>
        <v>0.67145431945135181</v>
      </c>
      <c r="AD8" s="358">
        <f ca="1">'Balance Sheet'!AA9/'Balance Sheet'!AA6</f>
        <v>0.68043678294892285</v>
      </c>
      <c r="AE8" s="358">
        <f ca="1">'Balance Sheet'!AB9/'Balance Sheet'!AB6</f>
        <v>0.68826116886498667</v>
      </c>
      <c r="AF8" s="358">
        <f ca="1">'Balance Sheet'!AC9/'Balance Sheet'!AC6</f>
        <v>0.69490023874763795</v>
      </c>
      <c r="AG8" s="358">
        <f ca="1">'Balance Sheet'!AD9/'Balance Sheet'!AD6</f>
        <v>0.70031666129427439</v>
      </c>
      <c r="AH8" s="358">
        <f ca="1">'Balance Sheet'!AE9/'Balance Sheet'!AE6</f>
        <v>0.7056731886130152</v>
      </c>
      <c r="AI8" s="358">
        <f ca="1">'Balance Sheet'!AF9/'Balance Sheet'!AF6</f>
        <v>0.71092856118366043</v>
      </c>
      <c r="AJ8" s="358">
        <f ca="1">'Balance Sheet'!AG9/'Balance Sheet'!AG6</f>
        <v>0.71725213126553522</v>
      </c>
      <c r="AK8" s="358">
        <f ca="1">'Balance Sheet'!AH9/'Balance Sheet'!AH6</f>
        <v>0.72460295071069492</v>
      </c>
      <c r="AL8" s="358">
        <f ca="1">'Balance Sheet'!AI9/'Balance Sheet'!AI6</f>
        <v>0.68273803269449873</v>
      </c>
      <c r="AM8" s="358">
        <f ca="1">'Balance Sheet'!AJ9/'Balance Sheet'!AJ6</f>
        <v>0.67312661529911044</v>
      </c>
      <c r="AN8" s="358">
        <f ca="1">'Balance Sheet'!AK9/'Balance Sheet'!AK6</f>
        <v>0.6623254091137275</v>
      </c>
      <c r="AO8" s="358">
        <f ca="1">'Balance Sheet'!AL9/'Balance Sheet'!AL6</f>
        <v>0.65023237735053407</v>
      </c>
      <c r="AP8" s="358">
        <f ca="1">'Balance Sheet'!AM9/'Balance Sheet'!AM6</f>
        <v>0.63673383791022864</v>
      </c>
      <c r="AQ8" s="358">
        <f ca="1">'Balance Sheet'!AN9/'Balance Sheet'!AN6</f>
        <v>0.62170273847400914</v>
      </c>
      <c r="AR8" s="359">
        <f ca="1">'Balance Sheet'!AO9/'Balance Sheet'!AO6</f>
        <v>0.60499661666760085</v>
      </c>
      <c r="AS8" s="360"/>
    </row>
    <row r="9" spans="1:45" ht="21.5" thickBot="1" x14ac:dyDescent="0.55000000000000004">
      <c r="A9" s="361" t="s">
        <v>437</v>
      </c>
      <c r="B9" s="362">
        <f ca="1">MIN('Price and Financial Ratios'!H9:AK9)</f>
        <v>2.6780956800545037</v>
      </c>
      <c r="C9" s="362"/>
      <c r="D9" s="362"/>
      <c r="E9" s="363"/>
      <c r="F9" s="364"/>
      <c r="G9" s="364"/>
      <c r="H9" s="364"/>
      <c r="I9" s="362">
        <f ca="1">('Cash Flow'!G5+'Profit and Loss'!G6)/('Profit and Loss'!G6)</f>
        <v>2.7009146029580808</v>
      </c>
      <c r="J9" s="362">
        <f ca="1">('Cash Flow'!H5+'Profit and Loss'!H6)/('Profit and Loss'!H6)</f>
        <v>2.6780956800545037</v>
      </c>
      <c r="K9" s="362">
        <f ca="1">('Cash Flow'!I5+'Profit and Loss'!I6)/('Profit and Loss'!I6)</f>
        <v>2.7152124973559069</v>
      </c>
      <c r="L9" s="362">
        <f ca="1">('Cash Flow'!J5+'Profit and Loss'!J6)/('Profit and Loss'!J6)</f>
        <v>2.7246255687001444</v>
      </c>
      <c r="M9" s="362">
        <f ca="1">('Cash Flow'!K5+'Profit and Loss'!K6)/('Profit and Loss'!K6)</f>
        <v>2.947791530571128</v>
      </c>
      <c r="N9" s="362">
        <f ca="1">('Cash Flow'!L5+'Profit and Loss'!L6)/('Profit and Loss'!L6)</f>
        <v>2.9557536308848973</v>
      </c>
      <c r="O9" s="362">
        <f ca="1">('Cash Flow'!M5+'Profit and Loss'!M6)/('Profit and Loss'!M6)</f>
        <v>2.9338681958210575</v>
      </c>
      <c r="P9" s="362">
        <f ca="1">('Cash Flow'!N5+'Profit and Loss'!N6)/('Profit and Loss'!N6)</f>
        <v>2.8735133156496011</v>
      </c>
      <c r="Q9" s="362">
        <f ca="1">('Cash Flow'!O5+'Profit and Loss'!O6)/('Profit and Loss'!O6)</f>
        <v>2.8132509212337378</v>
      </c>
      <c r="R9" s="362">
        <f ca="1">('Cash Flow'!P5+'Profit and Loss'!P6)/('Profit and Loss'!P6)</f>
        <v>2.8733966895646632</v>
      </c>
      <c r="S9" s="362">
        <f ca="1">('Cash Flow'!Q5+'Profit and Loss'!Q6)/('Profit and Loss'!Q6)</f>
        <v>2.8903270752615606</v>
      </c>
      <c r="T9" s="362">
        <f ca="1">('Cash Flow'!R5+'Profit and Loss'!R6)/('Profit and Loss'!R6)</f>
        <v>2.9227534702344578</v>
      </c>
      <c r="U9" s="362">
        <f ca="1">('Cash Flow'!S5+'Profit and Loss'!S6)/('Profit and Loss'!S6)</f>
        <v>2.9376411495141332</v>
      </c>
      <c r="V9" s="362">
        <f ca="1">('Cash Flow'!T5+'Profit and Loss'!T6)/('Profit and Loss'!T6)</f>
        <v>2.9684800225088832</v>
      </c>
      <c r="W9" s="362">
        <f ca="1">('Cash Flow'!U5+'Profit and Loss'!U6)/('Profit and Loss'!U6)</f>
        <v>2.9766418438998117</v>
      </c>
      <c r="X9" s="362">
        <f ca="1">('Cash Flow'!V5+'Profit and Loss'!V6)/('Profit and Loss'!V6)</f>
        <v>2.9960419449975428</v>
      </c>
      <c r="Y9" s="362">
        <f ca="1">('Cash Flow'!W5+'Profit and Loss'!W6)/('Profit and Loss'!W6)</f>
        <v>3.000461855620562</v>
      </c>
      <c r="Z9" s="362">
        <f ca="1">('Cash Flow'!X5+'Profit and Loss'!X6)/('Profit and Loss'!X6)</f>
        <v>3.0085482094948657</v>
      </c>
      <c r="AA9" s="362">
        <f ca="1">('Cash Flow'!Y5+'Profit and Loss'!Y6)/('Profit and Loss'!Y6)</f>
        <v>3.0203836862921274</v>
      </c>
      <c r="AB9" s="362">
        <f ca="1">('Cash Flow'!Z5+'Profit and Loss'!Z6)/('Profit and Loss'!Z6)</f>
        <v>3.0540482452607538</v>
      </c>
      <c r="AC9" s="362">
        <f ca="1">('Cash Flow'!AA5+'Profit and Loss'!AA6)/('Profit and Loss'!AA6)</f>
        <v>3.0680685322053654</v>
      </c>
      <c r="AD9" s="362">
        <f ca="1">('Cash Flow'!AB5+'Profit and Loss'!AB6)/('Profit and Loss'!AB6)</f>
        <v>3.0955857492696519</v>
      </c>
      <c r="AE9" s="362">
        <f ca="1">('Cash Flow'!AC5+'Profit and Loss'!AC6)/('Profit and Loss'!AC6)</f>
        <v>3.0978277944993842</v>
      </c>
      <c r="AF9" s="362">
        <f ca="1">('Cash Flow'!AD5+'Profit and Loss'!AD6)/('Profit and Loss'!AD6)</f>
        <v>3.1085935432322276</v>
      </c>
      <c r="AG9" s="362">
        <f ca="1">('Cash Flow'!AE5+'Profit and Loss'!AE6)/('Profit and Loss'!AE6)</f>
        <v>3.1278760453548786</v>
      </c>
      <c r="AH9" s="362">
        <f ca="1">('Cash Flow'!AF5+'Profit and Loss'!AF6)/('Profit and Loss'!AF6)</f>
        <v>3.1165592108400881</v>
      </c>
      <c r="AI9" s="362">
        <f ca="1">('Cash Flow'!AG5+'Profit and Loss'!AG6)/('Profit and Loss'!AG6)</f>
        <v>3.1090207000610053</v>
      </c>
      <c r="AJ9" s="362">
        <f ca="1">('Cash Flow'!AH5+'Profit and Loss'!AH6)/('Profit and Loss'!AH6)</f>
        <v>3.0663783366389108</v>
      </c>
      <c r="AK9" s="362">
        <f ca="1">('Cash Flow'!AI5+'Profit and Loss'!AI6)/('Profit and Loss'!AI6)</f>
        <v>3.0234695268842833</v>
      </c>
      <c r="AL9" s="362">
        <f ca="1">('Cash Flow'!AJ5+'Profit and Loss'!AJ6)/('Profit and Loss'!AJ6)</f>
        <v>3.1427259473698648</v>
      </c>
      <c r="AM9" s="362">
        <f ca="1">('Cash Flow'!AK5+'Profit and Loss'!AK6)/('Profit and Loss'!AK6)</f>
        <v>3.2735268454997519</v>
      </c>
      <c r="AN9" s="362">
        <f ca="1">('Cash Flow'!AL5+'Profit and Loss'!AL6)/('Profit and Loss'!AL6)</f>
        <v>3.4176343195504244</v>
      </c>
      <c r="AO9" s="362">
        <f ca="1">('Cash Flow'!AM5+'Profit and Loss'!AM6)/('Profit and Loss'!AM6)</f>
        <v>3.5771881600092046</v>
      </c>
      <c r="AP9" s="362">
        <f ca="1">('Cash Flow'!AN5+'Profit and Loss'!AN6)/('Profit and Loss'!AN6)</f>
        <v>3.7548127648110423</v>
      </c>
      <c r="AQ9" s="362">
        <f ca="1">('Cash Flow'!AO5+'Profit and Loss'!AO6)/('Profit and Loss'!AO6)</f>
        <v>3.9537625519309967</v>
      </c>
      <c r="AR9" s="365">
        <f ca="1">('Cash Flow'!AP5+'Profit and Loss'!AP6)/('Profit and Loss'!AP6)</f>
        <v>4.1781230740227731</v>
      </c>
      <c r="AS9" s="366"/>
    </row>
    <row r="10" spans="1:45" x14ac:dyDescent="0.35">
      <c r="D10" s="367"/>
    </row>
    <row r="11" spans="1:45" x14ac:dyDescent="0.35">
      <c r="C11" s="310"/>
      <c r="D11" s="310"/>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row>
    <row r="12" spans="1:45" ht="21" x14ac:dyDescent="0.5">
      <c r="A12" s="369"/>
      <c r="D12" s="367"/>
      <c r="E12" s="370"/>
      <c r="F12" s="370"/>
      <c r="G12" s="370"/>
      <c r="H12" s="370"/>
      <c r="I12" s="371">
        <f>(1+I4)</f>
        <v>1.08</v>
      </c>
      <c r="J12" s="371">
        <f t="shared" ref="J12:AI12" si="1">(1+J4)</f>
        <v>1.03</v>
      </c>
      <c r="K12" s="371">
        <f t="shared" si="1"/>
        <v>1.02</v>
      </c>
      <c r="L12" s="371">
        <f t="shared" si="1"/>
        <v>1.01</v>
      </c>
      <c r="M12" s="371">
        <f t="shared" si="1"/>
        <v>1</v>
      </c>
      <c r="N12" s="371">
        <f t="shared" si="1"/>
        <v>1</v>
      </c>
      <c r="O12" s="371">
        <f t="shared" si="1"/>
        <v>1</v>
      </c>
      <c r="P12" s="371">
        <f t="shared" si="1"/>
        <v>0.99</v>
      </c>
      <c r="Q12" s="371">
        <f t="shared" si="1"/>
        <v>0.99</v>
      </c>
      <c r="R12" s="371">
        <f t="shared" si="1"/>
        <v>1.06</v>
      </c>
      <c r="S12" s="371">
        <f t="shared" si="1"/>
        <v>1.04</v>
      </c>
      <c r="T12" s="371">
        <f t="shared" si="1"/>
        <v>1.04</v>
      </c>
      <c r="U12" s="371">
        <f t="shared" si="1"/>
        <v>1.03</v>
      </c>
      <c r="V12" s="371">
        <f t="shared" si="1"/>
        <v>1.03</v>
      </c>
      <c r="W12" s="371">
        <f t="shared" si="1"/>
        <v>1.02</v>
      </c>
      <c r="X12" s="371">
        <f t="shared" si="1"/>
        <v>1.02</v>
      </c>
      <c r="Y12" s="371">
        <f t="shared" si="1"/>
        <v>1.02</v>
      </c>
      <c r="Z12" s="371">
        <f t="shared" si="1"/>
        <v>1.02</v>
      </c>
      <c r="AA12" s="371">
        <f t="shared" si="1"/>
        <v>1.02</v>
      </c>
      <c r="AB12" s="371">
        <f t="shared" si="1"/>
        <v>1.05</v>
      </c>
      <c r="AC12" s="371">
        <f t="shared" si="1"/>
        <v>1.04</v>
      </c>
      <c r="AD12" s="371">
        <f t="shared" si="1"/>
        <v>1.04</v>
      </c>
      <c r="AE12" s="371">
        <f t="shared" si="1"/>
        <v>1.03</v>
      </c>
      <c r="AF12" s="371">
        <f t="shared" si="1"/>
        <v>1.03</v>
      </c>
      <c r="AG12" s="371">
        <f t="shared" si="1"/>
        <v>1.03</v>
      </c>
      <c r="AH12" s="371">
        <f t="shared" si="1"/>
        <v>1.02</v>
      </c>
      <c r="AI12" s="371">
        <f t="shared" si="1"/>
        <v>1.02</v>
      </c>
      <c r="AJ12" s="371">
        <f>(1+AJ4)</f>
        <v>1.01</v>
      </c>
      <c r="AK12" s="371">
        <f>(1+AK4)</f>
        <v>1.01</v>
      </c>
    </row>
    <row r="13" spans="1:45" x14ac:dyDescent="0.35">
      <c r="D13" s="367"/>
      <c r="E13" s="372"/>
    </row>
    <row r="14" spans="1:45" x14ac:dyDescent="0.35">
      <c r="C14" s="310"/>
      <c r="D14" s="310"/>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4"/>
      <c r="AG14" s="374"/>
      <c r="AH14" s="374"/>
      <c r="AI14" s="374"/>
      <c r="AJ14" s="374"/>
      <c r="AK14" s="374"/>
    </row>
    <row r="15" spans="1:45" x14ac:dyDescent="0.35">
      <c r="C15" s="310"/>
      <c r="D15" s="310"/>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row>
    <row r="16" spans="1:45" x14ac:dyDescent="0.35">
      <c r="E16" s="372"/>
    </row>
    <row r="17" spans="5:14" x14ac:dyDescent="0.35">
      <c r="E17" s="372"/>
    </row>
    <row r="18" spans="5:14" x14ac:dyDescent="0.35">
      <c r="E18" s="372"/>
    </row>
    <row r="19" spans="5:14" x14ac:dyDescent="0.35">
      <c r="E19" s="372"/>
    </row>
    <row r="20" spans="5:14" ht="16" thickBot="1" x14ac:dyDescent="0.4">
      <c r="N20" s="312"/>
    </row>
    <row r="21" spans="5:14" x14ac:dyDescent="0.35">
      <c r="G21" s="375" t="s">
        <v>438</v>
      </c>
      <c r="H21" s="376"/>
      <c r="I21" s="376"/>
      <c r="J21" s="377"/>
    </row>
    <row r="22" spans="5:14" x14ac:dyDescent="0.35">
      <c r="G22" s="378"/>
      <c r="H22" s="379"/>
      <c r="I22" s="379"/>
      <c r="J22" s="380"/>
    </row>
    <row r="23" spans="5:14" x14ac:dyDescent="0.35">
      <c r="G23" s="378" t="s">
        <v>359</v>
      </c>
      <c r="H23" s="381" t="s">
        <v>439</v>
      </c>
      <c r="I23" s="379"/>
      <c r="J23" s="382" t="s">
        <v>440</v>
      </c>
    </row>
    <row r="24" spans="5:14" x14ac:dyDescent="0.35">
      <c r="G24" s="383" t="s">
        <v>441</v>
      </c>
      <c r="H24" s="384">
        <v>0.1</v>
      </c>
      <c r="I24" s="384" t="str">
        <f>IF($J$24&gt;=800000,"YES","")</f>
        <v>YES</v>
      </c>
      <c r="J24" s="385">
        <f>Assumptions!B43</f>
        <v>1725853.0649999999</v>
      </c>
    </row>
    <row r="25" spans="5:14" x14ac:dyDescent="0.35">
      <c r="G25" s="383" t="s">
        <v>442</v>
      </c>
      <c r="H25" s="384">
        <v>0.12</v>
      </c>
      <c r="I25" s="384" t="str">
        <f>IF(AND($J$24&gt;=500000,$J$24&lt;800000),"YES","")</f>
        <v/>
      </c>
      <c r="J25" s="380"/>
    </row>
    <row r="26" spans="5:14" x14ac:dyDescent="0.35">
      <c r="G26" s="383" t="s">
        <v>443</v>
      </c>
      <c r="H26" s="384">
        <v>0.14499999999999999</v>
      </c>
      <c r="I26" s="384" t="str">
        <f>IF(AND($J$24&gt;=200000,$J$24&lt;500000),"YES","")</f>
        <v/>
      </c>
      <c r="J26" s="380"/>
    </row>
    <row r="27" spans="5:14" x14ac:dyDescent="0.35">
      <c r="G27" s="383" t="s">
        <v>444</v>
      </c>
      <c r="H27" s="384">
        <v>0.17</v>
      </c>
      <c r="I27" s="384" t="str">
        <f>IF(AND($J$24&gt;=100000,$J$24&lt;200000),"YES","")</f>
        <v/>
      </c>
      <c r="J27" s="380"/>
    </row>
    <row r="28" spans="5:14" x14ac:dyDescent="0.35">
      <c r="G28" s="383" t="s">
        <v>445</v>
      </c>
      <c r="H28" s="384">
        <v>0.22</v>
      </c>
      <c r="I28" s="384" t="str">
        <f>IF($J$24&lt;100000,"YES","")</f>
        <v/>
      </c>
      <c r="J28" s="380"/>
    </row>
    <row r="29" spans="5:14" ht="16" thickBot="1" x14ac:dyDescent="0.4">
      <c r="G29" s="386"/>
      <c r="H29" s="387"/>
      <c r="I29" s="387"/>
      <c r="J29" s="388"/>
    </row>
    <row r="42" spans="4:37" x14ac:dyDescent="0.35">
      <c r="E42" s="389"/>
      <c r="F42" s="389"/>
      <c r="G42" s="389"/>
      <c r="H42" s="389"/>
      <c r="I42" s="389"/>
    </row>
    <row r="45" spans="4:37" x14ac:dyDescent="0.35">
      <c r="D45" s="390"/>
    </row>
    <row r="46" spans="4:37" x14ac:dyDescent="0.35">
      <c r="D46" s="391"/>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row>
    <row r="47" spans="4:37" x14ac:dyDescent="0.35">
      <c r="D47" s="391"/>
      <c r="E47" s="393"/>
      <c r="F47" s="393"/>
      <c r="G47" s="393"/>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row>
    <row r="48" spans="4:37" x14ac:dyDescent="0.35">
      <c r="D48" s="390"/>
    </row>
    <row r="72" spans="4:4" x14ac:dyDescent="0.35">
      <c r="D72" s="395"/>
    </row>
  </sheetData>
  <sheetProtection algorithmName="SHA-512" hashValue="gY7t3BM3KYZFFQJId8sAxOyFAzpCKvsk9AbLMB/DD8RXHfx+qUdmdxFQwHe7PN+gwZi0X7UG0/Rx7aR0Hmwomw==" saltValue="m1IqZ+F9VC2Nh5aNj+cvlA==" spinCount="100000" sheet="1" objects="1" scenarios="1"/>
  <phoneticPr fontId="16"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Assumptions!$B$5=30</xm:f>
            <x14:dxf>
              <fill>
                <patternFill>
                  <bgColor theme="1"/>
                </patternFill>
              </fill>
            </x14:dxf>
          </x14:cfRule>
          <xm:sqref>AL3:AS9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dimension ref="A1:AP30"/>
  <sheetViews>
    <sheetView zoomScaleNormal="100" workbookViewId="0">
      <selection sqref="A1:XFD1048576"/>
    </sheetView>
  </sheetViews>
  <sheetFormatPr defaultColWidth="8.83203125" defaultRowHeight="15.5" x14ac:dyDescent="0.35"/>
  <cols>
    <col min="1" max="1" width="69.58203125" style="305" bestFit="1" customWidth="1"/>
    <col min="2" max="2" width="15.83203125" style="305" customWidth="1"/>
    <col min="3" max="3" width="16" style="305" hidden="1" customWidth="1"/>
    <col min="4" max="5" width="15.5" style="305" hidden="1" customWidth="1"/>
    <col min="6" max="32" width="15.5" style="305" bestFit="1" customWidth="1"/>
    <col min="33" max="42" width="15.08203125" style="305" bestFit="1" customWidth="1"/>
    <col min="43" max="16384" width="8.83203125" style="305"/>
  </cols>
  <sheetData>
    <row r="1" spans="1:42" x14ac:dyDescent="0.35">
      <c r="C1" s="305">
        <v>2022</v>
      </c>
      <c r="D1" s="305">
        <f>C1+1</f>
        <v>2023</v>
      </c>
      <c r="E1" s="305">
        <f t="shared" ref="E1:AO1" si="0">D1+1</f>
        <v>2024</v>
      </c>
      <c r="F1" s="305">
        <f t="shared" si="0"/>
        <v>2025</v>
      </c>
      <c r="G1" s="305">
        <f t="shared" si="0"/>
        <v>2026</v>
      </c>
      <c r="H1" s="305">
        <f t="shared" si="0"/>
        <v>2027</v>
      </c>
      <c r="I1" s="305">
        <f t="shared" si="0"/>
        <v>2028</v>
      </c>
      <c r="J1" s="305">
        <f t="shared" si="0"/>
        <v>2029</v>
      </c>
      <c r="K1" s="305">
        <f t="shared" si="0"/>
        <v>2030</v>
      </c>
      <c r="L1" s="305">
        <f t="shared" si="0"/>
        <v>2031</v>
      </c>
      <c r="M1" s="305">
        <f t="shared" si="0"/>
        <v>2032</v>
      </c>
      <c r="N1" s="305">
        <f t="shared" si="0"/>
        <v>2033</v>
      </c>
      <c r="O1" s="305">
        <f t="shared" si="0"/>
        <v>2034</v>
      </c>
      <c r="P1" s="305">
        <f t="shared" si="0"/>
        <v>2035</v>
      </c>
      <c r="Q1" s="305">
        <f t="shared" si="0"/>
        <v>2036</v>
      </c>
      <c r="R1" s="305">
        <f t="shared" si="0"/>
        <v>2037</v>
      </c>
      <c r="S1" s="305">
        <f t="shared" si="0"/>
        <v>2038</v>
      </c>
      <c r="T1" s="305">
        <f t="shared" si="0"/>
        <v>2039</v>
      </c>
      <c r="U1" s="305">
        <f t="shared" si="0"/>
        <v>2040</v>
      </c>
      <c r="V1" s="305">
        <f t="shared" si="0"/>
        <v>2041</v>
      </c>
      <c r="W1" s="305">
        <f t="shared" si="0"/>
        <v>2042</v>
      </c>
      <c r="X1" s="305">
        <f t="shared" si="0"/>
        <v>2043</v>
      </c>
      <c r="Y1" s="305">
        <f t="shared" si="0"/>
        <v>2044</v>
      </c>
      <c r="Z1" s="305">
        <f t="shared" si="0"/>
        <v>2045</v>
      </c>
      <c r="AA1" s="305">
        <f t="shared" si="0"/>
        <v>2046</v>
      </c>
      <c r="AB1" s="305">
        <f t="shared" si="0"/>
        <v>2047</v>
      </c>
      <c r="AC1" s="305">
        <f t="shared" si="0"/>
        <v>2048</v>
      </c>
      <c r="AD1" s="305">
        <f t="shared" si="0"/>
        <v>2049</v>
      </c>
      <c r="AE1" s="305">
        <f t="shared" si="0"/>
        <v>2050</v>
      </c>
      <c r="AF1" s="305">
        <f t="shared" si="0"/>
        <v>2051</v>
      </c>
      <c r="AG1" s="305">
        <f t="shared" si="0"/>
        <v>2052</v>
      </c>
      <c r="AH1" s="305">
        <f t="shared" si="0"/>
        <v>2053</v>
      </c>
      <c r="AI1" s="305">
        <f t="shared" si="0"/>
        <v>2054</v>
      </c>
      <c r="AJ1" s="305">
        <f t="shared" si="0"/>
        <v>2055</v>
      </c>
      <c r="AK1" s="305">
        <f t="shared" si="0"/>
        <v>2056</v>
      </c>
      <c r="AL1" s="305">
        <f t="shared" si="0"/>
        <v>2057</v>
      </c>
      <c r="AM1" s="305">
        <f t="shared" si="0"/>
        <v>2058</v>
      </c>
      <c r="AN1" s="305">
        <f>AM1+1</f>
        <v>2059</v>
      </c>
      <c r="AO1" s="305">
        <f t="shared" si="0"/>
        <v>2060</v>
      </c>
      <c r="AP1" s="305">
        <f>AO1+1</f>
        <v>2061</v>
      </c>
    </row>
    <row r="3" spans="1:42" x14ac:dyDescent="0.35">
      <c r="A3" s="310" t="s">
        <v>446</v>
      </c>
      <c r="C3" s="306"/>
      <c r="D3" s="306"/>
      <c r="E3" s="306"/>
      <c r="F3" s="307">
        <f>Assumptions!F277</f>
        <v>596764398.9708004</v>
      </c>
      <c r="G3" s="307">
        <f>Assumptions!G277</f>
        <v>596764398.9708004</v>
      </c>
      <c r="H3" s="307">
        <f>Assumptions!H277</f>
        <v>596764398.9708004</v>
      </c>
      <c r="I3" s="307">
        <f>Assumptions!I277</f>
        <v>596764398.9708004</v>
      </c>
      <c r="J3" s="307">
        <f>Assumptions!J277</f>
        <v>596764398.9708004</v>
      </c>
      <c r="K3" s="307">
        <f>Assumptions!K277</f>
        <v>596764398.9708004</v>
      </c>
      <c r="L3" s="307">
        <f>Assumptions!L277</f>
        <v>596764398.9708004</v>
      </c>
      <c r="M3" s="307">
        <f>Assumptions!M277</f>
        <v>596764398.9708004</v>
      </c>
      <c r="N3" s="307">
        <f>Assumptions!N277</f>
        <v>596764398.9708004</v>
      </c>
      <c r="O3" s="307">
        <f>Assumptions!O277</f>
        <v>596764398.9708004</v>
      </c>
      <c r="P3" s="307">
        <f>Assumptions!P277</f>
        <v>596764398.9708004</v>
      </c>
      <c r="Q3" s="307">
        <f>Assumptions!Q277</f>
        <v>596764398.9708004</v>
      </c>
      <c r="R3" s="307">
        <f>Assumptions!R277</f>
        <v>596764398.9708004</v>
      </c>
      <c r="S3" s="307">
        <f>Assumptions!S277</f>
        <v>596764398.9708004</v>
      </c>
      <c r="T3" s="307">
        <f>Assumptions!T277</f>
        <v>596764398.9708004</v>
      </c>
      <c r="U3" s="307">
        <f>Assumptions!U277</f>
        <v>596764398.9708004</v>
      </c>
      <c r="V3" s="307">
        <f>Assumptions!V277</f>
        <v>596764398.9708004</v>
      </c>
      <c r="W3" s="307">
        <f>Assumptions!W277</f>
        <v>596764398.9708004</v>
      </c>
      <c r="X3" s="307">
        <f>Assumptions!X277</f>
        <v>596764398.9708004</v>
      </c>
      <c r="Y3" s="307">
        <f>Assumptions!Y277</f>
        <v>596764398.9708004</v>
      </c>
      <c r="Z3" s="307">
        <f>Assumptions!Z277</f>
        <v>596764398.9708004</v>
      </c>
      <c r="AA3" s="307">
        <f>Assumptions!AA277</f>
        <v>596764398.9708004</v>
      </c>
      <c r="AB3" s="307">
        <f>Assumptions!AB277</f>
        <v>596764398.9708004</v>
      </c>
      <c r="AC3" s="307">
        <f>Assumptions!AC277</f>
        <v>596764398.9708004</v>
      </c>
      <c r="AD3" s="307">
        <f>Assumptions!AD277</f>
        <v>596764398.9708004</v>
      </c>
      <c r="AE3" s="307">
        <f>Assumptions!AE277</f>
        <v>596764398.9708004</v>
      </c>
      <c r="AF3" s="307">
        <f>Assumptions!AF277</f>
        <v>596764398.9708004</v>
      </c>
      <c r="AG3" s="307">
        <f>Assumptions!AG277</f>
        <v>596764398.9708004</v>
      </c>
      <c r="AH3" s="307">
        <f>Assumptions!AH277</f>
        <v>596764398.9708004</v>
      </c>
      <c r="AI3" s="307">
        <f>Assumptions!AI277</f>
        <v>596764398.9708004</v>
      </c>
      <c r="AJ3" s="307">
        <f>Assumptions!AJ277</f>
        <v>596764398.9708004</v>
      </c>
      <c r="AK3" s="307">
        <f>Assumptions!AK277</f>
        <v>596764398.9708004</v>
      </c>
      <c r="AL3" s="307">
        <f>Assumptions!AL277</f>
        <v>596764398.9708004</v>
      </c>
      <c r="AM3" s="307">
        <f>Assumptions!AM277</f>
        <v>596764398.9708004</v>
      </c>
      <c r="AN3" s="307">
        <f>Assumptions!AN277</f>
        <v>596764398.9708004</v>
      </c>
      <c r="AO3" s="307">
        <f>Assumptions!AO277</f>
        <v>596764398.9708004</v>
      </c>
      <c r="AP3" s="307">
        <f>Assumptions!AP277</f>
        <v>596764398.9708004</v>
      </c>
    </row>
    <row r="4" spans="1:42" x14ac:dyDescent="0.35">
      <c r="A4" s="310" t="s">
        <v>447</v>
      </c>
      <c r="C4" s="306"/>
      <c r="D4" s="306"/>
      <c r="E4" s="306"/>
      <c r="F4" s="307">
        <f>Assumptions!F281</f>
        <v>523854065.50677758</v>
      </c>
      <c r="G4" s="307">
        <f>Assumptions!G281</f>
        <v>523854065.50677758</v>
      </c>
      <c r="H4" s="307">
        <f>Assumptions!H281</f>
        <v>523854065.50677758</v>
      </c>
      <c r="I4" s="307">
        <f>Assumptions!I281</f>
        <v>523854065.50677758</v>
      </c>
      <c r="J4" s="307">
        <f>Assumptions!J281</f>
        <v>523854065.50677758</v>
      </c>
      <c r="K4" s="307">
        <f>Assumptions!K281</f>
        <v>523854065.50677758</v>
      </c>
      <c r="L4" s="307">
        <f>Assumptions!L281</f>
        <v>523854065.50677758</v>
      </c>
      <c r="M4" s="307">
        <f>Assumptions!M281</f>
        <v>523854065.50677758</v>
      </c>
      <c r="N4" s="307">
        <f>Assumptions!N281</f>
        <v>523854065.50677758</v>
      </c>
      <c r="O4" s="307">
        <f>Assumptions!O281</f>
        <v>523854065.50677758</v>
      </c>
      <c r="P4" s="307">
        <f>Assumptions!P281</f>
        <v>1309635163.7669439</v>
      </c>
      <c r="Q4" s="307">
        <f>Assumptions!Q281</f>
        <v>1309635163.7669439</v>
      </c>
      <c r="R4" s="307">
        <f>Assumptions!R281</f>
        <v>1309635163.7669439</v>
      </c>
      <c r="S4" s="307">
        <f>Assumptions!S281</f>
        <v>1309635163.7669439</v>
      </c>
      <c r="T4" s="307">
        <f>Assumptions!T281</f>
        <v>1309635163.7669439</v>
      </c>
      <c r="U4" s="307">
        <f>Assumptions!U281</f>
        <v>1309635163.7669439</v>
      </c>
      <c r="V4" s="307">
        <f>Assumptions!V281</f>
        <v>1309635163.7669439</v>
      </c>
      <c r="W4" s="307">
        <f>Assumptions!W281</f>
        <v>1309635163.7669439</v>
      </c>
      <c r="X4" s="307">
        <f>Assumptions!X281</f>
        <v>1309635163.7669439</v>
      </c>
      <c r="Y4" s="307">
        <f>Assumptions!Y281</f>
        <v>1309635163.7669439</v>
      </c>
      <c r="Z4" s="307">
        <f>Assumptions!Z281</f>
        <v>2095416262.0271103</v>
      </c>
      <c r="AA4" s="307">
        <f>Assumptions!AA281</f>
        <v>2095416262.0271103</v>
      </c>
      <c r="AB4" s="307">
        <f>Assumptions!AB281</f>
        <v>2095416262.0271103</v>
      </c>
      <c r="AC4" s="307">
        <f>Assumptions!AC281</f>
        <v>2095416262.0271103</v>
      </c>
      <c r="AD4" s="307">
        <f>Assumptions!AD281</f>
        <v>2095416262.0271103</v>
      </c>
      <c r="AE4" s="307">
        <f>Assumptions!AE281</f>
        <v>2095416262.0271103</v>
      </c>
      <c r="AF4" s="307">
        <f>Assumptions!AF281</f>
        <v>2095416262.0271103</v>
      </c>
      <c r="AG4" s="307">
        <f>Assumptions!AG281</f>
        <v>2095416262.0271103</v>
      </c>
      <c r="AH4" s="307">
        <f>Assumptions!AH281</f>
        <v>2095416262.0271103</v>
      </c>
      <c r="AI4" s="307">
        <f>Assumptions!AI281</f>
        <v>2095416262.0271103</v>
      </c>
      <c r="AJ4" s="307">
        <f>Assumptions!AJ281</f>
        <v>0</v>
      </c>
      <c r="AK4" s="307">
        <f>Assumptions!AK281</f>
        <v>0</v>
      </c>
      <c r="AL4" s="307">
        <f>Assumptions!AL281</f>
        <v>0</v>
      </c>
      <c r="AM4" s="307">
        <f>Assumptions!AM281</f>
        <v>0</v>
      </c>
      <c r="AN4" s="307">
        <f>Assumptions!AN281</f>
        <v>0</v>
      </c>
      <c r="AO4" s="307">
        <f>Assumptions!AO281</f>
        <v>0</v>
      </c>
      <c r="AP4" s="307">
        <f>Assumptions!AP281</f>
        <v>0</v>
      </c>
    </row>
    <row r="5" spans="1:42" x14ac:dyDescent="0.35">
      <c r="A5" s="311" t="s">
        <v>448</v>
      </c>
      <c r="B5" s="312">
        <f>Assumptions!B282</f>
        <v>0.2</v>
      </c>
      <c r="C5" s="306"/>
      <c r="D5" s="306"/>
      <c r="E5" s="306"/>
      <c r="F5" s="307">
        <f t="shared" ref="F5:L6" si="1">$B5*F$4</f>
        <v>104770813.10135552</v>
      </c>
      <c r="G5" s="307">
        <f t="shared" si="1"/>
        <v>104770813.10135552</v>
      </c>
      <c r="H5" s="307">
        <f t="shared" si="1"/>
        <v>104770813.10135552</v>
      </c>
      <c r="I5" s="307">
        <f t="shared" si="1"/>
        <v>104770813.10135552</v>
      </c>
      <c r="J5" s="307">
        <f t="shared" si="1"/>
        <v>104770813.10135552</v>
      </c>
      <c r="K5" s="307">
        <f t="shared" si="1"/>
        <v>104770813.10135552</v>
      </c>
      <c r="L5" s="307">
        <f t="shared" si="1"/>
        <v>104770813.10135552</v>
      </c>
      <c r="M5" s="307">
        <f t="shared" ref="M5:V6" si="2">$B5*M$4</f>
        <v>104770813.10135552</v>
      </c>
      <c r="N5" s="307">
        <f t="shared" si="2"/>
        <v>104770813.10135552</v>
      </c>
      <c r="O5" s="307">
        <f t="shared" si="2"/>
        <v>104770813.10135552</v>
      </c>
      <c r="P5" s="307">
        <f t="shared" si="2"/>
        <v>261927032.75338879</v>
      </c>
      <c r="Q5" s="307">
        <f t="shared" si="2"/>
        <v>261927032.75338879</v>
      </c>
      <c r="R5" s="307">
        <f t="shared" si="2"/>
        <v>261927032.75338879</v>
      </c>
      <c r="S5" s="307">
        <f t="shared" si="2"/>
        <v>261927032.75338879</v>
      </c>
      <c r="T5" s="307">
        <f t="shared" si="2"/>
        <v>261927032.75338879</v>
      </c>
      <c r="U5" s="307">
        <f t="shared" si="2"/>
        <v>261927032.75338879</v>
      </c>
      <c r="V5" s="307">
        <f t="shared" si="2"/>
        <v>261927032.75338879</v>
      </c>
      <c r="W5" s="307">
        <f t="shared" ref="W5:AF6" si="3">$B5*W$4</f>
        <v>261927032.75338879</v>
      </c>
      <c r="X5" s="307">
        <f t="shared" si="3"/>
        <v>261927032.75338879</v>
      </c>
      <c r="Y5" s="307">
        <f t="shared" si="3"/>
        <v>261927032.75338879</v>
      </c>
      <c r="Z5" s="307">
        <f t="shared" si="3"/>
        <v>419083252.40542209</v>
      </c>
      <c r="AA5" s="307">
        <f t="shared" si="3"/>
        <v>419083252.40542209</v>
      </c>
      <c r="AB5" s="307">
        <f t="shared" si="3"/>
        <v>419083252.40542209</v>
      </c>
      <c r="AC5" s="307">
        <f t="shared" si="3"/>
        <v>419083252.40542209</v>
      </c>
      <c r="AD5" s="307">
        <f t="shared" si="3"/>
        <v>419083252.40542209</v>
      </c>
      <c r="AE5" s="307">
        <f t="shared" si="3"/>
        <v>419083252.40542209</v>
      </c>
      <c r="AF5" s="307">
        <f t="shared" si="3"/>
        <v>419083252.40542209</v>
      </c>
      <c r="AG5" s="307">
        <f t="shared" ref="AG5:AP6" si="4">$B5*AG$4</f>
        <v>419083252.40542209</v>
      </c>
      <c r="AH5" s="307">
        <f t="shared" si="4"/>
        <v>419083252.40542209</v>
      </c>
      <c r="AI5" s="307">
        <f t="shared" si="4"/>
        <v>419083252.40542209</v>
      </c>
      <c r="AJ5" s="307">
        <f t="shared" si="4"/>
        <v>0</v>
      </c>
      <c r="AK5" s="307">
        <f t="shared" si="4"/>
        <v>0</v>
      </c>
      <c r="AL5" s="307">
        <f t="shared" si="4"/>
        <v>0</v>
      </c>
      <c r="AM5" s="307">
        <f t="shared" si="4"/>
        <v>0</v>
      </c>
      <c r="AN5" s="307">
        <f t="shared" si="4"/>
        <v>0</v>
      </c>
      <c r="AO5" s="307">
        <f t="shared" si="4"/>
        <v>0</v>
      </c>
      <c r="AP5" s="307">
        <f t="shared" si="4"/>
        <v>0</v>
      </c>
    </row>
    <row r="6" spans="1:42" x14ac:dyDescent="0.35">
      <c r="A6" s="311" t="s">
        <v>449</v>
      </c>
      <c r="B6" s="312">
        <f>Assumptions!B283</f>
        <v>0.8</v>
      </c>
      <c r="C6" s="306"/>
      <c r="D6" s="306"/>
      <c r="E6" s="306"/>
      <c r="F6" s="307">
        <f t="shared" si="1"/>
        <v>419083252.40542209</v>
      </c>
      <c r="G6" s="307">
        <f t="shared" si="1"/>
        <v>419083252.40542209</v>
      </c>
      <c r="H6" s="307">
        <f t="shared" si="1"/>
        <v>419083252.40542209</v>
      </c>
      <c r="I6" s="307">
        <f t="shared" si="1"/>
        <v>419083252.40542209</v>
      </c>
      <c r="J6" s="307">
        <f t="shared" si="1"/>
        <v>419083252.40542209</v>
      </c>
      <c r="K6" s="307">
        <f t="shared" si="1"/>
        <v>419083252.40542209</v>
      </c>
      <c r="L6" s="307">
        <f t="shared" si="1"/>
        <v>419083252.40542209</v>
      </c>
      <c r="M6" s="307">
        <f t="shared" si="2"/>
        <v>419083252.40542209</v>
      </c>
      <c r="N6" s="307">
        <f t="shared" si="2"/>
        <v>419083252.40542209</v>
      </c>
      <c r="O6" s="307">
        <f t="shared" si="2"/>
        <v>419083252.40542209</v>
      </c>
      <c r="P6" s="307">
        <f t="shared" si="2"/>
        <v>1047708131.0135552</v>
      </c>
      <c r="Q6" s="307">
        <f t="shared" si="2"/>
        <v>1047708131.0135552</v>
      </c>
      <c r="R6" s="307">
        <f t="shared" si="2"/>
        <v>1047708131.0135552</v>
      </c>
      <c r="S6" s="307">
        <f t="shared" si="2"/>
        <v>1047708131.0135552</v>
      </c>
      <c r="T6" s="307">
        <f t="shared" si="2"/>
        <v>1047708131.0135552</v>
      </c>
      <c r="U6" s="307">
        <f t="shared" si="2"/>
        <v>1047708131.0135552</v>
      </c>
      <c r="V6" s="307">
        <f t="shared" si="2"/>
        <v>1047708131.0135552</v>
      </c>
      <c r="W6" s="307">
        <f t="shared" si="3"/>
        <v>1047708131.0135552</v>
      </c>
      <c r="X6" s="307">
        <f t="shared" si="3"/>
        <v>1047708131.0135552</v>
      </c>
      <c r="Y6" s="307">
        <f t="shared" si="3"/>
        <v>1047708131.0135552</v>
      </c>
      <c r="Z6" s="307">
        <f t="shared" si="3"/>
        <v>1676333009.6216884</v>
      </c>
      <c r="AA6" s="307">
        <f t="shared" si="3"/>
        <v>1676333009.6216884</v>
      </c>
      <c r="AB6" s="307">
        <f t="shared" si="3"/>
        <v>1676333009.6216884</v>
      </c>
      <c r="AC6" s="307">
        <f t="shared" si="3"/>
        <v>1676333009.6216884</v>
      </c>
      <c r="AD6" s="307">
        <f t="shared" si="3"/>
        <v>1676333009.6216884</v>
      </c>
      <c r="AE6" s="307">
        <f t="shared" si="3"/>
        <v>1676333009.6216884</v>
      </c>
      <c r="AF6" s="307">
        <f t="shared" si="3"/>
        <v>1676333009.6216884</v>
      </c>
      <c r="AG6" s="307">
        <f t="shared" si="4"/>
        <v>1676333009.6216884</v>
      </c>
      <c r="AH6" s="307">
        <f t="shared" si="4"/>
        <v>1676333009.6216884</v>
      </c>
      <c r="AI6" s="307">
        <f t="shared" si="4"/>
        <v>1676333009.6216884</v>
      </c>
      <c r="AJ6" s="307">
        <f t="shared" si="4"/>
        <v>0</v>
      </c>
      <c r="AK6" s="307">
        <f t="shared" si="4"/>
        <v>0</v>
      </c>
      <c r="AL6" s="307">
        <f t="shared" si="4"/>
        <v>0</v>
      </c>
      <c r="AM6" s="307">
        <f t="shared" si="4"/>
        <v>0</v>
      </c>
      <c r="AN6" s="307">
        <f t="shared" si="4"/>
        <v>0</v>
      </c>
      <c r="AO6" s="307">
        <f t="shared" si="4"/>
        <v>0</v>
      </c>
      <c r="AP6" s="307">
        <f t="shared" si="4"/>
        <v>0</v>
      </c>
    </row>
    <row r="7" spans="1:42" x14ac:dyDescent="0.35">
      <c r="A7" s="310" t="s">
        <v>450</v>
      </c>
      <c r="C7" s="306"/>
      <c r="D7" s="306"/>
      <c r="E7" s="306"/>
      <c r="F7" s="307">
        <f>Assumptions!F291</f>
        <v>12521578.956995402</v>
      </c>
      <c r="G7" s="307">
        <f>Assumptions!G291</f>
        <v>24992445.519214973</v>
      </c>
      <c r="H7" s="307">
        <f>Assumptions!H291</f>
        <v>36547187.546544209</v>
      </c>
      <c r="I7" s="307">
        <f>Assumptions!I291</f>
        <v>47245607.432485111</v>
      </c>
      <c r="J7" s="307">
        <f>Assumptions!J291</f>
        <v>57143403.42574653</v>
      </c>
      <c r="K7" s="307">
        <f>Assumptions!K291</f>
        <v>66292452.147278473</v>
      </c>
      <c r="L7" s="307">
        <f>Assumptions!L291</f>
        <v>74741071.656202257</v>
      </c>
      <c r="M7" s="307">
        <f>Assumptions!M291</f>
        <v>82815345.82287699</v>
      </c>
      <c r="N7" s="307">
        <f>Assumptions!N291</f>
        <v>90527466.046499655</v>
      </c>
      <c r="O7" s="307">
        <f>Assumptions!O291</f>
        <v>97889180.304858133</v>
      </c>
      <c r="P7" s="307">
        <f>Assumptions!P291</f>
        <v>115445753.28072812</v>
      </c>
      <c r="Q7" s="307">
        <f>Assumptions!Q291</f>
        <v>132181887.47289389</v>
      </c>
      <c r="R7" s="307">
        <f>Assumptions!R291</f>
        <v>148263585.5906792</v>
      </c>
      <c r="S7" s="307">
        <f>Assumptions!S291</f>
        <v>163706933.29754049</v>
      </c>
      <c r="T7" s="307">
        <f>Assumptions!T291</f>
        <v>178527558.16059354</v>
      </c>
      <c r="U7" s="307">
        <f>Assumptions!U291</f>
        <v>192740642.99879292</v>
      </c>
      <c r="V7" s="307">
        <f>Assumptions!V291</f>
        <v>206360938.84090984</v>
      </c>
      <c r="W7" s="307">
        <f>Assumptions!W291</f>
        <v>219862424.2159071</v>
      </c>
      <c r="X7" s="307">
        <f>Assumptions!X291</f>
        <v>233245580.30617654</v>
      </c>
      <c r="Y7" s="307">
        <f>Assumptions!Y291</f>
        <v>246510886.34532127</v>
      </c>
      <c r="Z7" s="307">
        <f>Assumptions!Z291</f>
        <v>267547579.59448475</v>
      </c>
      <c r="AA7" s="307">
        <f>Assumptions!AA291</f>
        <v>288397237.00565463</v>
      </c>
      <c r="AB7" s="307">
        <f>Assumptions!AB291</f>
        <v>309060616.07397461</v>
      </c>
      <c r="AC7" s="307">
        <f>Assumptions!AC291</f>
        <v>329538471.22673351</v>
      </c>
      <c r="AD7" s="307">
        <f>Assumptions!AD291</f>
        <v>349831553.83578914</v>
      </c>
      <c r="AE7" s="307">
        <f>Assumptions!AE291</f>
        <v>369940612.22994363</v>
      </c>
      <c r="AF7" s="307">
        <f>Assumptions!AF291</f>
        <v>389866391.70726722</v>
      </c>
      <c r="AG7" s="307">
        <f>Assumptions!AG291</f>
        <v>409609634.54737324</v>
      </c>
      <c r="AH7" s="307">
        <f>Assumptions!AH291</f>
        <v>429171080.02364224</v>
      </c>
      <c r="AI7" s="307">
        <f>Assumptions!AI291</f>
        <v>448551464.41539782</v>
      </c>
      <c r="AJ7" s="307">
        <f>Assumptions!AJ291</f>
        <v>448551464.41539782</v>
      </c>
      <c r="AK7" s="307">
        <f>Assumptions!AK291</f>
        <v>448551464.41539782</v>
      </c>
      <c r="AL7" s="307">
        <f>Assumptions!AL291</f>
        <v>448551464.41539782</v>
      </c>
      <c r="AM7" s="307">
        <f>Assumptions!AM291</f>
        <v>448551464.41539782</v>
      </c>
      <c r="AN7" s="307">
        <f>Assumptions!AN291</f>
        <v>448551464.41539782</v>
      </c>
      <c r="AO7" s="307">
        <f>Assumptions!AO291</f>
        <v>448551464.41539782</v>
      </c>
      <c r="AP7" s="307">
        <f>Assumptions!AP291</f>
        <v>448551464.41539782</v>
      </c>
    </row>
    <row r="8" spans="1:42" x14ac:dyDescent="0.35">
      <c r="A8" s="310"/>
    </row>
    <row r="9" spans="1:42" x14ac:dyDescent="0.35">
      <c r="A9" s="305" t="s">
        <v>451</v>
      </c>
      <c r="C9" s="313">
        <f>Assumptions!C26</f>
        <v>1</v>
      </c>
      <c r="D9" s="313">
        <f>Assumptions!D26</f>
        <v>1.0840000000000001</v>
      </c>
      <c r="E9" s="313">
        <f>Assumptions!E26</f>
        <v>1.1436200000000001</v>
      </c>
      <c r="F9" s="313">
        <f>Assumptions!F26</f>
        <v>1.1836466999999999</v>
      </c>
      <c r="G9" s="313">
        <f>Assumptions!G26</f>
        <v>1.219156101</v>
      </c>
      <c r="H9" s="313">
        <f>Assumptions!H26</f>
        <v>1.25573078403</v>
      </c>
      <c r="I9" s="313">
        <f>Assumptions!I26</f>
        <v>1.2934027075509</v>
      </c>
      <c r="J9" s="313">
        <f>Assumptions!J26</f>
        <v>1.3322047887774271</v>
      </c>
      <c r="K9" s="313">
        <f>Assumptions!K26</f>
        <v>1.3721709324407498</v>
      </c>
      <c r="L9" s="313">
        <f>Assumptions!L26</f>
        <v>1.4133360604139724</v>
      </c>
      <c r="M9" s="313">
        <f>Assumptions!M26</f>
        <v>1.4557361422263917</v>
      </c>
      <c r="N9" s="313">
        <f>Assumptions!N26</f>
        <v>1.4994082264931834</v>
      </c>
      <c r="O9" s="313">
        <f>Assumptions!O26</f>
        <v>1.544390473287979</v>
      </c>
      <c r="P9" s="313">
        <f>Assumptions!P26</f>
        <v>1.5907221874866184</v>
      </c>
      <c r="Q9" s="313">
        <f>Assumptions!Q26</f>
        <v>1.6384438531112171</v>
      </c>
      <c r="R9" s="313">
        <f>Assumptions!R26</f>
        <v>1.6875971687045537</v>
      </c>
      <c r="S9" s="313">
        <f>Assumptions!S26</f>
        <v>1.7382250837656903</v>
      </c>
      <c r="T9" s="313">
        <f>Assumptions!T26</f>
        <v>1.7903718362786611</v>
      </c>
      <c r="U9" s="313">
        <f>Assumptions!U26</f>
        <v>1.8440829913670209</v>
      </c>
      <c r="V9" s="313">
        <f>Assumptions!V26</f>
        <v>1.8994054811080316</v>
      </c>
      <c r="W9" s="313">
        <f>Assumptions!W26</f>
        <v>1.9563876455412725</v>
      </c>
      <c r="X9" s="313">
        <f>Assumptions!X26</f>
        <v>2.0150792749075106</v>
      </c>
      <c r="Y9" s="313">
        <f>Assumptions!Y26</f>
        <v>2.0755316531547359</v>
      </c>
      <c r="Z9" s="313">
        <f>Assumptions!Z26</f>
        <v>2.1377976027493779</v>
      </c>
      <c r="AA9" s="313">
        <f>Assumptions!AA26</f>
        <v>2.2019315308318594</v>
      </c>
      <c r="AB9" s="313">
        <f>Assumptions!AB26</f>
        <v>2.2679894767568154</v>
      </c>
      <c r="AC9" s="313">
        <f>Assumptions!AC26</f>
        <v>2.3360291610595199</v>
      </c>
      <c r="AD9" s="313">
        <f>Assumptions!AD26</f>
        <v>2.4061100358913055</v>
      </c>
      <c r="AE9" s="313">
        <f>Assumptions!AE26</f>
        <v>2.4782933369680449</v>
      </c>
      <c r="AF9" s="313">
        <f>Assumptions!AF26</f>
        <v>2.5526421370770862</v>
      </c>
      <c r="AG9" s="313">
        <f>Assumptions!AG26</f>
        <v>2.6292214011893988</v>
      </c>
      <c r="AH9" s="313">
        <f>Assumptions!AH26</f>
        <v>2.708098043225081</v>
      </c>
      <c r="AI9" s="313">
        <f>Assumptions!AI26</f>
        <v>2.7893409845218335</v>
      </c>
      <c r="AJ9" s="313">
        <f>Assumptions!AJ26</f>
        <v>2.8730212140574887</v>
      </c>
      <c r="AK9" s="313">
        <f>Assumptions!AK26</f>
        <v>2.9592118504792135</v>
      </c>
      <c r="AL9" s="313">
        <f>Assumptions!AL26</f>
        <v>3.0479882059935899</v>
      </c>
      <c r="AM9" s="313">
        <f>Assumptions!AM26</f>
        <v>3.1394278521733976</v>
      </c>
      <c r="AN9" s="313">
        <f>Assumptions!AN26</f>
        <v>3.2336106877385995</v>
      </c>
      <c r="AO9" s="313">
        <f>Assumptions!AO26</f>
        <v>3.3306190083707574</v>
      </c>
      <c r="AP9" s="313">
        <f>Assumptions!AP26</f>
        <v>3.4305375786218804</v>
      </c>
    </row>
    <row r="11" spans="1:42" x14ac:dyDescent="0.35">
      <c r="A11" s="305" t="s">
        <v>452</v>
      </c>
      <c r="C11" s="306"/>
      <c r="D11" s="306"/>
      <c r="E11" s="306"/>
      <c r="F11" s="307">
        <f>F3*F$9</f>
        <v>706358211.51927125</v>
      </c>
      <c r="G11" s="307">
        <f t="shared" ref="G11:AP11" si="5">G3*G$9</f>
        <v>727548957.86484945</v>
      </c>
      <c r="H11" s="307">
        <f t="shared" si="5"/>
        <v>749375426.60079491</v>
      </c>
      <c r="I11" s="307">
        <f t="shared" si="5"/>
        <v>771856689.39881873</v>
      </c>
      <c r="J11" s="307">
        <f t="shared" si="5"/>
        <v>795012390.08078337</v>
      </c>
      <c r="K11" s="307">
        <f t="shared" si="5"/>
        <v>818862761.78320682</v>
      </c>
      <c r="L11" s="307">
        <f t="shared" si="5"/>
        <v>843428644.63670313</v>
      </c>
      <c r="M11" s="307">
        <f t="shared" si="5"/>
        <v>868731503.97580421</v>
      </c>
      <c r="N11" s="307">
        <f t="shared" si="5"/>
        <v>894793449.09507835</v>
      </c>
      <c r="O11" s="307">
        <f t="shared" si="5"/>
        <v>921637252.5679307</v>
      </c>
      <c r="P11" s="307">
        <f t="shared" si="5"/>
        <v>949286370.14496875</v>
      </c>
      <c r="Q11" s="307">
        <f t="shared" si="5"/>
        <v>977764961.24931788</v>
      </c>
      <c r="R11" s="307">
        <f t="shared" si="5"/>
        <v>1007097910.0867975</v>
      </c>
      <c r="S11" s="307">
        <f t="shared" si="5"/>
        <v>1037310847.3894013</v>
      </c>
      <c r="T11" s="307">
        <f t="shared" si="5"/>
        <v>1068430172.8110834</v>
      </c>
      <c r="U11" s="307">
        <f t="shared" si="5"/>
        <v>1100483077.9954159</v>
      </c>
      <c r="V11" s="307">
        <f t="shared" si="5"/>
        <v>1133497570.3352785</v>
      </c>
      <c r="W11" s="307">
        <f t="shared" si="5"/>
        <v>1167502497.4453368</v>
      </c>
      <c r="X11" s="307">
        <f t="shared" si="5"/>
        <v>1202527572.3686969</v>
      </c>
      <c r="Y11" s="307">
        <f t="shared" si="5"/>
        <v>1238603399.5397577</v>
      </c>
      <c r="Z11" s="307">
        <f t="shared" si="5"/>
        <v>1275761501.5259504</v>
      </c>
      <c r="AA11" s="307">
        <f t="shared" si="5"/>
        <v>1314034346.5717289</v>
      </c>
      <c r="AB11" s="307">
        <f t="shared" si="5"/>
        <v>1353455376.9688811</v>
      </c>
      <c r="AC11" s="307">
        <f t="shared" si="5"/>
        <v>1394059038.2779474</v>
      </c>
      <c r="AD11" s="307">
        <f t="shared" si="5"/>
        <v>1435880809.426286</v>
      </c>
      <c r="AE11" s="307">
        <f t="shared" si="5"/>
        <v>1478957233.7090745</v>
      </c>
      <c r="AF11" s="307">
        <f t="shared" si="5"/>
        <v>1523325950.7203469</v>
      </c>
      <c r="AG11" s="307">
        <f t="shared" si="5"/>
        <v>1569025729.2419572</v>
      </c>
      <c r="AH11" s="307">
        <f t="shared" si="5"/>
        <v>1616096501.119216</v>
      </c>
      <c r="AI11" s="307">
        <f t="shared" si="5"/>
        <v>1664579396.1527927</v>
      </c>
      <c r="AJ11" s="307">
        <f t="shared" si="5"/>
        <v>1714516778.0373764</v>
      </c>
      <c r="AK11" s="307">
        <f t="shared" si="5"/>
        <v>1765952281.3784978</v>
      </c>
      <c r="AL11" s="307">
        <f t="shared" si="5"/>
        <v>1818930849.8198528</v>
      </c>
      <c r="AM11" s="307">
        <f t="shared" si="5"/>
        <v>1873498775.3144484</v>
      </c>
      <c r="AN11" s="307">
        <f t="shared" si="5"/>
        <v>1929703738.5738819</v>
      </c>
      <c r="AO11" s="307">
        <f t="shared" si="5"/>
        <v>1987594850.7310982</v>
      </c>
      <c r="AP11" s="307">
        <f t="shared" si="5"/>
        <v>2047222696.2530313</v>
      </c>
    </row>
    <row r="12" spans="1:42" x14ac:dyDescent="0.35">
      <c r="A12" s="305" t="s">
        <v>453</v>
      </c>
      <c r="C12" s="306"/>
      <c r="D12" s="306"/>
      <c r="E12" s="306"/>
      <c r="F12" s="307">
        <f t="shared" ref="F12:AP12" si="6">F4*F$9</f>
        <v>620058135.91868103</v>
      </c>
      <c r="G12" s="307">
        <f t="shared" si="6"/>
        <v>638659879.99624157</v>
      </c>
      <c r="H12" s="307">
        <f t="shared" si="6"/>
        <v>657819676.39612877</v>
      </c>
      <c r="I12" s="307">
        <f t="shared" si="6"/>
        <v>677554266.68801272</v>
      </c>
      <c r="J12" s="307">
        <f t="shared" si="6"/>
        <v>697880894.68865311</v>
      </c>
      <c r="K12" s="307">
        <f t="shared" si="6"/>
        <v>718817321.52931261</v>
      </c>
      <c r="L12" s="307">
        <f t="shared" si="6"/>
        <v>740381841.17519212</v>
      </c>
      <c r="M12" s="307">
        <f t="shared" si="6"/>
        <v>762593296.41044784</v>
      </c>
      <c r="N12" s="307">
        <f t="shared" si="6"/>
        <v>785471095.30276132</v>
      </c>
      <c r="O12" s="307">
        <f t="shared" si="6"/>
        <v>809035228.16184413</v>
      </c>
      <c r="P12" s="307">
        <f t="shared" si="6"/>
        <v>2083265712.5167489</v>
      </c>
      <c r="Q12" s="307">
        <f t="shared" si="6"/>
        <v>2145763683.8922515</v>
      </c>
      <c r="R12" s="307">
        <f t="shared" si="6"/>
        <v>2210136594.409019</v>
      </c>
      <c r="S12" s="307">
        <f t="shared" si="6"/>
        <v>2276440692.2412896</v>
      </c>
      <c r="T12" s="307">
        <f t="shared" si="6"/>
        <v>2344733913.0085287</v>
      </c>
      <c r="U12" s="307">
        <f t="shared" si="6"/>
        <v>2415075930.3987842</v>
      </c>
      <c r="V12" s="307">
        <f t="shared" si="6"/>
        <v>2487528208.3107481</v>
      </c>
      <c r="W12" s="307">
        <f t="shared" si="6"/>
        <v>2562154054.5600705</v>
      </c>
      <c r="X12" s="307">
        <f t="shared" si="6"/>
        <v>2639018676.1968722</v>
      </c>
      <c r="Y12" s="307">
        <f t="shared" si="6"/>
        <v>2718189236.4827785</v>
      </c>
      <c r="Z12" s="307">
        <f t="shared" si="6"/>
        <v>4479575861.7236185</v>
      </c>
      <c r="AA12" s="307">
        <f t="shared" si="6"/>
        <v>4613963137.5753279</v>
      </c>
      <c r="AB12" s="307">
        <f t="shared" si="6"/>
        <v>4752382031.7025881</v>
      </c>
      <c r="AC12" s="307">
        <f t="shared" si="6"/>
        <v>4894953492.6536655</v>
      </c>
      <c r="AD12" s="307">
        <f t="shared" si="6"/>
        <v>5041802097.4332752</v>
      </c>
      <c r="AE12" s="307">
        <f t="shared" si="6"/>
        <v>5193056160.3562746</v>
      </c>
      <c r="AF12" s="307">
        <f t="shared" si="6"/>
        <v>5348847845.1669626</v>
      </c>
      <c r="AG12" s="307">
        <f t="shared" si="6"/>
        <v>5509313280.5219717</v>
      </c>
      <c r="AH12" s="307">
        <f t="shared" si="6"/>
        <v>5674592678.9376307</v>
      </c>
      <c r="AI12" s="307">
        <f t="shared" si="6"/>
        <v>5844830459.3057604</v>
      </c>
      <c r="AJ12" s="307">
        <f t="shared" si="6"/>
        <v>0</v>
      </c>
      <c r="AK12" s="307">
        <f t="shared" si="6"/>
        <v>0</v>
      </c>
      <c r="AL12" s="307">
        <f t="shared" si="6"/>
        <v>0</v>
      </c>
      <c r="AM12" s="307">
        <f t="shared" si="6"/>
        <v>0</v>
      </c>
      <c r="AN12" s="307">
        <f t="shared" si="6"/>
        <v>0</v>
      </c>
      <c r="AO12" s="307">
        <f t="shared" si="6"/>
        <v>0</v>
      </c>
      <c r="AP12" s="307">
        <f t="shared" si="6"/>
        <v>0</v>
      </c>
    </row>
    <row r="13" spans="1:42" x14ac:dyDescent="0.35">
      <c r="A13" s="314" t="s">
        <v>454</v>
      </c>
      <c r="C13" s="306"/>
      <c r="D13" s="306"/>
      <c r="E13" s="306"/>
      <c r="F13" s="307">
        <f t="shared" ref="F13:AP13" si="7">F5*F$9</f>
        <v>124011627.18373622</v>
      </c>
      <c r="G13" s="307">
        <f t="shared" si="7"/>
        <v>127731975.99924833</v>
      </c>
      <c r="H13" s="307">
        <f t="shared" si="7"/>
        <v>131563935.27922577</v>
      </c>
      <c r="I13" s="307">
        <f t="shared" si="7"/>
        <v>135510853.33760256</v>
      </c>
      <c r="J13" s="307">
        <f t="shared" si="7"/>
        <v>139576178.93773064</v>
      </c>
      <c r="K13" s="307">
        <f t="shared" si="7"/>
        <v>143763464.30586255</v>
      </c>
      <c r="L13" s="307">
        <f t="shared" si="7"/>
        <v>148076368.23503843</v>
      </c>
      <c r="M13" s="307">
        <f t="shared" si="7"/>
        <v>152518659.28208959</v>
      </c>
      <c r="N13" s="307">
        <f t="shared" si="7"/>
        <v>157094219.06055227</v>
      </c>
      <c r="O13" s="307">
        <f t="shared" si="7"/>
        <v>161807045.63236883</v>
      </c>
      <c r="P13" s="307">
        <f t="shared" si="7"/>
        <v>416653142.50334978</v>
      </c>
      <c r="Q13" s="307">
        <f t="shared" si="7"/>
        <v>429152736.77845031</v>
      </c>
      <c r="R13" s="307">
        <f t="shared" si="7"/>
        <v>442027318.88180381</v>
      </c>
      <c r="S13" s="307">
        <f t="shared" si="7"/>
        <v>455288138.44825792</v>
      </c>
      <c r="T13" s="307">
        <f t="shared" si="7"/>
        <v>468946782.60170573</v>
      </c>
      <c r="U13" s="307">
        <f t="shared" si="7"/>
        <v>483015186.07975686</v>
      </c>
      <c r="V13" s="307">
        <f t="shared" si="7"/>
        <v>497505641.66214961</v>
      </c>
      <c r="W13" s="307">
        <f t="shared" si="7"/>
        <v>512430810.91201407</v>
      </c>
      <c r="X13" s="307">
        <f t="shared" si="7"/>
        <v>527803735.23937446</v>
      </c>
      <c r="Y13" s="307">
        <f t="shared" si="7"/>
        <v>543637847.29655564</v>
      </c>
      <c r="Z13" s="307">
        <f t="shared" si="7"/>
        <v>895915172.34472382</v>
      </c>
      <c r="AA13" s="307">
        <f t="shared" si="7"/>
        <v>922792627.51506555</v>
      </c>
      <c r="AB13" s="307">
        <f t="shared" si="7"/>
        <v>950476406.34051764</v>
      </c>
      <c r="AC13" s="307">
        <f t="shared" si="7"/>
        <v>978990698.53073323</v>
      </c>
      <c r="AD13" s="307">
        <f t="shared" si="7"/>
        <v>1008360419.4866551</v>
      </c>
      <c r="AE13" s="307">
        <f t="shared" si="7"/>
        <v>1038611232.071255</v>
      </c>
      <c r="AF13" s="307">
        <f t="shared" si="7"/>
        <v>1069769569.0333925</v>
      </c>
      <c r="AG13" s="307">
        <f t="shared" si="7"/>
        <v>1101862656.1043944</v>
      </c>
      <c r="AH13" s="307">
        <f t="shared" si="7"/>
        <v>1134918535.7875264</v>
      </c>
      <c r="AI13" s="307">
        <f t="shared" si="7"/>
        <v>1168966091.8611522</v>
      </c>
      <c r="AJ13" s="307">
        <f t="shared" si="7"/>
        <v>0</v>
      </c>
      <c r="AK13" s="307">
        <f t="shared" si="7"/>
        <v>0</v>
      </c>
      <c r="AL13" s="307">
        <f t="shared" si="7"/>
        <v>0</v>
      </c>
      <c r="AM13" s="307">
        <f t="shared" si="7"/>
        <v>0</v>
      </c>
      <c r="AN13" s="307">
        <f t="shared" si="7"/>
        <v>0</v>
      </c>
      <c r="AO13" s="307">
        <f t="shared" si="7"/>
        <v>0</v>
      </c>
      <c r="AP13" s="307">
        <f t="shared" si="7"/>
        <v>0</v>
      </c>
    </row>
    <row r="14" spans="1:42" x14ac:dyDescent="0.35">
      <c r="A14" s="314" t="s">
        <v>455</v>
      </c>
      <c r="C14" s="306"/>
      <c r="D14" s="306"/>
      <c r="E14" s="306"/>
      <c r="F14" s="307">
        <f t="shared" ref="F14:AP14" si="8">F6*F$9</f>
        <v>496046508.73494488</v>
      </c>
      <c r="G14" s="307">
        <f t="shared" si="8"/>
        <v>510927903.9969933</v>
      </c>
      <c r="H14" s="307">
        <f t="shared" si="8"/>
        <v>526255741.11690307</v>
      </c>
      <c r="I14" s="307">
        <f t="shared" si="8"/>
        <v>542043413.35041022</v>
      </c>
      <c r="J14" s="307">
        <f t="shared" si="8"/>
        <v>558304715.75092256</v>
      </c>
      <c r="K14" s="307">
        <f t="shared" si="8"/>
        <v>575053857.22345018</v>
      </c>
      <c r="L14" s="307">
        <f t="shared" si="8"/>
        <v>592305472.94015372</v>
      </c>
      <c r="M14" s="307">
        <f t="shared" si="8"/>
        <v>610074637.12835836</v>
      </c>
      <c r="N14" s="307">
        <f t="shared" si="8"/>
        <v>628376876.24220908</v>
      </c>
      <c r="O14" s="307">
        <f t="shared" si="8"/>
        <v>647228182.52947533</v>
      </c>
      <c r="P14" s="307">
        <f t="shared" si="8"/>
        <v>1666612570.0133991</v>
      </c>
      <c r="Q14" s="307">
        <f t="shared" si="8"/>
        <v>1716610947.1138012</v>
      </c>
      <c r="R14" s="307">
        <f t="shared" si="8"/>
        <v>1768109275.5272152</v>
      </c>
      <c r="S14" s="307">
        <f t="shared" si="8"/>
        <v>1821152553.7930317</v>
      </c>
      <c r="T14" s="307">
        <f t="shared" si="8"/>
        <v>1875787130.4068229</v>
      </c>
      <c r="U14" s="307">
        <f t="shared" si="8"/>
        <v>1932060744.3190274</v>
      </c>
      <c r="V14" s="307">
        <f t="shared" si="8"/>
        <v>1990022566.6485984</v>
      </c>
      <c r="W14" s="307">
        <f t="shared" si="8"/>
        <v>2049723243.6480563</v>
      </c>
      <c r="X14" s="307">
        <f t="shared" si="8"/>
        <v>2111214940.9574978</v>
      </c>
      <c r="Y14" s="307">
        <f t="shared" si="8"/>
        <v>2174551389.1862226</v>
      </c>
      <c r="Z14" s="307">
        <f t="shared" si="8"/>
        <v>3583660689.3788953</v>
      </c>
      <c r="AA14" s="307">
        <f t="shared" si="8"/>
        <v>3691170510.0602622</v>
      </c>
      <c r="AB14" s="307">
        <f t="shared" si="8"/>
        <v>3801905625.3620706</v>
      </c>
      <c r="AC14" s="307">
        <f t="shared" si="8"/>
        <v>3915962794.1229329</v>
      </c>
      <c r="AD14" s="307">
        <f t="shared" si="8"/>
        <v>4033441677.9466205</v>
      </c>
      <c r="AE14" s="307">
        <f t="shared" si="8"/>
        <v>4154444928.2850199</v>
      </c>
      <c r="AF14" s="307">
        <f t="shared" si="8"/>
        <v>4279078276.1335702</v>
      </c>
      <c r="AG14" s="307">
        <f t="shared" si="8"/>
        <v>4407450624.4175777</v>
      </c>
      <c r="AH14" s="307">
        <f t="shared" si="8"/>
        <v>4539674143.1501055</v>
      </c>
      <c r="AI14" s="307">
        <f t="shared" si="8"/>
        <v>4675864367.4446087</v>
      </c>
      <c r="AJ14" s="307">
        <f t="shared" si="8"/>
        <v>0</v>
      </c>
      <c r="AK14" s="307">
        <f t="shared" si="8"/>
        <v>0</v>
      </c>
      <c r="AL14" s="307">
        <f t="shared" si="8"/>
        <v>0</v>
      </c>
      <c r="AM14" s="307">
        <f t="shared" si="8"/>
        <v>0</v>
      </c>
      <c r="AN14" s="307">
        <f t="shared" si="8"/>
        <v>0</v>
      </c>
      <c r="AO14" s="307">
        <f t="shared" si="8"/>
        <v>0</v>
      </c>
      <c r="AP14" s="307">
        <f t="shared" si="8"/>
        <v>0</v>
      </c>
    </row>
    <row r="15" spans="1:42" x14ac:dyDescent="0.35">
      <c r="A15" s="305" t="s">
        <v>456</v>
      </c>
      <c r="C15" s="306"/>
      <c r="D15" s="306"/>
      <c r="E15" s="306"/>
      <c r="F15" s="307">
        <f t="shared" ref="F15:AP15" si="9">F7*F$9</f>
        <v>14821125.611237049</v>
      </c>
      <c r="G15" s="307">
        <f t="shared" si="9"/>
        <v>30469692.433661047</v>
      </c>
      <c r="H15" s="307">
        <f t="shared" si="9"/>
        <v>45893428.471913412</v>
      </c>
      <c r="I15" s="307">
        <f t="shared" si="9"/>
        <v>61107596.573063172</v>
      </c>
      <c r="J15" s="307">
        <f t="shared" si="9"/>
        <v>76126715.690819964</v>
      </c>
      <c r="K15" s="307">
        <f t="shared" si="9"/>
        <v>90964575.876714885</v>
      </c>
      <c r="L15" s="307">
        <f t="shared" si="9"/>
        <v>105634251.76569532</v>
      </c>
      <c r="M15" s="307">
        <f t="shared" si="9"/>
        <v>120557292.04533947</v>
      </c>
      <c r="N15" s="307">
        <f t="shared" si="9"/>
        <v>135737627.31370392</v>
      </c>
      <c r="O15" s="307">
        <f t="shared" si="9"/>
        <v>151179117.50079218</v>
      </c>
      <c r="P15" s="307">
        <f t="shared" si="9"/>
        <v>183642121.19476029</v>
      </c>
      <c r="Q15" s="307">
        <f t="shared" si="9"/>
        <v>216572601.0226016</v>
      </c>
      <c r="R15" s="307">
        <f t="shared" si="9"/>
        <v>250209207.26481548</v>
      </c>
      <c r="S15" s="307">
        <f t="shared" si="9"/>
        <v>284559497.8441416</v>
      </c>
      <c r="T15" s="307">
        <f t="shared" si="9"/>
        <v>319630712.13032734</v>
      </c>
      <c r="U15" s="307">
        <f t="shared" si="9"/>
        <v>355429741.49921709</v>
      </c>
      <c r="V15" s="307">
        <f t="shared" si="9"/>
        <v>391963098.32102346</v>
      </c>
      <c r="W15" s="307">
        <f t="shared" si="9"/>
        <v>430136130.45475495</v>
      </c>
      <c r="X15" s="307">
        <f t="shared" si="9"/>
        <v>470008334.83875173</v>
      </c>
      <c r="Y15" s="307">
        <f t="shared" si="9"/>
        <v>511641147.45694387</v>
      </c>
      <c r="Z15" s="307">
        <f t="shared" si="9"/>
        <v>571962574.27848792</v>
      </c>
      <c r="AA15" s="307">
        <f t="shared" si="9"/>
        <v>635030969.56753969</v>
      </c>
      <c r="AB15" s="307">
        <f t="shared" si="9"/>
        <v>700946224.93575263</v>
      </c>
      <c r="AC15" s="307">
        <f t="shared" si="9"/>
        <v>769811478.47662294</v>
      </c>
      <c r="AD15" s="307">
        <f t="shared" si="9"/>
        <v>841733212.55574179</v>
      </c>
      <c r="AE15" s="307">
        <f t="shared" si="9"/>
        <v>916821354.36334848</v>
      </c>
      <c r="AF15" s="307">
        <f t="shared" si="9"/>
        <v>995189379.30217099</v>
      </c>
      <c r="AG15" s="307">
        <f t="shared" si="9"/>
        <v>1076954417.2853222</v>
      </c>
      <c r="AH15" s="307">
        <f t="shared" si="9"/>
        <v>1162237362.0208201</v>
      </c>
      <c r="AI15" s="307">
        <f t="shared" si="9"/>
        <v>1251162983.361156</v>
      </c>
      <c r="AJ15" s="307">
        <f t="shared" si="9"/>
        <v>1288697872.8619907</v>
      </c>
      <c r="AK15" s="307">
        <f t="shared" si="9"/>
        <v>1327358809.0478506</v>
      </c>
      <c r="AL15" s="307">
        <f t="shared" si="9"/>
        <v>1367179573.3192859</v>
      </c>
      <c r="AM15" s="307">
        <f t="shared" si="9"/>
        <v>1408194960.5188646</v>
      </c>
      <c r="AN15" s="307">
        <f t="shared" si="9"/>
        <v>1450440809.3344305</v>
      </c>
      <c r="AO15" s="307">
        <f t="shared" si="9"/>
        <v>1493954033.6144633</v>
      </c>
      <c r="AP15" s="307">
        <f t="shared" si="9"/>
        <v>1538772654.6228974</v>
      </c>
    </row>
    <row r="16" spans="1:42" x14ac:dyDescent="0.35">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row>
    <row r="17" spans="1:42" x14ac:dyDescent="0.35">
      <c r="A17" s="305" t="s">
        <v>386</v>
      </c>
      <c r="C17" s="315">
        <f>Assumptions!C233</f>
        <v>1</v>
      </c>
      <c r="D17" s="315">
        <f>Assumptions!D233</f>
        <v>1</v>
      </c>
      <c r="E17" s="315">
        <f>Assumptions!E233</f>
        <v>1</v>
      </c>
      <c r="F17" s="315">
        <f>Assumptions!F233</f>
        <v>1</v>
      </c>
      <c r="G17" s="315">
        <f>Assumptions!G233</f>
        <v>1</v>
      </c>
      <c r="H17" s="315">
        <f>Assumptions!H233</f>
        <v>0.93114991509483769</v>
      </c>
      <c r="I17" s="315">
        <f>Assumptions!I233</f>
        <v>0.86704016438112341</v>
      </c>
      <c r="J17" s="315">
        <f>Assumptions!J233</f>
        <v>0.8073443754472972</v>
      </c>
      <c r="K17" s="315">
        <f>Assumptions!K233</f>
        <v>0.75175864665004555</v>
      </c>
      <c r="L17" s="315">
        <f>Assumptions!L233</f>
        <v>0.7</v>
      </c>
      <c r="M17" s="315">
        <f>Assumptions!M233</f>
        <v>0.6741616296345907</v>
      </c>
      <c r="N17" s="315">
        <f>Assumptions!N233</f>
        <v>0.64927700410223865</v>
      </c>
      <c r="O17" s="315">
        <f>Assumptions!O233</f>
        <v>0.62531091881404288</v>
      </c>
      <c r="P17" s="315">
        <f>Assumptions!P233</f>
        <v>0.6022294686513977</v>
      </c>
      <c r="Q17" s="315">
        <f>Assumptions!Q233</f>
        <v>0.57999999999999985</v>
      </c>
      <c r="R17" s="315">
        <f>Assumptions!R233</f>
        <v>0.56303630024452367</v>
      </c>
      <c r="S17" s="315">
        <f>Assumptions!S233</f>
        <v>0.54656875067765776</v>
      </c>
      <c r="T17" s="315">
        <f>Assumptions!T233</f>
        <v>0.53058284001865519</v>
      </c>
      <c r="U17" s="315">
        <f>Assumptions!U233</f>
        <v>0.51506448140919947</v>
      </c>
      <c r="V17" s="315">
        <f>Assumptions!V233</f>
        <v>0.5</v>
      </c>
      <c r="W17" s="315">
        <f>Assumptions!W233</f>
        <v>0.5</v>
      </c>
      <c r="X17" s="315">
        <f>Assumptions!X233</f>
        <v>0.5</v>
      </c>
      <c r="Y17" s="315">
        <f>Assumptions!Y233</f>
        <v>0.5</v>
      </c>
      <c r="Z17" s="315">
        <f>Assumptions!Z233</f>
        <v>0.5</v>
      </c>
      <c r="AA17" s="315">
        <f>Assumptions!AA233</f>
        <v>0.5</v>
      </c>
      <c r="AB17" s="315">
        <f>Assumptions!AB233</f>
        <v>0.5</v>
      </c>
      <c r="AC17" s="315">
        <f>Assumptions!AC233</f>
        <v>0.5</v>
      </c>
      <c r="AD17" s="315">
        <f>Assumptions!AD233</f>
        <v>0.5</v>
      </c>
      <c r="AE17" s="315">
        <f>Assumptions!AE233</f>
        <v>0.5</v>
      </c>
      <c r="AF17" s="315">
        <f>Assumptions!AF233</f>
        <v>0.5</v>
      </c>
      <c r="AG17" s="315">
        <f>Assumptions!AG233</f>
        <v>0.5</v>
      </c>
      <c r="AH17" s="315">
        <f>Assumptions!AH233</f>
        <v>0.5</v>
      </c>
      <c r="AI17" s="315">
        <f>Assumptions!AI233</f>
        <v>0.5</v>
      </c>
      <c r="AJ17" s="315">
        <f>Assumptions!AJ233</f>
        <v>0.5</v>
      </c>
      <c r="AK17" s="315">
        <f>Assumptions!AK233</f>
        <v>0.5</v>
      </c>
      <c r="AL17" s="315">
        <f>Assumptions!AL233</f>
        <v>0.5</v>
      </c>
      <c r="AM17" s="315">
        <f>Assumptions!AM233</f>
        <v>0.5</v>
      </c>
      <c r="AN17" s="315">
        <f>Assumptions!AN233</f>
        <v>0.5</v>
      </c>
      <c r="AO17" s="315">
        <f>Assumptions!AO233</f>
        <v>0.5</v>
      </c>
      <c r="AP17" s="315">
        <f>Assumptions!AP233</f>
        <v>0.5</v>
      </c>
    </row>
    <row r="18" spans="1:42" x14ac:dyDescent="0.35">
      <c r="A18" s="305" t="s">
        <v>387</v>
      </c>
      <c r="C18" s="315">
        <f>Assumptions!C234</f>
        <v>1</v>
      </c>
      <c r="D18" s="315">
        <f>Assumptions!D234</f>
        <v>1</v>
      </c>
      <c r="E18" s="315">
        <f>Assumptions!E234</f>
        <v>1</v>
      </c>
      <c r="F18" s="315">
        <f>Assumptions!F234</f>
        <v>1</v>
      </c>
      <c r="G18" s="315">
        <f>Assumptions!G234</f>
        <v>1</v>
      </c>
      <c r="H18" s="315">
        <f>Assumptions!H234</f>
        <v>0.93114991509483769</v>
      </c>
      <c r="I18" s="315">
        <f>Assumptions!I234</f>
        <v>0.86704016438112341</v>
      </c>
      <c r="J18" s="315">
        <f>Assumptions!J234</f>
        <v>0.8073443754472972</v>
      </c>
      <c r="K18" s="315">
        <f>Assumptions!K234</f>
        <v>0.75175864665004555</v>
      </c>
      <c r="L18" s="315">
        <f>Assumptions!L234</f>
        <v>0.7</v>
      </c>
      <c r="M18" s="315">
        <f>Assumptions!M234</f>
        <v>0.6741616296345907</v>
      </c>
      <c r="N18" s="315">
        <f>Assumptions!N234</f>
        <v>0.64927700410223865</v>
      </c>
      <c r="O18" s="315">
        <f>Assumptions!O234</f>
        <v>0.62531091881404288</v>
      </c>
      <c r="P18" s="315">
        <f>Assumptions!P234</f>
        <v>0.6022294686513977</v>
      </c>
      <c r="Q18" s="315">
        <f>Assumptions!Q234</f>
        <v>0.57999999999999985</v>
      </c>
      <c r="R18" s="315">
        <f>Assumptions!R234</f>
        <v>0.56303630024452367</v>
      </c>
      <c r="S18" s="315">
        <f>Assumptions!S234</f>
        <v>0.54656875067765776</v>
      </c>
      <c r="T18" s="315">
        <f>Assumptions!T234</f>
        <v>0.53058284001865519</v>
      </c>
      <c r="U18" s="315">
        <f>Assumptions!U234</f>
        <v>0.51506448140919947</v>
      </c>
      <c r="V18" s="315">
        <f>Assumptions!V234</f>
        <v>0.5</v>
      </c>
      <c r="W18" s="315">
        <f>Assumptions!W234</f>
        <v>0.5</v>
      </c>
      <c r="X18" s="315">
        <f>Assumptions!X234</f>
        <v>0.5</v>
      </c>
      <c r="Y18" s="315">
        <f>Assumptions!Y234</f>
        <v>0.5</v>
      </c>
      <c r="Z18" s="315">
        <f>Assumptions!Z234</f>
        <v>0.5</v>
      </c>
      <c r="AA18" s="315">
        <f>Assumptions!AA234</f>
        <v>0.5</v>
      </c>
      <c r="AB18" s="315">
        <f>Assumptions!AB234</f>
        <v>0.5</v>
      </c>
      <c r="AC18" s="315">
        <f>Assumptions!AC234</f>
        <v>0.5</v>
      </c>
      <c r="AD18" s="315">
        <f>Assumptions!AD234</f>
        <v>0.5</v>
      </c>
      <c r="AE18" s="315">
        <f>Assumptions!AE234</f>
        <v>0.5</v>
      </c>
      <c r="AF18" s="315">
        <f>Assumptions!AF234</f>
        <v>0.5</v>
      </c>
      <c r="AG18" s="315">
        <f>Assumptions!AG234</f>
        <v>0.5</v>
      </c>
      <c r="AH18" s="315">
        <f>Assumptions!AH234</f>
        <v>0.5</v>
      </c>
      <c r="AI18" s="315">
        <f>Assumptions!AI234</f>
        <v>0.5</v>
      </c>
      <c r="AJ18" s="315">
        <f>Assumptions!AJ234</f>
        <v>0.5</v>
      </c>
      <c r="AK18" s="315">
        <f>Assumptions!AK234</f>
        <v>0.5</v>
      </c>
      <c r="AL18" s="315">
        <f>Assumptions!AL234</f>
        <v>0.5</v>
      </c>
      <c r="AM18" s="315">
        <f>Assumptions!AM234</f>
        <v>0.5</v>
      </c>
      <c r="AN18" s="315">
        <f>Assumptions!AN234</f>
        <v>0.5</v>
      </c>
      <c r="AO18" s="315">
        <f>Assumptions!AO234</f>
        <v>0.5</v>
      </c>
      <c r="AP18" s="315">
        <f>Assumptions!AP234</f>
        <v>0.5</v>
      </c>
    </row>
    <row r="19" spans="1:42" x14ac:dyDescent="0.35">
      <c r="A19" s="305" t="s">
        <v>457</v>
      </c>
      <c r="C19" s="316">
        <f>Assumptions!C235</f>
        <v>1</v>
      </c>
      <c r="D19" s="316">
        <f>Assumptions!D235</f>
        <v>1</v>
      </c>
      <c r="E19" s="316">
        <f>Assumptions!E235</f>
        <v>1</v>
      </c>
      <c r="F19" s="316">
        <f>Assumptions!F235</f>
        <v>0.99595</v>
      </c>
      <c r="G19" s="316">
        <f>Assumptions!G235</f>
        <v>0.99191640250000002</v>
      </c>
      <c r="H19" s="316">
        <f>Assumptions!H235</f>
        <v>0.98789914106987498</v>
      </c>
      <c r="I19" s="316">
        <f>Assumptions!I235</f>
        <v>0.98389814954854193</v>
      </c>
      <c r="J19" s="316">
        <f>Assumptions!J235</f>
        <v>0.97991336204287038</v>
      </c>
      <c r="K19" s="316">
        <f>Assumptions!K235</f>
        <v>0.97594471292659679</v>
      </c>
      <c r="L19" s="316">
        <f>Assumptions!L235</f>
        <v>0.97199213683924413</v>
      </c>
      <c r="M19" s="316">
        <f>Assumptions!M235</f>
        <v>0.96805556868504516</v>
      </c>
      <c r="N19" s="316">
        <f>Assumptions!N235</f>
        <v>0.96413494363187069</v>
      </c>
      <c r="O19" s="316">
        <f>Assumptions!O235</f>
        <v>0.96023019711016167</v>
      </c>
      <c r="P19" s="316">
        <f>Assumptions!P235</f>
        <v>0.95634126481186554</v>
      </c>
      <c r="Q19" s="316">
        <f>Assumptions!Q235</f>
        <v>0.95246808268937744</v>
      </c>
      <c r="R19" s="316">
        <f>Assumptions!R235</f>
        <v>0.94861058695448541</v>
      </c>
      <c r="S19" s="316">
        <f>Assumptions!S235</f>
        <v>0.94476871407731977</v>
      </c>
      <c r="T19" s="316">
        <f>Assumptions!T235</f>
        <v>0.94094240078530667</v>
      </c>
      <c r="U19" s="316">
        <f>Assumptions!U235</f>
        <v>0.93713158406212616</v>
      </c>
      <c r="V19" s="316">
        <f>Assumptions!V235</f>
        <v>0.93333620114667459</v>
      </c>
      <c r="W19" s="316">
        <f>Assumptions!W235</f>
        <v>0.92955618953203056</v>
      </c>
      <c r="X19" s="316">
        <f>Assumptions!X235</f>
        <v>0.92579148696442581</v>
      </c>
      <c r="Y19" s="316">
        <f>Assumptions!Y235</f>
        <v>0.92204203144221986</v>
      </c>
      <c r="Z19" s="316">
        <f>Assumptions!Z235</f>
        <v>0.91830776121487889</v>
      </c>
      <c r="AA19" s="316">
        <f>Assumptions!AA235</f>
        <v>0.91458861478195863</v>
      </c>
      <c r="AB19" s="316">
        <f>Assumptions!AB235</f>
        <v>0.91088453089209165</v>
      </c>
      <c r="AC19" s="316">
        <f>Assumptions!AC235</f>
        <v>0.90719544854197864</v>
      </c>
      <c r="AD19" s="316">
        <f>Assumptions!AD235</f>
        <v>0.90352130697538369</v>
      </c>
      <c r="AE19" s="316">
        <f>Assumptions!AE235</f>
        <v>0.89986204568213335</v>
      </c>
      <c r="AF19" s="316">
        <f>Assumptions!AF235</f>
        <v>0.89621760439712073</v>
      </c>
      <c r="AG19" s="316">
        <f>Assumptions!AG235</f>
        <v>0.89258792309931234</v>
      </c>
      <c r="AH19" s="316">
        <f>Assumptions!AH235</f>
        <v>0.88897294201076016</v>
      </c>
      <c r="AI19" s="316">
        <f>Assumptions!AI235</f>
        <v>0.88537260159561659</v>
      </c>
      <c r="AJ19" s="316">
        <f>Assumptions!AJ235</f>
        <v>0.88178684255915429</v>
      </c>
      <c r="AK19" s="316">
        <f>Assumptions!AK235</f>
        <v>0.8782156058467897</v>
      </c>
      <c r="AL19" s="316">
        <f>Assumptions!AL235</f>
        <v>0.87465883264311017</v>
      </c>
      <c r="AM19" s="316">
        <f>Assumptions!AM235</f>
        <v>0.87111646437090562</v>
      </c>
      <c r="AN19" s="316">
        <f>Assumptions!AN235</f>
        <v>0.86758844269020341</v>
      </c>
      <c r="AO19" s="316">
        <f>Assumptions!AO235</f>
        <v>0.86407470949730814</v>
      </c>
      <c r="AP19" s="316">
        <f>Assumptions!AP235</f>
        <v>0.86057520692384404</v>
      </c>
    </row>
    <row r="20" spans="1:42" x14ac:dyDescent="0.35">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row>
    <row r="21" spans="1:42" x14ac:dyDescent="0.35">
      <c r="A21" s="305" t="s">
        <v>458</v>
      </c>
      <c r="C21" s="306"/>
      <c r="D21" s="306"/>
      <c r="E21" s="306"/>
      <c r="F21" s="307">
        <f t="shared" ref="F21:AP21" si="10">(F11*F19)-F11</f>
        <v>-2860750.7566530704</v>
      </c>
      <c r="G21" s="307">
        <f t="shared" si="10"/>
        <v>-5881212.9369238615</v>
      </c>
      <c r="H21" s="307">
        <f t="shared" si="10"/>
        <v>-9068086.3229985237</v>
      </c>
      <c r="I21" s="307">
        <f t="shared" si="10"/>
        <v>-12428320.982657313</v>
      </c>
      <c r="J21" s="307">
        <f t="shared" si="10"/>
        <v>-15969126.050984979</v>
      </c>
      <c r="K21" s="307">
        <f t="shared" si="10"/>
        <v>-19697978.808414817</v>
      </c>
      <c r="L21" s="307">
        <f t="shared" si="10"/>
        <v>-23622634.064846635</v>
      </c>
      <c r="M21" s="307">
        <f t="shared" si="10"/>
        <v>-27751133.859892488</v>
      </c>
      <c r="N21" s="307">
        <f t="shared" si="10"/>
        <v>-32091817.489627838</v>
      </c>
      <c r="O21" s="307">
        <f t="shared" si="10"/>
        <v>-36653331.870558739</v>
      </c>
      <c r="P21" s="307">
        <f t="shared" si="10"/>
        <v>-41444642.251864552</v>
      </c>
      <c r="Q21" s="307">
        <f t="shared" si="10"/>
        <v>-46475043.287326694</v>
      </c>
      <c r="R21" s="307">
        <f t="shared" si="10"/>
        <v>-51754170.478724957</v>
      </c>
      <c r="S21" s="307">
        <f t="shared" si="10"/>
        <v>-57292012.002861738</v>
      </c>
      <c r="T21" s="307">
        <f t="shared" si="10"/>
        <v>-63098920.934762478</v>
      </c>
      <c r="U21" s="307">
        <f t="shared" si="10"/>
        <v>-69185627.880007505</v>
      </c>
      <c r="V21" s="307">
        <f t="shared" si="10"/>
        <v>-75563254.029564023</v>
      </c>
      <c r="W21" s="307">
        <f t="shared" si="10"/>
        <v>-82243324.650920391</v>
      </c>
      <c r="X21" s="307">
        <f t="shared" si="10"/>
        <v>-89237783.029759884</v>
      </c>
      <c r="Y21" s="307">
        <f t="shared" si="10"/>
        <v>-96559004.87687993</v>
      </c>
      <c r="Z21" s="307">
        <f t="shared" si="10"/>
        <v>-104219813.21552253</v>
      </c>
      <c r="AA21" s="307">
        <f t="shared" si="10"/>
        <v>-112233493.76477528</v>
      </c>
      <c r="AB21" s="307">
        <f t="shared" si="10"/>
        <v>-120613810.83520269</v>
      </c>
      <c r="AC21" s="307">
        <f t="shared" si="10"/>
        <v>-129375023.75338554</v>
      </c>
      <c r="AD21" s="307">
        <f t="shared" si="10"/>
        <v>-138531903.83257627</v>
      </c>
      <c r="AE21" s="307">
        <f t="shared" si="10"/>
        <v>-148099751.90723777</v>
      </c>
      <c r="AF21" s="307">
        <f t="shared" si="10"/>
        <v>-158094416.44979119</v>
      </c>
      <c r="AG21" s="307">
        <f t="shared" si="10"/>
        <v>-168532312.28849459</v>
      </c>
      <c r="AH21" s="307">
        <f t="shared" si="10"/>
        <v>-179430439.94597077</v>
      </c>
      <c r="AI21" s="307">
        <f t="shared" si="10"/>
        <v>-190806405.61853409</v>
      </c>
      <c r="AJ21" s="307">
        <f t="shared" si="10"/>
        <v>-202678441.81710386</v>
      </c>
      <c r="AK21" s="307">
        <f t="shared" si="10"/>
        <v>-215065428.69115996</v>
      </c>
      <c r="AL21" s="307">
        <f t="shared" si="10"/>
        <v>-227986916.05787992</v>
      </c>
      <c r="AM21" s="307">
        <f t="shared" si="10"/>
        <v>-241463146.15930438</v>
      </c>
      <c r="AN21" s="307">
        <f t="shared" si="10"/>
        <v>-255515077.17110419</v>
      </c>
      <c r="AO21" s="307">
        <f t="shared" si="10"/>
        <v>-270164407.48727894</v>
      </c>
      <c r="AP21" s="307">
        <f t="shared" si="10"/>
        <v>-285433600.80588889</v>
      </c>
    </row>
    <row r="23" spans="1:42" x14ac:dyDescent="0.35">
      <c r="A23" s="305" t="s">
        <v>459</v>
      </c>
      <c r="C23" s="306"/>
      <c r="D23" s="306"/>
      <c r="E23" s="306"/>
      <c r="F23" s="307">
        <f t="shared" ref="F23:AP23" si="11">(F13*F17)-F13</f>
        <v>0</v>
      </c>
      <c r="G23" s="307">
        <f t="shared" si="11"/>
        <v>0</v>
      </c>
      <c r="H23" s="307">
        <f>(H13*H17)-H13</f>
        <v>-9058188.1144319773</v>
      </c>
      <c r="I23" s="307">
        <f t="shared" si="11"/>
        <v>-18017500.784341335</v>
      </c>
      <c r="J23" s="307">
        <f t="shared" si="11"/>
        <v>-26890135.925928295</v>
      </c>
      <c r="K23" s="307">
        <f t="shared" si="11"/>
        <v>-35688036.941565186</v>
      </c>
      <c r="L23" s="307">
        <f t="shared" si="11"/>
        <v>-44422910.470511541</v>
      </c>
      <c r="M23" s="307">
        <f t="shared" si="11"/>
        <v>-49696431.390793175</v>
      </c>
      <c r="N23" s="307">
        <f t="shared" si="11"/>
        <v>-55096555.147136092</v>
      </c>
      <c r="O23" s="307">
        <f t="shared" si="11"/>
        <v>-60627333.257406518</v>
      </c>
      <c r="P23" s="307">
        <f t="shared" si="11"/>
        <v>-165732341.88162234</v>
      </c>
      <c r="Q23" s="307">
        <f t="shared" si="11"/>
        <v>-180244149.44694918</v>
      </c>
      <c r="R23" s="307">
        <f t="shared" si="11"/>
        <v>-193149892.65158671</v>
      </c>
      <c r="S23" s="307">
        <f t="shared" si="11"/>
        <v>-206441869.41823712</v>
      </c>
      <c r="T23" s="307">
        <f t="shared" si="11"/>
        <v>-220131666.87128183</v>
      </c>
      <c r="U23" s="307">
        <f t="shared" si="11"/>
        <v>-234231219.7488189</v>
      </c>
      <c r="V23" s="307">
        <f t="shared" si="11"/>
        <v>-248752820.8310748</v>
      </c>
      <c r="W23" s="307">
        <f t="shared" si="11"/>
        <v>-256215405.45600703</v>
      </c>
      <c r="X23" s="307">
        <f t="shared" si="11"/>
        <v>-263901867.61968723</v>
      </c>
      <c r="Y23" s="307">
        <f t="shared" si="11"/>
        <v>-271818923.64827782</v>
      </c>
      <c r="Z23" s="307">
        <f t="shared" si="11"/>
        <v>-447957586.17236191</v>
      </c>
      <c r="AA23" s="307">
        <f t="shared" si="11"/>
        <v>-461396313.75753278</v>
      </c>
      <c r="AB23" s="307">
        <f t="shared" si="11"/>
        <v>-475238203.17025882</v>
      </c>
      <c r="AC23" s="307">
        <f t="shared" si="11"/>
        <v>-489495349.26536661</v>
      </c>
      <c r="AD23" s="307">
        <f t="shared" si="11"/>
        <v>-504180209.74332756</v>
      </c>
      <c r="AE23" s="307">
        <f t="shared" si="11"/>
        <v>-519305616.03562748</v>
      </c>
      <c r="AF23" s="307">
        <f t="shared" si="11"/>
        <v>-534884784.51669627</v>
      </c>
      <c r="AG23" s="307">
        <f t="shared" si="11"/>
        <v>-550931328.05219722</v>
      </c>
      <c r="AH23" s="307">
        <f t="shared" si="11"/>
        <v>-567459267.89376318</v>
      </c>
      <c r="AI23" s="307">
        <f t="shared" si="11"/>
        <v>-584483045.93057609</v>
      </c>
      <c r="AJ23" s="307">
        <f t="shared" si="11"/>
        <v>0</v>
      </c>
      <c r="AK23" s="307">
        <f t="shared" si="11"/>
        <v>0</v>
      </c>
      <c r="AL23" s="307">
        <f t="shared" si="11"/>
        <v>0</v>
      </c>
      <c r="AM23" s="307">
        <f t="shared" si="11"/>
        <v>0</v>
      </c>
      <c r="AN23" s="307">
        <f t="shared" si="11"/>
        <v>0</v>
      </c>
      <c r="AO23" s="307">
        <f t="shared" si="11"/>
        <v>0</v>
      </c>
      <c r="AP23" s="307">
        <f t="shared" si="11"/>
        <v>0</v>
      </c>
    </row>
    <row r="24" spans="1:42" x14ac:dyDescent="0.35">
      <c r="A24" s="305" t="s">
        <v>460</v>
      </c>
      <c r="C24" s="306"/>
      <c r="D24" s="306"/>
      <c r="E24" s="306"/>
      <c r="F24" s="307">
        <f>(F14*F18)-F14</f>
        <v>0</v>
      </c>
      <c r="G24" s="307">
        <f>(G14*G18)-G14</f>
        <v>0</v>
      </c>
      <c r="H24" s="307">
        <f>(H14*H18)-H14</f>
        <v>-36232752.457727909</v>
      </c>
      <c r="I24" s="307">
        <f t="shared" ref="I24:AP24" si="12">(I14*I18)-I14</f>
        <v>-72070003.137365341</v>
      </c>
      <c r="J24" s="307">
        <f t="shared" si="12"/>
        <v>-107560543.70371318</v>
      </c>
      <c r="K24" s="307">
        <f t="shared" si="12"/>
        <v>-142752147.76626074</v>
      </c>
      <c r="L24" s="307">
        <f t="shared" si="12"/>
        <v>-177691641.88204616</v>
      </c>
      <c r="M24" s="307">
        <f t="shared" si="12"/>
        <v>-198785725.5631727</v>
      </c>
      <c r="N24" s="307">
        <f t="shared" si="12"/>
        <v>-220386220.58854437</v>
      </c>
      <c r="O24" s="307">
        <f t="shared" si="12"/>
        <v>-242509333.02962607</v>
      </c>
      <c r="P24" s="307">
        <f t="shared" si="12"/>
        <v>-662929367.52648938</v>
      </c>
      <c r="Q24" s="307">
        <f t="shared" si="12"/>
        <v>-720976597.78779674</v>
      </c>
      <c r="R24" s="307">
        <f t="shared" si="12"/>
        <v>-772599570.60634685</v>
      </c>
      <c r="S24" s="307">
        <f t="shared" si="12"/>
        <v>-825767477.67294848</v>
      </c>
      <c r="T24" s="307">
        <f t="shared" si="12"/>
        <v>-880526667.48512733</v>
      </c>
      <c r="U24" s="307">
        <f t="shared" si="12"/>
        <v>-936924878.99527562</v>
      </c>
      <c r="V24" s="307">
        <f t="shared" si="12"/>
        <v>-995011283.32429922</v>
      </c>
      <c r="W24" s="307">
        <f t="shared" si="12"/>
        <v>-1024861621.8240281</v>
      </c>
      <c r="X24" s="307">
        <f t="shared" si="12"/>
        <v>-1055607470.4787489</v>
      </c>
      <c r="Y24" s="307">
        <f t="shared" si="12"/>
        <v>-1087275694.5931113</v>
      </c>
      <c r="Z24" s="307">
        <f t="shared" si="12"/>
        <v>-1791830344.6894476</v>
      </c>
      <c r="AA24" s="307">
        <f t="shared" si="12"/>
        <v>-1845585255.0301311</v>
      </c>
      <c r="AB24" s="307">
        <f t="shared" si="12"/>
        <v>-1900952812.6810353</v>
      </c>
      <c r="AC24" s="307">
        <f t="shared" si="12"/>
        <v>-1957981397.0614665</v>
      </c>
      <c r="AD24" s="307">
        <f t="shared" si="12"/>
        <v>-2016720838.9733102</v>
      </c>
      <c r="AE24" s="307">
        <f t="shared" si="12"/>
        <v>-2077222464.1425099</v>
      </c>
      <c r="AF24" s="307">
        <f t="shared" si="12"/>
        <v>-2139539138.0667851</v>
      </c>
      <c r="AG24" s="307">
        <f t="shared" si="12"/>
        <v>-2203725312.2087889</v>
      </c>
      <c r="AH24" s="307">
        <f t="shared" si="12"/>
        <v>-2269837071.5750527</v>
      </c>
      <c r="AI24" s="307">
        <f t="shared" si="12"/>
        <v>-2337932183.7223043</v>
      </c>
      <c r="AJ24" s="307">
        <f t="shared" si="12"/>
        <v>0</v>
      </c>
      <c r="AK24" s="307">
        <f t="shared" si="12"/>
        <v>0</v>
      </c>
      <c r="AL24" s="307">
        <f t="shared" si="12"/>
        <v>0</v>
      </c>
      <c r="AM24" s="307">
        <f t="shared" si="12"/>
        <v>0</v>
      </c>
      <c r="AN24" s="307">
        <f t="shared" si="12"/>
        <v>0</v>
      </c>
      <c r="AO24" s="307">
        <f t="shared" si="12"/>
        <v>0</v>
      </c>
      <c r="AP24" s="307">
        <f t="shared" si="12"/>
        <v>0</v>
      </c>
    </row>
    <row r="25" spans="1:42" x14ac:dyDescent="0.35">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row>
    <row r="26" spans="1:42" x14ac:dyDescent="0.35">
      <c r="A26" s="305" t="s">
        <v>461</v>
      </c>
      <c r="C26" s="306"/>
      <c r="D26" s="306"/>
      <c r="E26" s="306"/>
      <c r="F26" s="307">
        <f t="shared" ref="F26:AP26" si="13">(F12*F19)-F12</f>
        <v>-2511235.450470686</v>
      </c>
      <c r="G26" s="307">
        <f t="shared" si="13"/>
        <v>-5162669.4092879295</v>
      </c>
      <c r="H26" s="307">
        <f t="shared" si="13"/>
        <v>-7960183.1055300236</v>
      </c>
      <c r="I26" s="307">
        <f t="shared" si="13"/>
        <v>-10909877.474957705</v>
      </c>
      <c r="J26" s="307">
        <f t="shared" si="13"/>
        <v>-14018080.868808627</v>
      </c>
      <c r="K26" s="307">
        <f t="shared" si="13"/>
        <v>-17291357.022722363</v>
      </c>
      <c r="L26" s="307">
        <f t="shared" si="13"/>
        <v>-20736513.294343233</v>
      </c>
      <c r="M26" s="307">
        <f t="shared" si="13"/>
        <v>-24360609.178428531</v>
      </c>
      <c r="N26" s="307">
        <f t="shared" si="13"/>
        <v>-28170965.10856986</v>
      </c>
      <c r="O26" s="307">
        <f t="shared" si="13"/>
        <v>-32175171.554931879</v>
      </c>
      <c r="P26" s="307">
        <f t="shared" si="13"/>
        <v>-90952746.069288969</v>
      </c>
      <c r="Q26" s="307">
        <f t="shared" si="13"/>
        <v>-101992261.99090338</v>
      </c>
      <c r="R26" s="307">
        <f t="shared" si="13"/>
        <v>-113577622.33709192</v>
      </c>
      <c r="S26" s="307">
        <f t="shared" si="13"/>
        <v>-125730746.75920296</v>
      </c>
      <c r="T26" s="307">
        <f t="shared" si="13"/>
        <v>-138474355.6995573</v>
      </c>
      <c r="U26" s="307">
        <f t="shared" si="13"/>
        <v>-151831998.11385822</v>
      </c>
      <c r="V26" s="307">
        <f t="shared" si="13"/>
        <v>-165828080.1208005</v>
      </c>
      <c r="W26" s="307">
        <f t="shared" si="13"/>
        <v>-180487894.60916901</v>
      </c>
      <c r="X26" s="307">
        <f t="shared" si="13"/>
        <v>-195837651.8336792</v>
      </c>
      <c r="Y26" s="307">
        <f t="shared" si="13"/>
        <v>-211904511.03182077</v>
      </c>
      <c r="Z26" s="307">
        <f t="shared" si="13"/>
        <v>-365946580.9519906</v>
      </c>
      <c r="AA26" s="307">
        <f t="shared" si="13"/>
        <v>-394084982.92528915</v>
      </c>
      <c r="AB26" s="307">
        <f t="shared" si="13"/>
        <v>-423510754.13517094</v>
      </c>
      <c r="AC26" s="307">
        <f t="shared" si="13"/>
        <v>-454273963.29359818</v>
      </c>
      <c r="AD26" s="307">
        <f t="shared" si="13"/>
        <v>-486426476.84913158</v>
      </c>
      <c r="AE26" s="307">
        <f t="shared" si="13"/>
        <v>-520022020.55587292</v>
      </c>
      <c r="AF26" s="307">
        <f t="shared" si="13"/>
        <v>-555116243.08672619</v>
      </c>
      <c r="AG26" s="307">
        <f t="shared" si="13"/>
        <v>-591766781.75740623</v>
      </c>
      <c r="AH26" s="307">
        <f t="shared" si="13"/>
        <v>-630033330.42972374</v>
      </c>
      <c r="AI26" s="307">
        <f t="shared" si="13"/>
        <v>-669977709.66491699</v>
      </c>
      <c r="AJ26" s="307">
        <f t="shared" si="13"/>
        <v>0</v>
      </c>
      <c r="AK26" s="307">
        <f t="shared" si="13"/>
        <v>0</v>
      </c>
      <c r="AL26" s="307">
        <f t="shared" si="13"/>
        <v>0</v>
      </c>
      <c r="AM26" s="307">
        <f t="shared" si="13"/>
        <v>0</v>
      </c>
      <c r="AN26" s="307">
        <f t="shared" si="13"/>
        <v>0</v>
      </c>
      <c r="AO26" s="307">
        <f t="shared" si="13"/>
        <v>0</v>
      </c>
      <c r="AP26" s="307">
        <f t="shared" si="13"/>
        <v>0</v>
      </c>
    </row>
    <row r="27" spans="1:42" x14ac:dyDescent="0.35">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row>
    <row r="28" spans="1:42" x14ac:dyDescent="0.35">
      <c r="A28" s="305" t="s">
        <v>462</v>
      </c>
      <c r="C28" s="306"/>
      <c r="D28" s="306"/>
      <c r="E28" s="306"/>
      <c r="F28" s="307">
        <f t="shared" ref="F28:AP28" si="14">(F15*F19)-F15</f>
        <v>-60025.558725509793</v>
      </c>
      <c r="G28" s="307">
        <f t="shared" si="14"/>
        <v>-246304.72958251089</v>
      </c>
      <c r="H28" s="307">
        <f t="shared" si="14"/>
        <v>-555349.90375840664</v>
      </c>
      <c r="I28" s="307">
        <f t="shared" si="14"/>
        <v>-983945.38146749139</v>
      </c>
      <c r="J28" s="307">
        <f t="shared" si="14"/>
        <v>-1529129.7769468427</v>
      </c>
      <c r="K28" s="307">
        <f t="shared" si="14"/>
        <v>-2188178.9862247407</v>
      </c>
      <c r="L28" s="307">
        <f t="shared" si="14"/>
        <v>-2958589.6685424298</v>
      </c>
      <c r="M28" s="307">
        <f t="shared" si="14"/>
        <v>-3851134.1352593005</v>
      </c>
      <c r="N28" s="307">
        <f t="shared" si="14"/>
        <v>-4868237.6548821181</v>
      </c>
      <c r="O28" s="307">
        <f t="shared" si="14"/>
        <v>-6012363.7040662169</v>
      </c>
      <c r="P28" s="307">
        <f t="shared" si="14"/>
        <v>-8017582.7386293411</v>
      </c>
      <c r="Q28" s="307">
        <f t="shared" si="14"/>
        <v>-10294110.963552743</v>
      </c>
      <c r="R28" s="307">
        <f t="shared" si="14"/>
        <v>-12858104.299922377</v>
      </c>
      <c r="S28" s="307">
        <f t="shared" si="14"/>
        <v>-15716586.987444103</v>
      </c>
      <c r="T28" s="307">
        <f t="shared" si="14"/>
        <v>-18876622.493699908</v>
      </c>
      <c r="U28" s="307">
        <f t="shared" si="14"/>
        <v>-22345304.825263739</v>
      </c>
      <c r="V28" s="307">
        <f t="shared" si="14"/>
        <v>-26129749.144398928</v>
      </c>
      <c r="W28" s="307">
        <f t="shared" si="14"/>
        <v>-30300428.049180508</v>
      </c>
      <c r="X28" s="307">
        <f t="shared" si="14"/>
        <v>-34878619.64271003</v>
      </c>
      <c r="Y28" s="307">
        <f t="shared" si="14"/>
        <v>-39886504.486315012</v>
      </c>
      <c r="Z28" s="307">
        <f t="shared" si="14"/>
        <v>-46724903.194110811</v>
      </c>
      <c r="AA28" s="307">
        <f t="shared" si="14"/>
        <v>-54238874.767119408</v>
      </c>
      <c r="AB28" s="307">
        <f t="shared" si="14"/>
        <v>-62465151.654567003</v>
      </c>
      <c r="AC28" s="307">
        <f t="shared" si="14"/>
        <v>-71442008.967259288</v>
      </c>
      <c r="AD28" s="307">
        <f t="shared" si="14"/>
        <v>-81209320.222789526</v>
      </c>
      <c r="AE28" s="307">
        <f t="shared" si="14"/>
        <v>-91808614.900881648</v>
      </c>
      <c r="AF28" s="307">
        <f t="shared" si="14"/>
        <v>-103283137.86252177</v>
      </c>
      <c r="AG28" s="307">
        <f t="shared" si="14"/>
        <v>-115677910.68798625</v>
      </c>
      <c r="AH28" s="307">
        <f t="shared" si="14"/>
        <v>-129039794.99034679</v>
      </c>
      <c r="AI28" s="307">
        <f t="shared" si="14"/>
        <v>-143417557.76255608</v>
      </c>
      <c r="AJ28" s="307">
        <f t="shared" si="14"/>
        <v>-152341044.53831744</v>
      </c>
      <c r="AK28" s="307">
        <f t="shared" si="14"/>
        <v>-161651588.38381934</v>
      </c>
      <c r="AL28" s="307">
        <f t="shared" si="14"/>
        <v>-171363883.70633388</v>
      </c>
      <c r="AM28" s="307">
        <f t="shared" si="14"/>
        <v>-181493145.36674428</v>
      </c>
      <c r="AN28" s="307">
        <f t="shared" si="14"/>
        <v>-192055126.34965372</v>
      </c>
      <c r="AO28" s="307">
        <f t="shared" si="14"/>
        <v>-203066136.0167141</v>
      </c>
      <c r="AP28" s="307">
        <f t="shared" si="14"/>
        <v>-214543058.96204472</v>
      </c>
    </row>
    <row r="29" spans="1:42" x14ac:dyDescent="0.35">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row>
    <row r="30" spans="1:42" s="304" customFormat="1" x14ac:dyDescent="0.35">
      <c r="A30" s="304" t="s">
        <v>463</v>
      </c>
      <c r="C30" s="306"/>
      <c r="D30" s="306"/>
      <c r="E30" s="306"/>
      <c r="F30" s="307">
        <f t="shared" ref="F30:AP30" si="15">SUM(F11:F12,F15,F21:F24,F26:F28)</f>
        <v>1335805461.28334</v>
      </c>
      <c r="G30" s="307">
        <f t="shared" si="15"/>
        <v>1385388343.2189577</v>
      </c>
      <c r="H30" s="307">
        <f t="shared" si="15"/>
        <v>1390213971.5643902</v>
      </c>
      <c r="I30" s="307">
        <f t="shared" si="15"/>
        <v>1396108904.8991055</v>
      </c>
      <c r="J30" s="307">
        <f t="shared" si="15"/>
        <v>1403052984.1338742</v>
      </c>
      <c r="K30" s="307">
        <f t="shared" si="15"/>
        <v>1411026959.6640468</v>
      </c>
      <c r="L30" s="307">
        <f t="shared" si="15"/>
        <v>1420012448.1973007</v>
      </c>
      <c r="M30" s="307">
        <f t="shared" si="15"/>
        <v>1447437058.3040454</v>
      </c>
      <c r="N30" s="307">
        <f t="shared" si="15"/>
        <v>1475388375.7227831</v>
      </c>
      <c r="O30" s="307">
        <f t="shared" si="15"/>
        <v>1503874064.8139777</v>
      </c>
      <c r="P30" s="307">
        <f t="shared" si="15"/>
        <v>2247117523.3885832</v>
      </c>
      <c r="Q30" s="307">
        <f t="shared" si="15"/>
        <v>2280119082.6876421</v>
      </c>
      <c r="R30" s="307">
        <f t="shared" si="15"/>
        <v>2323504351.3869591</v>
      </c>
      <c r="S30" s="307">
        <f t="shared" si="15"/>
        <v>2367362344.6341381</v>
      </c>
      <c r="T30" s="307">
        <f t="shared" si="15"/>
        <v>2411686564.4655104</v>
      </c>
      <c r="U30" s="307">
        <f t="shared" si="15"/>
        <v>2456469720.3301935</v>
      </c>
      <c r="V30" s="307">
        <f t="shared" si="15"/>
        <v>2501703689.5169125</v>
      </c>
      <c r="W30" s="307">
        <f t="shared" si="15"/>
        <v>2585684007.8708572</v>
      </c>
      <c r="X30" s="307">
        <f t="shared" si="15"/>
        <v>2672091190.7997355</v>
      </c>
      <c r="Y30" s="307">
        <f t="shared" si="15"/>
        <v>2760989144.8430748</v>
      </c>
      <c r="Z30" s="307">
        <f t="shared" si="15"/>
        <v>3570620709.3046231</v>
      </c>
      <c r="AA30" s="307">
        <f t="shared" si="15"/>
        <v>3695489533.4697475</v>
      </c>
      <c r="AB30" s="307">
        <f t="shared" si="15"/>
        <v>3824002901.1309872</v>
      </c>
      <c r="AC30" s="307">
        <f t="shared" si="15"/>
        <v>3956256267.0671597</v>
      </c>
      <c r="AD30" s="307">
        <f t="shared" si="15"/>
        <v>4092347369.7941666</v>
      </c>
      <c r="AE30" s="307">
        <f t="shared" si="15"/>
        <v>4232376280.8865681</v>
      </c>
      <c r="AF30" s="307">
        <f t="shared" si="15"/>
        <v>4376445455.2069607</v>
      </c>
      <c r="AG30" s="307">
        <f t="shared" si="15"/>
        <v>4524659782.0543785</v>
      </c>
      <c r="AH30" s="307">
        <f t="shared" si="15"/>
        <v>4677126637.2428093</v>
      </c>
      <c r="AI30" s="307">
        <f t="shared" si="15"/>
        <v>4833955936.120822</v>
      </c>
      <c r="AJ30" s="307">
        <f t="shared" si="15"/>
        <v>2648195164.5439463</v>
      </c>
      <c r="AK30" s="307">
        <f t="shared" si="15"/>
        <v>2716594073.3513689</v>
      </c>
      <c r="AL30" s="307">
        <f t="shared" si="15"/>
        <v>2786759623.3749247</v>
      </c>
      <c r="AM30" s="307">
        <f t="shared" si="15"/>
        <v>2858737444.3072643</v>
      </c>
      <c r="AN30" s="307">
        <f t="shared" si="15"/>
        <v>2932574344.3875546</v>
      </c>
      <c r="AO30" s="307">
        <f t="shared" si="15"/>
        <v>3008318340.8415685</v>
      </c>
      <c r="AP30" s="307">
        <f t="shared" si="15"/>
        <v>3086018691.107995</v>
      </c>
    </row>
  </sheetData>
  <sheetProtection algorithmName="SHA-512" hashValue="7LbBpJSuHK0Xki9fAn19l6BjO9HMOPeMK5EQ6rVV1/A5zicTzUmEvdT7beiDHbixfdbLlxRxfbKIpK9vdExB4Q==" saltValue="MWVFSw6eIPwbYI6YyFE6Yw==" spinCount="100000" sheet="1" objects="1" scenario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dimension ref="A1:AS28"/>
  <sheetViews>
    <sheetView zoomScaleNormal="100" workbookViewId="0">
      <selection sqref="A1:XFD1048576"/>
    </sheetView>
  </sheetViews>
  <sheetFormatPr defaultColWidth="10.83203125" defaultRowHeight="15.5" x14ac:dyDescent="0.35"/>
  <cols>
    <col min="1" max="1" width="62.83203125" bestFit="1" customWidth="1"/>
    <col min="3"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A3" t="s">
        <v>76</v>
      </c>
      <c r="C3" s="162"/>
      <c r="D3" s="162"/>
      <c r="E3" s="162"/>
      <c r="F3" s="77">
        <f>Assumptions!E101*(1+Assumptions!$B$28)</f>
        <v>1496326797.4595623</v>
      </c>
      <c r="G3" s="77">
        <f>F3*('Price and Financial Ratios'!I4+1)*(1+Assumptions!$B$28)</f>
        <v>1649831795.8398623</v>
      </c>
      <c r="H3" s="77">
        <f>G3*('Price and Financial Ratios'!J4+1)*(1+Assumptions!$B$28)</f>
        <v>1734867669.8517971</v>
      </c>
      <c r="I3" s="77">
        <f>H3*('Price and Financial Ratios'!K4+1)*(1+Assumptions!$B$28)</f>
        <v>1806574956.2582436</v>
      </c>
      <c r="J3" s="77">
        <f>I3*('Price and Financial Ratios'!L4+1)*(1+Assumptions!$B$28)</f>
        <v>1862802530.5638866</v>
      </c>
      <c r="K3" s="77">
        <f>J3*('Price and Financial Ratios'!M4+1)*(1+Assumptions!$B$28)</f>
        <v>1901762498.6691303</v>
      </c>
      <c r="L3" s="77">
        <f>K3*('Price and Financial Ratios'!N4+1)*(1+Assumptions!$B$28)</f>
        <v>1941537303.070684</v>
      </c>
      <c r="M3" s="77">
        <f>L3*('Price and Financial Ratios'!O4+1)*(1+Assumptions!$B$28)</f>
        <v>1982143985.8304915</v>
      </c>
      <c r="N3" s="77">
        <f>M3*('Price and Financial Ratios'!P4+1)*(1+Assumptions!$B$28)</f>
        <v>2003363945.9858179</v>
      </c>
      <c r="O3" s="77">
        <f>N3*('Price and Financial Ratios'!Q4+1)*(1+Assumptions!$B$28)</f>
        <v>2024811077.6847923</v>
      </c>
      <c r="P3" s="77">
        <f>O3*('Price and Financial Ratios'!R4+1)*(1+Assumptions!$B$28)</f>
        <v>2191188971.4155741</v>
      </c>
      <c r="Q3" s="77">
        <f>P3*('Price and Financial Ratios'!S4+1)*(1+Assumptions!$B$28)</f>
        <v>2326497727.355494</v>
      </c>
      <c r="R3" s="77">
        <f>Q3*('Price and Financial Ratios'!T4+1)*(1+Assumptions!$B$28)</f>
        <v>2470161974.1603484</v>
      </c>
      <c r="S3" s="77">
        <f>R3*('Price and Financial Ratios'!U4+1)*(1+Assumptions!$B$28)</f>
        <v>2597479427.3415937</v>
      </c>
      <c r="T3" s="77">
        <f>S3*('Price and Financial Ratios'!V4+1)*(1+Assumptions!$B$28)</f>
        <v>2731359095.4925952</v>
      </c>
      <c r="U3" s="77">
        <f>T3*('Price and Financial Ratios'!W4+1)*(1+Assumptions!$B$28)</f>
        <v>2844254362.5743036</v>
      </c>
      <c r="V3" s="77">
        <f>U3*('Price and Financial Ratios'!X4+1)*(1+Assumptions!$B$28)</f>
        <v>2961815929.7959251</v>
      </c>
      <c r="W3" s="77">
        <f>V3*('Price and Financial Ratios'!Y4+1)*(1+Assumptions!$B$28)</f>
        <v>3084236669.3438554</v>
      </c>
      <c r="X3" s="77">
        <f>W3*('Price and Financial Ratios'!Z4+1)*(1+Assumptions!$B$28)</f>
        <v>3211717425.3906822</v>
      </c>
      <c r="Y3" s="77">
        <f>X3*('Price and Financial Ratios'!AA4+1)*(1+Assumptions!$B$28)</f>
        <v>3344467343.6012959</v>
      </c>
      <c r="Z3" s="77">
        <f>Y3*('Price and Financial Ratios'!AB4+1)*(1+Assumptions!$B$28)</f>
        <v>3585136691.1484303</v>
      </c>
      <c r="AA3" s="77">
        <f>Z3*('Price and Financial Ratios'!AC4+1)*(1+Assumptions!$B$28)</f>
        <v>3806523523.5403738</v>
      </c>
      <c r="AB3" s="77">
        <f>AA3*('Price and Financial Ratios'!AD4+1)*(1+Assumptions!$B$28)</f>
        <v>4041581279.4643393</v>
      </c>
      <c r="AC3" s="77">
        <f>AB3*('Price and Financial Ratios'!AE4+1)*(1+Assumptions!$B$28)</f>
        <v>4249893058.4930434</v>
      </c>
      <c r="AD3" s="77">
        <f>AC3*('Price and Financial Ratios'!AF4+1)*(1+Assumptions!$B$28)</f>
        <v>4468941673.9928074</v>
      </c>
      <c r="AE3" s="77">
        <f>AD3*('Price and Financial Ratios'!AG4+1)*(1+Assumptions!$B$28)</f>
        <v>4699280525.5742712</v>
      </c>
      <c r="AF3" s="77">
        <f>AE3*('Price and Financial Ratios'!AH4+1)*(1+Assumptions!$B$28)</f>
        <v>4893515890.2694788</v>
      </c>
      <c r="AG3" s="77">
        <f>AF3*('Price and Financial Ratios'!AI4+1)*(1+Assumptions!$B$28)</f>
        <v>5095779585.4065409</v>
      </c>
      <c r="AH3" s="77">
        <f>AG3*('Price and Financial Ratios'!AJ4+1)*(1+Assumptions!$B$28)</f>
        <v>5254379882.7764711</v>
      </c>
      <c r="AI3" s="77">
        <f>AH3*('Price and Financial Ratios'!AK4+1)*(1+Assumptions!$B$28)</f>
        <v>5417916432.569458</v>
      </c>
      <c r="AJ3" s="77">
        <f>AI3*('Price and Financial Ratios'!AL4+1)*(1+Assumptions!$B$28)</f>
        <v>5531230564.3394451</v>
      </c>
      <c r="AK3" s="77">
        <f>AJ3*('Price and Financial Ratios'!AM4+1)*(1+Assumptions!$B$28)</f>
        <v>5646914627.9122925</v>
      </c>
      <c r="AL3" s="77">
        <f>AK3*('Price and Financial Ratios'!AN4+1)*(1+Assumptions!$B$28)</f>
        <v>5765018189.7159691</v>
      </c>
      <c r="AM3" s="77">
        <f>AL3*('Price and Financial Ratios'!AO4+1)*(1+Assumptions!$B$28)</f>
        <v>5885591852.8457346</v>
      </c>
      <c r="AN3" s="77">
        <f>AM3*('Price and Financial Ratios'!AP4+1)*(1+Assumptions!$B$28)</f>
        <v>6008687278.7457304</v>
      </c>
      <c r="AO3" s="77">
        <f>AN3*('Price and Financial Ratios'!AQ4+1)*(1+Assumptions!$B$28)</f>
        <v>6134357209.344039</v>
      </c>
      <c r="AP3" s="77">
        <f>AO3*('Price and Financial Ratios'!AR4+1)*(1+Assumptions!$B$28)</f>
        <v>6262655489.6506853</v>
      </c>
      <c r="AQ3" s="77"/>
      <c r="AR3" s="77"/>
      <c r="AS3" s="77"/>
    </row>
    <row r="4" spans="1:45" x14ac:dyDescent="0.35">
      <c r="A4" t="s">
        <v>464</v>
      </c>
      <c r="C4" s="162"/>
      <c r="D4" s="162"/>
      <c r="E4" s="162"/>
      <c r="F4" s="77">
        <f>F25</f>
        <v>618551649.39652872</v>
      </c>
      <c r="G4" s="77">
        <f t="shared" ref="G4:AF4" si="1">G25</f>
        <v>639405468.76473081</v>
      </c>
      <c r="H4" s="77">
        <f t="shared" si="1"/>
        <v>619071984.72048032</v>
      </c>
      <c r="I4" s="77">
        <f t="shared" si="1"/>
        <v>599276386.80046892</v>
      </c>
      <c r="J4" s="77">
        <f t="shared" si="1"/>
        <v>579983230.52976453</v>
      </c>
      <c r="K4" s="77">
        <f t="shared" si="1"/>
        <v>454014141.37245238</v>
      </c>
      <c r="L4" s="77">
        <f t="shared" si="1"/>
        <v>433920583.48519081</v>
      </c>
      <c r="M4" s="77">
        <f t="shared" si="1"/>
        <v>429916460.41929173</v>
      </c>
      <c r="N4" s="77">
        <f t="shared" si="1"/>
        <v>425667189.11701733</v>
      </c>
      <c r="O4" s="77">
        <f t="shared" si="1"/>
        <v>421158856.71957064</v>
      </c>
      <c r="P4" s="77">
        <f t="shared" si="1"/>
        <v>416376835.92985737</v>
      </c>
      <c r="Q4" s="77">
        <f t="shared" si="1"/>
        <v>411305750.30846953</v>
      </c>
      <c r="R4" s="77">
        <f t="shared" si="1"/>
        <v>409594300.49837291</v>
      </c>
      <c r="S4" s="77">
        <f t="shared" si="1"/>
        <v>407582262.89882457</v>
      </c>
      <c r="T4" s="77">
        <f t="shared" si="1"/>
        <v>405251945.2402128</v>
      </c>
      <c r="U4" s="77">
        <f t="shared" si="1"/>
        <v>402584751.36306733</v>
      </c>
      <c r="V4" s="77">
        <f t="shared" si="1"/>
        <v>399561137.61175483</v>
      </c>
      <c r="W4" s="77">
        <f t="shared" si="1"/>
        <v>412150823.26976395</v>
      </c>
      <c r="X4" s="77">
        <f t="shared" si="1"/>
        <v>425115185.75368249</v>
      </c>
      <c r="Y4" s="77">
        <f t="shared" si="1"/>
        <v>438464304.1102488</v>
      </c>
      <c r="Z4" s="77">
        <f t="shared" si="1"/>
        <v>452208473.28191507</v>
      </c>
      <c r="AA4" s="77">
        <f t="shared" si="1"/>
        <v>466358205.58130729</v>
      </c>
      <c r="AB4" s="77">
        <f t="shared" si="1"/>
        <v>480924231.95014751</v>
      </c>
      <c r="AC4" s="77">
        <f t="shared" si="1"/>
        <v>495917502.98347139</v>
      </c>
      <c r="AD4" s="77">
        <f t="shared" si="1"/>
        <v>511349189.69879544</v>
      </c>
      <c r="AE4" s="77">
        <f t="shared" si="1"/>
        <v>527230684.0286516</v>
      </c>
      <c r="AF4" s="77">
        <f t="shared" si="1"/>
        <v>543573599.01361394</v>
      </c>
      <c r="AG4" s="77">
        <f t="shared" ref="AG4:AP4" si="2">AG25</f>
        <v>560389768.67156017</v>
      </c>
      <c r="AH4" s="77">
        <f t="shared" si="2"/>
        <v>577691247.51747751</v>
      </c>
      <c r="AI4" s="77">
        <f t="shared" si="2"/>
        <v>595490309.70659351</v>
      </c>
      <c r="AJ4" s="77">
        <f t="shared" si="2"/>
        <v>613799447.77202535</v>
      </c>
      <c r="AK4" s="77">
        <f t="shared" si="2"/>
        <v>632631370.92644894</v>
      </c>
      <c r="AL4" s="77">
        <f t="shared" si="2"/>
        <v>651999002.89552104</v>
      </c>
      <c r="AM4" s="77">
        <f t="shared" si="2"/>
        <v>671915479.24893105</v>
      </c>
      <c r="AN4" s="77">
        <f t="shared" si="2"/>
        <v>692394144.19299126</v>
      </c>
      <c r="AO4" s="77">
        <f t="shared" si="2"/>
        <v>713448546.78662348</v>
      </c>
      <c r="AP4" s="77">
        <f t="shared" si="2"/>
        <v>735092436.54042006</v>
      </c>
    </row>
    <row r="5" spans="1:45" x14ac:dyDescent="0.35">
      <c r="A5" t="s">
        <v>465</v>
      </c>
      <c r="C5" s="162"/>
      <c r="D5" s="162"/>
      <c r="E5" s="162"/>
      <c r="F5" s="77">
        <f>Depreciation!F6+Depreciation!F7</f>
        <v>721179337.1305083</v>
      </c>
      <c r="G5" s="77">
        <f>Depreciation!G6+Depreciation!G7</f>
        <v>758018650.29851055</v>
      </c>
      <c r="H5" s="77">
        <f>Depreciation!H6+Depreciation!H7</f>
        <v>795268855.07270837</v>
      </c>
      <c r="I5" s="77">
        <f>Depreciation!I6+Depreciation!I7</f>
        <v>832964285.97188187</v>
      </c>
      <c r="J5" s="77">
        <f>Depreciation!J6+Depreciation!J7</f>
        <v>871139105.77160335</v>
      </c>
      <c r="K5" s="77">
        <f>Depreciation!K6+Depreciation!K7</f>
        <v>909827337.65992165</v>
      </c>
      <c r="L5" s="77">
        <f>Depreciation!L6+Depreciation!L7</f>
        <v>949062896.40239847</v>
      </c>
      <c r="M5" s="77">
        <f>Depreciation!M6+Depreciation!M7</f>
        <v>989288796.02114367</v>
      </c>
      <c r="N5" s="77">
        <f>Depreciation!N6+Depreciation!N7</f>
        <v>1030531076.4087822</v>
      </c>
      <c r="O5" s="77">
        <f>Depreciation!O6+Depreciation!O7</f>
        <v>1072816370.0687228</v>
      </c>
      <c r="P5" s="77">
        <f>Depreciation!P6+Depreciation!P7</f>
        <v>1132928491.3397291</v>
      </c>
      <c r="Q5" s="77">
        <f>Depreciation!Q6+Depreciation!Q7</f>
        <v>1194337562.2719195</v>
      </c>
      <c r="R5" s="77">
        <f>Depreciation!R6+Depreciation!R7</f>
        <v>1257307117.351613</v>
      </c>
      <c r="S5" s="77">
        <f>Depreciation!S6+Depreciation!S7</f>
        <v>1321870345.2335429</v>
      </c>
      <c r="T5" s="77">
        <f>Depreciation!T6+Depreciation!T7</f>
        <v>1388060884.9414108</v>
      </c>
      <c r="U5" s="77">
        <f>Depreciation!U6+Depreciation!U7</f>
        <v>1455912819.494633</v>
      </c>
      <c r="V5" s="77">
        <f>Depreciation!V6+Depreciation!V7</f>
        <v>1525460668.656302</v>
      </c>
      <c r="W5" s="77">
        <f>Depreciation!W6+Depreciation!W7</f>
        <v>1597638627.9000916</v>
      </c>
      <c r="X5" s="77">
        <f>Depreciation!X6+Depreciation!X7</f>
        <v>1672535907.2074487</v>
      </c>
      <c r="Y5" s="77">
        <f>Depreciation!Y6+Depreciation!Y7</f>
        <v>1750244546.9967017</v>
      </c>
      <c r="Z5" s="77">
        <f>Depreciation!Z6+Depreciation!Z7</f>
        <v>1847724075.8044384</v>
      </c>
      <c r="AA5" s="77">
        <f>Depreciation!AA6+Depreciation!AA7</f>
        <v>1949065316.1392686</v>
      </c>
      <c r="AB5" s="77">
        <f>Depreciation!AB6+Depreciation!AB7</f>
        <v>2054401601.9046338</v>
      </c>
      <c r="AC5" s="77">
        <f>Depreciation!AC6+Depreciation!AC7</f>
        <v>2163870516.7545705</v>
      </c>
      <c r="AD5" s="77">
        <f>Depreciation!AD6+Depreciation!AD7</f>
        <v>2277614021.982028</v>
      </c>
      <c r="AE5" s="77">
        <f>Depreciation!AE6+Depreciation!AE7</f>
        <v>2395778588.072423</v>
      </c>
      <c r="AF5" s="77">
        <f>Depreciation!AF6+Depreciation!AF7</f>
        <v>2518515330.0225182</v>
      </c>
      <c r="AG5" s="77">
        <f>Depreciation!AG6+Depreciation!AG7</f>
        <v>2645980146.5272794</v>
      </c>
      <c r="AH5" s="77">
        <f>Depreciation!AH6+Depreciation!AH7</f>
        <v>2778333863.1400361</v>
      </c>
      <c r="AI5" s="77">
        <f>Depreciation!AI6+Depreciation!AI7</f>
        <v>2915742379.5139484</v>
      </c>
      <c r="AJ5" s="77">
        <f>Depreciation!AJ6+Depreciation!AJ7</f>
        <v>3003214650.8993673</v>
      </c>
      <c r="AK5" s="77">
        <f>Depreciation!AK6+Depreciation!AK7</f>
        <v>3093311090.4263487</v>
      </c>
      <c r="AL5" s="77">
        <f>Depreciation!AL6+Depreciation!AL7</f>
        <v>3186110423.1391387</v>
      </c>
      <c r="AM5" s="77">
        <f>Depreciation!AM6+Depreciation!AM7</f>
        <v>3281693735.833313</v>
      </c>
      <c r="AN5" s="77">
        <f>Depreciation!AN6+Depreciation!AN7</f>
        <v>3380144547.9083123</v>
      </c>
      <c r="AO5" s="77">
        <f>Depreciation!AO6+Depreciation!AO7</f>
        <v>3481548884.3455615</v>
      </c>
      <c r="AP5" s="77">
        <f>Depreciation!AP6+Depreciation!AP7</f>
        <v>3585995350.8759289</v>
      </c>
    </row>
    <row r="6" spans="1:45" x14ac:dyDescent="0.35">
      <c r="A6" t="s">
        <v>466</v>
      </c>
      <c r="C6" s="162"/>
      <c r="D6" s="162"/>
      <c r="E6" s="162"/>
      <c r="F6" s="77">
        <f ca="1">'Debt worksheet'!F10</f>
        <v>325791440.35108322</v>
      </c>
      <c r="G6" s="77">
        <f ca="1">'Debt worksheet'!G10</f>
        <v>374105247.8921392</v>
      </c>
      <c r="H6" s="77">
        <f ca="1">'Debt worksheet'!H10</f>
        <v>416637722.63304961</v>
      </c>
      <c r="I6" s="77">
        <f ca="1">'Debt worksheet'!I10</f>
        <v>444642388.26001668</v>
      </c>
      <c r="J6" s="77">
        <f ca="1">'Debt worksheet'!J10</f>
        <v>470824070.20283717</v>
      </c>
      <c r="K6" s="77">
        <f ca="1">'Debt worksheet'!K10</f>
        <v>491129831.36096466</v>
      </c>
      <c r="L6" s="77">
        <f ca="1">'Debt worksheet'!L10</f>
        <v>510061699.26758778</v>
      </c>
      <c r="M6" s="77">
        <f ca="1">'Debt worksheet'!M10</f>
        <v>529072003.8555792</v>
      </c>
      <c r="N6" s="77">
        <f ca="1">'Debt worksheet'!N10</f>
        <v>549048006.24253881</v>
      </c>
      <c r="O6" s="77">
        <f ca="1">'Debt worksheet'!O10</f>
        <v>570035260.22554278</v>
      </c>
      <c r="P6" s="77">
        <f ca="1">'Debt worksheet'!P10</f>
        <v>617670418.40457177</v>
      </c>
      <c r="Q6" s="77">
        <f ca="1">'Debt worksheet'!Q10</f>
        <v>662621193.78780305</v>
      </c>
      <c r="R6" s="77">
        <f ca="1">'Debt worksheet'!R10</f>
        <v>705009058.97365355</v>
      </c>
      <c r="S6" s="77">
        <f ca="1">'Debt worksheet'!S10</f>
        <v>745461086.96937466</v>
      </c>
      <c r="T6" s="77">
        <f ca="1">'Debt worksheet'!T10</f>
        <v>783602090.16546321</v>
      </c>
      <c r="U6" s="77">
        <f ca="1">'Debt worksheet'!U10</f>
        <v>820276586.58870173</v>
      </c>
      <c r="V6" s="77">
        <f ca="1">'Debt worksheet'!V10</f>
        <v>855213257.76574588</v>
      </c>
      <c r="W6" s="77">
        <f ca="1">'Debt worksheet'!W10</f>
        <v>890558178.92457259</v>
      </c>
      <c r="X6" s="77">
        <f ca="1">'Debt worksheet'!X10</f>
        <v>926228215.60332227</v>
      </c>
      <c r="Y6" s="77">
        <f ca="1">'Debt worksheet'!Y10</f>
        <v>962130424.91250634</v>
      </c>
      <c r="Z6" s="77">
        <f ca="1">'Debt worksheet'!Z10</f>
        <v>1025828004.7566919</v>
      </c>
      <c r="AA6" s="77">
        <f ca="1">'Debt worksheet'!AA10</f>
        <v>1088686671.4017351</v>
      </c>
      <c r="AB6" s="77">
        <f ca="1">'Debt worksheet'!AB10</f>
        <v>1150236929.5873213</v>
      </c>
      <c r="AC6" s="77">
        <f ca="1">'Debt worksheet'!AC10</f>
        <v>1211808985.0492232</v>
      </c>
      <c r="AD6" s="77">
        <f ca="1">'Debt worksheet'!AD10</f>
        <v>1273113525.2179091</v>
      </c>
      <c r="AE6" s="77">
        <f ca="1">'Debt worksheet'!AE10</f>
        <v>1333828381.000396</v>
      </c>
      <c r="AF6" s="77">
        <f ca="1">'Debt worksheet'!AF10</f>
        <v>1395751531.4086752</v>
      </c>
      <c r="AG6" s="77">
        <f ca="1">'Debt worksheet'!AG10</f>
        <v>1458784052.6909285</v>
      </c>
      <c r="AH6" s="77">
        <f ca="1">'Debt worksheet'!AH10</f>
        <v>1525150559.3354669</v>
      </c>
      <c r="AI6" s="77">
        <f ca="1">'Debt worksheet'!AI10</f>
        <v>1594997429.2720671</v>
      </c>
      <c r="AJ6" s="77">
        <f ca="1">'Debt worksheet'!AJ10</f>
        <v>1564702490.4232578</v>
      </c>
      <c r="AK6" s="77">
        <f ca="1">'Debt worksheet'!AK10</f>
        <v>1531767874.1138718</v>
      </c>
      <c r="AL6" s="77">
        <f ca="1">'Debt worksheet'!AL10</f>
        <v>1496069710.4343932</v>
      </c>
      <c r="AM6" s="77">
        <f ca="1">'Debt worksheet'!AM10</f>
        <v>1457478930.4858339</v>
      </c>
      <c r="AN6" s="77">
        <f ca="1">'Debt worksheet'!AN10</f>
        <v>1415861047.5535328</v>
      </c>
      <c r="AO6" s="77">
        <f ca="1">'Debt worksheet'!AO10</f>
        <v>1371075928.651778</v>
      </c>
      <c r="AP6" s="77">
        <f ca="1">'Debt worksheet'!AP10</f>
        <v>1322977555.9933965</v>
      </c>
    </row>
    <row r="7" spans="1:45" x14ac:dyDescent="0.35">
      <c r="A7" t="s">
        <v>467</v>
      </c>
      <c r="C7" s="162"/>
      <c r="D7" s="162"/>
      <c r="E7" s="162"/>
      <c r="F7" s="77">
        <f t="shared" ref="F7:AP7" ca="1" si="3">F3-F4-F5-F6</f>
        <v>-169195629.41855794</v>
      </c>
      <c r="G7" s="77">
        <f t="shared" ca="1" si="3"/>
        <v>-121697571.11551821</v>
      </c>
      <c r="H7" s="77">
        <f t="shared" ca="1" si="3"/>
        <v>-96110892.574441314</v>
      </c>
      <c r="I7" s="77">
        <f t="shared" ca="1" si="3"/>
        <v>-70308104.774123907</v>
      </c>
      <c r="J7" s="77">
        <f t="shared" ca="1" si="3"/>
        <v>-59143875.940318525</v>
      </c>
      <c r="K7" s="77">
        <f t="shared" ca="1" si="3"/>
        <v>46791188.275791764</v>
      </c>
      <c r="L7" s="77">
        <f t="shared" ca="1" si="3"/>
        <v>48492123.91550684</v>
      </c>
      <c r="M7" s="77">
        <f t="shared" ca="1" si="3"/>
        <v>33866725.534476936</v>
      </c>
      <c r="N7" s="77">
        <f t="shared" ca="1" si="3"/>
        <v>-1882325.7825204134</v>
      </c>
      <c r="O7" s="77">
        <f t="shared" ca="1" si="3"/>
        <v>-39199409.329043984</v>
      </c>
      <c r="P7" s="77">
        <f t="shared" ca="1" si="3"/>
        <v>24213225.741415977</v>
      </c>
      <c r="Q7" s="77">
        <f t="shared" ca="1" si="3"/>
        <v>58233220.987301946</v>
      </c>
      <c r="R7" s="77">
        <f t="shared" ca="1" si="3"/>
        <v>98251497.336708784</v>
      </c>
      <c r="S7" s="77">
        <f t="shared" ca="1" si="3"/>
        <v>122565732.23985147</v>
      </c>
      <c r="T7" s="77">
        <f t="shared" ca="1" si="3"/>
        <v>154444175.14550829</v>
      </c>
      <c r="U7" s="77">
        <f t="shared" ca="1" si="3"/>
        <v>165480205.12790179</v>
      </c>
      <c r="V7" s="77">
        <f t="shared" ca="1" si="3"/>
        <v>181580865.76212239</v>
      </c>
      <c r="W7" s="77">
        <f t="shared" ca="1" si="3"/>
        <v>183889039.2494272</v>
      </c>
      <c r="X7" s="77">
        <f t="shared" ca="1" si="3"/>
        <v>187838116.82622862</v>
      </c>
      <c r="Y7" s="77">
        <f t="shared" ca="1" si="3"/>
        <v>193628067.58183885</v>
      </c>
      <c r="Z7" s="77">
        <f t="shared" ca="1" si="3"/>
        <v>259376137.30538487</v>
      </c>
      <c r="AA7" s="77">
        <f t="shared" ca="1" si="3"/>
        <v>302413330.41806269</v>
      </c>
      <c r="AB7" s="77">
        <f t="shared" ca="1" si="3"/>
        <v>356018516.02223659</v>
      </c>
      <c r="AC7" s="77">
        <f t="shared" ca="1" si="3"/>
        <v>378296053.70577836</v>
      </c>
      <c r="AD7" s="77">
        <f t="shared" ca="1" si="3"/>
        <v>406864937.09407496</v>
      </c>
      <c r="AE7" s="77">
        <f t="shared" ca="1" si="3"/>
        <v>442442872.47280049</v>
      </c>
      <c r="AF7" s="77">
        <f t="shared" ca="1" si="3"/>
        <v>435675429.82467175</v>
      </c>
      <c r="AG7" s="77">
        <f t="shared" ca="1" si="3"/>
        <v>430625617.51677275</v>
      </c>
      <c r="AH7" s="77">
        <f t="shared" ca="1" si="3"/>
        <v>373204212.78349018</v>
      </c>
      <c r="AI7" s="77">
        <f t="shared" ca="1" si="3"/>
        <v>311686314.07684898</v>
      </c>
      <c r="AJ7" s="77">
        <f t="shared" ca="1" si="3"/>
        <v>349513975.24479485</v>
      </c>
      <c r="AK7" s="77">
        <f t="shared" ca="1" si="3"/>
        <v>389204292.44562316</v>
      </c>
      <c r="AL7" s="77">
        <f t="shared" ca="1" si="3"/>
        <v>430839053.24691606</v>
      </c>
      <c r="AM7" s="77">
        <f t="shared" ca="1" si="3"/>
        <v>474503707.27765679</v>
      </c>
      <c r="AN7" s="77">
        <f t="shared" ca="1" si="3"/>
        <v>520287539.09089398</v>
      </c>
      <c r="AO7" s="77">
        <f t="shared" ca="1" si="3"/>
        <v>568283849.56007552</v>
      </c>
      <c r="AP7" s="77">
        <f t="shared" ca="1" si="3"/>
        <v>618590146.24094033</v>
      </c>
    </row>
    <row r="10" spans="1:45" x14ac:dyDescent="0.35">
      <c r="A10" t="s">
        <v>468</v>
      </c>
      <c r="C10" s="155"/>
      <c r="D10" s="155"/>
      <c r="E10" s="155"/>
      <c r="F10" s="38">
        <f>Assumptions!$E$102*Assumptions!F21*Assumptions!F29</f>
        <v>521632073.80413312</v>
      </c>
      <c r="G10" s="38">
        <f>Assumptions!$E$102*Assumptions!G21*Assumptions!G29</f>
        <v>543192692.61389899</v>
      </c>
      <c r="H10" s="38">
        <f>Assumptions!$E$102*Assumptions!H21*Assumptions!H29</f>
        <v>565644476.49346197</v>
      </c>
      <c r="I10" s="38">
        <f>Assumptions!$E$102*Assumptions!I21*Assumptions!I29</f>
        <v>589024259.96916986</v>
      </c>
      <c r="J10" s="38">
        <f>Assumptions!$E$102*Assumptions!J21*Assumptions!J29</f>
        <v>613370400.04886973</v>
      </c>
      <c r="K10" s="38">
        <f>Assumptions!$E$102*Assumptions!K21*Assumptions!K29</f>
        <v>638722839.15063596</v>
      </c>
      <c r="L10" s="38">
        <f>Assumptions!$E$102*Assumptions!L21*Assumptions!L29</f>
        <v>665123170.63253272</v>
      </c>
      <c r="M10" s="38">
        <f>Assumptions!$E$102*Assumptions!M21*Assumptions!M29</f>
        <v>692614707.03091681</v>
      </c>
      <c r="N10" s="38">
        <f>Assumptions!$E$102*Assumptions!N21*Assumptions!N29</f>
        <v>721242551.11923599</v>
      </c>
      <c r="O10" s="38">
        <f>Assumptions!$E$102*Assumptions!O21*Assumptions!O29</f>
        <v>751053669.90389884</v>
      </c>
      <c r="P10" s="38">
        <f>Assumptions!$E$102*Assumptions!P21*Assumptions!P29</f>
        <v>782096971.67861688</v>
      </c>
      <c r="Q10" s="38">
        <f>Assumptions!$E$102*Assumptions!Q21*Assumptions!Q29</f>
        <v>814423386.2636348</v>
      </c>
      <c r="R10" s="38">
        <f>Assumptions!$E$102*Assumptions!R21*Assumptions!R29</f>
        <v>848085948.56148612</v>
      </c>
      <c r="S10" s="38">
        <f>Assumptions!$E$102*Assumptions!S21*Assumptions!S29</f>
        <v>883139885.56636214</v>
      </c>
      <c r="T10" s="38">
        <f>Assumptions!$E$102*Assumptions!T21*Assumptions!T29</f>
        <v>919642706.96983719</v>
      </c>
      <c r="U10" s="38">
        <f>Assumptions!$E$102*Assumptions!U21*Assumptions!U29</f>
        <v>957654299.51160097</v>
      </c>
      <c r="V10" s="38">
        <f>Assumptions!$E$102*Assumptions!V21*Assumptions!V29</f>
        <v>997237025.22998917</v>
      </c>
      <c r="W10" s="38">
        <f>Assumptions!$E$102*Assumptions!W21*Assumptions!W29</f>
        <v>1038455823.7735046</v>
      </c>
      <c r="X10" s="38">
        <f>Assumptions!$E$102*Assumptions!X21*Assumptions!X29</f>
        <v>1081378318.9411793</v>
      </c>
      <c r="Y10" s="38">
        <f>Assumptions!$E$102*Assumptions!Y21*Assumptions!Y29</f>
        <v>1126074929.6265697</v>
      </c>
      <c r="Z10" s="38">
        <f>Assumptions!$E$102*Assumptions!Z21*Assumptions!Z29</f>
        <v>1172618985.3474011</v>
      </c>
      <c r="AA10" s="38">
        <f>Assumptions!$E$102*Assumptions!AA21*Assumptions!AA29</f>
        <v>1221086846.5503976</v>
      </c>
      <c r="AB10" s="38">
        <f>Assumptions!$E$102*Assumptions!AB21*Assumptions!AB29</f>
        <v>1271558029.8886714</v>
      </c>
      <c r="AC10" s="38">
        <f>Assumptions!$E$102*Assumptions!AC21*Assumptions!AC29</f>
        <v>1324115338.6772041</v>
      </c>
      <c r="AD10" s="38">
        <f>Assumptions!$E$102*Assumptions!AD21*Assumptions!AD29</f>
        <v>1378844998.7404444</v>
      </c>
      <c r="AE10" s="38">
        <f>Assumptions!$E$102*Assumptions!AE21*Assumptions!AE29</f>
        <v>1435836799.8748927</v>
      </c>
      <c r="AF10" s="38">
        <f>Assumptions!$E$102*Assumptions!AF21*Assumptions!AF29</f>
        <v>1495184243.1587598</v>
      </c>
      <c r="AG10" s="38">
        <f>Assumptions!$E$102*Assumptions!AG21*Assumptions!AG29</f>
        <v>1556984694.3503771</v>
      </c>
      <c r="AH10" s="38">
        <f>Assumptions!$E$102*Assumptions!AH21*Assumptions!AH29</f>
        <v>1621339543.6270216</v>
      </c>
      <c r="AI10" s="38">
        <f>Assumptions!$E$102*Assumptions!AI21*Assumptions!AI29</f>
        <v>1688354371.9262261</v>
      </c>
      <c r="AJ10" s="38">
        <f>Assumptions!$E$102*Assumptions!AJ21*Assumptions!AJ29</f>
        <v>1758139124.162477</v>
      </c>
      <c r="AK10" s="38">
        <f>Assumptions!$E$102*Assumptions!AK21*Assumptions!AK29</f>
        <v>1830808289.6034741</v>
      </c>
      <c r="AL10" s="38">
        <f>Assumptions!$E$102*Assumptions!AL21*Assumptions!AL29</f>
        <v>1906481089.7018862</v>
      </c>
      <c r="AM10" s="38">
        <f>Assumptions!$E$102*Assumptions!AM21*Assumptions!AM29</f>
        <v>1985281673.6907535</v>
      </c>
      <c r="AN10" s="38">
        <f>Assumptions!$E$102*Assumptions!AN21*Assumptions!AN29</f>
        <v>2067339322.2634382</v>
      </c>
      <c r="AO10" s="38">
        <f>Assumptions!$E$102*Assumptions!AO21*Assumptions!AO29</f>
        <v>2152788659.672277</v>
      </c>
      <c r="AP10" s="38">
        <f>Assumptions!$E$102*Assumptions!AP21*Assumptions!AP29</f>
        <v>2241769874.5939069</v>
      </c>
    </row>
    <row r="11" spans="1:45" x14ac:dyDescent="0.35">
      <c r="A11" t="s">
        <v>469</v>
      </c>
      <c r="C11" s="156"/>
      <c r="D11" s="156"/>
      <c r="E11" s="156"/>
      <c r="F11" s="38">
        <f>Assumptions!F94*Assumptions!F23</f>
        <v>99434896.823437229</v>
      </c>
      <c r="G11" s="38">
        <f>Assumptions!G94*Assumptions!G23</f>
        <v>101423594.75990598</v>
      </c>
      <c r="H11" s="38">
        <f>Assumptions!H94*Assumptions!H23</f>
        <v>103452066.65510412</v>
      </c>
      <c r="I11" s="38">
        <f>Assumptions!I94*Assumptions!I23</f>
        <v>105521107.98820619</v>
      </c>
      <c r="J11" s="38">
        <f>Assumptions!J94*Assumptions!J23</f>
        <v>107631530.14797032</v>
      </c>
      <c r="K11" s="38">
        <f>Assumptions!K94*Assumptions!K23</f>
        <v>0</v>
      </c>
      <c r="L11" s="38">
        <f>Assumptions!L94*Assumptions!L23</f>
        <v>0</v>
      </c>
      <c r="M11" s="38">
        <f>Assumptions!M94*Assumptions!M23</f>
        <v>0</v>
      </c>
      <c r="N11" s="38">
        <f>Assumptions!N94*Assumptions!N23</f>
        <v>0</v>
      </c>
      <c r="O11" s="38">
        <f>Assumptions!O94*Assumptions!O23</f>
        <v>0</v>
      </c>
      <c r="P11" s="38">
        <f>Assumptions!P94*Assumptions!P23</f>
        <v>0</v>
      </c>
      <c r="Q11" s="38">
        <f>Assumptions!Q94*Assumptions!Q23</f>
        <v>0</v>
      </c>
      <c r="R11" s="38">
        <f>Assumptions!R94*Assumptions!R23</f>
        <v>0</v>
      </c>
      <c r="S11" s="38">
        <f>Assumptions!S94*Assumptions!S23</f>
        <v>0</v>
      </c>
      <c r="T11" s="38">
        <f>Assumptions!T94*Assumptions!T23</f>
        <v>0</v>
      </c>
      <c r="U11" s="38">
        <f>Assumptions!U94*Assumptions!U23</f>
        <v>0</v>
      </c>
      <c r="V11" s="38">
        <f>Assumptions!V94*Assumptions!V23</f>
        <v>0</v>
      </c>
      <c r="W11" s="38">
        <f>Assumptions!W94*Assumptions!W23</f>
        <v>0</v>
      </c>
      <c r="X11" s="38">
        <f>Assumptions!X94*Assumptions!X23</f>
        <v>0</v>
      </c>
      <c r="Y11" s="38">
        <f>Assumptions!Y94*Assumptions!Y23</f>
        <v>0</v>
      </c>
      <c r="Z11" s="38">
        <f>Assumptions!Z94*Assumptions!Z23</f>
        <v>0</v>
      </c>
      <c r="AA11" s="38">
        <f>Assumptions!AA94*Assumptions!AA23</f>
        <v>0</v>
      </c>
      <c r="AB11" s="38">
        <f>Assumptions!AB94*Assumptions!AB23</f>
        <v>0</v>
      </c>
      <c r="AC11" s="38">
        <f>Assumptions!AC94*Assumptions!AC23</f>
        <v>0</v>
      </c>
      <c r="AD11" s="38">
        <f>Assumptions!AD94*Assumptions!AD23</f>
        <v>0</v>
      </c>
      <c r="AE11" s="38">
        <f>Assumptions!AE94*Assumptions!AE23</f>
        <v>0</v>
      </c>
      <c r="AF11" s="38">
        <f>Assumptions!AF94*Assumptions!AF23</f>
        <v>0</v>
      </c>
      <c r="AG11" s="38">
        <f>Assumptions!AG94*Assumptions!AG23</f>
        <v>0</v>
      </c>
      <c r="AH11" s="38">
        <f>Assumptions!AH94*Assumptions!AH23</f>
        <v>0</v>
      </c>
      <c r="AI11" s="38">
        <f>Assumptions!AI94*Assumptions!AI23</f>
        <v>0</v>
      </c>
      <c r="AJ11" s="38">
        <f>Assumptions!AJ94*Assumptions!AJ23</f>
        <v>0</v>
      </c>
      <c r="AK11" s="38">
        <f>Assumptions!AK94*Assumptions!AK23</f>
        <v>0</v>
      </c>
      <c r="AL11" s="38">
        <f>Assumptions!AL94*Assumptions!AL23</f>
        <v>0</v>
      </c>
      <c r="AM11" s="38">
        <f>Assumptions!AM94*Assumptions!AM23</f>
        <v>0</v>
      </c>
      <c r="AN11" s="38">
        <f>Assumptions!AN94*Assumptions!AN23</f>
        <v>0</v>
      </c>
      <c r="AO11" s="38">
        <f>Assumptions!AO94*Assumptions!AO23</f>
        <v>0</v>
      </c>
      <c r="AP11" s="38">
        <f>Assumptions!AP94*Assumptions!AP23</f>
        <v>0</v>
      </c>
    </row>
    <row r="12" spans="1:45" x14ac:dyDescent="0.35">
      <c r="A12" t="s">
        <v>470</v>
      </c>
      <c r="C12" s="156"/>
      <c r="D12" s="156"/>
      <c r="E12" s="156"/>
      <c r="F12" s="38">
        <f>Assumptions!F293*Assumptions!F23</f>
        <v>0</v>
      </c>
      <c r="G12" s="38">
        <f>Assumptions!G293*Assumptions!G23</f>
        <v>0</v>
      </c>
      <c r="H12" s="38">
        <f>Assumptions!H293*Assumptions!H23</f>
        <v>0</v>
      </c>
      <c r="I12" s="38">
        <f>Assumptions!I293*Assumptions!I23</f>
        <v>0</v>
      </c>
      <c r="J12" s="38">
        <f>Assumptions!J293*Assumptions!J23</f>
        <v>0</v>
      </c>
      <c r="K12" s="38">
        <f>Assumptions!K293*Assumptions!K23</f>
        <v>0</v>
      </c>
      <c r="L12" s="38">
        <f>Assumptions!L293*Assumptions!L23</f>
        <v>0</v>
      </c>
      <c r="M12" s="38">
        <f>Assumptions!M293*Assumptions!M23</f>
        <v>0</v>
      </c>
      <c r="N12" s="38">
        <f>Assumptions!N293*Assumptions!N23</f>
        <v>0</v>
      </c>
      <c r="O12" s="38">
        <f>Assumptions!O293*Assumptions!O23</f>
        <v>0</v>
      </c>
      <c r="P12" s="38">
        <f>Assumptions!P293*Assumptions!P23</f>
        <v>0</v>
      </c>
      <c r="Q12" s="38">
        <f>Assumptions!Q293*Assumptions!Q23</f>
        <v>0</v>
      </c>
      <c r="R12" s="38">
        <f>Assumptions!R293*Assumptions!R23</f>
        <v>0</v>
      </c>
      <c r="S12" s="38">
        <f>Assumptions!S293*Assumptions!S23</f>
        <v>0</v>
      </c>
      <c r="T12" s="38">
        <f>Assumptions!T293*Assumptions!T23</f>
        <v>0</v>
      </c>
      <c r="U12" s="38">
        <f>Assumptions!U293*Assumptions!U23</f>
        <v>0</v>
      </c>
      <c r="V12" s="38">
        <f>Assumptions!V293*Assumptions!V23</f>
        <v>0</v>
      </c>
      <c r="W12" s="38">
        <f>Assumptions!W293*Assumptions!W23</f>
        <v>0</v>
      </c>
      <c r="X12" s="38">
        <f>Assumptions!X293*Assumptions!X23</f>
        <v>0</v>
      </c>
      <c r="Y12" s="38">
        <f>Assumptions!Y293*Assumptions!Y23</f>
        <v>0</v>
      </c>
      <c r="Z12" s="38">
        <f>Assumptions!Z293*Assumptions!Z23</f>
        <v>0</v>
      </c>
      <c r="AA12" s="38">
        <f>Assumptions!AA293*Assumptions!AA23</f>
        <v>0</v>
      </c>
      <c r="AB12" s="38">
        <f>Assumptions!AB293*Assumptions!AB23</f>
        <v>0</v>
      </c>
      <c r="AC12" s="38">
        <f>Assumptions!AC293*Assumptions!AC23</f>
        <v>0</v>
      </c>
      <c r="AD12" s="38">
        <f>Assumptions!AD293*Assumptions!AD23</f>
        <v>0</v>
      </c>
      <c r="AE12" s="38">
        <f>Assumptions!AE293*Assumptions!AE23</f>
        <v>0</v>
      </c>
      <c r="AF12" s="38">
        <f>Assumptions!AF293*Assumptions!AF23</f>
        <v>0</v>
      </c>
      <c r="AG12" s="38">
        <f>Assumptions!AG293*Assumptions!AG23</f>
        <v>0</v>
      </c>
      <c r="AH12" s="38">
        <f>Assumptions!AH293*Assumptions!AH23</f>
        <v>0</v>
      </c>
      <c r="AI12" s="38">
        <f>Assumptions!AI293*Assumptions!AI23</f>
        <v>0</v>
      </c>
      <c r="AJ12" s="38">
        <f>Assumptions!AJ293*Assumptions!AJ23</f>
        <v>0</v>
      </c>
      <c r="AK12" s="38">
        <f>Assumptions!AK293*Assumptions!AK23</f>
        <v>0</v>
      </c>
      <c r="AL12" s="38">
        <f>Assumptions!AL293*Assumptions!AL23</f>
        <v>0</v>
      </c>
      <c r="AM12" s="38">
        <f>Assumptions!AM293*Assumptions!AM23</f>
        <v>0</v>
      </c>
      <c r="AN12" s="38">
        <f>Assumptions!AN293*Assumptions!AN23</f>
        <v>0</v>
      </c>
      <c r="AO12" s="38">
        <f>Assumptions!AO293*Assumptions!AO23</f>
        <v>0</v>
      </c>
      <c r="AP12" s="38">
        <f>Assumptions!AP293*Assumptions!AP23</f>
        <v>0</v>
      </c>
    </row>
    <row r="13" spans="1:45" x14ac:dyDescent="0.35">
      <c r="C13" s="3"/>
      <c r="D13" s="3"/>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1:45" x14ac:dyDescent="0.35">
      <c r="A14" t="s">
        <v>471</v>
      </c>
      <c r="C14" s="45">
        <f>Assumptions!C232</f>
        <v>1</v>
      </c>
      <c r="D14" s="45">
        <f>Assumptions!D232</f>
        <v>1</v>
      </c>
      <c r="E14" s="45">
        <f>Assumptions!E232</f>
        <v>1</v>
      </c>
      <c r="F14" s="45">
        <f>Assumptions!F232</f>
        <v>1</v>
      </c>
      <c r="G14" s="45">
        <f>Assumptions!G232</f>
        <v>1</v>
      </c>
      <c r="H14" s="45">
        <f>Assumptions!H232</f>
        <v>0.92587585083703128</v>
      </c>
      <c r="I14" s="45">
        <f>Assumptions!I232</f>
        <v>0.85724609116319661</v>
      </c>
      <c r="J14" s="45">
        <f>Assumptions!J232</f>
        <v>0.79370345403244391</v>
      </c>
      <c r="K14" s="45">
        <f>Assumptions!K232</f>
        <v>0.73487086081457953</v>
      </c>
      <c r="L14" s="45">
        <f>Assumptions!L232</f>
        <v>0.68039918351204043</v>
      </c>
      <c r="M14" s="45">
        <f>Assumptions!M232</f>
        <v>0.65265960824535352</v>
      </c>
      <c r="N14" s="45">
        <f>Assumptions!N232</f>
        <v>0.62605096325404452</v>
      </c>
      <c r="O14" s="45">
        <f>Assumptions!O232</f>
        <v>0.60052714100851101</v>
      </c>
      <c r="P14" s="45">
        <f>Assumptions!P232</f>
        <v>0.57604391376284059</v>
      </c>
      <c r="Q14" s="45">
        <f>Assumptions!Q232</f>
        <v>0.5525588569168568</v>
      </c>
      <c r="R14" s="45">
        <f>Assumptions!R232</f>
        <v>0.53435260939739637</v>
      </c>
      <c r="S14" s="45">
        <f>Assumptions!S232</f>
        <v>0.51674623905769801</v>
      </c>
      <c r="T14" s="45">
        <f>Assumptions!T232</f>
        <v>0.4997199805600438</v>
      </c>
      <c r="U14" s="45">
        <f>Assumptions!U232</f>
        <v>0.48325471981431822</v>
      </c>
      <c r="V14" s="45">
        <f>Assumptions!V232</f>
        <v>0.46733197252006781</v>
      </c>
      <c r="W14" s="45">
        <f>Assumptions!W232</f>
        <v>0.46733197252006781</v>
      </c>
      <c r="X14" s="45">
        <f>Assumptions!X232</f>
        <v>0.46733197252006781</v>
      </c>
      <c r="Y14" s="45">
        <f>Assumptions!Y232</f>
        <v>0.46733197252006781</v>
      </c>
      <c r="Z14" s="45">
        <f>Assumptions!Z232</f>
        <v>0.46733197252006781</v>
      </c>
      <c r="AA14" s="45">
        <f>Assumptions!AA232</f>
        <v>0.46733197252006781</v>
      </c>
      <c r="AB14" s="45">
        <f>Assumptions!AB232</f>
        <v>0.46733197252006781</v>
      </c>
      <c r="AC14" s="45">
        <f>Assumptions!AC232</f>
        <v>0.46733197252006781</v>
      </c>
      <c r="AD14" s="45">
        <f>Assumptions!AD232</f>
        <v>0.46733197252006781</v>
      </c>
      <c r="AE14" s="45">
        <f>Assumptions!AE232</f>
        <v>0.46733197252006781</v>
      </c>
      <c r="AF14" s="45">
        <f>Assumptions!AF232</f>
        <v>0.46733197252006781</v>
      </c>
      <c r="AG14" s="45">
        <f>Assumptions!AG232</f>
        <v>0.46733197252006781</v>
      </c>
      <c r="AH14" s="45">
        <f>Assumptions!AH232</f>
        <v>0.46733197252006781</v>
      </c>
      <c r="AI14" s="45">
        <f>Assumptions!AI232</f>
        <v>0.46733197252006781</v>
      </c>
      <c r="AJ14" s="45">
        <f>Assumptions!AJ232</f>
        <v>0.46733197252006781</v>
      </c>
      <c r="AK14" s="45">
        <f>Assumptions!AK232</f>
        <v>0.46733197252006781</v>
      </c>
      <c r="AL14" s="45">
        <f>Assumptions!AL232</f>
        <v>0.46733197252006781</v>
      </c>
      <c r="AM14" s="45">
        <f>Assumptions!AM232</f>
        <v>0.46733197252006781</v>
      </c>
      <c r="AN14" s="45">
        <f>Assumptions!AN232</f>
        <v>0.46733197252006781</v>
      </c>
      <c r="AO14" s="45">
        <f>Assumptions!AO232</f>
        <v>0.46733197252006781</v>
      </c>
      <c r="AP14" s="45">
        <f>Assumptions!AP232</f>
        <v>0.46733197252006781</v>
      </c>
    </row>
    <row r="15" spans="1:45" x14ac:dyDescent="0.35">
      <c r="A15" t="s">
        <v>457</v>
      </c>
      <c r="C15" s="45">
        <f>Assumptions!C235</f>
        <v>1</v>
      </c>
      <c r="D15" s="45">
        <f>Assumptions!D235</f>
        <v>1</v>
      </c>
      <c r="E15" s="45">
        <f>Assumptions!E235</f>
        <v>1</v>
      </c>
      <c r="F15" s="45">
        <f>Assumptions!F235</f>
        <v>0.99595</v>
      </c>
      <c r="G15" s="45">
        <f>Assumptions!G235</f>
        <v>0.99191640250000002</v>
      </c>
      <c r="H15" s="45">
        <f>Assumptions!H235</f>
        <v>0.98789914106987498</v>
      </c>
      <c r="I15" s="45">
        <f>Assumptions!I235</f>
        <v>0.98389814954854193</v>
      </c>
      <c r="J15" s="45">
        <f>Assumptions!J235</f>
        <v>0.97991336204287038</v>
      </c>
      <c r="K15" s="45">
        <f>Assumptions!K235</f>
        <v>0.97594471292659679</v>
      </c>
      <c r="L15" s="45">
        <f>Assumptions!L235</f>
        <v>0.97199213683924413</v>
      </c>
      <c r="M15" s="45">
        <f>Assumptions!M235</f>
        <v>0.96805556868504516</v>
      </c>
      <c r="N15" s="45">
        <f>Assumptions!N235</f>
        <v>0.96413494363187069</v>
      </c>
      <c r="O15" s="45">
        <f>Assumptions!O235</f>
        <v>0.96023019711016167</v>
      </c>
      <c r="P15" s="45">
        <f>Assumptions!P235</f>
        <v>0.95634126481186554</v>
      </c>
      <c r="Q15" s="45">
        <f>Assumptions!Q235</f>
        <v>0.95246808268937744</v>
      </c>
      <c r="R15" s="45">
        <f>Assumptions!R235</f>
        <v>0.94861058695448541</v>
      </c>
      <c r="S15" s="45">
        <f>Assumptions!S235</f>
        <v>0.94476871407731977</v>
      </c>
      <c r="T15" s="45">
        <f>Assumptions!T235</f>
        <v>0.94094240078530667</v>
      </c>
      <c r="U15" s="45">
        <f>Assumptions!U235</f>
        <v>0.93713158406212616</v>
      </c>
      <c r="V15" s="45">
        <f>Assumptions!V235</f>
        <v>0.93333620114667459</v>
      </c>
      <c r="W15" s="45">
        <f>Assumptions!W235</f>
        <v>0.92955618953203056</v>
      </c>
      <c r="X15" s="45">
        <f>Assumptions!X235</f>
        <v>0.92579148696442581</v>
      </c>
      <c r="Y15" s="45">
        <f>Assumptions!Y235</f>
        <v>0.92204203144221986</v>
      </c>
      <c r="Z15" s="45">
        <f>Assumptions!Z235</f>
        <v>0.91830776121487889</v>
      </c>
      <c r="AA15" s="45">
        <f>Assumptions!AA235</f>
        <v>0.91458861478195863</v>
      </c>
      <c r="AB15" s="45">
        <f>Assumptions!AB235</f>
        <v>0.91088453089209165</v>
      </c>
      <c r="AC15" s="45">
        <f>Assumptions!AC235</f>
        <v>0.90719544854197864</v>
      </c>
      <c r="AD15" s="45">
        <f>Assumptions!AD235</f>
        <v>0.90352130697538369</v>
      </c>
      <c r="AE15" s="45">
        <f>Assumptions!AE235</f>
        <v>0.89986204568213335</v>
      </c>
      <c r="AF15" s="45">
        <f>Assumptions!AF235</f>
        <v>0.89621760439712073</v>
      </c>
      <c r="AG15" s="45">
        <f>Assumptions!AG235</f>
        <v>0.89258792309931234</v>
      </c>
      <c r="AH15" s="45">
        <f>Assumptions!AH235</f>
        <v>0.88897294201076016</v>
      </c>
      <c r="AI15" s="45">
        <f>Assumptions!AI235</f>
        <v>0.88537260159561659</v>
      </c>
      <c r="AJ15" s="45">
        <f>Assumptions!AJ235</f>
        <v>0.88178684255915429</v>
      </c>
      <c r="AK15" s="45">
        <f>Assumptions!AK235</f>
        <v>0.8782156058467897</v>
      </c>
      <c r="AL15" s="45">
        <f>Assumptions!AL235</f>
        <v>0.87465883264311017</v>
      </c>
      <c r="AM15" s="45">
        <f>Assumptions!AM235</f>
        <v>0.87111646437090562</v>
      </c>
      <c r="AN15" s="45">
        <f>Assumptions!AN235</f>
        <v>0.86758844269020341</v>
      </c>
      <c r="AO15" s="45">
        <f>Assumptions!AO235</f>
        <v>0.86407470949730814</v>
      </c>
      <c r="AP15" s="45">
        <f>Assumptions!AP235</f>
        <v>0.86057520692384404</v>
      </c>
    </row>
    <row r="16" spans="1:45" x14ac:dyDescent="0.3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row>
    <row r="17" spans="1:42" x14ac:dyDescent="0.35">
      <c r="A17" t="s">
        <v>472</v>
      </c>
      <c r="C17" s="163"/>
      <c r="D17" s="163"/>
      <c r="E17" s="163"/>
      <c r="F17" s="39">
        <f t="shared" ref="F17:AP17" si="4">(F10*F14)-F10</f>
        <v>0</v>
      </c>
      <c r="G17" s="39">
        <f t="shared" si="4"/>
        <v>0</v>
      </c>
      <c r="H17" s="39">
        <f t="shared" si="4"/>
        <v>-41927915.54881072</v>
      </c>
      <c r="I17" s="39">
        <f t="shared" si="4"/>
        <v>-84085515.510304451</v>
      </c>
      <c r="J17" s="39">
        <f t="shared" si="4"/>
        <v>-126536194.92881989</v>
      </c>
      <c r="K17" s="39">
        <f t="shared" si="4"/>
        <v>-169344036.52207589</v>
      </c>
      <c r="L17" s="39">
        <f t="shared" si="4"/>
        <v>-212573908.3992179</v>
      </c>
      <c r="M17" s="39">
        <f t="shared" si="4"/>
        <v>-240573063.67514837</v>
      </c>
      <c r="N17" s="39">
        <f t="shared" si="4"/>
        <v>-269707957.25123388</v>
      </c>
      <c r="O17" s="39">
        <f t="shared" si="4"/>
        <v>-300025556.77256048</v>
      </c>
      <c r="P17" s="39">
        <f t="shared" si="4"/>
        <v>-331574771.17080092</v>
      </c>
      <c r="Q17" s="39">
        <f t="shared" si="4"/>
        <v>-364406530.90344501</v>
      </c>
      <c r="R17" s="39">
        <f t="shared" si="4"/>
        <v>-394909008.95438993</v>
      </c>
      <c r="S17" s="39">
        <f t="shared" si="4"/>
        <v>-426780671.13809872</v>
      </c>
      <c r="T17" s="39">
        <f t="shared" si="4"/>
        <v>-460078871.32068408</v>
      </c>
      <c r="U17" s="39">
        <f t="shared" si="4"/>
        <v>-494863339.32214504</v>
      </c>
      <c r="V17" s="39">
        <f t="shared" si="4"/>
        <v>-531196279.15921372</v>
      </c>
      <c r="W17" s="39">
        <f t="shared" si="4"/>
        <v>-553152215.27448082</v>
      </c>
      <c r="X17" s="39">
        <f t="shared" si="4"/>
        <v>-576015656.10996294</v>
      </c>
      <c r="Y17" s="39">
        <f t="shared" si="4"/>
        <v>-599824111.5587883</v>
      </c>
      <c r="Z17" s="39">
        <f t="shared" si="4"/>
        <v>-624616641.91051972</v>
      </c>
      <c r="AA17" s="39">
        <f t="shared" si="4"/>
        <v>-650433921.93369091</v>
      </c>
      <c r="AB17" s="39">
        <f t="shared" si="4"/>
        <v>-677318307.60706723</v>
      </c>
      <c r="AC17" s="39">
        <f t="shared" si="4"/>
        <v>-705313905.60910869</v>
      </c>
      <c r="AD17" s="39">
        <f t="shared" si="4"/>
        <v>-734466645.67964208</v>
      </c>
      <c r="AE17" s="39">
        <f t="shared" si="4"/>
        <v>-764824355.97245729</v>
      </c>
      <c r="AF17" s="39">
        <f t="shared" si="4"/>
        <v>-796436841.52245188</v>
      </c>
      <c r="AG17" s="39">
        <f t="shared" si="4"/>
        <v>-829355965.95606053</v>
      </c>
      <c r="AH17" s="39">
        <f t="shared" si="4"/>
        <v>-863635736.57901907</v>
      </c>
      <c r="AI17" s="39">
        <f t="shared" si="4"/>
        <v>-899332392.98106265</v>
      </c>
      <c r="AJ17" s="39">
        <f t="shared" si="4"/>
        <v>-936504499.30292225</v>
      </c>
      <c r="AK17" s="39">
        <f t="shared" si="4"/>
        <v>-975213040.31699097</v>
      </c>
      <c r="AL17" s="39">
        <f t="shared" si="4"/>
        <v>-1015521521.4792954</v>
      </c>
      <c r="AM17" s="39">
        <f t="shared" si="4"/>
        <v>-1057496073.116912</v>
      </c>
      <c r="AN17" s="39">
        <f t="shared" si="4"/>
        <v>-1101205558.9217656</v>
      </c>
      <c r="AO17" s="39">
        <f t="shared" si="4"/>
        <v>-1146721688.9287987</v>
      </c>
      <c r="AP17" s="39">
        <f t="shared" si="4"/>
        <v>-1194119137.1638713</v>
      </c>
    </row>
    <row r="18" spans="1:42" x14ac:dyDescent="0.35">
      <c r="A18" t="s">
        <v>473</v>
      </c>
      <c r="C18" s="163"/>
      <c r="D18" s="163"/>
      <c r="E18" s="163"/>
      <c r="F18" s="39">
        <f>(F10*F15)-F10</f>
        <v>-2112609.8989067674</v>
      </c>
      <c r="G18" s="39">
        <f t="shared" ref="G18:AP18" si="5">(G10*G15)-G10</f>
        <v>-4390951.0920319557</v>
      </c>
      <c r="H18" s="39">
        <f t="shared" si="5"/>
        <v>-6844784.0146517754</v>
      </c>
      <c r="I18" s="39">
        <f t="shared" si="5"/>
        <v>-9484380.5463043451</v>
      </c>
      <c r="J18" s="39">
        <f t="shared" si="5"/>
        <v>-12320549.159401417</v>
      </c>
      <c r="K18" s="39">
        <f t="shared" si="5"/>
        <v>-15364661.256107688</v>
      </c>
      <c r="L18" s="39">
        <f t="shared" si="5"/>
        <v>-18628678.748124003</v>
      </c>
      <c r="M18" s="39">
        <f t="shared" si="5"/>
        <v>-22125182.936476707</v>
      </c>
      <c r="N18" s="39">
        <f t="shared" si="5"/>
        <v>-25867404.750984788</v>
      </c>
      <c r="O18" s="39">
        <f t="shared" si="5"/>
        <v>-29869256.411767721</v>
      </c>
      <c r="P18" s="39">
        <f t="shared" si="5"/>
        <v>-34145364.577958584</v>
      </c>
      <c r="Q18" s="39">
        <f t="shared" si="5"/>
        <v>-38711105.051720262</v>
      </c>
      <c r="R18" s="39">
        <f t="shared" si="5"/>
        <v>-43582639.108723283</v>
      </c>
      <c r="S18" s="39">
        <f t="shared" si="5"/>
        <v>-48776951.529438853</v>
      </c>
      <c r="T18" s="39">
        <f t="shared" si="5"/>
        <v>-54311890.408940315</v>
      </c>
      <c r="U18" s="39">
        <f t="shared" si="5"/>
        <v>-60206208.826388597</v>
      </c>
      <c r="V18" s="39">
        <f t="shared" si="5"/>
        <v>-66479608.459020615</v>
      </c>
      <c r="W18" s="39">
        <f t="shared" si="5"/>
        <v>-73152785.229259849</v>
      </c>
      <c r="X18" s="39">
        <f t="shared" si="5"/>
        <v>-80247477.077533841</v>
      </c>
      <c r="Y18" s="39">
        <f t="shared" si="5"/>
        <v>-87786513.957532644</v>
      </c>
      <c r="Z18" s="39">
        <f t="shared" si="5"/>
        <v>-95793870.154966354</v>
      </c>
      <c r="AA18" s="39">
        <f t="shared" si="5"/>
        <v>-104294719.03539944</v>
      </c>
      <c r="AB18" s="39">
        <f t="shared" si="5"/>
        <v>-113315490.33145666</v>
      </c>
      <c r="AC18" s="39">
        <f t="shared" si="5"/>
        <v>-122883930.08462405</v>
      </c>
      <c r="AD18" s="39">
        <f t="shared" si="5"/>
        <v>-133029163.3620069</v>
      </c>
      <c r="AE18" s="39">
        <f t="shared" si="5"/>
        <v>-143781759.87378383</v>
      </c>
      <c r="AF18" s="39">
        <f t="shared" si="5"/>
        <v>-155173802.62269402</v>
      </c>
      <c r="AG18" s="39">
        <f t="shared" si="5"/>
        <v>-167238959.72275639</v>
      </c>
      <c r="AH18" s="39">
        <f t="shared" si="5"/>
        <v>-180012559.53052497</v>
      </c>
      <c r="AI18" s="39">
        <f t="shared" si="5"/>
        <v>-193531669.23856997</v>
      </c>
      <c r="AJ18" s="39">
        <f t="shared" si="5"/>
        <v>-207835177.08752942</v>
      </c>
      <c r="AK18" s="39">
        <f t="shared" si="5"/>
        <v>-222963878.36003423</v>
      </c>
      <c r="AL18" s="39">
        <f t="shared" si="5"/>
        <v>-238960565.32706976</v>
      </c>
      <c r="AM18" s="39">
        <f t="shared" si="5"/>
        <v>-255870121.3249104</v>
      </c>
      <c r="AN18" s="39">
        <f t="shared" si="5"/>
        <v>-273739619.1486814</v>
      </c>
      <c r="AO18" s="39">
        <f t="shared" si="5"/>
        <v>-292618423.95685482</v>
      </c>
      <c r="AP18" s="39">
        <f t="shared" si="5"/>
        <v>-312558300.88961554</v>
      </c>
    </row>
    <row r="19" spans="1:42" x14ac:dyDescent="0.3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42" x14ac:dyDescent="0.35">
      <c r="A20" t="s">
        <v>474</v>
      </c>
      <c r="C20" s="163"/>
      <c r="D20" s="163"/>
      <c r="E20" s="163"/>
      <c r="F20" s="39">
        <f t="shared" ref="F20:AP20" si="6">(F11*F15)-F11</f>
        <v>-402711.33213491738</v>
      </c>
      <c r="G20" s="39">
        <f t="shared" si="6"/>
        <v>-819867.51704218984</v>
      </c>
      <c r="H20" s="39">
        <f t="shared" si="6"/>
        <v>-1251858.8646233082</v>
      </c>
      <c r="I20" s="39">
        <f t="shared" si="6"/>
        <v>-1699085.1002982557</v>
      </c>
      <c r="J20" s="39">
        <f t="shared" si="6"/>
        <v>-2161955.5788541585</v>
      </c>
      <c r="K20" s="39">
        <f t="shared" si="6"/>
        <v>0</v>
      </c>
      <c r="L20" s="39">
        <f t="shared" si="6"/>
        <v>0</v>
      </c>
      <c r="M20" s="39">
        <f t="shared" si="6"/>
        <v>0</v>
      </c>
      <c r="N20" s="39">
        <f t="shared" si="6"/>
        <v>0</v>
      </c>
      <c r="O20" s="39">
        <f t="shared" si="6"/>
        <v>0</v>
      </c>
      <c r="P20" s="39">
        <f t="shared" si="6"/>
        <v>0</v>
      </c>
      <c r="Q20" s="39">
        <f t="shared" si="6"/>
        <v>0</v>
      </c>
      <c r="R20" s="39">
        <f t="shared" si="6"/>
        <v>0</v>
      </c>
      <c r="S20" s="39">
        <f t="shared" si="6"/>
        <v>0</v>
      </c>
      <c r="T20" s="39">
        <f t="shared" si="6"/>
        <v>0</v>
      </c>
      <c r="U20" s="39">
        <f t="shared" si="6"/>
        <v>0</v>
      </c>
      <c r="V20" s="39">
        <f t="shared" si="6"/>
        <v>0</v>
      </c>
      <c r="W20" s="39">
        <f t="shared" si="6"/>
        <v>0</v>
      </c>
      <c r="X20" s="39">
        <f t="shared" si="6"/>
        <v>0</v>
      </c>
      <c r="Y20" s="39">
        <f t="shared" si="6"/>
        <v>0</v>
      </c>
      <c r="Z20" s="39">
        <f t="shared" si="6"/>
        <v>0</v>
      </c>
      <c r="AA20" s="39">
        <f t="shared" si="6"/>
        <v>0</v>
      </c>
      <c r="AB20" s="39">
        <f t="shared" si="6"/>
        <v>0</v>
      </c>
      <c r="AC20" s="39">
        <f t="shared" si="6"/>
        <v>0</v>
      </c>
      <c r="AD20" s="39">
        <f t="shared" si="6"/>
        <v>0</v>
      </c>
      <c r="AE20" s="39">
        <f t="shared" si="6"/>
        <v>0</v>
      </c>
      <c r="AF20" s="39">
        <f t="shared" si="6"/>
        <v>0</v>
      </c>
      <c r="AG20" s="39">
        <f t="shared" si="6"/>
        <v>0</v>
      </c>
      <c r="AH20" s="39">
        <f t="shared" si="6"/>
        <v>0</v>
      </c>
      <c r="AI20" s="39">
        <f t="shared" si="6"/>
        <v>0</v>
      </c>
      <c r="AJ20" s="39">
        <f t="shared" si="6"/>
        <v>0</v>
      </c>
      <c r="AK20" s="39">
        <f t="shared" si="6"/>
        <v>0</v>
      </c>
      <c r="AL20" s="39">
        <f t="shared" si="6"/>
        <v>0</v>
      </c>
      <c r="AM20" s="39">
        <f t="shared" si="6"/>
        <v>0</v>
      </c>
      <c r="AN20" s="39">
        <f t="shared" si="6"/>
        <v>0</v>
      </c>
      <c r="AO20" s="39">
        <f t="shared" si="6"/>
        <v>0</v>
      </c>
      <c r="AP20" s="39">
        <f t="shared" si="6"/>
        <v>0</v>
      </c>
    </row>
    <row r="22" spans="1:42" x14ac:dyDescent="0.35">
      <c r="A22" t="s">
        <v>475</v>
      </c>
      <c r="C22" s="163"/>
      <c r="D22" s="163"/>
      <c r="E22" s="163"/>
      <c r="F22" s="39">
        <f t="shared" ref="F22:AP22" si="7">(F12*F14)-F12</f>
        <v>0</v>
      </c>
      <c r="G22" s="39">
        <f>(G12*G14)-G12</f>
        <v>0</v>
      </c>
      <c r="H22" s="39">
        <f t="shared" si="7"/>
        <v>0</v>
      </c>
      <c r="I22" s="39">
        <f t="shared" si="7"/>
        <v>0</v>
      </c>
      <c r="J22" s="39">
        <f t="shared" si="7"/>
        <v>0</v>
      </c>
      <c r="K22" s="39">
        <f t="shared" si="7"/>
        <v>0</v>
      </c>
      <c r="L22" s="39">
        <f t="shared" si="7"/>
        <v>0</v>
      </c>
      <c r="M22" s="39">
        <f t="shared" si="7"/>
        <v>0</v>
      </c>
      <c r="N22" s="39">
        <f t="shared" si="7"/>
        <v>0</v>
      </c>
      <c r="O22" s="39">
        <f t="shared" si="7"/>
        <v>0</v>
      </c>
      <c r="P22" s="39">
        <f t="shared" si="7"/>
        <v>0</v>
      </c>
      <c r="Q22" s="39">
        <f t="shared" si="7"/>
        <v>0</v>
      </c>
      <c r="R22" s="39">
        <f t="shared" si="7"/>
        <v>0</v>
      </c>
      <c r="S22" s="39">
        <f t="shared" si="7"/>
        <v>0</v>
      </c>
      <c r="T22" s="39">
        <f t="shared" si="7"/>
        <v>0</v>
      </c>
      <c r="U22" s="39">
        <f t="shared" si="7"/>
        <v>0</v>
      </c>
      <c r="V22" s="39">
        <f t="shared" si="7"/>
        <v>0</v>
      </c>
      <c r="W22" s="39">
        <f t="shared" si="7"/>
        <v>0</v>
      </c>
      <c r="X22" s="39">
        <f t="shared" si="7"/>
        <v>0</v>
      </c>
      <c r="Y22" s="39">
        <f t="shared" si="7"/>
        <v>0</v>
      </c>
      <c r="Z22" s="39">
        <f t="shared" si="7"/>
        <v>0</v>
      </c>
      <c r="AA22" s="39">
        <f t="shared" si="7"/>
        <v>0</v>
      </c>
      <c r="AB22" s="39">
        <f t="shared" si="7"/>
        <v>0</v>
      </c>
      <c r="AC22" s="39">
        <f t="shared" si="7"/>
        <v>0</v>
      </c>
      <c r="AD22" s="39">
        <f t="shared" si="7"/>
        <v>0</v>
      </c>
      <c r="AE22" s="39">
        <f t="shared" si="7"/>
        <v>0</v>
      </c>
      <c r="AF22" s="39">
        <f t="shared" si="7"/>
        <v>0</v>
      </c>
      <c r="AG22" s="39">
        <f t="shared" si="7"/>
        <v>0</v>
      </c>
      <c r="AH22" s="39">
        <f t="shared" si="7"/>
        <v>0</v>
      </c>
      <c r="AI22" s="39">
        <f t="shared" si="7"/>
        <v>0</v>
      </c>
      <c r="AJ22" s="39">
        <f t="shared" si="7"/>
        <v>0</v>
      </c>
      <c r="AK22" s="39">
        <f t="shared" si="7"/>
        <v>0</v>
      </c>
      <c r="AL22" s="39">
        <f t="shared" si="7"/>
        <v>0</v>
      </c>
      <c r="AM22" s="39">
        <f t="shared" si="7"/>
        <v>0</v>
      </c>
      <c r="AN22" s="39">
        <f t="shared" si="7"/>
        <v>0</v>
      </c>
      <c r="AO22" s="39">
        <f t="shared" si="7"/>
        <v>0</v>
      </c>
      <c r="AP22" s="39">
        <f t="shared" si="7"/>
        <v>0</v>
      </c>
    </row>
    <row r="23" spans="1:42" x14ac:dyDescent="0.35">
      <c r="A23" t="s">
        <v>476</v>
      </c>
      <c r="C23" s="163"/>
      <c r="D23" s="163"/>
      <c r="E23" s="163"/>
      <c r="F23" s="39">
        <f t="shared" ref="F23:AP23" si="8">(F12*F15)-F12</f>
        <v>0</v>
      </c>
      <c r="G23" s="39">
        <f t="shared" si="8"/>
        <v>0</v>
      </c>
      <c r="H23" s="39">
        <f t="shared" si="8"/>
        <v>0</v>
      </c>
      <c r="I23" s="39">
        <f t="shared" si="8"/>
        <v>0</v>
      </c>
      <c r="J23" s="39">
        <f t="shared" si="8"/>
        <v>0</v>
      </c>
      <c r="K23" s="39">
        <f t="shared" si="8"/>
        <v>0</v>
      </c>
      <c r="L23" s="39">
        <f t="shared" si="8"/>
        <v>0</v>
      </c>
      <c r="M23" s="39">
        <f t="shared" si="8"/>
        <v>0</v>
      </c>
      <c r="N23" s="39">
        <f t="shared" si="8"/>
        <v>0</v>
      </c>
      <c r="O23" s="39">
        <f t="shared" si="8"/>
        <v>0</v>
      </c>
      <c r="P23" s="39">
        <f t="shared" si="8"/>
        <v>0</v>
      </c>
      <c r="Q23" s="39">
        <f t="shared" si="8"/>
        <v>0</v>
      </c>
      <c r="R23" s="39">
        <f t="shared" si="8"/>
        <v>0</v>
      </c>
      <c r="S23" s="39">
        <f t="shared" si="8"/>
        <v>0</v>
      </c>
      <c r="T23" s="39">
        <f t="shared" si="8"/>
        <v>0</v>
      </c>
      <c r="U23" s="39">
        <f t="shared" si="8"/>
        <v>0</v>
      </c>
      <c r="V23" s="39">
        <f t="shared" si="8"/>
        <v>0</v>
      </c>
      <c r="W23" s="39">
        <f t="shared" si="8"/>
        <v>0</v>
      </c>
      <c r="X23" s="39">
        <f t="shared" si="8"/>
        <v>0</v>
      </c>
      <c r="Y23" s="39">
        <f t="shared" si="8"/>
        <v>0</v>
      </c>
      <c r="Z23" s="39">
        <f t="shared" si="8"/>
        <v>0</v>
      </c>
      <c r="AA23" s="39">
        <f t="shared" si="8"/>
        <v>0</v>
      </c>
      <c r="AB23" s="39">
        <f t="shared" si="8"/>
        <v>0</v>
      </c>
      <c r="AC23" s="39">
        <f t="shared" si="8"/>
        <v>0</v>
      </c>
      <c r="AD23" s="39">
        <f t="shared" si="8"/>
        <v>0</v>
      </c>
      <c r="AE23" s="39">
        <f t="shared" si="8"/>
        <v>0</v>
      </c>
      <c r="AF23" s="39">
        <f t="shared" si="8"/>
        <v>0</v>
      </c>
      <c r="AG23" s="39">
        <f t="shared" si="8"/>
        <v>0</v>
      </c>
      <c r="AH23" s="39">
        <f t="shared" si="8"/>
        <v>0</v>
      </c>
      <c r="AI23" s="39">
        <f t="shared" si="8"/>
        <v>0</v>
      </c>
      <c r="AJ23" s="39">
        <f t="shared" si="8"/>
        <v>0</v>
      </c>
      <c r="AK23" s="39">
        <f t="shared" si="8"/>
        <v>0</v>
      </c>
      <c r="AL23" s="39">
        <f t="shared" si="8"/>
        <v>0</v>
      </c>
      <c r="AM23" s="39">
        <f t="shared" si="8"/>
        <v>0</v>
      </c>
      <c r="AN23" s="39">
        <f t="shared" si="8"/>
        <v>0</v>
      </c>
      <c r="AO23" s="39">
        <f t="shared" si="8"/>
        <v>0</v>
      </c>
      <c r="AP23" s="39">
        <f t="shared" si="8"/>
        <v>0</v>
      </c>
    </row>
    <row r="24" spans="1:42"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2" x14ac:dyDescent="0.35">
      <c r="A25" t="s">
        <v>477</v>
      </c>
      <c r="C25" s="156"/>
      <c r="D25" s="156"/>
      <c r="E25" s="156"/>
      <c r="F25" s="38">
        <f t="shared" ref="F25:AP25" si="9">F10+F11+F12+F17+F18+F20+F22+F23</f>
        <v>618551649.39652872</v>
      </c>
      <c r="G25" s="38">
        <f t="shared" si="9"/>
        <v>639405468.76473081</v>
      </c>
      <c r="H25" s="38">
        <f t="shared" si="9"/>
        <v>619071984.72048032</v>
      </c>
      <c r="I25" s="38">
        <f t="shared" si="9"/>
        <v>599276386.80046892</v>
      </c>
      <c r="J25" s="38">
        <f t="shared" si="9"/>
        <v>579983230.52976453</v>
      </c>
      <c r="K25" s="38">
        <f t="shared" si="9"/>
        <v>454014141.37245238</v>
      </c>
      <c r="L25" s="38">
        <f t="shared" si="9"/>
        <v>433920583.48519081</v>
      </c>
      <c r="M25" s="38">
        <f t="shared" si="9"/>
        <v>429916460.41929173</v>
      </c>
      <c r="N25" s="38">
        <f t="shared" si="9"/>
        <v>425667189.11701733</v>
      </c>
      <c r="O25" s="38">
        <f t="shared" si="9"/>
        <v>421158856.71957064</v>
      </c>
      <c r="P25" s="38">
        <f t="shared" si="9"/>
        <v>416376835.92985737</v>
      </c>
      <c r="Q25" s="38">
        <f t="shared" si="9"/>
        <v>411305750.30846953</v>
      </c>
      <c r="R25" s="38">
        <f t="shared" si="9"/>
        <v>409594300.49837291</v>
      </c>
      <c r="S25" s="38">
        <f t="shared" si="9"/>
        <v>407582262.89882457</v>
      </c>
      <c r="T25" s="38">
        <f t="shared" si="9"/>
        <v>405251945.2402128</v>
      </c>
      <c r="U25" s="38">
        <f t="shared" si="9"/>
        <v>402584751.36306733</v>
      </c>
      <c r="V25" s="38">
        <f t="shared" si="9"/>
        <v>399561137.61175483</v>
      </c>
      <c r="W25" s="38">
        <f t="shared" si="9"/>
        <v>412150823.26976395</v>
      </c>
      <c r="X25" s="38">
        <f t="shared" si="9"/>
        <v>425115185.75368249</v>
      </c>
      <c r="Y25" s="38">
        <f t="shared" si="9"/>
        <v>438464304.1102488</v>
      </c>
      <c r="Z25" s="38">
        <f t="shared" si="9"/>
        <v>452208473.28191507</v>
      </c>
      <c r="AA25" s="38">
        <f t="shared" si="9"/>
        <v>466358205.58130729</v>
      </c>
      <c r="AB25" s="38">
        <f t="shared" si="9"/>
        <v>480924231.95014751</v>
      </c>
      <c r="AC25" s="38">
        <f t="shared" si="9"/>
        <v>495917502.98347139</v>
      </c>
      <c r="AD25" s="38">
        <f t="shared" si="9"/>
        <v>511349189.69879544</v>
      </c>
      <c r="AE25" s="38">
        <f t="shared" si="9"/>
        <v>527230684.0286516</v>
      </c>
      <c r="AF25" s="38">
        <f t="shared" si="9"/>
        <v>543573599.01361394</v>
      </c>
      <c r="AG25" s="38">
        <f t="shared" si="9"/>
        <v>560389768.67156017</v>
      </c>
      <c r="AH25" s="38">
        <f t="shared" si="9"/>
        <v>577691247.51747751</v>
      </c>
      <c r="AI25" s="38">
        <f t="shared" si="9"/>
        <v>595490309.70659351</v>
      </c>
      <c r="AJ25" s="38">
        <f t="shared" si="9"/>
        <v>613799447.77202535</v>
      </c>
      <c r="AK25" s="38">
        <f t="shared" si="9"/>
        <v>632631370.92644894</v>
      </c>
      <c r="AL25" s="38">
        <f t="shared" si="9"/>
        <v>651999002.89552104</v>
      </c>
      <c r="AM25" s="38">
        <f t="shared" si="9"/>
        <v>671915479.24893105</v>
      </c>
      <c r="AN25" s="38">
        <f t="shared" si="9"/>
        <v>692394144.19299126</v>
      </c>
      <c r="AO25" s="38">
        <f t="shared" si="9"/>
        <v>713448546.78662348</v>
      </c>
      <c r="AP25" s="38">
        <f t="shared" si="9"/>
        <v>735092436.54042006</v>
      </c>
    </row>
    <row r="26" spans="1:42"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row>
    <row r="27" spans="1:42" x14ac:dyDescent="0.35">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row>
    <row r="28" spans="1:42" x14ac:dyDescent="0.3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row>
  </sheetData>
  <sheetProtection algorithmName="SHA-512" hashValue="UibkUk9UTwwjPGvUkjOMaIj4uYXsZKifIYGmHXmmImxPxxzkGOe2/OK/Dq22B+NmOjIWt8l3DOaZ3LezHqYPBQ==" saltValue="fScaU3zWd/5WmzzA5+BtZ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dimension ref="A1:AP13"/>
  <sheetViews>
    <sheetView zoomScaleNormal="100" workbookViewId="0">
      <selection sqref="A1:XFD1048576"/>
    </sheetView>
  </sheetViews>
  <sheetFormatPr defaultColWidth="10.83203125" defaultRowHeight="15.5" x14ac:dyDescent="0.35"/>
  <cols>
    <col min="1" max="1" width="32.58203125" customWidth="1"/>
    <col min="2" max="4" width="15.5" hidden="1" customWidth="1"/>
    <col min="5" max="26" width="16.5" bestFit="1" customWidth="1"/>
    <col min="27" max="30" width="17.08203125" customWidth="1"/>
    <col min="31" max="31" width="18.08203125" bestFit="1" customWidth="1"/>
    <col min="32" max="41" width="16.5" bestFit="1" customWidth="1"/>
    <col min="42" max="42" width="14.58203125" bestFit="1" customWidth="1"/>
  </cols>
  <sheetData>
    <row r="1" spans="1:42" x14ac:dyDescent="0.35">
      <c r="B1">
        <v>2022</v>
      </c>
      <c r="C1">
        <f t="shared" ref="C1:AO1" si="0">B1+1</f>
        <v>2023</v>
      </c>
      <c r="D1">
        <f t="shared" si="0"/>
        <v>2024</v>
      </c>
      <c r="E1">
        <f t="shared" si="0"/>
        <v>2025</v>
      </c>
      <c r="F1">
        <f t="shared" si="0"/>
        <v>2026</v>
      </c>
      <c r="G1">
        <f t="shared" si="0"/>
        <v>2027</v>
      </c>
      <c r="H1">
        <f t="shared" si="0"/>
        <v>2028</v>
      </c>
      <c r="I1">
        <f t="shared" si="0"/>
        <v>2029</v>
      </c>
      <c r="J1">
        <f t="shared" si="0"/>
        <v>2030</v>
      </c>
      <c r="K1">
        <f t="shared" si="0"/>
        <v>2031</v>
      </c>
      <c r="L1">
        <f t="shared" si="0"/>
        <v>2032</v>
      </c>
      <c r="M1">
        <f t="shared" si="0"/>
        <v>2033</v>
      </c>
      <c r="N1">
        <f t="shared" si="0"/>
        <v>2034</v>
      </c>
      <c r="O1">
        <f t="shared" si="0"/>
        <v>2035</v>
      </c>
      <c r="P1">
        <f t="shared" si="0"/>
        <v>2036</v>
      </c>
      <c r="Q1">
        <f t="shared" si="0"/>
        <v>2037</v>
      </c>
      <c r="R1">
        <f t="shared" si="0"/>
        <v>2038</v>
      </c>
      <c r="S1">
        <f t="shared" si="0"/>
        <v>2039</v>
      </c>
      <c r="T1">
        <f t="shared" si="0"/>
        <v>2040</v>
      </c>
      <c r="U1">
        <f t="shared" si="0"/>
        <v>2041</v>
      </c>
      <c r="V1">
        <f t="shared" si="0"/>
        <v>2042</v>
      </c>
      <c r="W1">
        <f t="shared" si="0"/>
        <v>2043</v>
      </c>
      <c r="X1">
        <f t="shared" si="0"/>
        <v>2044</v>
      </c>
      <c r="Y1">
        <f t="shared" si="0"/>
        <v>2045</v>
      </c>
      <c r="Z1">
        <f t="shared" si="0"/>
        <v>2046</v>
      </c>
      <c r="AA1">
        <f t="shared" si="0"/>
        <v>2047</v>
      </c>
      <c r="AB1">
        <f t="shared" si="0"/>
        <v>2048</v>
      </c>
      <c r="AC1">
        <f t="shared" si="0"/>
        <v>2049</v>
      </c>
      <c r="AD1">
        <f t="shared" si="0"/>
        <v>2050</v>
      </c>
      <c r="AE1">
        <f t="shared" si="0"/>
        <v>2051</v>
      </c>
      <c r="AF1">
        <f t="shared" si="0"/>
        <v>2052</v>
      </c>
      <c r="AG1">
        <f t="shared" si="0"/>
        <v>2053</v>
      </c>
      <c r="AH1">
        <f t="shared" si="0"/>
        <v>2054</v>
      </c>
      <c r="AI1">
        <f t="shared" si="0"/>
        <v>2055</v>
      </c>
      <c r="AJ1">
        <f t="shared" si="0"/>
        <v>2056</v>
      </c>
      <c r="AK1">
        <f t="shared" si="0"/>
        <v>2057</v>
      </c>
      <c r="AL1">
        <f t="shared" si="0"/>
        <v>2058</v>
      </c>
      <c r="AM1">
        <f t="shared" si="0"/>
        <v>2059</v>
      </c>
      <c r="AN1">
        <f t="shared" si="0"/>
        <v>2060</v>
      </c>
      <c r="AO1">
        <f t="shared" si="0"/>
        <v>2061</v>
      </c>
    </row>
    <row r="4" spans="1:42" x14ac:dyDescent="0.35">
      <c r="A4" t="s">
        <v>478</v>
      </c>
      <c r="B4" s="157"/>
      <c r="C4" s="157"/>
      <c r="D4" s="157"/>
      <c r="E4" s="1">
        <f>Assumptions!F35</f>
        <v>35467470302.378914</v>
      </c>
      <c r="F4" s="1">
        <f>E4+Depreciation!F16</f>
        <v>36803275763.662254</v>
      </c>
      <c r="G4" s="1">
        <f>F4+Depreciation!G16</f>
        <v>38188664106.88121</v>
      </c>
      <c r="H4" s="1">
        <f>G4+Depreciation!H16</f>
        <v>39578878078.445602</v>
      </c>
      <c r="I4" s="1">
        <f>H4+Depreciation!I16</f>
        <v>40974986983.344711</v>
      </c>
      <c r="J4" s="1">
        <f>I4+Depreciation!J16</f>
        <v>42378039967.478584</v>
      </c>
      <c r="K4" s="1">
        <f>J4+Depreciation!K16</f>
        <v>43789066927.142632</v>
      </c>
      <c r="L4" s="1">
        <f>K4+Depreciation!L16</f>
        <v>45209079375.339935</v>
      </c>
      <c r="M4" s="1">
        <f>L4+Depreciation!M16</f>
        <v>46656516433.643982</v>
      </c>
      <c r="N4" s="1">
        <f>M4+Depreciation!N16</f>
        <v>48131904809.366768</v>
      </c>
      <c r="O4" s="1">
        <f>N4+Depreciation!O16</f>
        <v>49635778874.180748</v>
      </c>
      <c r="P4" s="1">
        <f>O4+Depreciation!P16</f>
        <v>51882896397.569328</v>
      </c>
      <c r="Q4" s="1">
        <f>P4+Depreciation!Q16</f>
        <v>54163015480.256973</v>
      </c>
      <c r="R4" s="1">
        <f>Q4+Depreciation!R16</f>
        <v>56486519831.643936</v>
      </c>
      <c r="S4" s="1">
        <f>R4+Depreciation!S16</f>
        <v>58853882176.278076</v>
      </c>
      <c r="T4" s="1">
        <f>S4+Depreciation!T16</f>
        <v>61265568740.743584</v>
      </c>
      <c r="U4" s="1">
        <f>T4+Depreciation!U16</f>
        <v>63722038461.073776</v>
      </c>
      <c r="V4" s="1">
        <f>U4+Depreciation!V16</f>
        <v>66223742150.590691</v>
      </c>
      <c r="W4" s="1">
        <f>V4+Depreciation!W16</f>
        <v>68809426158.461548</v>
      </c>
      <c r="X4" s="1">
        <f>W4+Depreciation!X16</f>
        <v>71481517349.261276</v>
      </c>
      <c r="Y4" s="1">
        <f>X4+Depreciation!Y16</f>
        <v>74242506494.104355</v>
      </c>
      <c r="Z4" s="1">
        <f>Y4+Depreciation!Z16</f>
        <v>77813127203.408981</v>
      </c>
      <c r="AA4" s="1">
        <f>Z4+Depreciation!AA16</f>
        <v>81508616736.878723</v>
      </c>
      <c r="AB4" s="1">
        <f>AA4+Depreciation!AB16</f>
        <v>85332619638.009705</v>
      </c>
      <c r="AC4" s="1">
        <f>AB4+Depreciation!AC16</f>
        <v>89288875905.076859</v>
      </c>
      <c r="AD4" s="1">
        <f>AC4+Depreciation!AD16</f>
        <v>93381223274.871033</v>
      </c>
      <c r="AE4" s="1">
        <f>AD4+Depreciation!AE16</f>
        <v>97613599555.757599</v>
      </c>
      <c r="AF4" s="1">
        <f>AE4+Depreciation!AF16</f>
        <v>101990045010.96455</v>
      </c>
      <c r="AG4" s="1">
        <f>AF4+Depreciation!AG16</f>
        <v>106514704793.01894</v>
      </c>
      <c r="AH4" s="1">
        <f>AG4+Depreciation!AH16</f>
        <v>111191831430.26175</v>
      </c>
      <c r="AI4" s="1">
        <f>AH4+Depreciation!AI16</f>
        <v>116025787366.38257</v>
      </c>
      <c r="AJ4" s="1">
        <f>AI4+Depreciation!AJ16</f>
        <v>118673982530.92651</v>
      </c>
      <c r="AK4" s="1">
        <f>AJ4+Depreciation!AK16</f>
        <v>121390576604.27788</v>
      </c>
      <c r="AL4" s="1">
        <f>AK4+Depreciation!AL16</f>
        <v>124177336227.6528</v>
      </c>
      <c r="AM4" s="1">
        <f>AL4+Depreciation!AM16</f>
        <v>127036073671.96007</v>
      </c>
      <c r="AN4" s="1">
        <f>AM4+Depreciation!AN16</f>
        <v>129968648016.34763</v>
      </c>
      <c r="AO4" s="1">
        <f>AN4+Depreciation!AO16</f>
        <v>132976966357.18919</v>
      </c>
      <c r="AP4" s="1"/>
    </row>
    <row r="5" spans="1:42" x14ac:dyDescent="0.35">
      <c r="A5" t="s">
        <v>479</v>
      </c>
      <c r="B5" s="157"/>
      <c r="C5" s="157"/>
      <c r="D5" s="157"/>
      <c r="E5" s="1">
        <f>Depreciation!F10</f>
        <v>18454914488.319965</v>
      </c>
      <c r="F5" s="1">
        <f>Depreciation!G10</f>
        <v>19212933138.618477</v>
      </c>
      <c r="G5" s="1">
        <f>Depreciation!H10</f>
        <v>20008201993.691185</v>
      </c>
      <c r="H5" s="1">
        <f>Depreciation!I10</f>
        <v>20841166279.663067</v>
      </c>
      <c r="I5" s="1">
        <f>Depreciation!J10</f>
        <v>21712305385.434669</v>
      </c>
      <c r="J5" s="1">
        <f>Depreciation!K10</f>
        <v>22622132723.094593</v>
      </c>
      <c r="K5" s="1">
        <f>Depreciation!L10</f>
        <v>23571195619.49699</v>
      </c>
      <c r="L5" s="1">
        <f>Depreciation!M10</f>
        <v>24560484415.518131</v>
      </c>
      <c r="M5" s="1">
        <f>Depreciation!N10</f>
        <v>25591015491.926914</v>
      </c>
      <c r="N5" s="1">
        <f>Depreciation!O10</f>
        <v>26663831861.99564</v>
      </c>
      <c r="O5" s="1">
        <f>Depreciation!P10</f>
        <v>27796760353.335369</v>
      </c>
      <c r="P5" s="1">
        <f>Depreciation!Q10</f>
        <v>28991097915.607288</v>
      </c>
      <c r="Q5" s="1">
        <f>Depreciation!R10</f>
        <v>30248405032.9589</v>
      </c>
      <c r="R5" s="1">
        <f>Depreciation!S10</f>
        <v>31570275378.192444</v>
      </c>
      <c r="S5" s="1">
        <f>Depreciation!T10</f>
        <v>32958336263.133858</v>
      </c>
      <c r="T5" s="1">
        <f>Depreciation!U10</f>
        <v>34414249082.628487</v>
      </c>
      <c r="U5" s="1">
        <f>Depreciation!V10</f>
        <v>35939709751.28479</v>
      </c>
      <c r="V5" s="1">
        <f>Depreciation!W10</f>
        <v>37537348379.184883</v>
      </c>
      <c r="W5" s="1">
        <f>Depreciation!X10</f>
        <v>39209884286.392334</v>
      </c>
      <c r="X5" s="1">
        <f>Depreciation!Y10</f>
        <v>40960128833.389038</v>
      </c>
      <c r="Y5" s="1">
        <f>Depreciation!Z10</f>
        <v>42807852909.193474</v>
      </c>
      <c r="Z5" s="1">
        <f>Depreciation!AA10</f>
        <v>44756918225.332748</v>
      </c>
      <c r="AA5" s="1">
        <f>Depreciation!AB10</f>
        <v>46811319827.237381</v>
      </c>
      <c r="AB5" s="1">
        <f>Depreciation!AC10</f>
        <v>48975190343.991951</v>
      </c>
      <c r="AC5" s="1">
        <f>Depreciation!AD10</f>
        <v>51252804365.973976</v>
      </c>
      <c r="AD5" s="1">
        <f>Depreciation!AE10</f>
        <v>53648582954.046402</v>
      </c>
      <c r="AE5" s="1">
        <f>Depreciation!AF10</f>
        <v>56167098284.068916</v>
      </c>
      <c r="AF5" s="1">
        <f>Depreciation!AG10</f>
        <v>58813078430.596199</v>
      </c>
      <c r="AG5" s="1">
        <f>Depreciation!AH10</f>
        <v>61591412293.736237</v>
      </c>
      <c r="AH5" s="1">
        <f>Depreciation!AI10</f>
        <v>64507154673.250183</v>
      </c>
      <c r="AI5" s="1">
        <f>Depreciation!AJ10</f>
        <v>67510369324.149551</v>
      </c>
      <c r="AJ5" s="1">
        <f>Depreciation!AK10</f>
        <v>70603680414.575897</v>
      </c>
      <c r="AK5" s="1">
        <f>Depreciation!AL10</f>
        <v>73789790837.715042</v>
      </c>
      <c r="AL5" s="1">
        <f>Depreciation!AM10</f>
        <v>77071484573.548355</v>
      </c>
      <c r="AM5" s="1">
        <f>Depreciation!AN10</f>
        <v>80451629121.456665</v>
      </c>
      <c r="AN5" s="1">
        <f>Depreciation!AO10</f>
        <v>83933178005.802216</v>
      </c>
      <c r="AO5" s="1">
        <f>Depreciation!AP10</f>
        <v>87519173356.678146</v>
      </c>
      <c r="AP5" s="1"/>
    </row>
    <row r="6" spans="1:42" x14ac:dyDescent="0.35">
      <c r="A6" t="s">
        <v>480</v>
      </c>
      <c r="B6" s="157"/>
      <c r="C6" s="157"/>
      <c r="D6" s="157"/>
      <c r="E6" s="1">
        <f>E4-E5</f>
        <v>17012555814.058949</v>
      </c>
      <c r="F6" s="1">
        <f t="shared" ref="F6:AE6" si="1">F4-F5</f>
        <v>17590342625.043777</v>
      </c>
      <c r="G6" s="1">
        <f t="shared" si="1"/>
        <v>18180462113.190025</v>
      </c>
      <c r="H6" s="1">
        <f t="shared" si="1"/>
        <v>18737711798.782536</v>
      </c>
      <c r="I6" s="1">
        <f t="shared" si="1"/>
        <v>19262681597.910042</v>
      </c>
      <c r="J6" s="1">
        <f t="shared" si="1"/>
        <v>19755907244.383991</v>
      </c>
      <c r="K6" s="1">
        <f t="shared" si="1"/>
        <v>20217871307.645641</v>
      </c>
      <c r="L6" s="1">
        <f t="shared" si="1"/>
        <v>20648594959.821804</v>
      </c>
      <c r="M6" s="1">
        <f t="shared" si="1"/>
        <v>21065500941.717068</v>
      </c>
      <c r="N6" s="1">
        <f t="shared" si="1"/>
        <v>21468072947.371128</v>
      </c>
      <c r="O6" s="1">
        <f t="shared" si="1"/>
        <v>21839018520.845379</v>
      </c>
      <c r="P6" s="1">
        <f t="shared" si="1"/>
        <v>22891798481.96204</v>
      </c>
      <c r="Q6" s="1">
        <f t="shared" si="1"/>
        <v>23914610447.298073</v>
      </c>
      <c r="R6" s="1">
        <f t="shared" si="1"/>
        <v>24916244453.451492</v>
      </c>
      <c r="S6" s="1">
        <f t="shared" si="1"/>
        <v>25895545913.144218</v>
      </c>
      <c r="T6" s="1">
        <f t="shared" si="1"/>
        <v>26851319658.115097</v>
      </c>
      <c r="U6" s="1">
        <f t="shared" si="1"/>
        <v>27782328709.788986</v>
      </c>
      <c r="V6" s="1">
        <f t="shared" si="1"/>
        <v>28686393771.405807</v>
      </c>
      <c r="W6" s="1">
        <f t="shared" si="1"/>
        <v>29599541872.069214</v>
      </c>
      <c r="X6" s="1">
        <f t="shared" si="1"/>
        <v>30521388515.872238</v>
      </c>
      <c r="Y6" s="1">
        <f t="shared" si="1"/>
        <v>31434653584.910881</v>
      </c>
      <c r="Z6" s="1">
        <f t="shared" si="1"/>
        <v>33056208978.076233</v>
      </c>
      <c r="AA6" s="1">
        <f t="shared" si="1"/>
        <v>34697296909.641342</v>
      </c>
      <c r="AB6" s="1">
        <f t="shared" si="1"/>
        <v>36357429294.017754</v>
      </c>
      <c r="AC6" s="1">
        <f t="shared" si="1"/>
        <v>38036071539.102882</v>
      </c>
      <c r="AD6" s="1">
        <f t="shared" si="1"/>
        <v>39732640320.824631</v>
      </c>
      <c r="AE6" s="1">
        <f t="shared" si="1"/>
        <v>41446501271.688683</v>
      </c>
      <c r="AF6" s="1">
        <f t="shared" ref="AF6:AO6" si="2">AF4-AF5</f>
        <v>43176966580.368355</v>
      </c>
      <c r="AG6" s="1">
        <f t="shared" si="2"/>
        <v>44923292499.2827</v>
      </c>
      <c r="AH6" s="1">
        <f t="shared" si="2"/>
        <v>46684676757.011566</v>
      </c>
      <c r="AI6" s="1">
        <f t="shared" si="2"/>
        <v>48515418042.233017</v>
      </c>
      <c r="AJ6" s="1">
        <f t="shared" si="2"/>
        <v>48070302116.350616</v>
      </c>
      <c r="AK6" s="1">
        <f t="shared" si="2"/>
        <v>47600785766.562836</v>
      </c>
      <c r="AL6" s="1">
        <f t="shared" si="2"/>
        <v>47105851654.104446</v>
      </c>
      <c r="AM6" s="1">
        <f t="shared" si="2"/>
        <v>46584444550.503403</v>
      </c>
      <c r="AN6" s="1">
        <f t="shared" si="2"/>
        <v>46035470010.54541</v>
      </c>
      <c r="AO6" s="1">
        <f t="shared" si="2"/>
        <v>45457793000.511047</v>
      </c>
      <c r="AP6" s="1"/>
    </row>
    <row r="8" spans="1:42" x14ac:dyDescent="0.35">
      <c r="A8" t="s">
        <v>481</v>
      </c>
      <c r="B8" s="157"/>
      <c r="C8" s="157"/>
      <c r="D8" s="157"/>
      <c r="E8" s="1">
        <f ca="1">E6-E9</f>
        <v>11547437275.315233</v>
      </c>
      <c r="F8" s="1">
        <f t="shared" ref="F8:AE8" ca="1" si="3">F6-F9</f>
        <v>11376156822.264097</v>
      </c>
      <c r="G8" s="1">
        <f ca="1">G6-G9</f>
        <v>11275220301.344223</v>
      </c>
      <c r="H8" s="1">
        <f t="shared" ca="1" si="3"/>
        <v>11199017263.235386</v>
      </c>
      <c r="I8" s="1">
        <f t="shared" ca="1" si="3"/>
        <v>11132929308.060303</v>
      </c>
      <c r="J8" s="1">
        <f t="shared" ca="1" si="3"/>
        <v>11171746520.805918</v>
      </c>
      <c r="K8" s="1">
        <f t="shared" ca="1" si="3"/>
        <v>11211253156.188173</v>
      </c>
      <c r="L8" s="1">
        <f t="shared" ca="1" si="3"/>
        <v>11217695271.61591</v>
      </c>
      <c r="M8" s="1">
        <f t="shared" ca="1" si="3"/>
        <v>11187861628.414652</v>
      </c>
      <c r="N8" s="1">
        <f t="shared" ca="1" si="3"/>
        <v>11120176529.994411</v>
      </c>
      <c r="O8" s="1">
        <f t="shared" ca="1" si="3"/>
        <v>10401146297.161222</v>
      </c>
      <c r="P8" s="1">
        <f t="shared" ca="1" si="3"/>
        <v>10426377958.849463</v>
      </c>
      <c r="Q8" s="1">
        <f t="shared" ca="1" si="3"/>
        <v>10481244187.486856</v>
      </c>
      <c r="R8" s="1">
        <f t="shared" ca="1" si="3"/>
        <v>10559951926.47953</v>
      </c>
      <c r="S8" s="1">
        <f t="shared" ca="1" si="3"/>
        <v>10670071881.793665</v>
      </c>
      <c r="T8" s="1">
        <f t="shared" ca="1" si="3"/>
        <v>10790768931.056885</v>
      </c>
      <c r="U8" s="1">
        <f t="shared" ca="1" si="3"/>
        <v>10927115827.632284</v>
      </c>
      <c r="V8" s="1">
        <f t="shared" ca="1" si="3"/>
        <v>11027024548.527767</v>
      </c>
      <c r="W8" s="1">
        <f t="shared" ca="1" si="3"/>
        <v>11128455482.425117</v>
      </c>
      <c r="X8" s="1">
        <f t="shared" ca="1" si="3"/>
        <v>11233185595.963608</v>
      </c>
      <c r="Y8" s="1">
        <f t="shared" ca="1" si="3"/>
        <v>10682930168.807453</v>
      </c>
      <c r="Z8" s="1">
        <f t="shared" ca="1" si="3"/>
        <v>10860474675.06039</v>
      </c>
      <c r="AA8" s="1">
        <f t="shared" ca="1" si="3"/>
        <v>11087979823.421383</v>
      </c>
      <c r="AB8" s="1">
        <f t="shared" ca="1" si="3"/>
        <v>11334022511.190987</v>
      </c>
      <c r="AC8" s="1">
        <f t="shared" ca="1" si="3"/>
        <v>11604796345.558052</v>
      </c>
      <c r="AD8" s="1">
        <f t="shared" ca="1" si="3"/>
        <v>11907210306.938457</v>
      </c>
      <c r="AE8" s="1">
        <f t="shared" ca="1" si="3"/>
        <v>12198816562.442741</v>
      </c>
      <c r="AF8" s="1">
        <f t="shared" ref="AF8:AO8" ca="1" si="4">AF6-AF9</f>
        <v>12481227853.112087</v>
      </c>
      <c r="AG8" s="1">
        <f t="shared" ca="1" si="4"/>
        <v>12701965210.70715</v>
      </c>
      <c r="AH8" s="1">
        <f t="shared" ca="1" si="4"/>
        <v>12856822225.905991</v>
      </c>
      <c r="AI8" s="1">
        <f t="shared" ca="1" si="4"/>
        <v>15392096972.727657</v>
      </c>
      <c r="AJ8" s="1">
        <f t="shared" ca="1" si="4"/>
        <v>15712902356.36586</v>
      </c>
      <c r="AK8" s="1">
        <f t="shared" ca="1" si="4"/>
        <v>16073575859.589211</v>
      </c>
      <c r="AL8" s="1">
        <f t="shared" ca="1" si="4"/>
        <v>16476101745.934525</v>
      </c>
      <c r="AM8" s="1">
        <f t="shared" ca="1" si="4"/>
        <v>16922552384.945133</v>
      </c>
      <c r="AN8" s="1">
        <f t="shared" ca="1" si="4"/>
        <v>17415092238.051208</v>
      </c>
      <c r="AO8" s="1">
        <f t="shared" ca="1" si="4"/>
        <v>17955982034.025719</v>
      </c>
    </row>
    <row r="9" spans="1:42" x14ac:dyDescent="0.35">
      <c r="A9" t="s">
        <v>482</v>
      </c>
      <c r="B9" s="157"/>
      <c r="C9" s="157"/>
      <c r="D9" s="157"/>
      <c r="E9" s="1">
        <f ca="1">'Debt worksheet'!F8</f>
        <v>5465118538.7437153</v>
      </c>
      <c r="F9" s="1">
        <f ca="1">'Debt worksheet'!G8</f>
        <v>6214185802.7796803</v>
      </c>
      <c r="G9" s="1">
        <f ca="1">'Debt worksheet'!H8</f>
        <v>6905241811.8458033</v>
      </c>
      <c r="H9" s="1">
        <f ca="1">'Debt worksheet'!I8</f>
        <v>7538694535.5471506</v>
      </c>
      <c r="I9" s="1">
        <f ca="1">'Debt worksheet'!J8</f>
        <v>8129752289.84974</v>
      </c>
      <c r="J9" s="1">
        <f ca="1">'Debt worksheet'!K8</f>
        <v>8584160723.5780735</v>
      </c>
      <c r="K9" s="1">
        <f ca="1">'Debt worksheet'!L8</f>
        <v>9006618151.457468</v>
      </c>
      <c r="L9" s="1">
        <f ca="1">'Debt worksheet'!M8</f>
        <v>9430899688.2058945</v>
      </c>
      <c r="M9" s="1">
        <f ca="1">'Debt worksheet'!N8</f>
        <v>9877639313.3024158</v>
      </c>
      <c r="N9" s="1">
        <f ca="1">'Debt worksheet'!O8</f>
        <v>10347896417.376717</v>
      </c>
      <c r="O9" s="1">
        <f ca="1">'Debt worksheet'!P8</f>
        <v>11437872223.684156</v>
      </c>
      <c r="P9" s="1">
        <f ca="1">'Debt worksheet'!Q8</f>
        <v>12465420523.112577</v>
      </c>
      <c r="Q9" s="1">
        <f ca="1">'Debt worksheet'!R8</f>
        <v>13433366259.811216</v>
      </c>
      <c r="R9" s="1">
        <f ca="1">'Debt worksheet'!S8</f>
        <v>14356292526.971962</v>
      </c>
      <c r="S9" s="1">
        <f ca="1">'Debt worksheet'!T8</f>
        <v>15225474031.350554</v>
      </c>
      <c r="T9" s="1">
        <f ca="1">'Debt worksheet'!U8</f>
        <v>16060550727.058212</v>
      </c>
      <c r="U9" s="1">
        <f ca="1">'Debt worksheet'!V8</f>
        <v>16855212882.156702</v>
      </c>
      <c r="V9" s="1">
        <f ca="1">'Debt worksheet'!W8</f>
        <v>17659369222.87804</v>
      </c>
      <c r="W9" s="1">
        <f ca="1">'Debt worksheet'!X8</f>
        <v>18471086389.644096</v>
      </c>
      <c r="X9" s="1">
        <f ca="1">'Debt worksheet'!Y8</f>
        <v>19288202919.90863</v>
      </c>
      <c r="Y9" s="1">
        <f ca="1">'Debt worksheet'!Z8</f>
        <v>20751723416.103428</v>
      </c>
      <c r="Z9" s="1">
        <f ca="1">'Debt worksheet'!AA8</f>
        <v>22195734303.015842</v>
      </c>
      <c r="AA9" s="1">
        <f ca="1">'Debt worksheet'!AB8</f>
        <v>23609317086.219959</v>
      </c>
      <c r="AB9" s="1">
        <f ca="1">'Debt worksheet'!AC8</f>
        <v>25023406782.826767</v>
      </c>
      <c r="AC9" s="1">
        <f ca="1">'Debt worksheet'!AD8</f>
        <v>26431275193.54483</v>
      </c>
      <c r="AD9" s="1">
        <f ca="1">'Debt worksheet'!AE8</f>
        <v>27825430013.886173</v>
      </c>
      <c r="AE9" s="1">
        <f ca="1">'Debt worksheet'!AF8</f>
        <v>29247684709.245941</v>
      </c>
      <c r="AF9" s="1">
        <f ca="1">'Debt worksheet'!AG8</f>
        <v>30695738727.256268</v>
      </c>
      <c r="AG9" s="1">
        <f ca="1">'Debt worksheet'!AH8</f>
        <v>32221327288.57555</v>
      </c>
      <c r="AH9" s="1">
        <f ca="1">'Debt worksheet'!AI8</f>
        <v>33827854531.105576</v>
      </c>
      <c r="AI9" s="1">
        <f ca="1">'Debt worksheet'!AJ8</f>
        <v>33123321069.50536</v>
      </c>
      <c r="AJ9" s="1">
        <f ca="1">'Debt worksheet'!AK8</f>
        <v>32357399759.984756</v>
      </c>
      <c r="AK9" s="1">
        <f ca="1">'Debt worksheet'!AL8</f>
        <v>31527209906.973625</v>
      </c>
      <c r="AL9" s="1">
        <f ca="1">'Debt worksheet'!AM8</f>
        <v>30629749908.169922</v>
      </c>
      <c r="AM9" s="1">
        <f ca="1">'Debt worksheet'!AN8</f>
        <v>29661892165.55827</v>
      </c>
      <c r="AN9" s="1">
        <f ca="1">'Debt worksheet'!AO8</f>
        <v>28620377772.494202</v>
      </c>
      <c r="AO9" s="1">
        <f ca="1">'Debt worksheet'!AP8</f>
        <v>27501810966.485329</v>
      </c>
      <c r="AP9" s="1"/>
    </row>
    <row r="13" spans="1:42" x14ac:dyDescent="0.3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1"/>
    </row>
  </sheetData>
  <sheetProtection algorithmName="SHA-512" hashValue="7AqczrtxhHsZKz58hfZdPNKVNXgvUigmVZ48uqr894Gt0L7+5WuoxxszIaYXMdAO09QzETHrszMSEIegzW+qlg==" saltValue="nWAvK69pBCsKCodNiavWd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dimension ref="A1:AP16"/>
  <sheetViews>
    <sheetView zoomScaleNormal="100" workbookViewId="0">
      <selection sqref="A1:XFD1048576"/>
    </sheetView>
  </sheetViews>
  <sheetFormatPr defaultColWidth="18.83203125" defaultRowHeight="15.5" x14ac:dyDescent="0.35"/>
  <cols>
    <col min="1" max="1" width="35.58203125" bestFit="1" customWidth="1"/>
    <col min="3" max="5" width="18.83203125" hidden="1" customWidth="1"/>
  </cols>
  <sheetData>
    <row r="1" spans="1:42"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2" x14ac:dyDescent="0.35">
      <c r="A3" t="s">
        <v>483</v>
      </c>
      <c r="C3" s="162"/>
      <c r="D3" s="162"/>
      <c r="E3" s="162"/>
      <c r="F3" s="77">
        <f ca="1">'Profit and Loss'!F7</f>
        <v>-169195629.41855794</v>
      </c>
      <c r="G3" s="77">
        <f ca="1">'Profit and Loss'!G7</f>
        <v>-121697571.11551821</v>
      </c>
      <c r="H3" s="77">
        <f ca="1">'Profit and Loss'!H7</f>
        <v>-96110892.574441314</v>
      </c>
      <c r="I3" s="77">
        <f ca="1">'Profit and Loss'!I7</f>
        <v>-70308104.774123907</v>
      </c>
      <c r="J3" s="77">
        <f ca="1">'Profit and Loss'!J7</f>
        <v>-59143875.940318525</v>
      </c>
      <c r="K3" s="77">
        <f ca="1">'Profit and Loss'!K7</f>
        <v>46791188.275791764</v>
      </c>
      <c r="L3" s="77">
        <f ca="1">'Profit and Loss'!L7</f>
        <v>48492123.91550684</v>
      </c>
      <c r="M3" s="77">
        <f ca="1">'Profit and Loss'!M7</f>
        <v>33866725.534476936</v>
      </c>
      <c r="N3" s="77">
        <f ca="1">'Profit and Loss'!N7</f>
        <v>-1882325.7825204134</v>
      </c>
      <c r="O3" s="77">
        <f ca="1">'Profit and Loss'!O7</f>
        <v>-39199409.329043984</v>
      </c>
      <c r="P3" s="77">
        <f ca="1">'Profit and Loss'!P7</f>
        <v>24213225.741415977</v>
      </c>
      <c r="Q3" s="77">
        <f ca="1">'Profit and Loss'!Q7</f>
        <v>58233220.987301946</v>
      </c>
      <c r="R3" s="77">
        <f ca="1">'Profit and Loss'!R7</f>
        <v>98251497.336708784</v>
      </c>
      <c r="S3" s="77">
        <f ca="1">'Profit and Loss'!S7</f>
        <v>122565732.23985147</v>
      </c>
      <c r="T3" s="77">
        <f ca="1">'Profit and Loss'!T7</f>
        <v>154444175.14550829</v>
      </c>
      <c r="U3" s="77">
        <f ca="1">'Profit and Loss'!U7</f>
        <v>165480205.12790179</v>
      </c>
      <c r="V3" s="77">
        <f ca="1">'Profit and Loss'!V7</f>
        <v>181580865.76212239</v>
      </c>
      <c r="W3" s="77">
        <f ca="1">'Profit and Loss'!W7</f>
        <v>183889039.2494272</v>
      </c>
      <c r="X3" s="77">
        <f ca="1">'Profit and Loss'!X7</f>
        <v>187838116.82622862</v>
      </c>
      <c r="Y3" s="77">
        <f ca="1">'Profit and Loss'!Y7</f>
        <v>193628067.58183885</v>
      </c>
      <c r="Z3" s="77">
        <f ca="1">'Profit and Loss'!Z7</f>
        <v>259376137.30538487</v>
      </c>
      <c r="AA3" s="77">
        <f ca="1">'Profit and Loss'!AA7</f>
        <v>302413330.41806269</v>
      </c>
      <c r="AB3" s="77">
        <f ca="1">'Profit and Loss'!AB7</f>
        <v>356018516.02223659</v>
      </c>
      <c r="AC3" s="77">
        <f ca="1">'Profit and Loss'!AC7</f>
        <v>378296053.70577836</v>
      </c>
      <c r="AD3" s="77">
        <f ca="1">'Profit and Loss'!AD7</f>
        <v>406864937.09407496</v>
      </c>
      <c r="AE3" s="77">
        <f ca="1">'Profit and Loss'!AE7</f>
        <v>442442872.47280049</v>
      </c>
      <c r="AF3" s="77">
        <f ca="1">'Profit and Loss'!AF7</f>
        <v>435675429.82467175</v>
      </c>
      <c r="AG3" s="77">
        <f ca="1">'Profit and Loss'!AG7</f>
        <v>430625617.51677275</v>
      </c>
      <c r="AH3" s="77">
        <f ca="1">'Profit and Loss'!AH7</f>
        <v>373204212.78349018</v>
      </c>
      <c r="AI3" s="77">
        <f ca="1">'Profit and Loss'!AI7</f>
        <v>311686314.07684898</v>
      </c>
      <c r="AJ3" s="77">
        <f ca="1">'Profit and Loss'!AJ7</f>
        <v>349513975.24479485</v>
      </c>
      <c r="AK3" s="77">
        <f ca="1">'Profit and Loss'!AK7</f>
        <v>389204292.44562316</v>
      </c>
      <c r="AL3" s="77">
        <f ca="1">'Profit and Loss'!AL7</f>
        <v>430839053.24691606</v>
      </c>
      <c r="AM3" s="77">
        <f ca="1">'Profit and Loss'!AM7</f>
        <v>474503707.27765679</v>
      </c>
      <c r="AN3" s="77">
        <f ca="1">'Profit and Loss'!AN7</f>
        <v>520287539.09089398</v>
      </c>
      <c r="AO3" s="77">
        <f ca="1">'Profit and Loss'!AO7</f>
        <v>568283849.56007552</v>
      </c>
      <c r="AP3" s="77">
        <f ca="1">'Profit and Loss'!AP7</f>
        <v>618590146.24094033</v>
      </c>
    </row>
    <row r="4" spans="1:42" x14ac:dyDescent="0.35">
      <c r="A4" t="s">
        <v>465</v>
      </c>
      <c r="C4" s="162"/>
      <c r="D4" s="162"/>
      <c r="E4" s="162"/>
      <c r="F4" s="77">
        <f>Depreciation!F6+Depreciation!F7</f>
        <v>721179337.1305083</v>
      </c>
      <c r="G4" s="77">
        <f>Depreciation!G6+Depreciation!G7</f>
        <v>758018650.29851055</v>
      </c>
      <c r="H4" s="77">
        <f>Depreciation!H6+Depreciation!H7</f>
        <v>795268855.07270837</v>
      </c>
      <c r="I4" s="77">
        <f>Depreciation!I6+Depreciation!I7</f>
        <v>832964285.97188187</v>
      </c>
      <c r="J4" s="77">
        <f>Depreciation!J6+Depreciation!J7</f>
        <v>871139105.77160335</v>
      </c>
      <c r="K4" s="77">
        <f>Depreciation!K6+Depreciation!K7</f>
        <v>909827337.65992165</v>
      </c>
      <c r="L4" s="77">
        <f>Depreciation!L6+Depreciation!L7</f>
        <v>949062896.40239847</v>
      </c>
      <c r="M4" s="77">
        <f>Depreciation!M6+Depreciation!M7</f>
        <v>989288796.02114367</v>
      </c>
      <c r="N4" s="77">
        <f>Depreciation!N6+Depreciation!N7</f>
        <v>1030531076.4087822</v>
      </c>
      <c r="O4" s="77">
        <f>Depreciation!O6+Depreciation!O7</f>
        <v>1072816370.0687228</v>
      </c>
      <c r="P4" s="77">
        <f>Depreciation!P6+Depreciation!P7</f>
        <v>1132928491.3397291</v>
      </c>
      <c r="Q4" s="77">
        <f>Depreciation!Q6+Depreciation!Q7</f>
        <v>1194337562.2719195</v>
      </c>
      <c r="R4" s="77">
        <f>Depreciation!R6+Depreciation!R7</f>
        <v>1257307117.351613</v>
      </c>
      <c r="S4" s="77">
        <f>Depreciation!S6+Depreciation!S7</f>
        <v>1321870345.2335429</v>
      </c>
      <c r="T4" s="77">
        <f>Depreciation!T6+Depreciation!T7</f>
        <v>1388060884.9414108</v>
      </c>
      <c r="U4" s="77">
        <f>Depreciation!U6+Depreciation!U7</f>
        <v>1455912819.494633</v>
      </c>
      <c r="V4" s="77">
        <f>Depreciation!V6+Depreciation!V7</f>
        <v>1525460668.656302</v>
      </c>
      <c r="W4" s="77">
        <f>Depreciation!W6+Depreciation!W7</f>
        <v>1597638627.9000916</v>
      </c>
      <c r="X4" s="77">
        <f>Depreciation!X6+Depreciation!X7</f>
        <v>1672535907.2074487</v>
      </c>
      <c r="Y4" s="77">
        <f>Depreciation!Y6+Depreciation!Y7</f>
        <v>1750244546.9967017</v>
      </c>
      <c r="Z4" s="77">
        <f>Depreciation!Z6+Depreciation!Z7</f>
        <v>1847724075.8044384</v>
      </c>
      <c r="AA4" s="77">
        <f>Depreciation!AA6+Depreciation!AA7</f>
        <v>1949065316.1392686</v>
      </c>
      <c r="AB4" s="77">
        <f>Depreciation!AB6+Depreciation!AB7</f>
        <v>2054401601.9046338</v>
      </c>
      <c r="AC4" s="77">
        <f>Depreciation!AC6+Depreciation!AC7</f>
        <v>2163870516.7545705</v>
      </c>
      <c r="AD4" s="77">
        <f>Depreciation!AD6+Depreciation!AD7</f>
        <v>2277614021.982028</v>
      </c>
      <c r="AE4" s="77">
        <f>Depreciation!AE6+Depreciation!AE7</f>
        <v>2395778588.072423</v>
      </c>
      <c r="AF4" s="77">
        <f>Depreciation!AF6+Depreciation!AF7</f>
        <v>2518515330.0225182</v>
      </c>
      <c r="AG4" s="77">
        <f>Depreciation!AG6+Depreciation!AG7</f>
        <v>2645980146.5272794</v>
      </c>
      <c r="AH4" s="77">
        <f>Depreciation!AH6+Depreciation!AH7</f>
        <v>2778333863.1400361</v>
      </c>
      <c r="AI4" s="77">
        <f>Depreciation!AI6+Depreciation!AI7</f>
        <v>2915742379.5139484</v>
      </c>
      <c r="AJ4" s="77">
        <f>Depreciation!AJ6+Depreciation!AJ7</f>
        <v>3003214650.8993673</v>
      </c>
      <c r="AK4" s="77">
        <f>Depreciation!AK6+Depreciation!AK7</f>
        <v>3093311090.4263487</v>
      </c>
      <c r="AL4" s="77">
        <f>Depreciation!AL6+Depreciation!AL7</f>
        <v>3186110423.1391387</v>
      </c>
      <c r="AM4" s="77">
        <f>Depreciation!AM6+Depreciation!AM7</f>
        <v>3281693735.833313</v>
      </c>
      <c r="AN4" s="77">
        <f>Depreciation!AN6+Depreciation!AN7</f>
        <v>3380144547.9083123</v>
      </c>
      <c r="AO4" s="77">
        <f>Depreciation!AO6+Depreciation!AO7</f>
        <v>3481548884.3455615</v>
      </c>
      <c r="AP4" s="77">
        <f>Depreciation!AP6+Depreciation!AP7</f>
        <v>3585995350.8759289</v>
      </c>
    </row>
    <row r="5" spans="1:42" x14ac:dyDescent="0.35">
      <c r="A5" t="s">
        <v>484</v>
      </c>
      <c r="C5" s="162"/>
      <c r="D5" s="162"/>
      <c r="E5" s="162"/>
      <c r="F5" s="77">
        <f t="shared" ref="F5:AF5" ca="1" si="1">F4+F3</f>
        <v>551983707.7119503</v>
      </c>
      <c r="G5" s="77">
        <f ca="1">G4+G3</f>
        <v>636321079.18299234</v>
      </c>
      <c r="H5" s="77">
        <f t="shared" ca="1" si="1"/>
        <v>699157962.49826705</v>
      </c>
      <c r="I5" s="77">
        <f t="shared" ca="1" si="1"/>
        <v>762656181.19775796</v>
      </c>
      <c r="J5" s="77">
        <f t="shared" ca="1" si="1"/>
        <v>811995229.83128476</v>
      </c>
      <c r="K5" s="77">
        <f t="shared" ca="1" si="1"/>
        <v>956618525.93571341</v>
      </c>
      <c r="L5" s="77">
        <f t="shared" ca="1" si="1"/>
        <v>997555020.31790531</v>
      </c>
      <c r="M5" s="77">
        <f t="shared" ca="1" si="1"/>
        <v>1023155521.5556207</v>
      </c>
      <c r="N5" s="77">
        <f t="shared" ca="1" si="1"/>
        <v>1028648750.6262618</v>
      </c>
      <c r="O5" s="77">
        <f t="shared" ca="1" si="1"/>
        <v>1033616960.7396789</v>
      </c>
      <c r="P5" s="77">
        <f t="shared" ca="1" si="1"/>
        <v>1157141717.081145</v>
      </c>
      <c r="Q5" s="77">
        <f t="shared" ca="1" si="1"/>
        <v>1252570783.2592216</v>
      </c>
      <c r="R5" s="77">
        <f t="shared" ca="1" si="1"/>
        <v>1355558614.6883218</v>
      </c>
      <c r="S5" s="77">
        <f t="shared" ca="1" si="1"/>
        <v>1444436077.4733944</v>
      </c>
      <c r="T5" s="77">
        <f t="shared" ca="1" si="1"/>
        <v>1542505060.0869191</v>
      </c>
      <c r="U5" s="77">
        <f t="shared" ca="1" si="1"/>
        <v>1621393024.6225348</v>
      </c>
      <c r="V5" s="77">
        <f t="shared" ca="1" si="1"/>
        <v>1707041534.4184244</v>
      </c>
      <c r="W5" s="77">
        <f t="shared" ca="1" si="1"/>
        <v>1781527667.149519</v>
      </c>
      <c r="X5" s="77">
        <f t="shared" ca="1" si="1"/>
        <v>1860374024.0336773</v>
      </c>
      <c r="Y5" s="77">
        <f t="shared" ca="1" si="1"/>
        <v>1943872614.5785406</v>
      </c>
      <c r="Z5" s="77">
        <f t="shared" ca="1" si="1"/>
        <v>2107100213.1098232</v>
      </c>
      <c r="AA5" s="77">
        <f t="shared" ca="1" si="1"/>
        <v>2251478646.5573311</v>
      </c>
      <c r="AB5" s="77">
        <f t="shared" ca="1" si="1"/>
        <v>2410420117.9268703</v>
      </c>
      <c r="AC5" s="77">
        <f t="shared" ca="1" si="1"/>
        <v>2542166570.4603491</v>
      </c>
      <c r="AD5" s="77">
        <f t="shared" ca="1" si="1"/>
        <v>2684478959.0761032</v>
      </c>
      <c r="AE5" s="77">
        <f t="shared" ca="1" si="1"/>
        <v>2838221460.5452232</v>
      </c>
      <c r="AF5" s="77">
        <f t="shared" ca="1" si="1"/>
        <v>2954190759.8471899</v>
      </c>
      <c r="AG5" s="77">
        <f t="shared" ref="AG5:AP5" ca="1" si="2">AG4+AG3</f>
        <v>3076605764.0440521</v>
      </c>
      <c r="AH5" s="77">
        <f t="shared" ca="1" si="2"/>
        <v>3151538075.9235263</v>
      </c>
      <c r="AI5" s="77">
        <f t="shared" ca="1" si="2"/>
        <v>3227428693.5907974</v>
      </c>
      <c r="AJ5" s="77">
        <f t="shared" ca="1" si="2"/>
        <v>3352728626.1441622</v>
      </c>
      <c r="AK5" s="77">
        <f t="shared" ca="1" si="2"/>
        <v>3482515382.8719721</v>
      </c>
      <c r="AL5" s="77">
        <f t="shared" ca="1" si="2"/>
        <v>3616949476.386055</v>
      </c>
      <c r="AM5" s="77">
        <f t="shared" ca="1" si="2"/>
        <v>3756197443.1109695</v>
      </c>
      <c r="AN5" s="77">
        <f t="shared" ca="1" si="2"/>
        <v>3900432086.9992065</v>
      </c>
      <c r="AO5" s="77">
        <f t="shared" ca="1" si="2"/>
        <v>4049832733.9056368</v>
      </c>
      <c r="AP5" s="77">
        <f t="shared" ca="1" si="2"/>
        <v>4204585497.116869</v>
      </c>
    </row>
    <row r="6" spans="1:42" x14ac:dyDescent="0.35">
      <c r="C6" s="2"/>
      <c r="D6" s="2"/>
      <c r="E6" s="2"/>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42" x14ac:dyDescent="0.35">
      <c r="A7" t="s">
        <v>485</v>
      </c>
      <c r="C7" s="162"/>
      <c r="D7" s="162"/>
      <c r="E7" s="162"/>
      <c r="F7" s="77">
        <f>IF(AND(F1&lt;Assumptions!$B$77+Assumptions!$B$82,F1&gt;=Assumptions!$B$77),Assumptions!$B$78/Assumptions!$B$82,0)</f>
        <v>17818569.949049916</v>
      </c>
      <c r="G7" s="77">
        <f>IF(AND(G1&lt;Assumptions!$B$77+Assumptions!$B$82,G1&gt;=Assumptions!$B$77),Assumptions!$B$78/Assumptions!$B$82,0)</f>
        <v>17818569.949049916</v>
      </c>
      <c r="H7" s="77">
        <f>IF(AND(H1&lt;Assumptions!$B$77+Assumptions!$B$82,H1&gt;=Assumptions!$B$77),Assumptions!$B$78/Assumptions!$B$82,0)</f>
        <v>17818569.949049916</v>
      </c>
      <c r="I7" s="77">
        <f>IF(AND(I1&lt;Assumptions!$B$77+Assumptions!$B$82,I1&gt;=Assumptions!$B$77),Assumptions!$B$78/Assumptions!$B$82,0)</f>
        <v>17818569.949049916</v>
      </c>
      <c r="J7" s="77">
        <f>IF(AND(J1&lt;Assumptions!$B$77+Assumptions!$B$82,J1&gt;=Assumptions!$B$77),Assumptions!$B$78/Assumptions!$B$82,0)</f>
        <v>17818569.949049916</v>
      </c>
      <c r="K7" s="77">
        <f>IF(AND(K1&lt;Assumptions!$B$77+Assumptions!$B$82,K1&gt;=Assumptions!$B$77),Assumptions!$B$78/Assumptions!$B$82,0)</f>
        <v>17818569.949049916</v>
      </c>
      <c r="L7" s="77">
        <f>IF(AND(L1&lt;Assumptions!$B$77+Assumptions!$B$82,L1&gt;=Assumptions!$B$77),Assumptions!$B$78/Assumptions!$B$82,0)</f>
        <v>17818569.949049916</v>
      </c>
      <c r="M7" s="77">
        <f>IF(AND(M1&lt;Assumptions!$B$77+Assumptions!$B$82,M1&gt;=Assumptions!$B$77),Assumptions!$B$78/Assumptions!$B$82,0)</f>
        <v>17818569.949049916</v>
      </c>
      <c r="N7" s="77">
        <f>IF(AND(N1&lt;Assumptions!$B$77+Assumptions!$B$82,N1&gt;=Assumptions!$B$77),Assumptions!$B$78/Assumptions!$B$82,0)</f>
        <v>17818569.949049916</v>
      </c>
      <c r="O7" s="77">
        <f>IF(AND(O1&lt;Assumptions!$B$77+Assumptions!$B$82,O1&gt;=Assumptions!$B$77),Assumptions!$B$78/Assumptions!$B$82,0)</f>
        <v>17818569.949049916</v>
      </c>
      <c r="P7" s="77">
        <f>IF(AND(P1&lt;Assumptions!$B$77+Assumptions!$B$82,P1&gt;=Assumptions!$B$77),Assumptions!$B$78/Assumptions!$B$82,0)</f>
        <v>17818569.949049916</v>
      </c>
      <c r="Q7" s="77">
        <f>IF(AND(Q1&lt;Assumptions!$B$77+Assumptions!$B$82,Q1&gt;=Assumptions!$B$77),Assumptions!$B$78/Assumptions!$B$82,0)</f>
        <v>17818569.949049916</v>
      </c>
      <c r="R7" s="77">
        <f>IF(AND(R1&lt;Assumptions!$B$77+Assumptions!$B$82,R1&gt;=Assumptions!$B$77),Assumptions!$B$78/Assumptions!$B$82,0)</f>
        <v>17818569.949049916</v>
      </c>
      <c r="S7" s="77">
        <f>IF(AND(S1&lt;Assumptions!$B$77+Assumptions!$B$82,S1&gt;=Assumptions!$B$77),Assumptions!$B$78/Assumptions!$B$82,0)</f>
        <v>17818569.949049916</v>
      </c>
      <c r="T7" s="77">
        <f>IF(AND(T1&lt;Assumptions!$B$77+Assumptions!$B$82,T1&gt;=Assumptions!$B$77),Assumptions!$B$78/Assumptions!$B$82,0)</f>
        <v>17818569.949049916</v>
      </c>
      <c r="U7" s="77">
        <f>IF(AND(U1&lt;Assumptions!$B$77+Assumptions!$B$82,U1&gt;=Assumptions!$B$77),Assumptions!$B$78/Assumptions!$B$82,0)</f>
        <v>17818569.949049916</v>
      </c>
      <c r="V7" s="77">
        <f>IF(AND(V1&lt;Assumptions!$B$77+Assumptions!$B$82,V1&gt;=Assumptions!$B$77),Assumptions!$B$78/Assumptions!$B$82,0)</f>
        <v>17818569.949049916</v>
      </c>
      <c r="W7" s="77">
        <f>IF(AND(W1&lt;Assumptions!$B$77+Assumptions!$B$82,W1&gt;=Assumptions!$B$77),Assumptions!$B$78/Assumptions!$B$82,0)</f>
        <v>17818569.949049916</v>
      </c>
      <c r="X7" s="77">
        <f>IF(AND(X1&lt;Assumptions!$B$77+Assumptions!$B$82,X1&gt;=Assumptions!$B$77),Assumptions!$B$78/Assumptions!$B$82,0)</f>
        <v>17818569.949049916</v>
      </c>
      <c r="Y7" s="77">
        <f>IF(AND(Y1&lt;Assumptions!$B$77+Assumptions!$B$82,Y1&gt;=Assumptions!$B$77),Assumptions!$B$78/Assumptions!$B$82,0)</f>
        <v>17818569.949049916</v>
      </c>
      <c r="Z7" s="77">
        <f>IF(AND(Z1&lt;Assumptions!$B$77+Assumptions!$B$82,Z1&gt;=Assumptions!$B$77),Assumptions!$B$78/Assumptions!$B$82,0)</f>
        <v>17818569.949049916</v>
      </c>
      <c r="AA7" s="77">
        <f>IF(AND(AA1&lt;Assumptions!$B$77+Assumptions!$B$82,AA1&gt;=Assumptions!$B$77),Assumptions!$B$78/Assumptions!$B$82,0)</f>
        <v>17818569.949049916</v>
      </c>
      <c r="AB7" s="77">
        <f>IF(AND(AB1&lt;Assumptions!$B$77+Assumptions!$B$82,AB1&gt;=Assumptions!$B$77),Assumptions!$B$78/Assumptions!$B$82,0)</f>
        <v>17818569.949049916</v>
      </c>
      <c r="AC7" s="77">
        <f>IF(AND(AC1&lt;Assumptions!$B$77+Assumptions!$B$82,AC1&gt;=Assumptions!$B$77),Assumptions!$B$78/Assumptions!$B$82,0)</f>
        <v>17818569.949049916</v>
      </c>
      <c r="AD7" s="77">
        <f>IF(AND(AD1&lt;Assumptions!$B$77+Assumptions!$B$82,AD1&gt;=Assumptions!$B$77),Assumptions!$B$78/Assumptions!$B$82,0)</f>
        <v>17818569.949049916</v>
      </c>
      <c r="AE7" s="77">
        <f>IF(AND(AE1&lt;Assumptions!$B$77+Assumptions!$B$82,AE1&gt;=Assumptions!$B$77),Assumptions!$B$78/Assumptions!$B$82,0)</f>
        <v>17818569.949049916</v>
      </c>
      <c r="AF7" s="77">
        <f>IF(AND(AF1&lt;Assumptions!$B$77+Assumptions!$B$82,AF1&gt;=Assumptions!$B$77),Assumptions!$B$78/Assumptions!$B$82,0)</f>
        <v>17818569.949049916</v>
      </c>
      <c r="AG7" s="77">
        <f>IF(AND(AG1&lt;Assumptions!$B$77+Assumptions!$B$82,AG1&gt;=Assumptions!$B$77),Assumptions!$B$78/Assumptions!$B$82,0)</f>
        <v>17818569.949049916</v>
      </c>
      <c r="AH7" s="77">
        <f>IF(AND(AH1&lt;Assumptions!$B$77+Assumptions!$B$82,AH1&gt;=Assumptions!$B$77),Assumptions!$B$78/Assumptions!$B$82,0)</f>
        <v>17818569.949049916</v>
      </c>
      <c r="AI7" s="77">
        <f>IF(AND(AI1&lt;Assumptions!$B$77+Assumptions!$B$82,AI1&gt;=Assumptions!$B$77),Assumptions!$B$78/Assumptions!$B$82,0)</f>
        <v>17818569.949049916</v>
      </c>
      <c r="AJ7" s="77">
        <f>IF(AND(AJ1&lt;Assumptions!$B$77+Assumptions!$B$82,AJ1&gt;=Assumptions!$B$77),Assumptions!$B$78/Assumptions!$B$82,0)</f>
        <v>0</v>
      </c>
      <c r="AK7" s="77">
        <f>IF(AND(AK1&lt;Assumptions!$B$77+Assumptions!$B$82,AK1&gt;=Assumptions!$B$77),Assumptions!$B$78/Assumptions!$B$82,0)</f>
        <v>0</v>
      </c>
      <c r="AL7" s="77">
        <f>IF(AND(AL1&lt;Assumptions!$B$77+Assumptions!$B$82,AL1&gt;=Assumptions!$B$77),Assumptions!$B$78/Assumptions!$B$82,0)</f>
        <v>0</v>
      </c>
      <c r="AM7" s="77">
        <f>IF(AND(AM1&lt;Assumptions!$B$77+Assumptions!$B$82,AM1&gt;=Assumptions!$B$77),Assumptions!$B$78/Assumptions!$B$82,0)</f>
        <v>0</v>
      </c>
      <c r="AN7" s="77">
        <f>IF(AND(AN1&lt;Assumptions!$B$77+Assumptions!$B$82,AN1&gt;=Assumptions!$B$77),Assumptions!$B$78/Assumptions!$B$82,0)</f>
        <v>0</v>
      </c>
      <c r="AO7" s="77">
        <f>IF(AND(AO1&lt;Assumptions!$B$77+Assumptions!$B$82,AO1&gt;=Assumptions!$B$77),Assumptions!$B$78/Assumptions!$B$82,0)</f>
        <v>0</v>
      </c>
      <c r="AP7" s="77">
        <f>IF(AND(AP1&lt;Assumptions!$B$77+Assumptions!$B$82,AP1&gt;=Assumptions!$B$77),Assumptions!$B$78/Assumptions!$B$82,0)</f>
        <v>0</v>
      </c>
    </row>
    <row r="8" spans="1:42" x14ac:dyDescent="0.35">
      <c r="A8" t="s">
        <v>486</v>
      </c>
      <c r="C8" s="161"/>
      <c r="D8" s="161"/>
      <c r="E8" s="161"/>
      <c r="F8" s="6">
        <f>Investment!F30</f>
        <v>1335805461.28334</v>
      </c>
      <c r="G8" s="6">
        <f>Investment!G30</f>
        <v>1385388343.2189577</v>
      </c>
      <c r="H8" s="6">
        <f>Investment!H30</f>
        <v>1390213971.5643902</v>
      </c>
      <c r="I8" s="6">
        <f>Investment!I30</f>
        <v>1396108904.8991055</v>
      </c>
      <c r="J8" s="6">
        <f>Investment!J30</f>
        <v>1403052984.1338742</v>
      </c>
      <c r="K8" s="6">
        <f>Investment!K30</f>
        <v>1411026959.6640468</v>
      </c>
      <c r="L8" s="6">
        <f>Investment!L30</f>
        <v>1420012448.1973007</v>
      </c>
      <c r="M8" s="6">
        <f>Investment!M30</f>
        <v>1447437058.3040454</v>
      </c>
      <c r="N8" s="6">
        <f>Investment!N30</f>
        <v>1475388375.7227831</v>
      </c>
      <c r="O8" s="6">
        <f>Investment!O30</f>
        <v>1503874064.8139777</v>
      </c>
      <c r="P8" s="6">
        <f>Investment!P30</f>
        <v>2247117523.3885832</v>
      </c>
      <c r="Q8" s="6">
        <f>Investment!Q30</f>
        <v>2280119082.6876421</v>
      </c>
      <c r="R8" s="6">
        <f>Investment!R30</f>
        <v>2323504351.3869591</v>
      </c>
      <c r="S8" s="6">
        <f>Investment!S30</f>
        <v>2367362344.6341381</v>
      </c>
      <c r="T8" s="6">
        <f>Investment!T30</f>
        <v>2411686564.4655104</v>
      </c>
      <c r="U8" s="6">
        <f>Investment!U30</f>
        <v>2456469720.3301935</v>
      </c>
      <c r="V8" s="6">
        <f>Investment!V30</f>
        <v>2501703689.5169125</v>
      </c>
      <c r="W8" s="6">
        <f>Investment!W30</f>
        <v>2585684007.8708572</v>
      </c>
      <c r="X8" s="6">
        <f>Investment!X30</f>
        <v>2672091190.7997355</v>
      </c>
      <c r="Y8" s="6">
        <f>Investment!Y30</f>
        <v>2760989144.8430748</v>
      </c>
      <c r="Z8" s="6">
        <f>Investment!Z30</f>
        <v>3570620709.3046231</v>
      </c>
      <c r="AA8" s="6">
        <f>Investment!AA30</f>
        <v>3695489533.4697475</v>
      </c>
      <c r="AB8" s="6">
        <f>Investment!AB30</f>
        <v>3824002901.1309872</v>
      </c>
      <c r="AC8" s="6">
        <f>Investment!AC30</f>
        <v>3956256267.0671597</v>
      </c>
      <c r="AD8" s="6">
        <f>Investment!AD30</f>
        <v>4092347369.7941666</v>
      </c>
      <c r="AE8" s="6">
        <f>Investment!AE30</f>
        <v>4232376280.8865681</v>
      </c>
      <c r="AF8" s="6">
        <f>Investment!AF30</f>
        <v>4376445455.2069607</v>
      </c>
      <c r="AG8" s="6">
        <f>Investment!AG30</f>
        <v>4524659782.0543785</v>
      </c>
      <c r="AH8" s="6">
        <f>Investment!AH30</f>
        <v>4677126637.2428093</v>
      </c>
      <c r="AI8" s="6">
        <f>Investment!AI30</f>
        <v>4833955936.120822</v>
      </c>
      <c r="AJ8" s="6">
        <f>Investment!AJ30</f>
        <v>2648195164.5439463</v>
      </c>
      <c r="AK8" s="6">
        <f>Investment!AK30</f>
        <v>2716594073.3513689</v>
      </c>
      <c r="AL8" s="6">
        <f>Investment!AL30</f>
        <v>2786759623.3749247</v>
      </c>
      <c r="AM8" s="6">
        <f>Investment!AM30</f>
        <v>2858737444.3072643</v>
      </c>
      <c r="AN8" s="6">
        <f>Investment!AN30</f>
        <v>2932574344.3875546</v>
      </c>
      <c r="AO8" s="6">
        <f>Investment!AO30</f>
        <v>3008318340.8415685</v>
      </c>
      <c r="AP8" s="6">
        <f>Investment!AP30</f>
        <v>3086018691.107995</v>
      </c>
    </row>
    <row r="9" spans="1:42" x14ac:dyDescent="0.35">
      <c r="C9" s="1"/>
      <c r="K9" s="1"/>
      <c r="L9" s="1"/>
      <c r="M9" s="1"/>
      <c r="N9" s="1"/>
      <c r="O9" s="1"/>
      <c r="P9" s="1"/>
      <c r="Q9" s="1"/>
      <c r="R9" s="1"/>
      <c r="S9" s="1"/>
      <c r="T9" s="1"/>
      <c r="U9" s="1"/>
      <c r="V9" s="1"/>
      <c r="W9" s="1"/>
      <c r="X9" s="1"/>
      <c r="Y9" s="1"/>
      <c r="Z9" s="1"/>
      <c r="AA9" s="1"/>
      <c r="AB9" s="1"/>
      <c r="AC9" s="1"/>
      <c r="AD9" s="1"/>
      <c r="AE9" s="1"/>
      <c r="AF9" s="1"/>
    </row>
    <row r="10" spans="1:42" ht="35.5" customHeight="1" x14ac:dyDescent="0.35">
      <c r="A10" s="217" t="s">
        <v>487</v>
      </c>
      <c r="C10" s="157"/>
      <c r="D10" s="157"/>
      <c r="E10" s="157"/>
      <c r="F10" s="1">
        <f t="shared" ref="F10:AP10" ca="1" si="3">F5-F7-F8</f>
        <v>-801640323.52043962</v>
      </c>
      <c r="G10" s="1">
        <f ca="1">G5-G7-G8</f>
        <v>-766885833.98501527</v>
      </c>
      <c r="H10" s="1">
        <f t="shared" ca="1" si="3"/>
        <v>-708874579.01517308</v>
      </c>
      <c r="I10" s="1">
        <f t="shared" ca="1" si="3"/>
        <v>-651271293.65039754</v>
      </c>
      <c r="J10" s="1">
        <f t="shared" ca="1" si="3"/>
        <v>-608876324.25163937</v>
      </c>
      <c r="K10" s="1">
        <f t="shared" ca="1" si="3"/>
        <v>-472227003.6773833</v>
      </c>
      <c r="L10" s="1">
        <f t="shared" ca="1" si="3"/>
        <v>-440275997.82844532</v>
      </c>
      <c r="M10" s="1">
        <f t="shared" ca="1" si="3"/>
        <v>-442100106.69747472</v>
      </c>
      <c r="N10" s="1">
        <f t="shared" ca="1" si="3"/>
        <v>-464558195.04557121</v>
      </c>
      <c r="O10" s="1">
        <f t="shared" ca="1" si="3"/>
        <v>-488075674.02334881</v>
      </c>
      <c r="P10" s="1">
        <f t="shared" ca="1" si="3"/>
        <v>-1107794376.2564881</v>
      </c>
      <c r="Q10" s="1">
        <f t="shared" ca="1" si="3"/>
        <v>-1045366869.3774705</v>
      </c>
      <c r="R10" s="1">
        <f t="shared" ca="1" si="3"/>
        <v>-985764306.6476872</v>
      </c>
      <c r="S10" s="1">
        <f t="shared" ca="1" si="3"/>
        <v>-940744837.10979366</v>
      </c>
      <c r="T10" s="1">
        <f t="shared" ca="1" si="3"/>
        <v>-887000074.32764125</v>
      </c>
      <c r="U10" s="1">
        <f t="shared" ca="1" si="3"/>
        <v>-852895265.65670872</v>
      </c>
      <c r="V10" s="1">
        <f t="shared" ca="1" si="3"/>
        <v>-812480725.04753804</v>
      </c>
      <c r="W10" s="1">
        <f t="shared" ca="1" si="3"/>
        <v>-821974910.67038822</v>
      </c>
      <c r="X10" s="1">
        <f t="shared" ca="1" si="3"/>
        <v>-829535736.71510816</v>
      </c>
      <c r="Y10" s="1">
        <f t="shared" ca="1" si="3"/>
        <v>-834935100.21358418</v>
      </c>
      <c r="Z10" s="1">
        <f t="shared" ca="1" si="3"/>
        <v>-1481339066.1438498</v>
      </c>
      <c r="AA10" s="1">
        <f t="shared" ca="1" si="3"/>
        <v>-1461829456.8614664</v>
      </c>
      <c r="AB10" s="1">
        <f t="shared" ca="1" si="3"/>
        <v>-1431401353.1531668</v>
      </c>
      <c r="AC10" s="1">
        <f t="shared" ca="1" si="3"/>
        <v>-1431908266.5558605</v>
      </c>
      <c r="AD10" s="1">
        <f t="shared" ca="1" si="3"/>
        <v>-1425686980.6671133</v>
      </c>
      <c r="AE10" s="1">
        <f t="shared" ca="1" si="3"/>
        <v>-1411973390.2903948</v>
      </c>
      <c r="AF10" s="1">
        <f t="shared" ca="1" si="3"/>
        <v>-1440073265.3088207</v>
      </c>
      <c r="AG10" s="1">
        <f t="shared" ca="1" si="3"/>
        <v>-1465872587.9593763</v>
      </c>
      <c r="AH10" s="1">
        <f t="shared" ca="1" si="3"/>
        <v>-1543407131.268333</v>
      </c>
      <c r="AI10" s="1">
        <f t="shared" ca="1" si="3"/>
        <v>-1624345812.4790745</v>
      </c>
      <c r="AJ10" s="1">
        <f t="shared" ca="1" si="3"/>
        <v>704533461.60021591</v>
      </c>
      <c r="AK10" s="1">
        <f t="shared" ca="1" si="3"/>
        <v>765921309.52060318</v>
      </c>
      <c r="AL10" s="1">
        <f t="shared" ca="1" si="3"/>
        <v>830189853.01113033</v>
      </c>
      <c r="AM10" s="1">
        <f t="shared" ca="1" si="3"/>
        <v>897459998.80370522</v>
      </c>
      <c r="AN10" s="1">
        <f t="shared" ca="1" si="3"/>
        <v>967857742.6116519</v>
      </c>
      <c r="AO10" s="1">
        <f t="shared" ca="1" si="3"/>
        <v>1041514393.0640683</v>
      </c>
      <c r="AP10" s="1">
        <f t="shared" ca="1" si="3"/>
        <v>1118566806.0088739</v>
      </c>
    </row>
    <row r="11" spans="1:42" x14ac:dyDescent="0.35">
      <c r="A11" t="s">
        <v>488</v>
      </c>
      <c r="C11" s="157"/>
      <c r="D11" s="157"/>
      <c r="E11" s="157"/>
      <c r="F11" s="1">
        <f t="shared" ref="F11:AF11" ca="1" si="4">F10</f>
        <v>-801640323.52043962</v>
      </c>
      <c r="G11" s="1">
        <f ca="1">G10</f>
        <v>-766885833.98501527</v>
      </c>
      <c r="H11" s="1">
        <f t="shared" ca="1" si="4"/>
        <v>-708874579.01517308</v>
      </c>
      <c r="I11" s="1">
        <f t="shared" ca="1" si="4"/>
        <v>-651271293.65039754</v>
      </c>
      <c r="J11" s="1">
        <f t="shared" ca="1" si="4"/>
        <v>-608876324.25163937</v>
      </c>
      <c r="K11" s="1">
        <f t="shared" ca="1" si="4"/>
        <v>-472227003.6773833</v>
      </c>
      <c r="L11" s="1">
        <f t="shared" ca="1" si="4"/>
        <v>-440275997.82844532</v>
      </c>
      <c r="M11" s="1">
        <f t="shared" ca="1" si="4"/>
        <v>-442100106.69747472</v>
      </c>
      <c r="N11" s="1">
        <f t="shared" ca="1" si="4"/>
        <v>-464558195.04557121</v>
      </c>
      <c r="O11" s="1">
        <f t="shared" ca="1" si="4"/>
        <v>-488075674.02334881</v>
      </c>
      <c r="P11" s="1">
        <f t="shared" ca="1" si="4"/>
        <v>-1107794376.2564881</v>
      </c>
      <c r="Q11" s="1">
        <f t="shared" ca="1" si="4"/>
        <v>-1045366869.3774705</v>
      </c>
      <c r="R11" s="1">
        <f t="shared" ca="1" si="4"/>
        <v>-985764306.6476872</v>
      </c>
      <c r="S11" s="1">
        <f t="shared" ca="1" si="4"/>
        <v>-940744837.10979366</v>
      </c>
      <c r="T11" s="1">
        <f t="shared" ca="1" si="4"/>
        <v>-887000074.32764125</v>
      </c>
      <c r="U11" s="1">
        <f t="shared" ca="1" si="4"/>
        <v>-852895265.65670872</v>
      </c>
      <c r="V11" s="1">
        <f t="shared" ca="1" si="4"/>
        <v>-812480725.04753804</v>
      </c>
      <c r="W11" s="1">
        <f t="shared" ca="1" si="4"/>
        <v>-821974910.67038822</v>
      </c>
      <c r="X11" s="1">
        <f t="shared" ca="1" si="4"/>
        <v>-829535736.71510816</v>
      </c>
      <c r="Y11" s="1">
        <f t="shared" ca="1" si="4"/>
        <v>-834935100.21358418</v>
      </c>
      <c r="Z11" s="1">
        <f t="shared" ca="1" si="4"/>
        <v>-1481339066.1438498</v>
      </c>
      <c r="AA11" s="1">
        <f t="shared" ca="1" si="4"/>
        <v>-1461829456.8614664</v>
      </c>
      <c r="AB11" s="1">
        <f t="shared" ca="1" si="4"/>
        <v>-1431401353.1531668</v>
      </c>
      <c r="AC11" s="1">
        <f t="shared" ca="1" si="4"/>
        <v>-1431908266.5558605</v>
      </c>
      <c r="AD11" s="1">
        <f t="shared" ca="1" si="4"/>
        <v>-1425686980.6671133</v>
      </c>
      <c r="AE11" s="1">
        <f t="shared" ca="1" si="4"/>
        <v>-1411973390.2903948</v>
      </c>
      <c r="AF11" s="1">
        <f t="shared" ca="1" si="4"/>
        <v>-1440073265.3088207</v>
      </c>
      <c r="AG11" s="1">
        <f t="shared" ref="AG11:AP11" ca="1" si="5">AG10</f>
        <v>-1465872587.9593763</v>
      </c>
      <c r="AH11" s="1">
        <f t="shared" ca="1" si="5"/>
        <v>-1543407131.268333</v>
      </c>
      <c r="AI11" s="1">
        <f t="shared" ca="1" si="5"/>
        <v>-1624345812.4790745</v>
      </c>
      <c r="AJ11" s="1">
        <f t="shared" ca="1" si="5"/>
        <v>704533461.60021591</v>
      </c>
      <c r="AK11" s="1">
        <f t="shared" ca="1" si="5"/>
        <v>765921309.52060318</v>
      </c>
      <c r="AL11" s="1">
        <f t="shared" ca="1" si="5"/>
        <v>830189853.01113033</v>
      </c>
      <c r="AM11" s="1">
        <f t="shared" ca="1" si="5"/>
        <v>897459998.80370522</v>
      </c>
      <c r="AN11" s="1">
        <f t="shared" ca="1" si="5"/>
        <v>967857742.6116519</v>
      </c>
      <c r="AO11" s="1">
        <f t="shared" ca="1" si="5"/>
        <v>1041514393.0640683</v>
      </c>
      <c r="AP11" s="1">
        <f t="shared" ca="1" si="5"/>
        <v>1118566806.0088739</v>
      </c>
    </row>
    <row r="14" spans="1:42" x14ac:dyDescent="0.35">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row>
    <row r="15" spans="1:42" x14ac:dyDescent="0.35">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x14ac:dyDescent="0.35">
      <c r="C16" s="4"/>
    </row>
  </sheetData>
  <sheetProtection algorithmName="SHA-512" hashValue="cBDNvt8FojtUTPgpbS44x6e00UKhfrkxxItkZvNOuMS4uGtwEAqB0Anx9CdXA79kg2CUWDiLeMJvCbFbe/+sFw==" saltValue="w91Aa8thgC6uBR/boJkMP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dimension ref="A1:BG37"/>
  <sheetViews>
    <sheetView zoomScaleNormal="100" workbookViewId="0">
      <selection sqref="A1:XFD1048576"/>
    </sheetView>
  </sheetViews>
  <sheetFormatPr defaultColWidth="8.83203125" defaultRowHeight="15.5" x14ac:dyDescent="0.35"/>
  <cols>
    <col min="1" max="1" width="31.33203125" bestFit="1" customWidth="1"/>
    <col min="3" max="5" width="15.83203125" hidden="1" customWidth="1"/>
    <col min="6" max="42" width="17" bestFit="1" customWidth="1"/>
  </cols>
  <sheetData>
    <row r="1" spans="1:59"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2" spans="1:59" x14ac:dyDescent="0.3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9" x14ac:dyDescent="0.3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9" x14ac:dyDescent="0.35">
      <c r="A4" t="s">
        <v>489</v>
      </c>
      <c r="C4" s="161"/>
      <c r="D4" s="161"/>
      <c r="E4" s="161"/>
      <c r="F4" s="6">
        <f>Assumptions!F36</f>
        <v>35467470302.378914</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x14ac:dyDescent="0.35">
      <c r="A5" t="s">
        <v>490</v>
      </c>
      <c r="C5" s="161"/>
      <c r="D5" s="161"/>
      <c r="E5" s="161"/>
      <c r="F5" s="6">
        <f>Assumptions!F37</f>
        <v>17733735151.189457</v>
      </c>
      <c r="G5" s="6">
        <f>F10</f>
        <v>18454914488.319965</v>
      </c>
      <c r="H5" s="6">
        <f t="shared" ref="H5" si="1">G10</f>
        <v>19212933138.618477</v>
      </c>
      <c r="I5" s="6">
        <f t="shared" ref="I5" si="2">H10</f>
        <v>20008201993.691185</v>
      </c>
      <c r="J5" s="6">
        <f t="shared" ref="J5" si="3">I10</f>
        <v>20841166279.663067</v>
      </c>
      <c r="K5" s="6">
        <f t="shared" ref="K5" si="4">J10</f>
        <v>21712305385.434669</v>
      </c>
      <c r="L5" s="6">
        <f t="shared" ref="L5" si="5">K10</f>
        <v>22622132723.094593</v>
      </c>
      <c r="M5" s="6">
        <f t="shared" ref="M5" si="6">L10</f>
        <v>23571195619.49699</v>
      </c>
      <c r="N5" s="6">
        <f t="shared" ref="N5" si="7">M10</f>
        <v>24560484415.518131</v>
      </c>
      <c r="O5" s="6">
        <f t="shared" ref="O5" si="8">N10</f>
        <v>25591015491.926914</v>
      </c>
      <c r="P5" s="6">
        <f t="shared" ref="P5" si="9">O10</f>
        <v>26663831861.99564</v>
      </c>
      <c r="Q5" s="6">
        <f t="shared" ref="Q5" si="10">P10</f>
        <v>27796760353.335369</v>
      </c>
      <c r="R5" s="6">
        <f t="shared" ref="R5" si="11">Q10</f>
        <v>28991097915.607288</v>
      </c>
      <c r="S5" s="6">
        <f t="shared" ref="S5" si="12">R10</f>
        <v>30248405032.9589</v>
      </c>
      <c r="T5" s="6">
        <f t="shared" ref="T5" si="13">S10</f>
        <v>31570275378.192444</v>
      </c>
      <c r="U5" s="6">
        <f t="shared" ref="U5" si="14">T10</f>
        <v>32958336263.133858</v>
      </c>
      <c r="V5" s="6">
        <f t="shared" ref="V5" si="15">U10</f>
        <v>34414249082.628487</v>
      </c>
      <c r="W5" s="6">
        <f t="shared" ref="W5" si="16">V10</f>
        <v>35939709751.28479</v>
      </c>
      <c r="X5" s="6">
        <f t="shared" ref="X5" si="17">W10</f>
        <v>37537348379.184883</v>
      </c>
      <c r="Y5" s="6">
        <f t="shared" ref="Y5" si="18">X10</f>
        <v>39209884286.392334</v>
      </c>
      <c r="Z5" s="6">
        <f t="shared" ref="Z5" si="19">Y10</f>
        <v>40960128833.389038</v>
      </c>
      <c r="AA5" s="6">
        <f t="shared" ref="AA5" si="20">Z10</f>
        <v>42807852909.193474</v>
      </c>
      <c r="AB5" s="6">
        <f t="shared" ref="AB5" si="21">AA10</f>
        <v>44756918225.332748</v>
      </c>
      <c r="AC5" s="6">
        <f t="shared" ref="AC5" si="22">AB10</f>
        <v>46811319827.237381</v>
      </c>
      <c r="AD5" s="6">
        <f t="shared" ref="AD5" si="23">AC10</f>
        <v>48975190343.991951</v>
      </c>
      <c r="AE5" s="6">
        <f t="shared" ref="AE5" si="24">AD10</f>
        <v>51252804365.973976</v>
      </c>
      <c r="AF5" s="6">
        <f t="shared" ref="AF5" si="25">AE10</f>
        <v>53648582954.046402</v>
      </c>
      <c r="AG5" s="6">
        <f t="shared" ref="AG5:AP5" si="26">AF10</f>
        <v>56167098284.068916</v>
      </c>
      <c r="AH5" s="6">
        <f t="shared" si="26"/>
        <v>58813078430.596199</v>
      </c>
      <c r="AI5" s="6">
        <f t="shared" si="26"/>
        <v>61591412293.736237</v>
      </c>
      <c r="AJ5" s="6">
        <f t="shared" si="26"/>
        <v>64507154673.250183</v>
      </c>
      <c r="AK5" s="6">
        <f t="shared" si="26"/>
        <v>67510369324.149551</v>
      </c>
      <c r="AL5" s="6">
        <f t="shared" si="26"/>
        <v>70603680414.575897</v>
      </c>
      <c r="AM5" s="6">
        <f t="shared" si="26"/>
        <v>73789790837.715042</v>
      </c>
      <c r="AN5" s="6">
        <f t="shared" si="26"/>
        <v>77071484573.548355</v>
      </c>
      <c r="AO5" s="6">
        <f t="shared" si="26"/>
        <v>80451629121.456665</v>
      </c>
      <c r="AP5" s="6">
        <f t="shared" si="26"/>
        <v>83933178005.802216</v>
      </c>
      <c r="AQ5" s="6"/>
      <c r="AR5" s="6"/>
      <c r="AS5" s="6"/>
      <c r="AT5" s="6"/>
      <c r="AU5" s="6"/>
      <c r="AV5" s="6"/>
      <c r="AW5" s="6"/>
      <c r="AX5" s="6"/>
      <c r="AY5" s="6"/>
      <c r="AZ5" s="6"/>
      <c r="BA5" s="6"/>
      <c r="BB5" s="6"/>
      <c r="BC5" s="6"/>
      <c r="BD5" s="6"/>
      <c r="BE5" s="6"/>
      <c r="BF5" s="6"/>
      <c r="BG5" s="6"/>
    </row>
    <row r="6" spans="1:59" x14ac:dyDescent="0.35">
      <c r="A6" t="s">
        <v>491</v>
      </c>
      <c r="C6" s="161"/>
      <c r="D6" s="161"/>
      <c r="E6" s="161"/>
      <c r="F6" s="6">
        <f>Assumptions!F277*Assumptions!F26</f>
        <v>706358211.51927125</v>
      </c>
      <c r="G6" s="6">
        <f>Assumptions!G277*Assumptions!G26</f>
        <v>727548957.86484945</v>
      </c>
      <c r="H6" s="6">
        <f>Assumptions!H277*Assumptions!H26</f>
        <v>749375426.60079491</v>
      </c>
      <c r="I6" s="6">
        <f>Assumptions!I277*Assumptions!I26</f>
        <v>771856689.39881873</v>
      </c>
      <c r="J6" s="6">
        <f>Assumptions!J277*Assumptions!J26</f>
        <v>795012390.08078337</v>
      </c>
      <c r="K6" s="6">
        <f>Assumptions!K277*Assumptions!K26</f>
        <v>818862761.78320682</v>
      </c>
      <c r="L6" s="6">
        <f>Assumptions!L277*Assumptions!L26</f>
        <v>843428644.63670313</v>
      </c>
      <c r="M6" s="6">
        <f>Assumptions!M277*Assumptions!M26</f>
        <v>868731503.97580421</v>
      </c>
      <c r="N6" s="6">
        <f>Assumptions!N277*Assumptions!N26</f>
        <v>894793449.09507835</v>
      </c>
      <c r="O6" s="6">
        <f>Assumptions!O277*Assumptions!O26</f>
        <v>921637252.5679307</v>
      </c>
      <c r="P6" s="6">
        <f>Assumptions!P277*Assumptions!P26</f>
        <v>949286370.14496875</v>
      </c>
      <c r="Q6" s="6">
        <f>Assumptions!Q277*Assumptions!Q26</f>
        <v>977764961.24931788</v>
      </c>
      <c r="R6" s="6">
        <f>Assumptions!R277*Assumptions!R26</f>
        <v>1007097910.0867975</v>
      </c>
      <c r="S6" s="6">
        <f>Assumptions!S277*Assumptions!S26</f>
        <v>1037310847.3894013</v>
      </c>
      <c r="T6" s="6">
        <f>Assumptions!T277*Assumptions!T26</f>
        <v>1068430172.8110834</v>
      </c>
      <c r="U6" s="6">
        <f>Assumptions!U277*Assumptions!U26</f>
        <v>1100483077.9954159</v>
      </c>
      <c r="V6" s="6">
        <f>Assumptions!V277*Assumptions!V26</f>
        <v>1133497570.3352785</v>
      </c>
      <c r="W6" s="6">
        <f>Assumptions!W277*Assumptions!W26</f>
        <v>1167502497.4453368</v>
      </c>
      <c r="X6" s="6">
        <f>Assumptions!X277*Assumptions!X26</f>
        <v>1202527572.3686969</v>
      </c>
      <c r="Y6" s="6">
        <f>Assumptions!Y277*Assumptions!Y26</f>
        <v>1238603399.5397577</v>
      </c>
      <c r="Z6" s="6">
        <f>Assumptions!Z277*Assumptions!Z26</f>
        <v>1275761501.5259504</v>
      </c>
      <c r="AA6" s="6">
        <f>Assumptions!AA277*Assumptions!AA26</f>
        <v>1314034346.5717289</v>
      </c>
      <c r="AB6" s="6">
        <f>Assumptions!AB277*Assumptions!AB26</f>
        <v>1353455376.9688811</v>
      </c>
      <c r="AC6" s="6">
        <f>Assumptions!AC277*Assumptions!AC26</f>
        <v>1394059038.2779474</v>
      </c>
      <c r="AD6" s="6">
        <f>Assumptions!AD277*Assumptions!AD26</f>
        <v>1435880809.426286</v>
      </c>
      <c r="AE6" s="6">
        <f>Assumptions!AE277*Assumptions!AE26</f>
        <v>1478957233.7090745</v>
      </c>
      <c r="AF6" s="6">
        <f>Assumptions!AF277*Assumptions!AF26</f>
        <v>1523325950.7203469</v>
      </c>
      <c r="AG6" s="6">
        <f>Assumptions!AG277*Assumptions!AG26</f>
        <v>1569025729.2419572</v>
      </c>
      <c r="AH6" s="6">
        <f>Assumptions!AH277*Assumptions!AH26</f>
        <v>1616096501.119216</v>
      </c>
      <c r="AI6" s="6">
        <f>Assumptions!AI277*Assumptions!AI26</f>
        <v>1664579396.1527927</v>
      </c>
      <c r="AJ6" s="6">
        <f>Assumptions!AJ277*Assumptions!AJ26</f>
        <v>1714516778.0373764</v>
      </c>
      <c r="AK6" s="6">
        <f>Assumptions!AK277*Assumptions!AK26</f>
        <v>1765952281.3784978</v>
      </c>
      <c r="AL6" s="6">
        <f>Assumptions!AL277*Assumptions!AL26</f>
        <v>1818930849.8198528</v>
      </c>
      <c r="AM6" s="6">
        <f>Assumptions!AM277*Assumptions!AM26</f>
        <v>1873498775.3144484</v>
      </c>
      <c r="AN6" s="6">
        <f>Assumptions!AN277*Assumptions!AN26</f>
        <v>1929703738.5738819</v>
      </c>
      <c r="AO6" s="6">
        <f>Assumptions!AO277*Assumptions!AO26</f>
        <v>1987594850.7310982</v>
      </c>
      <c r="AP6" s="6">
        <f>Assumptions!AP277*Assumptions!AP26</f>
        <v>2047222696.2530313</v>
      </c>
      <c r="AQ6" s="6"/>
      <c r="AR6" s="6"/>
      <c r="AS6" s="6"/>
      <c r="AT6" s="6"/>
      <c r="AU6" s="6"/>
      <c r="AV6" s="6"/>
      <c r="AW6" s="6"/>
      <c r="AX6" s="6"/>
      <c r="AY6" s="6"/>
      <c r="AZ6" s="6"/>
      <c r="BA6" s="6"/>
      <c r="BB6" s="6"/>
      <c r="BC6" s="6"/>
      <c r="BD6" s="6"/>
      <c r="BE6" s="6"/>
      <c r="BF6" s="6"/>
      <c r="BG6" s="6"/>
    </row>
    <row r="7" spans="1:59" x14ac:dyDescent="0.35">
      <c r="A7" t="s">
        <v>492</v>
      </c>
      <c r="C7" s="161"/>
      <c r="D7" s="161"/>
      <c r="E7" s="161"/>
      <c r="F7" s="6">
        <f>Assumptions!F291*Assumptions!F26</f>
        <v>14821125.611237049</v>
      </c>
      <c r="G7" s="6">
        <f>Assumptions!G291*Assumptions!G26</f>
        <v>30469692.433661047</v>
      </c>
      <c r="H7" s="6">
        <f>Assumptions!H291*Assumptions!H26</f>
        <v>45893428.471913412</v>
      </c>
      <c r="I7" s="6">
        <f>Assumptions!I291*Assumptions!I26</f>
        <v>61107596.573063172</v>
      </c>
      <c r="J7" s="6">
        <f>Assumptions!J291*Assumptions!J26</f>
        <v>76126715.690819964</v>
      </c>
      <c r="K7" s="6">
        <f>Assumptions!K291*Assumptions!K26</f>
        <v>90964575.876714885</v>
      </c>
      <c r="L7" s="6">
        <f>Assumptions!L291*Assumptions!L26</f>
        <v>105634251.76569532</v>
      </c>
      <c r="M7" s="6">
        <f>Assumptions!M291*Assumptions!M26</f>
        <v>120557292.04533947</v>
      </c>
      <c r="N7" s="6">
        <f>Assumptions!N291*Assumptions!N26</f>
        <v>135737627.31370392</v>
      </c>
      <c r="O7" s="6">
        <f>Assumptions!O291*Assumptions!O26</f>
        <v>151179117.50079218</v>
      </c>
      <c r="P7" s="6">
        <f>Assumptions!P291*Assumptions!P26</f>
        <v>183642121.19476029</v>
      </c>
      <c r="Q7" s="6">
        <f>Assumptions!Q291*Assumptions!Q26</f>
        <v>216572601.0226016</v>
      </c>
      <c r="R7" s="6">
        <f>Assumptions!R291*Assumptions!R26</f>
        <v>250209207.26481548</v>
      </c>
      <c r="S7" s="6">
        <f>Assumptions!S291*Assumptions!S26</f>
        <v>284559497.8441416</v>
      </c>
      <c r="T7" s="6">
        <f>Assumptions!T291*Assumptions!T26</f>
        <v>319630712.13032734</v>
      </c>
      <c r="U7" s="6">
        <f>Assumptions!U291*Assumptions!U26</f>
        <v>355429741.49921709</v>
      </c>
      <c r="V7" s="6">
        <f>Assumptions!V291*Assumptions!V26</f>
        <v>391963098.32102346</v>
      </c>
      <c r="W7" s="6">
        <f>Assumptions!W291*Assumptions!W26</f>
        <v>430136130.45475495</v>
      </c>
      <c r="X7" s="6">
        <f>Assumptions!X291*Assumptions!X26</f>
        <v>470008334.83875173</v>
      </c>
      <c r="Y7" s="6">
        <f>Assumptions!Y291*Assumptions!Y26</f>
        <v>511641147.45694387</v>
      </c>
      <c r="Z7" s="6">
        <f>Assumptions!Z291*Assumptions!Z26</f>
        <v>571962574.27848792</v>
      </c>
      <c r="AA7" s="6">
        <f>Assumptions!AA291*Assumptions!AA26</f>
        <v>635030969.56753969</v>
      </c>
      <c r="AB7" s="6">
        <f>Assumptions!AB291*Assumptions!AB26</f>
        <v>700946224.93575263</v>
      </c>
      <c r="AC7" s="6">
        <f>Assumptions!AC291*Assumptions!AC26</f>
        <v>769811478.47662294</v>
      </c>
      <c r="AD7" s="6">
        <f>Assumptions!AD291*Assumptions!AD26</f>
        <v>841733212.55574179</v>
      </c>
      <c r="AE7" s="6">
        <f>Assumptions!AE291*Assumptions!AE26</f>
        <v>916821354.36334848</v>
      </c>
      <c r="AF7" s="6">
        <f>Assumptions!AF291*Assumptions!AF26</f>
        <v>995189379.30217099</v>
      </c>
      <c r="AG7" s="6">
        <f>Assumptions!AG291*Assumptions!AG26</f>
        <v>1076954417.2853222</v>
      </c>
      <c r="AH7" s="6">
        <f>Assumptions!AH291*Assumptions!AH26</f>
        <v>1162237362.0208201</v>
      </c>
      <c r="AI7" s="6">
        <f>Assumptions!AI291*Assumptions!AI26</f>
        <v>1251162983.361156</v>
      </c>
      <c r="AJ7" s="6">
        <f>Assumptions!AJ291*Assumptions!AJ26</f>
        <v>1288697872.8619907</v>
      </c>
      <c r="AK7" s="6">
        <f>Assumptions!AK291*Assumptions!AK26</f>
        <v>1327358809.0478506</v>
      </c>
      <c r="AL7" s="6">
        <f>Assumptions!AL291*Assumptions!AL26</f>
        <v>1367179573.3192859</v>
      </c>
      <c r="AM7" s="6">
        <f>Assumptions!AM291*Assumptions!AM26</f>
        <v>1408194960.5188646</v>
      </c>
      <c r="AN7" s="6">
        <f>Assumptions!AN291*Assumptions!AN26</f>
        <v>1450440809.3344305</v>
      </c>
      <c r="AO7" s="6">
        <f>Assumptions!AO291*Assumptions!AO26</f>
        <v>1493954033.6144633</v>
      </c>
      <c r="AP7" s="6">
        <f>Assumptions!AP291*Assumptions!AP26</f>
        <v>1538772654.6228974</v>
      </c>
      <c r="AQ7" s="6"/>
      <c r="AR7" s="6"/>
      <c r="AS7" s="6"/>
      <c r="AT7" s="6"/>
      <c r="AU7" s="6"/>
      <c r="AV7" s="6"/>
      <c r="AW7" s="6"/>
      <c r="AX7" s="6"/>
      <c r="AY7" s="6"/>
      <c r="AZ7" s="6"/>
      <c r="BA7" s="6"/>
      <c r="BB7" s="6"/>
      <c r="BC7" s="6"/>
      <c r="BD7" s="6"/>
      <c r="BE7" s="6"/>
      <c r="BF7" s="6"/>
      <c r="BG7" s="6"/>
    </row>
    <row r="8" spans="1:59" x14ac:dyDescent="0.35">
      <c r="A8" t="s">
        <v>493</v>
      </c>
      <c r="C8" s="161"/>
      <c r="D8" s="161"/>
      <c r="E8" s="161"/>
      <c r="F8" s="6">
        <f>SUM($C$6:F7)</f>
        <v>721179337.1305083</v>
      </c>
      <c r="G8" s="6">
        <f>SUM($C$6:G7)</f>
        <v>1479197987.4290187</v>
      </c>
      <c r="H8" s="6">
        <f>SUM($C$6:H7)</f>
        <v>2274466842.5017271</v>
      </c>
      <c r="I8" s="6">
        <f>SUM($C$6:I7)</f>
        <v>3107431128.4736094</v>
      </c>
      <c r="J8" s="6">
        <f>SUM($C$6:J7)</f>
        <v>3978570234.2452126</v>
      </c>
      <c r="K8" s="6">
        <f>SUM($C$6:K7)</f>
        <v>4888397571.9051332</v>
      </c>
      <c r="L8" s="6">
        <f>SUM($C$6:L7)</f>
        <v>5837460468.3075323</v>
      </c>
      <c r="M8" s="6">
        <f>SUM($C$6:M7)</f>
        <v>6826749264.3286772</v>
      </c>
      <c r="N8" s="6">
        <f>SUM($C$6:N7)</f>
        <v>7857280340.7374582</v>
      </c>
      <c r="O8" s="6">
        <f>SUM($C$6:O7)</f>
        <v>8930096710.806179</v>
      </c>
      <c r="P8" s="6">
        <f>SUM($C$6:P7)</f>
        <v>10063025202.145908</v>
      </c>
      <c r="Q8" s="6">
        <f>SUM($C$6:Q7)</f>
        <v>11257362764.417828</v>
      </c>
      <c r="R8" s="6">
        <f>SUM($C$6:R7)</f>
        <v>12514669881.769442</v>
      </c>
      <c r="S8" s="6">
        <f>SUM($C$6:S7)</f>
        <v>13836540227.002983</v>
      </c>
      <c r="T8" s="6">
        <f>SUM($C$6:T7)</f>
        <v>15224601111.944393</v>
      </c>
      <c r="U8" s="6">
        <f>SUM($C$6:U7)</f>
        <v>16680513931.439028</v>
      </c>
      <c r="V8" s="6">
        <f>SUM($C$6:V7)</f>
        <v>18205974600.095329</v>
      </c>
      <c r="W8" s="6">
        <f>SUM($C$6:W7)</f>
        <v>19803613227.995426</v>
      </c>
      <c r="X8" s="6">
        <f>SUM($C$6:X7)</f>
        <v>21476149135.202873</v>
      </c>
      <c r="Y8" s="6">
        <f>SUM($C$6:Y7)</f>
        <v>23226393682.199574</v>
      </c>
      <c r="Z8" s="6">
        <f>SUM($C$6:Z7)</f>
        <v>25074117758.004013</v>
      </c>
      <c r="AA8" s="6">
        <f>SUM($C$6:AA7)</f>
        <v>27023183074.14328</v>
      </c>
      <c r="AB8" s="6">
        <f>SUM($C$6:AB7)</f>
        <v>29077584676.047913</v>
      </c>
      <c r="AC8" s="6">
        <f>SUM($C$6:AC7)</f>
        <v>31241455192.802483</v>
      </c>
      <c r="AD8" s="6">
        <f>SUM($C$6:AD7)</f>
        <v>33519069214.784508</v>
      </c>
      <c r="AE8" s="6">
        <f>SUM($C$6:AE7)</f>
        <v>35914847802.856934</v>
      </c>
      <c r="AF8" s="6">
        <f>SUM($C$6:AF7)</f>
        <v>38433363132.879448</v>
      </c>
      <c r="AG8" s="6">
        <f>SUM($C$6:AG7)</f>
        <v>41079343279.406738</v>
      </c>
      <c r="AH8" s="6">
        <f>SUM($C$6:AH7)</f>
        <v>43857677142.546783</v>
      </c>
      <c r="AI8" s="6">
        <f>SUM($C$6:AI7)</f>
        <v>46773419522.060715</v>
      </c>
      <c r="AJ8" s="6">
        <f>SUM($C$6:AJ7)</f>
        <v>49776634172.960098</v>
      </c>
      <c r="AK8" s="6">
        <f>SUM($C$6:AK7)</f>
        <v>52869945263.386444</v>
      </c>
      <c r="AL8" s="6">
        <f>SUM($C$6:AL7)</f>
        <v>56056055686.525581</v>
      </c>
      <c r="AM8" s="6">
        <f>SUM($C$6:AM7)</f>
        <v>59337749422.358894</v>
      </c>
      <c r="AN8" s="6">
        <f>SUM($C$6:AN7)</f>
        <v>62717893970.267204</v>
      </c>
      <c r="AO8" s="6">
        <f>SUM($C$6:AO7)</f>
        <v>66199442854.61277</v>
      </c>
      <c r="AP8" s="6">
        <f>SUM($C$6:AP7)</f>
        <v>69785438205.488693</v>
      </c>
      <c r="AQ8" s="6"/>
      <c r="AR8" s="6"/>
      <c r="AS8" s="6"/>
      <c r="AT8" s="6"/>
      <c r="AU8" s="6"/>
      <c r="AV8" s="6"/>
      <c r="AW8" s="6"/>
      <c r="AX8" s="6"/>
      <c r="AY8" s="6"/>
      <c r="AZ8" s="6"/>
      <c r="BA8" s="6"/>
      <c r="BB8" s="6"/>
      <c r="BC8" s="6"/>
      <c r="BD8" s="6"/>
      <c r="BE8" s="6"/>
      <c r="BF8" s="6"/>
      <c r="BG8" s="6"/>
    </row>
    <row r="9" spans="1:59" x14ac:dyDescent="0.3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x14ac:dyDescent="0.35">
      <c r="A10" t="s">
        <v>494</v>
      </c>
      <c r="C10" s="161"/>
      <c r="D10" s="161"/>
      <c r="E10" s="161"/>
      <c r="F10" s="6">
        <f>F5+F6+F7</f>
        <v>18454914488.319965</v>
      </c>
      <c r="G10" s="6">
        <f>G5+G6+G7</f>
        <v>19212933138.618477</v>
      </c>
      <c r="H10" s="6">
        <f t="shared" ref="H10" si="27">H5+H6+H7</f>
        <v>20008201993.691185</v>
      </c>
      <c r="I10" s="6">
        <f t="shared" ref="I10:AF10" si="28">I5+I6+I7</f>
        <v>20841166279.663067</v>
      </c>
      <c r="J10" s="6">
        <f t="shared" si="28"/>
        <v>21712305385.434669</v>
      </c>
      <c r="K10" s="6">
        <f t="shared" si="28"/>
        <v>22622132723.094593</v>
      </c>
      <c r="L10" s="6">
        <f t="shared" si="28"/>
        <v>23571195619.49699</v>
      </c>
      <c r="M10" s="6">
        <f t="shared" si="28"/>
        <v>24560484415.518131</v>
      </c>
      <c r="N10" s="6">
        <f t="shared" si="28"/>
        <v>25591015491.926914</v>
      </c>
      <c r="O10" s="6">
        <f t="shared" si="28"/>
        <v>26663831861.99564</v>
      </c>
      <c r="P10" s="6">
        <f t="shared" si="28"/>
        <v>27796760353.335369</v>
      </c>
      <c r="Q10" s="6">
        <f t="shared" si="28"/>
        <v>28991097915.607288</v>
      </c>
      <c r="R10" s="6">
        <f t="shared" si="28"/>
        <v>30248405032.9589</v>
      </c>
      <c r="S10" s="6">
        <f t="shared" si="28"/>
        <v>31570275378.192444</v>
      </c>
      <c r="T10" s="6">
        <f t="shared" si="28"/>
        <v>32958336263.133858</v>
      </c>
      <c r="U10" s="6">
        <f t="shared" si="28"/>
        <v>34414249082.628487</v>
      </c>
      <c r="V10" s="6">
        <f t="shared" si="28"/>
        <v>35939709751.28479</v>
      </c>
      <c r="W10" s="6">
        <f t="shared" si="28"/>
        <v>37537348379.184883</v>
      </c>
      <c r="X10" s="6">
        <f t="shared" si="28"/>
        <v>39209884286.392334</v>
      </c>
      <c r="Y10" s="6">
        <f t="shared" si="28"/>
        <v>40960128833.389038</v>
      </c>
      <c r="Z10" s="6">
        <f t="shared" si="28"/>
        <v>42807852909.193474</v>
      </c>
      <c r="AA10" s="6">
        <f t="shared" si="28"/>
        <v>44756918225.332748</v>
      </c>
      <c r="AB10" s="6">
        <f t="shared" si="28"/>
        <v>46811319827.237381</v>
      </c>
      <c r="AC10" s="6">
        <f t="shared" si="28"/>
        <v>48975190343.991951</v>
      </c>
      <c r="AD10" s="6">
        <f t="shared" si="28"/>
        <v>51252804365.973976</v>
      </c>
      <c r="AE10" s="6">
        <f t="shared" si="28"/>
        <v>53648582954.046402</v>
      </c>
      <c r="AF10" s="6">
        <f t="shared" si="28"/>
        <v>56167098284.068916</v>
      </c>
      <c r="AG10" s="6">
        <f t="shared" ref="AG10:AP10" si="29">AG5+AG6+AG7</f>
        <v>58813078430.596199</v>
      </c>
      <c r="AH10" s="6">
        <f t="shared" si="29"/>
        <v>61591412293.736237</v>
      </c>
      <c r="AI10" s="6">
        <f t="shared" si="29"/>
        <v>64507154673.250183</v>
      </c>
      <c r="AJ10" s="6">
        <f t="shared" si="29"/>
        <v>67510369324.149551</v>
      </c>
      <c r="AK10" s="6">
        <f t="shared" si="29"/>
        <v>70603680414.575897</v>
      </c>
      <c r="AL10" s="6">
        <f t="shared" si="29"/>
        <v>73789790837.715042</v>
      </c>
      <c r="AM10" s="6">
        <f t="shared" si="29"/>
        <v>77071484573.548355</v>
      </c>
      <c r="AN10" s="6">
        <f t="shared" si="29"/>
        <v>80451629121.456665</v>
      </c>
      <c r="AO10" s="6">
        <f t="shared" si="29"/>
        <v>83933178005.802216</v>
      </c>
      <c r="AP10" s="6">
        <f t="shared" si="29"/>
        <v>87519173356.678146</v>
      </c>
      <c r="AQ10" s="6"/>
      <c r="AR10" s="6"/>
      <c r="AS10" s="6"/>
      <c r="AT10" s="6"/>
      <c r="AU10" s="6"/>
      <c r="AV10" s="6"/>
      <c r="AW10" s="6"/>
      <c r="AX10" s="6"/>
      <c r="AY10" s="6"/>
      <c r="AZ10" s="6"/>
      <c r="BA10" s="6"/>
      <c r="BB10" s="6"/>
      <c r="BC10" s="6"/>
      <c r="BD10" s="6"/>
      <c r="BE10" s="6"/>
      <c r="BF10" s="6"/>
      <c r="BG10" s="6"/>
    </row>
    <row r="11" spans="1:59" x14ac:dyDescent="0.3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x14ac:dyDescent="0.3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x14ac:dyDescent="0.3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x14ac:dyDescent="0.3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3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35">
      <c r="A16" t="s">
        <v>495</v>
      </c>
      <c r="C16" s="161"/>
      <c r="D16" s="161"/>
      <c r="E16" s="161"/>
      <c r="F16" s="6">
        <f>Investment!F30</f>
        <v>1335805461.28334</v>
      </c>
      <c r="G16" s="6">
        <f>Investment!G30</f>
        <v>1385388343.2189577</v>
      </c>
      <c r="H16" s="6">
        <f>Investment!H30</f>
        <v>1390213971.5643902</v>
      </c>
      <c r="I16" s="6">
        <f>Investment!I30</f>
        <v>1396108904.8991055</v>
      </c>
      <c r="J16" s="6">
        <f>Investment!J30</f>
        <v>1403052984.1338742</v>
      </c>
      <c r="K16" s="6">
        <f>Investment!K30</f>
        <v>1411026959.6640468</v>
      </c>
      <c r="L16" s="6">
        <f>Investment!L30</f>
        <v>1420012448.1973007</v>
      </c>
      <c r="M16" s="6">
        <f>Investment!M30</f>
        <v>1447437058.3040454</v>
      </c>
      <c r="N16" s="6">
        <f>Investment!N30</f>
        <v>1475388375.7227831</v>
      </c>
      <c r="O16" s="6">
        <f>Investment!O30</f>
        <v>1503874064.8139777</v>
      </c>
      <c r="P16" s="6">
        <f>Investment!P30</f>
        <v>2247117523.3885832</v>
      </c>
      <c r="Q16" s="6">
        <f>Investment!Q30</f>
        <v>2280119082.6876421</v>
      </c>
      <c r="R16" s="6">
        <f>Investment!R30</f>
        <v>2323504351.3869591</v>
      </c>
      <c r="S16" s="6">
        <f>Investment!S30</f>
        <v>2367362344.6341381</v>
      </c>
      <c r="T16" s="6">
        <f>Investment!T30</f>
        <v>2411686564.4655104</v>
      </c>
      <c r="U16" s="6">
        <f>Investment!U30</f>
        <v>2456469720.3301935</v>
      </c>
      <c r="V16" s="6">
        <f>Investment!V30</f>
        <v>2501703689.5169125</v>
      </c>
      <c r="W16" s="6">
        <f>Investment!W30</f>
        <v>2585684007.8708572</v>
      </c>
      <c r="X16" s="6">
        <f>Investment!X30</f>
        <v>2672091190.7997355</v>
      </c>
      <c r="Y16" s="6">
        <f>Investment!Y30</f>
        <v>2760989144.8430748</v>
      </c>
      <c r="Z16" s="6">
        <f>Investment!Z30</f>
        <v>3570620709.3046231</v>
      </c>
      <c r="AA16" s="6">
        <f>Investment!AA30</f>
        <v>3695489533.4697475</v>
      </c>
      <c r="AB16" s="6">
        <f>Investment!AB30</f>
        <v>3824002901.1309872</v>
      </c>
      <c r="AC16" s="6">
        <f>Investment!AC30</f>
        <v>3956256267.0671597</v>
      </c>
      <c r="AD16" s="6">
        <f>Investment!AD30</f>
        <v>4092347369.7941666</v>
      </c>
      <c r="AE16" s="6">
        <f>Investment!AE30</f>
        <v>4232376280.8865681</v>
      </c>
      <c r="AF16" s="6">
        <f>Investment!AF30</f>
        <v>4376445455.2069607</v>
      </c>
      <c r="AG16" s="6">
        <f>Investment!AG30</f>
        <v>4524659782.0543785</v>
      </c>
      <c r="AH16" s="6">
        <f>Investment!AH30</f>
        <v>4677126637.2428093</v>
      </c>
      <c r="AI16" s="6">
        <f>Investment!AI30</f>
        <v>4833955936.120822</v>
      </c>
      <c r="AJ16" s="6">
        <f>Investment!AJ30</f>
        <v>2648195164.5439463</v>
      </c>
      <c r="AK16" s="6">
        <f>Investment!AK30</f>
        <v>2716594073.3513689</v>
      </c>
      <c r="AL16" s="6">
        <f>Investment!AL30</f>
        <v>2786759623.3749247</v>
      </c>
      <c r="AM16" s="6">
        <f>Investment!AM30</f>
        <v>2858737444.3072643</v>
      </c>
      <c r="AN16" s="6">
        <f>Investment!AN30</f>
        <v>2932574344.3875546</v>
      </c>
      <c r="AO16" s="6">
        <f>Investment!AO30</f>
        <v>3008318340.8415685</v>
      </c>
      <c r="AP16" s="6">
        <f>Investment!AP30</f>
        <v>3086018691.107995</v>
      </c>
      <c r="AQ16" s="6"/>
      <c r="AR16" s="6"/>
      <c r="AS16" s="6"/>
      <c r="AT16" s="6"/>
      <c r="AU16" s="6"/>
      <c r="AV16" s="6"/>
      <c r="AW16" s="6"/>
      <c r="AX16" s="6"/>
      <c r="AY16" s="6"/>
      <c r="AZ16" s="6"/>
      <c r="BA16" s="6"/>
      <c r="BB16" s="6"/>
      <c r="BC16" s="6"/>
      <c r="BD16" s="6"/>
      <c r="BE16" s="6"/>
      <c r="BF16" s="6"/>
      <c r="BG16" s="6"/>
    </row>
    <row r="17" spans="1:59" x14ac:dyDescent="0.35">
      <c r="A17" t="s">
        <v>496</v>
      </c>
      <c r="C17" s="161"/>
      <c r="D17" s="161"/>
      <c r="E17" s="161"/>
      <c r="F17" s="6">
        <f>$F$4-F5+F16</f>
        <v>19069540612.472797</v>
      </c>
      <c r="G17" s="6">
        <f>G16+F18</f>
        <v>19733749618.561245</v>
      </c>
      <c r="H17" s="6">
        <f t="shared" ref="H17:AF17" si="30">H16+G18</f>
        <v>20365944939.827126</v>
      </c>
      <c r="I17" s="6">
        <f t="shared" si="30"/>
        <v>20966784989.653522</v>
      </c>
      <c r="J17" s="6">
        <f t="shared" si="30"/>
        <v>21536873687.815514</v>
      </c>
      <c r="K17" s="6">
        <f t="shared" si="30"/>
        <v>22076761541.707958</v>
      </c>
      <c r="L17" s="6">
        <f t="shared" si="30"/>
        <v>22586946652.245335</v>
      </c>
      <c r="M17" s="6">
        <f t="shared" si="30"/>
        <v>23085320814.146984</v>
      </c>
      <c r="N17" s="6">
        <f t="shared" si="30"/>
        <v>23571420393.848625</v>
      </c>
      <c r="O17" s="6">
        <f t="shared" si="30"/>
        <v>24044763382.253819</v>
      </c>
      <c r="P17" s="6">
        <f t="shared" si="30"/>
        <v>25219064535.573677</v>
      </c>
      <c r="Q17" s="6">
        <f t="shared" si="30"/>
        <v>26366255126.921589</v>
      </c>
      <c r="R17" s="6">
        <f t="shared" si="30"/>
        <v>27495421916.036629</v>
      </c>
      <c r="S17" s="6">
        <f t="shared" si="30"/>
        <v>28605477143.319153</v>
      </c>
      <c r="T17" s="6">
        <f t="shared" si="30"/>
        <v>29695293362.551121</v>
      </c>
      <c r="U17" s="6">
        <f t="shared" si="30"/>
        <v>30763702197.939899</v>
      </c>
      <c r="V17" s="6">
        <f t="shared" si="30"/>
        <v>31809493067.962181</v>
      </c>
      <c r="W17" s="6">
        <f t="shared" si="30"/>
        <v>32869716407.176739</v>
      </c>
      <c r="X17" s="6">
        <f t="shared" si="30"/>
        <v>33944168970.076385</v>
      </c>
      <c r="Y17" s="6">
        <f t="shared" si="30"/>
        <v>35032622207.712006</v>
      </c>
      <c r="Z17" s="6">
        <f t="shared" si="30"/>
        <v>36852998370.019928</v>
      </c>
      <c r="AA17" s="6">
        <f t="shared" si="30"/>
        <v>38700763827.685242</v>
      </c>
      <c r="AB17" s="6">
        <f t="shared" si="30"/>
        <v>40575701412.676956</v>
      </c>
      <c r="AC17" s="6">
        <f t="shared" si="30"/>
        <v>42477556077.839485</v>
      </c>
      <c r="AD17" s="6">
        <f t="shared" si="30"/>
        <v>44406032930.879082</v>
      </c>
      <c r="AE17" s="6">
        <f t="shared" si="30"/>
        <v>46360795189.783623</v>
      </c>
      <c r="AF17" s="6">
        <f t="shared" si="30"/>
        <v>48341462056.918159</v>
      </c>
      <c r="AG17" s="6">
        <f t="shared" ref="AG17:AP17" si="31">AG16+AF18</f>
        <v>50347606508.950027</v>
      </c>
      <c r="AH17" s="6">
        <f t="shared" si="31"/>
        <v>52378752999.665558</v>
      </c>
      <c r="AI17" s="6">
        <f t="shared" si="31"/>
        <v>54434375072.646339</v>
      </c>
      <c r="AJ17" s="6">
        <f t="shared" si="31"/>
        <v>54166827857.676338</v>
      </c>
      <c r="AK17" s="6">
        <f t="shared" si="31"/>
        <v>53880207280.128342</v>
      </c>
      <c r="AL17" s="6">
        <f t="shared" si="31"/>
        <v>53573655813.07692</v>
      </c>
      <c r="AM17" s="6">
        <f t="shared" si="31"/>
        <v>53246282834.245049</v>
      </c>
      <c r="AN17" s="6">
        <f t="shared" si="31"/>
        <v>52897163442.799294</v>
      </c>
      <c r="AO17" s="6">
        <f t="shared" si="31"/>
        <v>52525337235.732552</v>
      </c>
      <c r="AP17" s="6">
        <f t="shared" si="31"/>
        <v>52129807042.49498</v>
      </c>
      <c r="AQ17" s="6"/>
      <c r="AR17" s="6"/>
      <c r="AS17" s="6"/>
      <c r="AT17" s="6"/>
      <c r="AU17" s="6"/>
      <c r="AV17" s="6"/>
      <c r="AW17" s="6"/>
      <c r="AX17" s="6"/>
      <c r="AY17" s="6"/>
      <c r="AZ17" s="6"/>
      <c r="BA17" s="6"/>
      <c r="BB17" s="6"/>
      <c r="BC17" s="6"/>
      <c r="BD17" s="6"/>
      <c r="BE17" s="6"/>
      <c r="BF17" s="6"/>
      <c r="BG17" s="6"/>
    </row>
    <row r="18" spans="1:59" x14ac:dyDescent="0.35">
      <c r="A18" t="s">
        <v>302</v>
      </c>
      <c r="C18" s="161"/>
      <c r="D18" s="161"/>
      <c r="E18" s="161"/>
      <c r="F18" s="6">
        <f>F17-F6-F7</f>
        <v>18348361275.342289</v>
      </c>
      <c r="G18" s="6">
        <f t="shared" ref="G18:AF18" si="32">G17-G6-G7</f>
        <v>18975730968.262733</v>
      </c>
      <c r="H18" s="6">
        <f t="shared" si="32"/>
        <v>19570676084.754417</v>
      </c>
      <c r="I18" s="6">
        <f t="shared" si="32"/>
        <v>20133820703.681641</v>
      </c>
      <c r="J18" s="6">
        <f t="shared" si="32"/>
        <v>20665734582.043911</v>
      </c>
      <c r="K18" s="6">
        <f t="shared" si="32"/>
        <v>21166934204.048035</v>
      </c>
      <c r="L18" s="6">
        <f t="shared" si="32"/>
        <v>21637883755.842937</v>
      </c>
      <c r="M18" s="6">
        <f t="shared" si="32"/>
        <v>22096032018.125843</v>
      </c>
      <c r="N18" s="6">
        <f t="shared" si="32"/>
        <v>22540889317.439842</v>
      </c>
      <c r="O18" s="6">
        <f t="shared" si="32"/>
        <v>22971947012.185093</v>
      </c>
      <c r="P18" s="6">
        <f t="shared" si="32"/>
        <v>24086136044.233948</v>
      </c>
      <c r="Q18" s="6">
        <f t="shared" si="32"/>
        <v>25171917564.64967</v>
      </c>
      <c r="R18" s="6">
        <f t="shared" si="32"/>
        <v>26238114798.685017</v>
      </c>
      <c r="S18" s="6">
        <f t="shared" si="32"/>
        <v>27283606798.085609</v>
      </c>
      <c r="T18" s="6">
        <f t="shared" si="32"/>
        <v>28307232477.609707</v>
      </c>
      <c r="U18" s="6">
        <f t="shared" si="32"/>
        <v>29307789378.445267</v>
      </c>
      <c r="V18" s="6">
        <f t="shared" si="32"/>
        <v>30284032399.305882</v>
      </c>
      <c r="W18" s="6">
        <f t="shared" si="32"/>
        <v>31272077779.276649</v>
      </c>
      <c r="X18" s="6">
        <f t="shared" si="32"/>
        <v>32271633062.868935</v>
      </c>
      <c r="Y18" s="6">
        <f t="shared" si="32"/>
        <v>33282377660.715305</v>
      </c>
      <c r="Z18" s="6">
        <f t="shared" si="32"/>
        <v>35005274294.215492</v>
      </c>
      <c r="AA18" s="6">
        <f t="shared" si="32"/>
        <v>36751698511.545967</v>
      </c>
      <c r="AB18" s="6">
        <f t="shared" si="32"/>
        <v>38521299810.772324</v>
      </c>
      <c r="AC18" s="6">
        <f t="shared" si="32"/>
        <v>40313685561.084915</v>
      </c>
      <c r="AD18" s="6">
        <f t="shared" si="32"/>
        <v>42128418908.897057</v>
      </c>
      <c r="AE18" s="6">
        <f t="shared" si="32"/>
        <v>43965016601.711197</v>
      </c>
      <c r="AF18" s="6">
        <f t="shared" si="32"/>
        <v>45822946726.895645</v>
      </c>
      <c r="AG18" s="6">
        <f t="shared" ref="AG18:AP18" si="33">AG17-AG6-AG7</f>
        <v>47701626362.422745</v>
      </c>
      <c r="AH18" s="6">
        <f t="shared" si="33"/>
        <v>49600419136.52552</v>
      </c>
      <c r="AI18" s="6">
        <f t="shared" si="33"/>
        <v>51518632693.132393</v>
      </c>
      <c r="AJ18" s="6">
        <f t="shared" si="33"/>
        <v>51163613206.77697</v>
      </c>
      <c r="AK18" s="6">
        <f t="shared" si="33"/>
        <v>50786896189.701996</v>
      </c>
      <c r="AL18" s="6">
        <f t="shared" si="33"/>
        <v>50387545389.937782</v>
      </c>
      <c r="AM18" s="6">
        <f t="shared" si="33"/>
        <v>49964589098.411736</v>
      </c>
      <c r="AN18" s="6">
        <f t="shared" si="33"/>
        <v>49517018894.890984</v>
      </c>
      <c r="AO18" s="6">
        <f t="shared" si="33"/>
        <v>49043788351.386986</v>
      </c>
      <c r="AP18" s="6">
        <f t="shared" si="33"/>
        <v>48543811691.619057</v>
      </c>
      <c r="AQ18" s="6"/>
      <c r="AR18" s="6"/>
      <c r="AS18" s="6"/>
      <c r="AT18" s="6"/>
      <c r="AU18" s="6"/>
      <c r="AV18" s="6"/>
      <c r="AW18" s="6"/>
      <c r="AX18" s="6"/>
      <c r="AY18" s="6"/>
      <c r="AZ18" s="6"/>
      <c r="BA18" s="6"/>
      <c r="BB18" s="6"/>
      <c r="BC18" s="6"/>
      <c r="BD18" s="6"/>
      <c r="BE18" s="6"/>
      <c r="BF18" s="6"/>
      <c r="BG18" s="6"/>
    </row>
    <row r="19" spans="1:59" x14ac:dyDescent="0.3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35">
      <c r="A20" t="s">
        <v>497</v>
      </c>
      <c r="C20" s="161"/>
      <c r="D20" s="161"/>
      <c r="E20" s="161"/>
      <c r="F20" s="6">
        <f ca="1">'Balance Sheet'!E9</f>
        <v>5465118538.7437153</v>
      </c>
      <c r="G20" s="6">
        <f ca="1">'Balance Sheet'!F9</f>
        <v>6214185802.7796803</v>
      </c>
      <c r="H20" s="6">
        <f ca="1">'Balance Sheet'!G9</f>
        <v>6905241811.8458033</v>
      </c>
      <c r="I20" s="6">
        <f ca="1">'Balance Sheet'!H9</f>
        <v>7538694535.5471506</v>
      </c>
      <c r="J20" s="6">
        <f ca="1">'Balance Sheet'!I9</f>
        <v>8129752289.84974</v>
      </c>
      <c r="K20" s="6">
        <f ca="1">'Balance Sheet'!J9</f>
        <v>8584160723.5780735</v>
      </c>
      <c r="L20" s="6">
        <f ca="1">'Balance Sheet'!K9</f>
        <v>9006618151.457468</v>
      </c>
      <c r="M20" s="6">
        <f ca="1">'Balance Sheet'!L9</f>
        <v>9430899688.2058945</v>
      </c>
      <c r="N20" s="6">
        <f ca="1">'Balance Sheet'!M9</f>
        <v>9877639313.3024158</v>
      </c>
      <c r="O20" s="6">
        <f ca="1">'Balance Sheet'!N9</f>
        <v>10347896417.376717</v>
      </c>
      <c r="P20" s="6">
        <f ca="1">'Balance Sheet'!O9</f>
        <v>11437872223.684156</v>
      </c>
      <c r="Q20" s="6">
        <f ca="1">'Balance Sheet'!P9</f>
        <v>12465420523.112577</v>
      </c>
      <c r="R20" s="6">
        <f ca="1">'Balance Sheet'!Q9</f>
        <v>13433366259.811216</v>
      </c>
      <c r="S20" s="6">
        <f ca="1">'Balance Sheet'!R9</f>
        <v>14356292526.971962</v>
      </c>
      <c r="T20" s="6">
        <f ca="1">'Balance Sheet'!S9</f>
        <v>15225474031.350554</v>
      </c>
      <c r="U20" s="6">
        <f ca="1">'Balance Sheet'!T9</f>
        <v>16060550727.058212</v>
      </c>
      <c r="V20" s="6">
        <f ca="1">'Balance Sheet'!U9</f>
        <v>16855212882.156702</v>
      </c>
      <c r="W20" s="6">
        <f ca="1">'Balance Sheet'!V9</f>
        <v>17659369222.87804</v>
      </c>
      <c r="X20" s="6">
        <f ca="1">'Balance Sheet'!W9</f>
        <v>18471086389.644096</v>
      </c>
      <c r="Y20" s="6">
        <f ca="1">'Balance Sheet'!X9</f>
        <v>19288202919.90863</v>
      </c>
      <c r="Z20" s="6">
        <f ca="1">'Balance Sheet'!Y9</f>
        <v>20751723416.103428</v>
      </c>
      <c r="AA20" s="6">
        <f ca="1">'Balance Sheet'!Z9</f>
        <v>22195734303.015842</v>
      </c>
      <c r="AB20" s="6">
        <f ca="1">'Balance Sheet'!AA9</f>
        <v>23609317086.219959</v>
      </c>
      <c r="AC20" s="6">
        <f ca="1">'Balance Sheet'!AB9</f>
        <v>25023406782.826767</v>
      </c>
      <c r="AD20" s="6">
        <f ca="1">'Balance Sheet'!AC9</f>
        <v>26431275193.54483</v>
      </c>
      <c r="AE20" s="6">
        <f ca="1">'Balance Sheet'!AD9</f>
        <v>27825430013.886173</v>
      </c>
      <c r="AF20" s="6">
        <f ca="1">'Balance Sheet'!AE9</f>
        <v>29247684709.245941</v>
      </c>
      <c r="AG20" s="6">
        <f ca="1">'Balance Sheet'!AF9</f>
        <v>30695738727.256268</v>
      </c>
      <c r="AH20" s="6">
        <f ca="1">'Balance Sheet'!AG9</f>
        <v>32221327288.57555</v>
      </c>
      <c r="AI20" s="6">
        <f ca="1">'Balance Sheet'!AH9</f>
        <v>33827854531.105576</v>
      </c>
      <c r="AJ20" s="6">
        <f ca="1">'Balance Sheet'!AI9</f>
        <v>33123321069.50536</v>
      </c>
      <c r="AK20" s="6">
        <f ca="1">'Balance Sheet'!AJ9</f>
        <v>32357399759.984756</v>
      </c>
      <c r="AL20" s="6">
        <f ca="1">'Balance Sheet'!AK9</f>
        <v>31527209906.973625</v>
      </c>
      <c r="AM20" s="6">
        <f ca="1">'Balance Sheet'!AL9</f>
        <v>30629749908.169922</v>
      </c>
      <c r="AN20" s="6">
        <f ca="1">'Balance Sheet'!AM9</f>
        <v>29661892165.55827</v>
      </c>
      <c r="AO20" s="6">
        <f ca="1">'Balance Sheet'!AN9</f>
        <v>28620377772.494202</v>
      </c>
      <c r="AP20" s="6">
        <f ca="1">'Balance Sheet'!AO9</f>
        <v>27501810966.485329</v>
      </c>
      <c r="AQ20" s="6"/>
      <c r="AR20" s="6"/>
      <c r="AS20" s="6"/>
      <c r="AT20" s="6"/>
      <c r="AU20" s="6"/>
      <c r="AV20" s="6"/>
      <c r="AW20" s="6"/>
      <c r="AX20" s="6"/>
      <c r="AY20" s="6"/>
      <c r="AZ20" s="6"/>
      <c r="BA20" s="6"/>
      <c r="BB20" s="6"/>
      <c r="BC20" s="6"/>
      <c r="BD20" s="6"/>
      <c r="BE20" s="6"/>
      <c r="BF20" s="6"/>
      <c r="BG20" s="6"/>
    </row>
    <row r="21" spans="1:59" x14ac:dyDescent="0.35">
      <c r="A21" t="s">
        <v>498</v>
      </c>
      <c r="C21" s="161"/>
      <c r="D21" s="161"/>
      <c r="E21" s="161"/>
      <c r="F21" s="6">
        <f ca="1">F18-F20</f>
        <v>12883242736.598574</v>
      </c>
      <c r="G21" s="6">
        <f t="shared" ref="G21:AF21" ca="1" si="34">G18-G20</f>
        <v>12761545165.483053</v>
      </c>
      <c r="H21" s="6">
        <f t="shared" ca="1" si="34"/>
        <v>12665434272.908615</v>
      </c>
      <c r="I21" s="6">
        <f t="shared" ca="1" si="34"/>
        <v>12595126168.134491</v>
      </c>
      <c r="J21" s="6">
        <f ca="1">J18-J20</f>
        <v>12535982292.194172</v>
      </c>
      <c r="K21" s="6">
        <f t="shared" ca="1" si="34"/>
        <v>12582773480.469961</v>
      </c>
      <c r="L21" s="6">
        <f t="shared" ca="1" si="34"/>
        <v>12631265604.385469</v>
      </c>
      <c r="M21" s="6">
        <f t="shared" ca="1" si="34"/>
        <v>12665132329.919949</v>
      </c>
      <c r="N21" s="6">
        <f t="shared" ca="1" si="34"/>
        <v>12663250004.137426</v>
      </c>
      <c r="O21" s="6">
        <f t="shared" ca="1" si="34"/>
        <v>12624050594.808376</v>
      </c>
      <c r="P21" s="6">
        <f t="shared" ca="1" si="34"/>
        <v>12648263820.549791</v>
      </c>
      <c r="Q21" s="6">
        <f t="shared" ca="1" si="34"/>
        <v>12706497041.537092</v>
      </c>
      <c r="R21" s="6">
        <f t="shared" ca="1" si="34"/>
        <v>12804748538.8738</v>
      </c>
      <c r="S21" s="6">
        <f t="shared" ca="1" si="34"/>
        <v>12927314271.113647</v>
      </c>
      <c r="T21" s="6">
        <f t="shared" ca="1" si="34"/>
        <v>13081758446.259153</v>
      </c>
      <c r="U21" s="6">
        <f t="shared" ca="1" si="34"/>
        <v>13247238651.387054</v>
      </c>
      <c r="V21" s="6">
        <f t="shared" ca="1" si="34"/>
        <v>13428819517.149179</v>
      </c>
      <c r="W21" s="6">
        <f t="shared" ca="1" si="34"/>
        <v>13612708556.398609</v>
      </c>
      <c r="X21" s="6">
        <f t="shared" ca="1" si="34"/>
        <v>13800546673.224838</v>
      </c>
      <c r="Y21" s="6">
        <f t="shared" ca="1" si="34"/>
        <v>13994174740.806675</v>
      </c>
      <c r="Z21" s="6">
        <f t="shared" ca="1" si="34"/>
        <v>14253550878.112064</v>
      </c>
      <c r="AA21" s="6">
        <f t="shared" ca="1" si="34"/>
        <v>14555964208.530125</v>
      </c>
      <c r="AB21" s="6">
        <f t="shared" ca="1" si="34"/>
        <v>14911982724.552364</v>
      </c>
      <c r="AC21" s="6">
        <f t="shared" ca="1" si="34"/>
        <v>15290278778.258148</v>
      </c>
      <c r="AD21" s="6">
        <f t="shared" ca="1" si="34"/>
        <v>15697143715.352226</v>
      </c>
      <c r="AE21" s="6">
        <f t="shared" ca="1" si="34"/>
        <v>16139586587.825024</v>
      </c>
      <c r="AF21" s="6">
        <f t="shared" ca="1" si="34"/>
        <v>16575262017.649704</v>
      </c>
      <c r="AG21" s="6">
        <f t="shared" ref="AG21:AP21" ca="1" si="35">AG18-AG20</f>
        <v>17005887635.166477</v>
      </c>
      <c r="AH21" s="6">
        <f t="shared" ca="1" si="35"/>
        <v>17379091847.94997</v>
      </c>
      <c r="AI21" s="6">
        <f t="shared" ca="1" si="35"/>
        <v>17690778162.026817</v>
      </c>
      <c r="AJ21" s="6">
        <f t="shared" ca="1" si="35"/>
        <v>18040292137.27161</v>
      </c>
      <c r="AK21" s="6">
        <f t="shared" ca="1" si="35"/>
        <v>18429496429.717239</v>
      </c>
      <c r="AL21" s="6">
        <f t="shared" ca="1" si="35"/>
        <v>18860335482.964157</v>
      </c>
      <c r="AM21" s="6">
        <f t="shared" ca="1" si="35"/>
        <v>19334839190.241814</v>
      </c>
      <c r="AN21" s="6">
        <f t="shared" ca="1" si="35"/>
        <v>19855126729.332714</v>
      </c>
      <c r="AO21" s="6">
        <f t="shared" ca="1" si="35"/>
        <v>20423410578.892784</v>
      </c>
      <c r="AP21" s="6">
        <f t="shared" ca="1" si="35"/>
        <v>21042000725.133728</v>
      </c>
      <c r="AQ21" s="6"/>
      <c r="AR21" s="6"/>
      <c r="AS21" s="6"/>
      <c r="AT21" s="6"/>
      <c r="AU21" s="6"/>
      <c r="AV21" s="6"/>
      <c r="AW21" s="6"/>
      <c r="AX21" s="6"/>
      <c r="AY21" s="6"/>
      <c r="AZ21" s="6"/>
      <c r="BA21" s="6"/>
      <c r="BB21" s="6"/>
      <c r="BC21" s="6"/>
      <c r="BD21" s="6"/>
      <c r="BE21" s="6"/>
      <c r="BF21" s="6"/>
      <c r="BG21" s="6"/>
    </row>
    <row r="22" spans="1:59" x14ac:dyDescent="0.3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3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3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3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3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3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3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3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3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3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3:59" x14ac:dyDescent="0.3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3:59" x14ac:dyDescent="0.3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3:59" x14ac:dyDescent="0.3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3:59" x14ac:dyDescent="0.3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3:59" x14ac:dyDescent="0.3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sheetData>
  <sheetProtection algorithmName="SHA-512" hashValue="3iFCoAgcT1Ebl54sAHjw8wdTdGYVsi1hlxqjk+ZV6d40FjeHKajNsxLQePezs+Lmmhae3Tyqi+nCskg9pakNEA==" saltValue="qPeoPsIaziFQPLTU2crEX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dimension ref="A1:AP11"/>
  <sheetViews>
    <sheetView zoomScaleNormal="100" workbookViewId="0">
      <selection sqref="A1:XFD1048576"/>
    </sheetView>
  </sheetViews>
  <sheetFormatPr defaultColWidth="10.83203125" defaultRowHeight="15.5" x14ac:dyDescent="0.35"/>
  <cols>
    <col min="1" max="1" width="31.83203125" style="305" bestFit="1" customWidth="1"/>
    <col min="2" max="2" width="21.83203125" style="305" customWidth="1"/>
    <col min="3" max="3" width="15.5" style="305" hidden="1" customWidth="1"/>
    <col min="4" max="4" width="16.08203125" style="305" hidden="1" customWidth="1"/>
    <col min="5" max="9" width="15.5" style="305" bestFit="1" customWidth="1"/>
    <col min="10" max="31" width="16.5" style="305" bestFit="1" customWidth="1"/>
    <col min="32" max="32" width="18.08203125" style="305" bestFit="1" customWidth="1"/>
    <col min="33" max="42" width="16.5" style="305" bestFit="1" customWidth="1"/>
    <col min="43" max="16384" width="10.83203125" style="305"/>
  </cols>
  <sheetData>
    <row r="1" spans="1:42" s="304" customFormat="1" x14ac:dyDescent="0.35">
      <c r="C1" s="304">
        <v>2022</v>
      </c>
      <c r="D1" s="304">
        <f t="shared" ref="D1:AP1" si="0">C1+1</f>
        <v>2023</v>
      </c>
      <c r="E1" s="304">
        <f t="shared" si="0"/>
        <v>2024</v>
      </c>
      <c r="F1" s="304">
        <f t="shared" si="0"/>
        <v>2025</v>
      </c>
      <c r="G1" s="304">
        <f t="shared" si="0"/>
        <v>2026</v>
      </c>
      <c r="H1" s="304">
        <f t="shared" si="0"/>
        <v>2027</v>
      </c>
      <c r="I1" s="304">
        <f t="shared" si="0"/>
        <v>2028</v>
      </c>
      <c r="J1" s="304">
        <f t="shared" si="0"/>
        <v>2029</v>
      </c>
      <c r="K1" s="304">
        <f t="shared" si="0"/>
        <v>2030</v>
      </c>
      <c r="L1" s="304">
        <f t="shared" si="0"/>
        <v>2031</v>
      </c>
      <c r="M1" s="304">
        <f t="shared" si="0"/>
        <v>2032</v>
      </c>
      <c r="N1" s="304">
        <f t="shared" si="0"/>
        <v>2033</v>
      </c>
      <c r="O1" s="304">
        <f t="shared" si="0"/>
        <v>2034</v>
      </c>
      <c r="P1" s="304">
        <f t="shared" si="0"/>
        <v>2035</v>
      </c>
      <c r="Q1" s="304">
        <f t="shared" si="0"/>
        <v>2036</v>
      </c>
      <c r="R1" s="304">
        <f t="shared" si="0"/>
        <v>2037</v>
      </c>
      <c r="S1" s="304">
        <f t="shared" si="0"/>
        <v>2038</v>
      </c>
      <c r="T1" s="304">
        <f t="shared" si="0"/>
        <v>2039</v>
      </c>
      <c r="U1" s="304">
        <f t="shared" si="0"/>
        <v>2040</v>
      </c>
      <c r="V1" s="304">
        <f t="shared" si="0"/>
        <v>2041</v>
      </c>
      <c r="W1" s="304">
        <f t="shared" si="0"/>
        <v>2042</v>
      </c>
      <c r="X1" s="304">
        <f t="shared" si="0"/>
        <v>2043</v>
      </c>
      <c r="Y1" s="304">
        <f t="shared" si="0"/>
        <v>2044</v>
      </c>
      <c r="Z1" s="304">
        <f t="shared" si="0"/>
        <v>2045</v>
      </c>
      <c r="AA1" s="304">
        <f t="shared" si="0"/>
        <v>2046</v>
      </c>
      <c r="AB1" s="304">
        <f t="shared" si="0"/>
        <v>2047</v>
      </c>
      <c r="AC1" s="304">
        <f t="shared" si="0"/>
        <v>2048</v>
      </c>
      <c r="AD1" s="304">
        <f t="shared" si="0"/>
        <v>2049</v>
      </c>
      <c r="AE1" s="304">
        <f t="shared" si="0"/>
        <v>2050</v>
      </c>
      <c r="AF1" s="304">
        <f t="shared" si="0"/>
        <v>2051</v>
      </c>
      <c r="AG1" s="304">
        <f t="shared" si="0"/>
        <v>2052</v>
      </c>
      <c r="AH1" s="304">
        <f t="shared" si="0"/>
        <v>2053</v>
      </c>
      <c r="AI1" s="304">
        <f t="shared" si="0"/>
        <v>2054</v>
      </c>
      <c r="AJ1" s="304">
        <f t="shared" si="0"/>
        <v>2055</v>
      </c>
      <c r="AK1" s="304">
        <f t="shared" si="0"/>
        <v>2056</v>
      </c>
      <c r="AL1" s="304">
        <f t="shared" si="0"/>
        <v>2057</v>
      </c>
      <c r="AM1" s="304">
        <f t="shared" si="0"/>
        <v>2058</v>
      </c>
      <c r="AN1" s="304">
        <f t="shared" si="0"/>
        <v>2059</v>
      </c>
      <c r="AO1" s="304">
        <f t="shared" si="0"/>
        <v>2060</v>
      </c>
      <c r="AP1" s="304">
        <f t="shared" si="0"/>
        <v>2061</v>
      </c>
    </row>
    <row r="3" spans="1:42" x14ac:dyDescent="0.35">
      <c r="A3" s="305" t="s">
        <v>499</v>
      </c>
      <c r="C3" s="306"/>
      <c r="D3" s="306"/>
      <c r="E3" s="306"/>
      <c r="F3" s="307">
        <f t="shared" ref="F3:AP3" si="1">E8</f>
        <v>4146739686.7008281</v>
      </c>
      <c r="G3" s="307">
        <f t="shared" ca="1" si="1"/>
        <v>5465118538.7437153</v>
      </c>
      <c r="H3" s="307">
        <f t="shared" ca="1" si="1"/>
        <v>6214185802.7796803</v>
      </c>
      <c r="I3" s="307">
        <f t="shared" ca="1" si="1"/>
        <v>6905241811.8458033</v>
      </c>
      <c r="J3" s="307">
        <f t="shared" ca="1" si="1"/>
        <v>7538694535.5471506</v>
      </c>
      <c r="K3" s="307">
        <f t="shared" ca="1" si="1"/>
        <v>8129752289.84974</v>
      </c>
      <c r="L3" s="307">
        <f t="shared" ca="1" si="1"/>
        <v>8584160723.5780735</v>
      </c>
      <c r="M3" s="307">
        <f t="shared" ca="1" si="1"/>
        <v>9006618151.457468</v>
      </c>
      <c r="N3" s="307">
        <f t="shared" ca="1" si="1"/>
        <v>9430899688.2058945</v>
      </c>
      <c r="O3" s="307">
        <f t="shared" ca="1" si="1"/>
        <v>9877639313.3024158</v>
      </c>
      <c r="P3" s="307">
        <f t="shared" ca="1" si="1"/>
        <v>10347896417.376717</v>
      </c>
      <c r="Q3" s="307">
        <f t="shared" ca="1" si="1"/>
        <v>11437872223.684156</v>
      </c>
      <c r="R3" s="307">
        <f t="shared" ca="1" si="1"/>
        <v>12465420523.112577</v>
      </c>
      <c r="S3" s="307">
        <f t="shared" ca="1" si="1"/>
        <v>13433366259.811216</v>
      </c>
      <c r="T3" s="307">
        <f t="shared" ca="1" si="1"/>
        <v>14356292526.971962</v>
      </c>
      <c r="U3" s="307">
        <f t="shared" ca="1" si="1"/>
        <v>15225474031.350554</v>
      </c>
      <c r="V3" s="307">
        <f t="shared" ca="1" si="1"/>
        <v>16060550727.058212</v>
      </c>
      <c r="W3" s="307">
        <f t="shared" ca="1" si="1"/>
        <v>16855212882.156702</v>
      </c>
      <c r="X3" s="307">
        <f t="shared" ca="1" si="1"/>
        <v>17659369222.87804</v>
      </c>
      <c r="Y3" s="307">
        <f t="shared" ca="1" si="1"/>
        <v>18471086389.644096</v>
      </c>
      <c r="Z3" s="307">
        <f t="shared" ca="1" si="1"/>
        <v>19288202919.90863</v>
      </c>
      <c r="AA3" s="307">
        <f t="shared" ca="1" si="1"/>
        <v>20751723416.103428</v>
      </c>
      <c r="AB3" s="307">
        <f t="shared" ca="1" si="1"/>
        <v>22195734303.015842</v>
      </c>
      <c r="AC3" s="307">
        <f t="shared" ca="1" si="1"/>
        <v>23609317086.219959</v>
      </c>
      <c r="AD3" s="307">
        <f t="shared" ca="1" si="1"/>
        <v>25023406782.826767</v>
      </c>
      <c r="AE3" s="307">
        <f t="shared" ca="1" si="1"/>
        <v>26431275193.54483</v>
      </c>
      <c r="AF3" s="307">
        <f t="shared" ca="1" si="1"/>
        <v>27825430013.886173</v>
      </c>
      <c r="AG3" s="307">
        <f t="shared" ca="1" si="1"/>
        <v>29247684709.245941</v>
      </c>
      <c r="AH3" s="307">
        <f t="shared" ca="1" si="1"/>
        <v>30695738727.256268</v>
      </c>
      <c r="AI3" s="307">
        <f t="shared" ca="1" si="1"/>
        <v>32221327288.57555</v>
      </c>
      <c r="AJ3" s="307">
        <f t="shared" ca="1" si="1"/>
        <v>33827854531.105576</v>
      </c>
      <c r="AK3" s="307">
        <f t="shared" ca="1" si="1"/>
        <v>33123321069.50536</v>
      </c>
      <c r="AL3" s="307">
        <f t="shared" ca="1" si="1"/>
        <v>32357399759.984756</v>
      </c>
      <c r="AM3" s="307">
        <f t="shared" ca="1" si="1"/>
        <v>31527209906.973625</v>
      </c>
      <c r="AN3" s="307">
        <f t="shared" ca="1" si="1"/>
        <v>30629749908.169922</v>
      </c>
      <c r="AO3" s="307">
        <f t="shared" ca="1" si="1"/>
        <v>29661892165.55827</v>
      </c>
      <c r="AP3" s="307">
        <f t="shared" ca="1" si="1"/>
        <v>28620377772.494202</v>
      </c>
    </row>
    <row r="4" spans="1:42" x14ac:dyDescent="0.35">
      <c r="A4" s="305" t="s">
        <v>500</v>
      </c>
      <c r="C4" s="306"/>
      <c r="D4" s="306"/>
      <c r="E4" s="306"/>
      <c r="F4" s="307">
        <f>+Assumptions!F80</f>
        <v>534557098.47149754</v>
      </c>
      <c r="G4" s="307">
        <f>+Assumptions!G80</f>
        <v>0</v>
      </c>
      <c r="H4" s="307">
        <f>+Assumptions!H80</f>
        <v>0</v>
      </c>
      <c r="I4" s="307">
        <f>+Assumptions!I80</f>
        <v>0</v>
      </c>
      <c r="J4" s="307">
        <f>+Assumptions!J80</f>
        <v>0</v>
      </c>
      <c r="K4" s="307">
        <f>+Assumptions!K80</f>
        <v>0</v>
      </c>
      <c r="L4" s="307">
        <f>+Assumptions!L80</f>
        <v>0</v>
      </c>
      <c r="M4" s="307">
        <f>+Assumptions!M80</f>
        <v>0</v>
      </c>
      <c r="N4" s="307">
        <f>+Assumptions!N80</f>
        <v>0</v>
      </c>
      <c r="O4" s="307">
        <f>+Assumptions!O80</f>
        <v>0</v>
      </c>
      <c r="P4" s="307">
        <f>+Assumptions!P80</f>
        <v>0</v>
      </c>
      <c r="Q4" s="307">
        <f>+Assumptions!Q80</f>
        <v>0</v>
      </c>
      <c r="R4" s="307">
        <f>+Assumptions!R80</f>
        <v>0</v>
      </c>
      <c r="S4" s="307">
        <f>+Assumptions!S80</f>
        <v>0</v>
      </c>
      <c r="T4" s="307">
        <f>+Assumptions!T80</f>
        <v>0</v>
      </c>
      <c r="U4" s="307">
        <f>+Assumptions!U80</f>
        <v>0</v>
      </c>
      <c r="V4" s="307">
        <f>+Assumptions!V80</f>
        <v>0</v>
      </c>
      <c r="W4" s="307">
        <f>+Assumptions!W80</f>
        <v>0</v>
      </c>
      <c r="X4" s="307">
        <f>+Assumptions!X80</f>
        <v>0</v>
      </c>
      <c r="Y4" s="307">
        <f>+Assumptions!Y80</f>
        <v>0</v>
      </c>
      <c r="Z4" s="307">
        <f>+Assumptions!Z80</f>
        <v>0</v>
      </c>
      <c r="AA4" s="307">
        <f>+Assumptions!AA80</f>
        <v>0</v>
      </c>
      <c r="AB4" s="307">
        <f>+Assumptions!AB80</f>
        <v>0</v>
      </c>
      <c r="AC4" s="307">
        <f>+Assumptions!AC80</f>
        <v>0</v>
      </c>
      <c r="AD4" s="307">
        <f>+Assumptions!AD80</f>
        <v>0</v>
      </c>
      <c r="AE4" s="307">
        <f>+Assumptions!AE80</f>
        <v>0</v>
      </c>
      <c r="AF4" s="307">
        <f>+Assumptions!AF80</f>
        <v>0</v>
      </c>
      <c r="AG4" s="307">
        <f>+Assumptions!AG80</f>
        <v>0</v>
      </c>
      <c r="AH4" s="307">
        <f>+Assumptions!AH80</f>
        <v>0</v>
      </c>
      <c r="AI4" s="307">
        <f>+Assumptions!AI80</f>
        <v>0</v>
      </c>
      <c r="AJ4" s="307">
        <f>+Assumptions!AJ80</f>
        <v>0</v>
      </c>
      <c r="AK4" s="307">
        <f>+Assumptions!AK80</f>
        <v>0</v>
      </c>
      <c r="AL4" s="307">
        <f>+Assumptions!AL80</f>
        <v>0</v>
      </c>
      <c r="AM4" s="307">
        <f>+Assumptions!AM80</f>
        <v>0</v>
      </c>
      <c r="AN4" s="307">
        <f>+Assumptions!AN80</f>
        <v>0</v>
      </c>
      <c r="AO4" s="307">
        <f>+Assumptions!AO80</f>
        <v>0</v>
      </c>
      <c r="AP4" s="307">
        <f>+Assumptions!AP80</f>
        <v>0</v>
      </c>
    </row>
    <row r="5" spans="1:42" x14ac:dyDescent="0.35">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row>
    <row r="6" spans="1:42" x14ac:dyDescent="0.35">
      <c r="A6" s="305" t="s">
        <v>485</v>
      </c>
      <c r="C6" s="306"/>
      <c r="D6" s="306"/>
      <c r="E6" s="306"/>
      <c r="F6" s="307">
        <f>-'Cash Flow'!F7</f>
        <v>-17818569.949049916</v>
      </c>
      <c r="G6" s="307">
        <f>-'Cash Flow'!G7</f>
        <v>-17818569.949049916</v>
      </c>
      <c r="H6" s="307">
        <f>-'Cash Flow'!H7</f>
        <v>-17818569.949049916</v>
      </c>
      <c r="I6" s="307">
        <f>-'Cash Flow'!I7</f>
        <v>-17818569.949049916</v>
      </c>
      <c r="J6" s="307">
        <f>-'Cash Flow'!J7</f>
        <v>-17818569.949049916</v>
      </c>
      <c r="K6" s="307">
        <f>-'Cash Flow'!K7</f>
        <v>-17818569.949049916</v>
      </c>
      <c r="L6" s="307">
        <f>-'Cash Flow'!L7</f>
        <v>-17818569.949049916</v>
      </c>
      <c r="M6" s="307">
        <f>-'Cash Flow'!M7</f>
        <v>-17818569.949049916</v>
      </c>
      <c r="N6" s="307">
        <f>-'Cash Flow'!N7</f>
        <v>-17818569.949049916</v>
      </c>
      <c r="O6" s="307">
        <f>-'Cash Flow'!O7</f>
        <v>-17818569.949049916</v>
      </c>
      <c r="P6" s="307">
        <f>-'Cash Flow'!P7</f>
        <v>-17818569.949049916</v>
      </c>
      <c r="Q6" s="307">
        <f>-'Cash Flow'!Q7</f>
        <v>-17818569.949049916</v>
      </c>
      <c r="R6" s="307">
        <f>-'Cash Flow'!R7</f>
        <v>-17818569.949049916</v>
      </c>
      <c r="S6" s="307">
        <f>-'Cash Flow'!S7</f>
        <v>-17818569.949049916</v>
      </c>
      <c r="T6" s="307">
        <f>-'Cash Flow'!T7</f>
        <v>-17818569.949049916</v>
      </c>
      <c r="U6" s="307">
        <f>-'Cash Flow'!U7</f>
        <v>-17818569.949049916</v>
      </c>
      <c r="V6" s="307">
        <f>-'Cash Flow'!V7</f>
        <v>-17818569.949049916</v>
      </c>
      <c r="W6" s="307">
        <f>-'Cash Flow'!W7</f>
        <v>-17818569.949049916</v>
      </c>
      <c r="X6" s="307">
        <f>-'Cash Flow'!X7</f>
        <v>-17818569.949049916</v>
      </c>
      <c r="Y6" s="307">
        <f>-'Cash Flow'!Y7</f>
        <v>-17818569.949049916</v>
      </c>
      <c r="Z6" s="307">
        <f>-'Cash Flow'!Z7</f>
        <v>-17818569.949049916</v>
      </c>
      <c r="AA6" s="307">
        <f>-'Cash Flow'!AA7</f>
        <v>-17818569.949049916</v>
      </c>
      <c r="AB6" s="307">
        <f>-'Cash Flow'!AB7</f>
        <v>-17818569.949049916</v>
      </c>
      <c r="AC6" s="307">
        <f>-'Cash Flow'!AC7</f>
        <v>-17818569.949049916</v>
      </c>
      <c r="AD6" s="307">
        <f>-'Cash Flow'!AD7</f>
        <v>-17818569.949049916</v>
      </c>
      <c r="AE6" s="307">
        <f>-'Cash Flow'!AE7</f>
        <v>-17818569.949049916</v>
      </c>
      <c r="AF6" s="307">
        <f>-'Cash Flow'!AF7</f>
        <v>-17818569.949049916</v>
      </c>
      <c r="AG6" s="307">
        <f>-'Cash Flow'!AG7</f>
        <v>-17818569.949049916</v>
      </c>
      <c r="AH6" s="307">
        <f>-'Cash Flow'!AH7</f>
        <v>-17818569.949049916</v>
      </c>
      <c r="AI6" s="307">
        <f>-'Cash Flow'!AI7</f>
        <v>-17818569.949049916</v>
      </c>
      <c r="AJ6" s="307">
        <f>-'Cash Flow'!AJ7</f>
        <v>0</v>
      </c>
      <c r="AK6" s="307">
        <f>-'Cash Flow'!AK7</f>
        <v>0</v>
      </c>
      <c r="AL6" s="307">
        <f>-'Cash Flow'!AL7</f>
        <v>0</v>
      </c>
      <c r="AM6" s="307">
        <f>-'Cash Flow'!AM7</f>
        <v>0</v>
      </c>
      <c r="AN6" s="307">
        <f>-'Cash Flow'!AN7</f>
        <v>0</v>
      </c>
      <c r="AO6" s="307">
        <f>-'Cash Flow'!AO7</f>
        <v>0</v>
      </c>
      <c r="AP6" s="307">
        <f>-'Cash Flow'!AP7</f>
        <v>0</v>
      </c>
    </row>
    <row r="7" spans="1:42" x14ac:dyDescent="0.35">
      <c r="A7" s="305" t="s">
        <v>501</v>
      </c>
      <c r="C7" s="306"/>
      <c r="D7" s="306"/>
      <c r="E7" s="306"/>
      <c r="F7" s="307">
        <f ca="1">-'Cash Flow'!F11</f>
        <v>801640323.52043962</v>
      </c>
      <c r="G7" s="307">
        <f ca="1">-'Cash Flow'!G11</f>
        <v>766885833.98501527</v>
      </c>
      <c r="H7" s="307">
        <f ca="1">-'Cash Flow'!H11</f>
        <v>708874579.01517308</v>
      </c>
      <c r="I7" s="307">
        <f ca="1">-'Cash Flow'!I11</f>
        <v>651271293.65039754</v>
      </c>
      <c r="J7" s="307">
        <f ca="1">-'Cash Flow'!J11</f>
        <v>608876324.25163937</v>
      </c>
      <c r="K7" s="307">
        <f ca="1">-'Cash Flow'!K11</f>
        <v>472227003.6773833</v>
      </c>
      <c r="L7" s="307">
        <f ca="1">-'Cash Flow'!L11</f>
        <v>440275997.82844532</v>
      </c>
      <c r="M7" s="307">
        <f ca="1">-'Cash Flow'!M11</f>
        <v>442100106.69747472</v>
      </c>
      <c r="N7" s="307">
        <f ca="1">-'Cash Flow'!N11</f>
        <v>464558195.04557121</v>
      </c>
      <c r="O7" s="307">
        <f ca="1">-'Cash Flow'!O11</f>
        <v>488075674.02334881</v>
      </c>
      <c r="P7" s="307">
        <f ca="1">-'Cash Flow'!P11</f>
        <v>1107794376.2564881</v>
      </c>
      <c r="Q7" s="307">
        <f ca="1">-'Cash Flow'!Q11</f>
        <v>1045366869.3774705</v>
      </c>
      <c r="R7" s="307">
        <f ca="1">-'Cash Flow'!R11</f>
        <v>985764306.6476872</v>
      </c>
      <c r="S7" s="307">
        <f ca="1">-'Cash Flow'!S11</f>
        <v>940744837.10979366</v>
      </c>
      <c r="T7" s="307">
        <f ca="1">-'Cash Flow'!T11</f>
        <v>887000074.32764125</v>
      </c>
      <c r="U7" s="307">
        <f ca="1">-'Cash Flow'!U11</f>
        <v>852895265.65670872</v>
      </c>
      <c r="V7" s="307">
        <f ca="1">-'Cash Flow'!V11</f>
        <v>812480725.04753804</v>
      </c>
      <c r="W7" s="307">
        <f ca="1">-'Cash Flow'!W11</f>
        <v>821974910.67038822</v>
      </c>
      <c r="X7" s="307">
        <f ca="1">-'Cash Flow'!X11</f>
        <v>829535736.71510816</v>
      </c>
      <c r="Y7" s="307">
        <f ca="1">-'Cash Flow'!Y11</f>
        <v>834935100.21358418</v>
      </c>
      <c r="Z7" s="307">
        <f ca="1">-'Cash Flow'!Z11</f>
        <v>1481339066.1438498</v>
      </c>
      <c r="AA7" s="307">
        <f ca="1">-'Cash Flow'!AA11</f>
        <v>1461829456.8614664</v>
      </c>
      <c r="AB7" s="307">
        <f ca="1">-'Cash Flow'!AB11</f>
        <v>1431401353.1531668</v>
      </c>
      <c r="AC7" s="307">
        <f ca="1">-'Cash Flow'!AC11</f>
        <v>1431908266.5558605</v>
      </c>
      <c r="AD7" s="307">
        <f ca="1">-'Cash Flow'!AD11</f>
        <v>1425686980.6671133</v>
      </c>
      <c r="AE7" s="307">
        <f ca="1">-'Cash Flow'!AE11</f>
        <v>1411973390.2903948</v>
      </c>
      <c r="AF7" s="307">
        <f ca="1">-'Cash Flow'!AF11</f>
        <v>1440073265.3088207</v>
      </c>
      <c r="AG7" s="307">
        <f ca="1">-'Cash Flow'!AG11</f>
        <v>1465872587.9593763</v>
      </c>
      <c r="AH7" s="307">
        <f ca="1">-'Cash Flow'!AH11</f>
        <v>1543407131.268333</v>
      </c>
      <c r="AI7" s="307">
        <f ca="1">-'Cash Flow'!AI11</f>
        <v>1624345812.4790745</v>
      </c>
      <c r="AJ7" s="307">
        <f ca="1">-'Cash Flow'!AJ11</f>
        <v>-704533461.60021591</v>
      </c>
      <c r="AK7" s="307">
        <f ca="1">-'Cash Flow'!AK11</f>
        <v>-765921309.52060318</v>
      </c>
      <c r="AL7" s="307">
        <f ca="1">-'Cash Flow'!AL11</f>
        <v>-830189853.01113033</v>
      </c>
      <c r="AM7" s="307">
        <f ca="1">-'Cash Flow'!AM11</f>
        <v>-897459998.80370522</v>
      </c>
      <c r="AN7" s="307">
        <f ca="1">-'Cash Flow'!AN11</f>
        <v>-967857742.6116519</v>
      </c>
      <c r="AO7" s="307">
        <f ca="1">-'Cash Flow'!AO11</f>
        <v>-1041514393.0640683</v>
      </c>
      <c r="AP7" s="307">
        <f ca="1">-'Cash Flow'!AP11</f>
        <v>-1118566806.0088739</v>
      </c>
    </row>
    <row r="8" spans="1:42" x14ac:dyDescent="0.35">
      <c r="A8" s="305" t="s">
        <v>502</v>
      </c>
      <c r="C8" s="306"/>
      <c r="D8" s="306"/>
      <c r="E8" s="307">
        <f>Assumptions!E39</f>
        <v>4146739686.7008281</v>
      </c>
      <c r="F8" s="307">
        <f ca="1">F3+F4+F6+F7</f>
        <v>5465118538.7437153</v>
      </c>
      <c r="G8" s="307">
        <f t="shared" ref="G8:AP8" ca="1" si="2">G3+G4+G6+G7</f>
        <v>6214185802.7796803</v>
      </c>
      <c r="H8" s="307">
        <f t="shared" ca="1" si="2"/>
        <v>6905241811.8458033</v>
      </c>
      <c r="I8" s="307">
        <f t="shared" ca="1" si="2"/>
        <v>7538694535.5471506</v>
      </c>
      <c r="J8" s="307">
        <f t="shared" ca="1" si="2"/>
        <v>8129752289.84974</v>
      </c>
      <c r="K8" s="307">
        <f t="shared" ca="1" si="2"/>
        <v>8584160723.5780735</v>
      </c>
      <c r="L8" s="307">
        <f t="shared" ca="1" si="2"/>
        <v>9006618151.457468</v>
      </c>
      <c r="M8" s="307">
        <f t="shared" ca="1" si="2"/>
        <v>9430899688.2058945</v>
      </c>
      <c r="N8" s="307">
        <f t="shared" ca="1" si="2"/>
        <v>9877639313.3024158</v>
      </c>
      <c r="O8" s="307">
        <f t="shared" ca="1" si="2"/>
        <v>10347896417.376717</v>
      </c>
      <c r="P8" s="307">
        <f t="shared" ca="1" si="2"/>
        <v>11437872223.684156</v>
      </c>
      <c r="Q8" s="307">
        <f t="shared" ca="1" si="2"/>
        <v>12465420523.112577</v>
      </c>
      <c r="R8" s="307">
        <f t="shared" ca="1" si="2"/>
        <v>13433366259.811216</v>
      </c>
      <c r="S8" s="307">
        <f t="shared" ca="1" si="2"/>
        <v>14356292526.971962</v>
      </c>
      <c r="T8" s="307">
        <f t="shared" ca="1" si="2"/>
        <v>15225474031.350554</v>
      </c>
      <c r="U8" s="307">
        <f t="shared" ca="1" si="2"/>
        <v>16060550727.058212</v>
      </c>
      <c r="V8" s="307">
        <f t="shared" ca="1" si="2"/>
        <v>16855212882.156702</v>
      </c>
      <c r="W8" s="307">
        <f t="shared" ca="1" si="2"/>
        <v>17659369222.87804</v>
      </c>
      <c r="X8" s="307">
        <f t="shared" ca="1" si="2"/>
        <v>18471086389.644096</v>
      </c>
      <c r="Y8" s="307">
        <f t="shared" ca="1" si="2"/>
        <v>19288202919.90863</v>
      </c>
      <c r="Z8" s="307">
        <f t="shared" ca="1" si="2"/>
        <v>20751723416.103428</v>
      </c>
      <c r="AA8" s="307">
        <f t="shared" ca="1" si="2"/>
        <v>22195734303.015842</v>
      </c>
      <c r="AB8" s="307">
        <f t="shared" ca="1" si="2"/>
        <v>23609317086.219959</v>
      </c>
      <c r="AC8" s="307">
        <f t="shared" ca="1" si="2"/>
        <v>25023406782.826767</v>
      </c>
      <c r="AD8" s="307">
        <f t="shared" ca="1" si="2"/>
        <v>26431275193.54483</v>
      </c>
      <c r="AE8" s="307">
        <f t="shared" ca="1" si="2"/>
        <v>27825430013.886173</v>
      </c>
      <c r="AF8" s="307">
        <f t="shared" ca="1" si="2"/>
        <v>29247684709.245941</v>
      </c>
      <c r="AG8" s="307">
        <f t="shared" ca="1" si="2"/>
        <v>30695738727.256268</v>
      </c>
      <c r="AH8" s="307">
        <f t="shared" ca="1" si="2"/>
        <v>32221327288.57555</v>
      </c>
      <c r="AI8" s="307">
        <f t="shared" ca="1" si="2"/>
        <v>33827854531.105576</v>
      </c>
      <c r="AJ8" s="307">
        <f t="shared" ca="1" si="2"/>
        <v>33123321069.50536</v>
      </c>
      <c r="AK8" s="307">
        <f t="shared" ca="1" si="2"/>
        <v>32357399759.984756</v>
      </c>
      <c r="AL8" s="307">
        <f t="shared" ca="1" si="2"/>
        <v>31527209906.973625</v>
      </c>
      <c r="AM8" s="307">
        <f t="shared" ca="1" si="2"/>
        <v>30629749908.169922</v>
      </c>
      <c r="AN8" s="307">
        <f t="shared" ca="1" si="2"/>
        <v>29661892165.55827</v>
      </c>
      <c r="AO8" s="307">
        <f t="shared" ca="1" si="2"/>
        <v>28620377772.494202</v>
      </c>
      <c r="AP8" s="307">
        <f t="shared" ca="1" si="2"/>
        <v>27501810966.485329</v>
      </c>
    </row>
    <row r="9" spans="1:42" x14ac:dyDescent="0.35">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42" x14ac:dyDescent="0.35">
      <c r="A10" s="305" t="s">
        <v>503</v>
      </c>
      <c r="C10" s="306"/>
      <c r="D10" s="306"/>
      <c r="E10" s="308">
        <f>E8*Assumptions!E105</f>
        <v>273684819.32225466</v>
      </c>
      <c r="F10" s="308">
        <f ca="1">E10+(F7*Assumptions!F105)</f>
        <v>325791440.35108322</v>
      </c>
      <c r="G10" s="308">
        <f ca="1">F10+(G7*Assumptions!G105)</f>
        <v>374105247.8921392</v>
      </c>
      <c r="H10" s="308">
        <f ca="1">G10+(H7*Assumptions!H105)</f>
        <v>416637722.63304961</v>
      </c>
      <c r="I10" s="308">
        <f ca="1">H10+(I7*Assumptions!I105)</f>
        <v>444642388.26001668</v>
      </c>
      <c r="J10" s="308">
        <f ca="1">I10+(J7*Assumptions!J105)</f>
        <v>470824070.20283717</v>
      </c>
      <c r="K10" s="308">
        <f ca="1">J10+(K7*Assumptions!K105)</f>
        <v>491129831.36096466</v>
      </c>
      <c r="L10" s="308">
        <f ca="1">K10+(L7*Assumptions!L105)</f>
        <v>510061699.26758778</v>
      </c>
      <c r="M10" s="308">
        <f ca="1">L10+(M7*Assumptions!M105)</f>
        <v>529072003.8555792</v>
      </c>
      <c r="N10" s="308">
        <f ca="1">M10+(N7*Assumptions!N105)</f>
        <v>549048006.24253881</v>
      </c>
      <c r="O10" s="308">
        <f ca="1">N10+(O7*Assumptions!O105)</f>
        <v>570035260.22554278</v>
      </c>
      <c r="P10" s="308">
        <f ca="1">O10+(P7*Assumptions!P105)</f>
        <v>617670418.40457177</v>
      </c>
      <c r="Q10" s="308">
        <f ca="1">P10+(Q7*Assumptions!Q105)</f>
        <v>662621193.78780305</v>
      </c>
      <c r="R10" s="308">
        <f ca="1">Q10+(R7*Assumptions!R105)</f>
        <v>705009058.97365355</v>
      </c>
      <c r="S10" s="308">
        <f ca="1">R10+(S7*Assumptions!S105)</f>
        <v>745461086.96937466</v>
      </c>
      <c r="T10" s="308">
        <f ca="1">S10+(T7*Assumptions!T105)</f>
        <v>783602090.16546321</v>
      </c>
      <c r="U10" s="308">
        <f ca="1">T10+(U7*Assumptions!U105)</f>
        <v>820276586.58870173</v>
      </c>
      <c r="V10" s="308">
        <f ca="1">U10+(V7*Assumptions!V105)</f>
        <v>855213257.76574588</v>
      </c>
      <c r="W10" s="308">
        <f ca="1">V10+(W7*Assumptions!W105)</f>
        <v>890558178.92457259</v>
      </c>
      <c r="X10" s="308">
        <f ca="1">W10+(X7*Assumptions!X105)</f>
        <v>926228215.60332227</v>
      </c>
      <c r="Y10" s="308">
        <f ca="1">X10+(Y7*Assumptions!Y105)</f>
        <v>962130424.91250634</v>
      </c>
      <c r="Z10" s="308">
        <f ca="1">Y10+(Z7*Assumptions!Z105)</f>
        <v>1025828004.7566919</v>
      </c>
      <c r="AA10" s="308">
        <f ca="1">Z10+(AA7*Assumptions!AA105)</f>
        <v>1088686671.4017351</v>
      </c>
      <c r="AB10" s="308">
        <f ca="1">AA10+(AB7*Assumptions!AB105)</f>
        <v>1150236929.5873213</v>
      </c>
      <c r="AC10" s="308">
        <f ca="1">AB10+(AC7*Assumptions!AC105)</f>
        <v>1211808985.0492232</v>
      </c>
      <c r="AD10" s="308">
        <f ca="1">AC10+(AD7*Assumptions!AD105)</f>
        <v>1273113525.2179091</v>
      </c>
      <c r="AE10" s="308">
        <f ca="1">AD10+(AE7*Assumptions!AE105)</f>
        <v>1333828381.000396</v>
      </c>
      <c r="AF10" s="308">
        <f ca="1">AE10+(AF7*Assumptions!AF105)</f>
        <v>1395751531.4086752</v>
      </c>
      <c r="AG10" s="308">
        <f ca="1">AF10+(AG7*Assumptions!AG105)</f>
        <v>1458784052.6909285</v>
      </c>
      <c r="AH10" s="308">
        <f ca="1">AG10+(AH7*Assumptions!AH105)</f>
        <v>1525150559.3354669</v>
      </c>
      <c r="AI10" s="308">
        <f ca="1">AH10+(AI7*Assumptions!AI105)</f>
        <v>1594997429.2720671</v>
      </c>
      <c r="AJ10" s="308">
        <f ca="1">AI10+(AJ7*Assumptions!AJ105)</f>
        <v>1564702490.4232578</v>
      </c>
      <c r="AK10" s="308">
        <f ca="1">AJ10+(AK7*Assumptions!AK105)</f>
        <v>1531767874.1138718</v>
      </c>
      <c r="AL10" s="308">
        <f ca="1">AK10+(AL7*Assumptions!AL105)</f>
        <v>1496069710.4343932</v>
      </c>
      <c r="AM10" s="308">
        <f ca="1">AL10+(AM7*Assumptions!AM105)</f>
        <v>1457478930.4858339</v>
      </c>
      <c r="AN10" s="308">
        <f ca="1">AM10+(AN7*Assumptions!AN105)</f>
        <v>1415861047.5535328</v>
      </c>
      <c r="AO10" s="308">
        <f ca="1">AN10+(AO7*Assumptions!AO105)</f>
        <v>1371075928.651778</v>
      </c>
      <c r="AP10" s="308">
        <f ca="1">AO10+(AP7*Assumptions!AP105)</f>
        <v>1322977555.9933965</v>
      </c>
    </row>
    <row r="11" spans="1:42" x14ac:dyDescent="0.35">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row>
  </sheetData>
  <sheetProtection algorithmName="SHA-512" hashValue="SKPg/RY+7izBaLKk/HrVq+klkZ7fasxOig7XlfLM4uH8NG7Cfe8kCsro3a4Qnm7Ip2iBX4HTTdCMCG3uA8b2kg==" saltValue="zSXDwAOWKqm8QZ5LQ6r9F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CB41-75DC-4ADC-A143-A9673C94D50D}">
  <dimension ref="A1:AS73"/>
  <sheetViews>
    <sheetView zoomScaleNormal="100" workbookViewId="0">
      <selection sqref="A1:XFD1048576"/>
    </sheetView>
  </sheetViews>
  <sheetFormatPr defaultColWidth="10.83203125" defaultRowHeight="15.5" x14ac:dyDescent="0.35"/>
  <cols>
    <col min="1" max="1" width="72.83203125" bestFit="1" customWidth="1"/>
    <col min="2" max="2" width="17.08203125" bestFit="1" customWidth="1"/>
    <col min="3" max="3" width="16.75" hidden="1" customWidth="1"/>
    <col min="4"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row>
    <row r="4" spans="1:45" x14ac:dyDescent="0.35">
      <c r="A4" t="s">
        <v>464</v>
      </c>
      <c r="B4" t="s">
        <v>504</v>
      </c>
      <c r="C4" s="162"/>
      <c r="D4" s="162"/>
      <c r="E4" s="77">
        <f>Assumptions!E102</f>
        <v>498483700.03916693</v>
      </c>
      <c r="F4" s="77">
        <f>'Profit and Loss'!F4</f>
        <v>618551649.39652872</v>
      </c>
      <c r="G4" s="77">
        <f>'Profit and Loss'!G4</f>
        <v>639405468.76473081</v>
      </c>
      <c r="H4" s="77">
        <f>'Profit and Loss'!H4</f>
        <v>619071984.72048032</v>
      </c>
      <c r="I4" s="77">
        <f>'Profit and Loss'!I4</f>
        <v>599276386.80046892</v>
      </c>
      <c r="J4" s="77">
        <f>'Profit and Loss'!J4</f>
        <v>579983230.52976453</v>
      </c>
      <c r="K4" s="77">
        <f>'Profit and Loss'!K4</f>
        <v>454014141.37245238</v>
      </c>
      <c r="L4" s="77">
        <f>'Profit and Loss'!L4</f>
        <v>433920583.48519081</v>
      </c>
      <c r="M4" s="77">
        <f>'Profit and Loss'!M4</f>
        <v>429916460.41929173</v>
      </c>
      <c r="N4" s="77">
        <f>'Profit and Loss'!N4</f>
        <v>425667189.11701733</v>
      </c>
      <c r="O4" s="77">
        <f>'Profit and Loss'!O4</f>
        <v>421158856.71957064</v>
      </c>
      <c r="P4" s="77">
        <f>'Profit and Loss'!P4</f>
        <v>416376835.92985737</v>
      </c>
      <c r="Q4" s="77">
        <f>'Profit and Loss'!Q4</f>
        <v>411305750.30846953</v>
      </c>
      <c r="R4" s="77">
        <f>'Profit and Loss'!R4</f>
        <v>409594300.49837291</v>
      </c>
      <c r="S4" s="77">
        <f>'Profit and Loss'!S4</f>
        <v>407582262.89882457</v>
      </c>
      <c r="T4" s="77">
        <f>'Profit and Loss'!T4</f>
        <v>405251945.2402128</v>
      </c>
      <c r="U4" s="77">
        <f>'Profit and Loss'!U4</f>
        <v>402584751.36306733</v>
      </c>
      <c r="V4" s="77">
        <f>'Profit and Loss'!V4</f>
        <v>399561137.61175483</v>
      </c>
      <c r="W4" s="77">
        <f>'Profit and Loss'!W4</f>
        <v>412150823.26976395</v>
      </c>
      <c r="X4" s="77">
        <f>'Profit and Loss'!X4</f>
        <v>425115185.75368249</v>
      </c>
      <c r="Y4" s="77">
        <f>'Profit and Loss'!Y4</f>
        <v>438464304.1102488</v>
      </c>
      <c r="Z4" s="77">
        <f>'Profit and Loss'!Z4</f>
        <v>452208473.28191507</v>
      </c>
      <c r="AA4" s="77">
        <f>'Profit and Loss'!AA4</f>
        <v>466358205.58130729</v>
      </c>
      <c r="AB4" s="77">
        <f>'Profit and Loss'!AB4</f>
        <v>480924231.95014751</v>
      </c>
      <c r="AC4" s="77">
        <f>'Profit and Loss'!AC4</f>
        <v>495917502.98347139</v>
      </c>
      <c r="AD4" s="77">
        <f>'Profit and Loss'!AD4</f>
        <v>511349189.69879544</v>
      </c>
      <c r="AE4" s="77">
        <f>'Profit and Loss'!AE4</f>
        <v>527230684.0286516</v>
      </c>
      <c r="AF4" s="77">
        <f>'Profit and Loss'!AF4</f>
        <v>543573599.01361394</v>
      </c>
      <c r="AG4" s="77">
        <f>'Profit and Loss'!AG4</f>
        <v>560389768.67156017</v>
      </c>
      <c r="AH4" s="77">
        <f>'Profit and Loss'!AH4</f>
        <v>577691247.51747751</v>
      </c>
      <c r="AI4" s="77">
        <f>'Profit and Loss'!AI4</f>
        <v>595490309.70659351</v>
      </c>
      <c r="AJ4" s="77">
        <f>'Profit and Loss'!AJ4</f>
        <v>613799447.77202535</v>
      </c>
      <c r="AK4" s="77">
        <f>'Profit and Loss'!AK4</f>
        <v>632631370.92644894</v>
      </c>
      <c r="AL4" s="77">
        <f>'Profit and Loss'!AL4</f>
        <v>651999002.89552104</v>
      </c>
      <c r="AM4" s="77">
        <f>'Profit and Loss'!AM4</f>
        <v>671915479.24893105</v>
      </c>
      <c r="AN4" s="77">
        <f>'Profit and Loss'!AN4</f>
        <v>692394144.19299126</v>
      </c>
      <c r="AO4" s="77">
        <f>'Profit and Loss'!AO4</f>
        <v>713448546.78662348</v>
      </c>
      <c r="AP4" s="77">
        <f>'Profit and Loss'!AP4</f>
        <v>735092436.54042006</v>
      </c>
    </row>
    <row r="5" spans="1:45" x14ac:dyDescent="0.35">
      <c r="A5" t="s">
        <v>505</v>
      </c>
      <c r="B5" t="s">
        <v>504</v>
      </c>
      <c r="C5" s="162"/>
      <c r="D5" s="162"/>
      <c r="E5" s="77"/>
      <c r="F5" s="77">
        <f>'Cash Flow'!F8</f>
        <v>1335805461.28334</v>
      </c>
      <c r="G5" s="77">
        <f>'Cash Flow'!G8</f>
        <v>1385388343.2189577</v>
      </c>
      <c r="H5" s="77">
        <f>'Cash Flow'!H8</f>
        <v>1390213971.5643902</v>
      </c>
      <c r="I5" s="77">
        <f>'Cash Flow'!I8</f>
        <v>1396108904.8991055</v>
      </c>
      <c r="J5" s="77">
        <f>'Cash Flow'!J8</f>
        <v>1403052984.1338742</v>
      </c>
      <c r="K5" s="77">
        <f>'Cash Flow'!K8</f>
        <v>1411026959.6640468</v>
      </c>
      <c r="L5" s="77">
        <f>'Cash Flow'!L8</f>
        <v>1420012448.1973007</v>
      </c>
      <c r="M5" s="77">
        <f>'Cash Flow'!M8</f>
        <v>1447437058.3040454</v>
      </c>
      <c r="N5" s="77">
        <f>'Cash Flow'!N8</f>
        <v>1475388375.7227831</v>
      </c>
      <c r="O5" s="77">
        <f>'Cash Flow'!O8</f>
        <v>1503874064.8139777</v>
      </c>
      <c r="P5" s="77">
        <f>'Cash Flow'!P8</f>
        <v>2247117523.3885832</v>
      </c>
      <c r="Q5" s="77">
        <f>'Cash Flow'!Q8</f>
        <v>2280119082.6876421</v>
      </c>
      <c r="R5" s="77">
        <f>'Cash Flow'!R8</f>
        <v>2323504351.3869591</v>
      </c>
      <c r="S5" s="77">
        <f>'Cash Flow'!S8</f>
        <v>2367362344.6341381</v>
      </c>
      <c r="T5" s="77">
        <f>'Cash Flow'!T8</f>
        <v>2411686564.4655104</v>
      </c>
      <c r="U5" s="77">
        <f>'Cash Flow'!U8</f>
        <v>2456469720.3301935</v>
      </c>
      <c r="V5" s="77">
        <f>'Cash Flow'!V8</f>
        <v>2501703689.5169125</v>
      </c>
      <c r="W5" s="77">
        <f>'Cash Flow'!W8</f>
        <v>2585684007.8708572</v>
      </c>
      <c r="X5" s="77">
        <f>'Cash Flow'!X8</f>
        <v>2672091190.7997355</v>
      </c>
      <c r="Y5" s="77">
        <f>'Cash Flow'!Y8</f>
        <v>2760989144.8430748</v>
      </c>
      <c r="Z5" s="77">
        <f>'Cash Flow'!Z8</f>
        <v>3570620709.3046231</v>
      </c>
      <c r="AA5" s="77">
        <f>'Cash Flow'!AA8</f>
        <v>3695489533.4697475</v>
      </c>
      <c r="AB5" s="77">
        <f>'Cash Flow'!AB8</f>
        <v>3824002901.1309872</v>
      </c>
      <c r="AC5" s="77">
        <f>'Cash Flow'!AC8</f>
        <v>3956256267.0671597</v>
      </c>
      <c r="AD5" s="77">
        <f>'Cash Flow'!AD8</f>
        <v>4092347369.7941666</v>
      </c>
      <c r="AE5" s="77">
        <f>'Cash Flow'!AE8</f>
        <v>4232376280.8865681</v>
      </c>
      <c r="AF5" s="77">
        <f>'Cash Flow'!AF8</f>
        <v>4376445455.2069607</v>
      </c>
      <c r="AG5" s="77">
        <f>'Cash Flow'!AG8</f>
        <v>4524659782.0543785</v>
      </c>
      <c r="AH5" s="77">
        <f>'Cash Flow'!AH8</f>
        <v>4677126637.2428093</v>
      </c>
      <c r="AI5" s="77">
        <f>'Cash Flow'!AI8</f>
        <v>4833955936.120822</v>
      </c>
      <c r="AJ5" s="77">
        <f>'Cash Flow'!AJ8</f>
        <v>2648195164.5439463</v>
      </c>
      <c r="AK5" s="77">
        <f>'Cash Flow'!AK8</f>
        <v>2716594073.3513689</v>
      </c>
      <c r="AL5" s="77">
        <f>'Cash Flow'!AL8</f>
        <v>2786759623.3749247</v>
      </c>
      <c r="AM5" s="77">
        <f>'Cash Flow'!AM8</f>
        <v>2858737444.3072643</v>
      </c>
      <c r="AN5" s="77">
        <f>'Cash Flow'!AN8</f>
        <v>2932574344.3875546</v>
      </c>
      <c r="AO5" s="77">
        <f>'Cash Flow'!AO8</f>
        <v>3008318340.8415685</v>
      </c>
      <c r="AP5" s="77">
        <f>'Cash Flow'!AP8</f>
        <v>3086018691.107995</v>
      </c>
    </row>
    <row r="6" spans="1:45" x14ac:dyDescent="0.35">
      <c r="A6" t="s">
        <v>485</v>
      </c>
      <c r="B6" t="s">
        <v>504</v>
      </c>
      <c r="C6" s="162"/>
      <c r="D6" s="162"/>
      <c r="E6" s="77"/>
      <c r="F6" s="77">
        <f>'Cash Flow'!F7</f>
        <v>17818569.949049916</v>
      </c>
      <c r="G6" s="77">
        <f>'Cash Flow'!G7</f>
        <v>17818569.949049916</v>
      </c>
      <c r="H6" s="77">
        <f>'Cash Flow'!H7</f>
        <v>17818569.949049916</v>
      </c>
      <c r="I6" s="77">
        <f>'Cash Flow'!I7</f>
        <v>17818569.949049916</v>
      </c>
      <c r="J6" s="77">
        <f>'Cash Flow'!J7</f>
        <v>17818569.949049916</v>
      </c>
      <c r="K6" s="77">
        <f>'Cash Flow'!K7</f>
        <v>17818569.949049916</v>
      </c>
      <c r="L6" s="77">
        <f>'Cash Flow'!L7</f>
        <v>17818569.949049916</v>
      </c>
      <c r="M6" s="77">
        <f>'Cash Flow'!M7</f>
        <v>17818569.949049916</v>
      </c>
      <c r="N6" s="77">
        <f>'Cash Flow'!N7</f>
        <v>17818569.949049916</v>
      </c>
      <c r="O6" s="77">
        <f>'Cash Flow'!O7</f>
        <v>17818569.949049916</v>
      </c>
      <c r="P6" s="77">
        <f>'Cash Flow'!P7</f>
        <v>17818569.949049916</v>
      </c>
      <c r="Q6" s="77">
        <f>'Cash Flow'!Q7</f>
        <v>17818569.949049916</v>
      </c>
      <c r="R6" s="77">
        <f>'Cash Flow'!R7</f>
        <v>17818569.949049916</v>
      </c>
      <c r="S6" s="77">
        <f>'Cash Flow'!S7</f>
        <v>17818569.949049916</v>
      </c>
      <c r="T6" s="77">
        <f>'Cash Flow'!T7</f>
        <v>17818569.949049916</v>
      </c>
      <c r="U6" s="77">
        <f>'Cash Flow'!U7</f>
        <v>17818569.949049916</v>
      </c>
      <c r="V6" s="77">
        <f>'Cash Flow'!V7</f>
        <v>17818569.949049916</v>
      </c>
      <c r="W6" s="77">
        <f>'Cash Flow'!W7</f>
        <v>17818569.949049916</v>
      </c>
      <c r="X6" s="77">
        <f>'Cash Flow'!X7</f>
        <v>17818569.949049916</v>
      </c>
      <c r="Y6" s="77">
        <f>'Cash Flow'!Y7</f>
        <v>17818569.949049916</v>
      </c>
      <c r="Z6" s="77">
        <f>'Cash Flow'!Z7</f>
        <v>17818569.949049916</v>
      </c>
      <c r="AA6" s="77">
        <f>'Cash Flow'!AA7</f>
        <v>17818569.949049916</v>
      </c>
      <c r="AB6" s="77">
        <f>'Cash Flow'!AB7</f>
        <v>17818569.949049916</v>
      </c>
      <c r="AC6" s="77">
        <f>'Cash Flow'!AC7</f>
        <v>17818569.949049916</v>
      </c>
      <c r="AD6" s="77">
        <f>'Cash Flow'!AD7</f>
        <v>17818569.949049916</v>
      </c>
      <c r="AE6" s="77">
        <f>'Cash Flow'!AE7</f>
        <v>17818569.949049916</v>
      </c>
      <c r="AF6" s="77">
        <f>'Cash Flow'!AF7</f>
        <v>17818569.949049916</v>
      </c>
      <c r="AG6" s="77">
        <f>'Cash Flow'!AG7</f>
        <v>17818569.949049916</v>
      </c>
      <c r="AH6" s="77">
        <f>'Cash Flow'!AH7</f>
        <v>17818569.949049916</v>
      </c>
      <c r="AI6" s="77">
        <f>'Cash Flow'!AI7</f>
        <v>17818569.949049916</v>
      </c>
      <c r="AJ6" s="77">
        <f>'Cash Flow'!AJ7</f>
        <v>0</v>
      </c>
      <c r="AK6" s="77">
        <f>'Cash Flow'!AK7</f>
        <v>0</v>
      </c>
      <c r="AL6" s="77">
        <f>'Cash Flow'!AL7</f>
        <v>0</v>
      </c>
      <c r="AM6" s="77">
        <f>'Cash Flow'!AM7</f>
        <v>0</v>
      </c>
      <c r="AN6" s="77">
        <f>'Cash Flow'!AN7</f>
        <v>0</v>
      </c>
      <c r="AO6" s="77">
        <f>'Cash Flow'!AO7</f>
        <v>0</v>
      </c>
      <c r="AP6" s="77">
        <f>'Cash Flow'!AP7</f>
        <v>0</v>
      </c>
    </row>
    <row r="7" spans="1:45" x14ac:dyDescent="0.35">
      <c r="A7" t="s">
        <v>466</v>
      </c>
      <c r="B7" t="s">
        <v>504</v>
      </c>
      <c r="C7" s="162"/>
      <c r="D7" s="162"/>
      <c r="E7" s="77">
        <f>'Debt worksheet'!E10</f>
        <v>273684819.32225466</v>
      </c>
      <c r="F7" s="77">
        <f ca="1">'Debt worksheet'!F10</f>
        <v>325791440.35108322</v>
      </c>
      <c r="G7" s="77">
        <f ca="1">'Debt worksheet'!G10</f>
        <v>374105247.8921392</v>
      </c>
      <c r="H7" s="77">
        <f ca="1">'Debt worksheet'!H10</f>
        <v>416637722.63304961</v>
      </c>
      <c r="I7" s="77">
        <f ca="1">'Debt worksheet'!I10</f>
        <v>444642388.26001668</v>
      </c>
      <c r="J7" s="77">
        <f ca="1">'Debt worksheet'!J10</f>
        <v>470824070.20283717</v>
      </c>
      <c r="K7" s="77">
        <f ca="1">'Debt worksheet'!K10</f>
        <v>491129831.36096466</v>
      </c>
      <c r="L7" s="77">
        <f ca="1">'Debt worksheet'!L10</f>
        <v>510061699.26758778</v>
      </c>
      <c r="M7" s="77">
        <f ca="1">'Debt worksheet'!M10</f>
        <v>529072003.8555792</v>
      </c>
      <c r="N7" s="77">
        <f ca="1">'Debt worksheet'!N10</f>
        <v>549048006.24253881</v>
      </c>
      <c r="O7" s="77">
        <f ca="1">'Debt worksheet'!O10</f>
        <v>570035260.22554278</v>
      </c>
      <c r="P7" s="77">
        <f ca="1">'Debt worksheet'!P10</f>
        <v>617670418.40457177</v>
      </c>
      <c r="Q7" s="77">
        <f ca="1">'Debt worksheet'!Q10</f>
        <v>662621193.78780305</v>
      </c>
      <c r="R7" s="77">
        <f ca="1">'Debt worksheet'!R10</f>
        <v>705009058.97365355</v>
      </c>
      <c r="S7" s="77">
        <f ca="1">'Debt worksheet'!S10</f>
        <v>745461086.96937466</v>
      </c>
      <c r="T7" s="77">
        <f ca="1">'Debt worksheet'!T10</f>
        <v>783602090.16546321</v>
      </c>
      <c r="U7" s="77">
        <f ca="1">'Debt worksheet'!U10</f>
        <v>820276586.58870173</v>
      </c>
      <c r="V7" s="77">
        <f ca="1">'Debt worksheet'!V10</f>
        <v>855213257.76574588</v>
      </c>
      <c r="W7" s="77">
        <f ca="1">'Debt worksheet'!W10</f>
        <v>890558178.92457259</v>
      </c>
      <c r="X7" s="77">
        <f ca="1">'Debt worksheet'!X10</f>
        <v>926228215.60332227</v>
      </c>
      <c r="Y7" s="77">
        <f ca="1">'Debt worksheet'!Y10</f>
        <v>962130424.91250634</v>
      </c>
      <c r="Z7" s="77">
        <f ca="1">'Debt worksheet'!Z10</f>
        <v>1025828004.7566919</v>
      </c>
      <c r="AA7" s="77">
        <f ca="1">'Debt worksheet'!AA10</f>
        <v>1088686671.4017351</v>
      </c>
      <c r="AB7" s="77">
        <f ca="1">'Debt worksheet'!AB10</f>
        <v>1150236929.5873213</v>
      </c>
      <c r="AC7" s="77">
        <f ca="1">'Debt worksheet'!AC10</f>
        <v>1211808985.0492232</v>
      </c>
      <c r="AD7" s="77">
        <f ca="1">'Debt worksheet'!AD10</f>
        <v>1273113525.2179091</v>
      </c>
      <c r="AE7" s="77">
        <f ca="1">'Debt worksheet'!AE10</f>
        <v>1333828381.000396</v>
      </c>
      <c r="AF7" s="77">
        <f ca="1">'Debt worksheet'!AF10</f>
        <v>1395751531.4086752</v>
      </c>
      <c r="AG7" s="77">
        <f ca="1">'Debt worksheet'!AG10</f>
        <v>1458784052.6909285</v>
      </c>
      <c r="AH7" s="77">
        <f ca="1">'Debt worksheet'!AH10</f>
        <v>1525150559.3354669</v>
      </c>
      <c r="AI7" s="77">
        <f ca="1">'Debt worksheet'!AI10</f>
        <v>1594997429.2720671</v>
      </c>
      <c r="AJ7" s="77">
        <f ca="1">'Debt worksheet'!AJ10</f>
        <v>1564702490.4232578</v>
      </c>
      <c r="AK7" s="77">
        <f ca="1">'Debt worksheet'!AK10</f>
        <v>1531767874.1138718</v>
      </c>
      <c r="AL7" s="77">
        <f ca="1">'Debt worksheet'!AL10</f>
        <v>1496069710.4343932</v>
      </c>
      <c r="AM7" s="77">
        <f ca="1">'Debt worksheet'!AM10</f>
        <v>1457478930.4858339</v>
      </c>
      <c r="AN7" s="77">
        <f ca="1">'Debt worksheet'!AN10</f>
        <v>1415861047.5535328</v>
      </c>
      <c r="AO7" s="77">
        <f ca="1">'Debt worksheet'!AO10</f>
        <v>1371075928.651778</v>
      </c>
      <c r="AP7" s="77">
        <f ca="1">'Debt worksheet'!AP10</f>
        <v>1322977555.9933965</v>
      </c>
    </row>
    <row r="8" spans="1:45" x14ac:dyDescent="0.35">
      <c r="C8" s="2"/>
      <c r="D8" s="2"/>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5" x14ac:dyDescent="0.35">
      <c r="A9" t="s">
        <v>506</v>
      </c>
      <c r="B9" t="s">
        <v>504</v>
      </c>
      <c r="C9" s="162"/>
      <c r="D9" s="162"/>
      <c r="E9" s="77">
        <f>SUM(E4:E6)</f>
        <v>498483700.03916693</v>
      </c>
      <c r="F9" s="77">
        <f t="shared" ref="F9:AP9" si="1">SUM(F4:F6)</f>
        <v>1972175680.6289186</v>
      </c>
      <c r="G9" s="77">
        <f t="shared" si="1"/>
        <v>2042612381.9327383</v>
      </c>
      <c r="H9" s="77">
        <f t="shared" si="1"/>
        <v>2027104526.2339206</v>
      </c>
      <c r="I9" s="77">
        <f t="shared" si="1"/>
        <v>2013203861.6486244</v>
      </c>
      <c r="J9" s="77">
        <f t="shared" si="1"/>
        <v>2000854784.6126885</v>
      </c>
      <c r="K9" s="77">
        <f t="shared" si="1"/>
        <v>1882859670.985549</v>
      </c>
      <c r="L9" s="77">
        <f t="shared" si="1"/>
        <v>1871751601.6315415</v>
      </c>
      <c r="M9" s="77">
        <f t="shared" si="1"/>
        <v>1895172088.6723871</v>
      </c>
      <c r="N9" s="77">
        <f t="shared" si="1"/>
        <v>1918874134.7888503</v>
      </c>
      <c r="O9" s="77">
        <f t="shared" si="1"/>
        <v>1942851491.4825983</v>
      </c>
      <c r="P9" s="77">
        <f t="shared" si="1"/>
        <v>2681312929.2674904</v>
      </c>
      <c r="Q9" s="77">
        <f t="shared" si="1"/>
        <v>2709243402.9451618</v>
      </c>
      <c r="R9" s="77">
        <f t="shared" si="1"/>
        <v>2750917221.8343821</v>
      </c>
      <c r="S9" s="77">
        <f t="shared" si="1"/>
        <v>2792763177.4820127</v>
      </c>
      <c r="T9" s="77">
        <f t="shared" si="1"/>
        <v>2834757079.6547732</v>
      </c>
      <c r="U9" s="77">
        <f t="shared" si="1"/>
        <v>2876873041.6423106</v>
      </c>
      <c r="V9" s="77">
        <f t="shared" si="1"/>
        <v>2919083397.0777173</v>
      </c>
      <c r="W9" s="77">
        <f t="shared" si="1"/>
        <v>3015653401.0896711</v>
      </c>
      <c r="X9" s="77">
        <f t="shared" si="1"/>
        <v>3115024946.5024681</v>
      </c>
      <c r="Y9" s="77">
        <f t="shared" si="1"/>
        <v>3217272018.9023733</v>
      </c>
      <c r="Z9" s="77">
        <f t="shared" si="1"/>
        <v>4040647752.5355883</v>
      </c>
      <c r="AA9" s="77">
        <f t="shared" si="1"/>
        <v>4179666309.0001049</v>
      </c>
      <c r="AB9" s="77">
        <f t="shared" si="1"/>
        <v>4322745703.0301847</v>
      </c>
      <c r="AC9" s="77">
        <f t="shared" si="1"/>
        <v>4469992339.9996805</v>
      </c>
      <c r="AD9" s="77">
        <f t="shared" si="1"/>
        <v>4621515129.4420118</v>
      </c>
      <c r="AE9" s="77">
        <f t="shared" si="1"/>
        <v>4777425534.8642693</v>
      </c>
      <c r="AF9" s="77">
        <f t="shared" si="1"/>
        <v>4937837624.1696243</v>
      </c>
      <c r="AG9" s="77">
        <f t="shared" si="1"/>
        <v>5102868120.6749887</v>
      </c>
      <c r="AH9" s="77">
        <f t="shared" si="1"/>
        <v>5272636454.7093363</v>
      </c>
      <c r="AI9" s="77">
        <f t="shared" si="1"/>
        <v>5447264815.7764654</v>
      </c>
      <c r="AJ9" s="77">
        <f t="shared" si="1"/>
        <v>3261994612.3159714</v>
      </c>
      <c r="AK9" s="77">
        <f t="shared" si="1"/>
        <v>3349225444.2778177</v>
      </c>
      <c r="AL9" s="77">
        <f t="shared" si="1"/>
        <v>3438758626.2704458</v>
      </c>
      <c r="AM9" s="77">
        <f t="shared" si="1"/>
        <v>3530652923.5561953</v>
      </c>
      <c r="AN9" s="77">
        <f t="shared" si="1"/>
        <v>3624968488.5805459</v>
      </c>
      <c r="AO9" s="77">
        <f t="shared" si="1"/>
        <v>3721766887.6281919</v>
      </c>
      <c r="AP9" s="77">
        <f t="shared" si="1"/>
        <v>3821111127.6484151</v>
      </c>
    </row>
    <row r="10" spans="1:45" x14ac:dyDescent="0.35">
      <c r="A10" t="s">
        <v>507</v>
      </c>
      <c r="B10" t="s">
        <v>504</v>
      </c>
      <c r="C10" s="162"/>
      <c r="D10" s="162"/>
      <c r="E10" s="77">
        <f t="shared" ref="E10:AP10" si="2">SUM(E4:E7)</f>
        <v>772168519.36142159</v>
      </c>
      <c r="F10" s="77">
        <f t="shared" ca="1" si="2"/>
        <v>2297967120.9800019</v>
      </c>
      <c r="G10" s="77">
        <f t="shared" ca="1" si="2"/>
        <v>2416717629.8248777</v>
      </c>
      <c r="H10" s="77">
        <f t="shared" ca="1" si="2"/>
        <v>2443742248.8669701</v>
      </c>
      <c r="I10" s="77">
        <f t="shared" ca="1" si="2"/>
        <v>2457846249.9086409</v>
      </c>
      <c r="J10" s="77">
        <f t="shared" ca="1" si="2"/>
        <v>2471678854.8155255</v>
      </c>
      <c r="K10" s="77">
        <f t="shared" ca="1" si="2"/>
        <v>2373989502.3465137</v>
      </c>
      <c r="L10" s="77">
        <f t="shared" ca="1" si="2"/>
        <v>2381813300.8991294</v>
      </c>
      <c r="M10" s="77">
        <f t="shared" ca="1" si="2"/>
        <v>2424244092.5279665</v>
      </c>
      <c r="N10" s="77">
        <f t="shared" ca="1" si="2"/>
        <v>2467922141.0313892</v>
      </c>
      <c r="O10" s="77">
        <f t="shared" ca="1" si="2"/>
        <v>2512886751.7081413</v>
      </c>
      <c r="P10" s="77">
        <f t="shared" ca="1" si="2"/>
        <v>3298983347.6720619</v>
      </c>
      <c r="Q10" s="77">
        <f t="shared" ca="1" si="2"/>
        <v>3371864596.732965</v>
      </c>
      <c r="R10" s="77">
        <f t="shared" ca="1" si="2"/>
        <v>3455926280.8080359</v>
      </c>
      <c r="S10" s="77">
        <f t="shared" ca="1" si="2"/>
        <v>3538224264.4513874</v>
      </c>
      <c r="T10" s="77">
        <f t="shared" ca="1" si="2"/>
        <v>3618359169.8202362</v>
      </c>
      <c r="U10" s="77">
        <f t="shared" ca="1" si="2"/>
        <v>3697149628.2310123</v>
      </c>
      <c r="V10" s="77">
        <f t="shared" ca="1" si="2"/>
        <v>3774296654.8434629</v>
      </c>
      <c r="W10" s="77">
        <f t="shared" ca="1" si="2"/>
        <v>3906211580.0142436</v>
      </c>
      <c r="X10" s="77">
        <f t="shared" ca="1" si="2"/>
        <v>4041253162.1057901</v>
      </c>
      <c r="Y10" s="77">
        <f t="shared" ca="1" si="2"/>
        <v>4179402443.8148794</v>
      </c>
      <c r="Z10" s="77">
        <f t="shared" ca="1" si="2"/>
        <v>5066475757.2922802</v>
      </c>
      <c r="AA10" s="77">
        <f t="shared" ca="1" si="2"/>
        <v>5268352980.4018402</v>
      </c>
      <c r="AB10" s="77">
        <f t="shared" ca="1" si="2"/>
        <v>5472982632.617506</v>
      </c>
      <c r="AC10" s="77">
        <f t="shared" ca="1" si="2"/>
        <v>5681801325.0489035</v>
      </c>
      <c r="AD10" s="77">
        <f t="shared" ca="1" si="2"/>
        <v>5894628654.6599207</v>
      </c>
      <c r="AE10" s="77">
        <f t="shared" ca="1" si="2"/>
        <v>6111253915.864665</v>
      </c>
      <c r="AF10" s="77">
        <f t="shared" ca="1" si="2"/>
        <v>6333589155.5782995</v>
      </c>
      <c r="AG10" s="77">
        <f t="shared" ca="1" si="2"/>
        <v>6561652173.3659172</v>
      </c>
      <c r="AH10" s="77">
        <f t="shared" ca="1" si="2"/>
        <v>6797787014.0448036</v>
      </c>
      <c r="AI10" s="77">
        <f t="shared" ca="1" si="2"/>
        <v>7042262245.0485325</v>
      </c>
      <c r="AJ10" s="77">
        <f t="shared" ca="1" si="2"/>
        <v>4826697102.7392292</v>
      </c>
      <c r="AK10" s="77">
        <f t="shared" ca="1" si="2"/>
        <v>4880993318.3916893</v>
      </c>
      <c r="AL10" s="77">
        <f t="shared" ca="1" si="2"/>
        <v>4934828336.7048388</v>
      </c>
      <c r="AM10" s="77">
        <f t="shared" ca="1" si="2"/>
        <v>4988131854.0420294</v>
      </c>
      <c r="AN10" s="77">
        <f t="shared" ca="1" si="2"/>
        <v>5040829536.134079</v>
      </c>
      <c r="AO10" s="77">
        <f t="shared" ca="1" si="2"/>
        <v>5092842816.2799702</v>
      </c>
      <c r="AP10" s="77">
        <f t="shared" ca="1" si="2"/>
        <v>5144088683.6418114</v>
      </c>
    </row>
    <row r="11" spans="1:45" x14ac:dyDescent="0.35">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5" x14ac:dyDescent="0.35">
      <c r="A12" s="220" t="str">
        <f>Assumptions!A22</f>
        <v>Inflation index (2022 to outturn prices)</v>
      </c>
      <c r="C12" s="220">
        <f>Assumptions!C22</f>
        <v>1</v>
      </c>
      <c r="D12" s="220">
        <f>Assumptions!D22</f>
        <v>1.0640000000000001</v>
      </c>
      <c r="E12" s="220">
        <f>Assumptions!E22</f>
        <v>1.10124</v>
      </c>
      <c r="F12" s="220">
        <f>Assumptions!F22</f>
        <v>1.128771</v>
      </c>
      <c r="G12" s="220">
        <f>Assumptions!G22</f>
        <v>1.1513464200000001</v>
      </c>
      <c r="H12" s="220">
        <f>Assumptions!H22</f>
        <v>1.1743733484000001</v>
      </c>
      <c r="I12" s="220">
        <f>Assumptions!I22</f>
        <v>1.1978608153680002</v>
      </c>
      <c r="J12" s="220">
        <f>Assumptions!J22</f>
        <v>1.2218180316753602</v>
      </c>
      <c r="K12" s="220">
        <f>Assumptions!K22</f>
        <v>1.2462543923088674</v>
      </c>
      <c r="L12" s="220">
        <f>Assumptions!L22</f>
        <v>1.2711794801550447</v>
      </c>
      <c r="M12" s="220">
        <f>Assumptions!M22</f>
        <v>1.2966030697581457</v>
      </c>
      <c r="N12" s="220">
        <f>Assumptions!N22</f>
        <v>1.3225351311533087</v>
      </c>
      <c r="O12" s="220">
        <f>Assumptions!O22</f>
        <v>1.3489858337763749</v>
      </c>
      <c r="P12" s="220">
        <f>Assumptions!P22</f>
        <v>1.3759655504519024</v>
      </c>
      <c r="Q12" s="220">
        <f>Assumptions!Q22</f>
        <v>1.4034848614609405</v>
      </c>
      <c r="R12" s="220">
        <f>Assumptions!R22</f>
        <v>1.4315545586901595</v>
      </c>
      <c r="S12" s="220">
        <f>Assumptions!S22</f>
        <v>1.4601856498639627</v>
      </c>
      <c r="T12" s="220">
        <f>Assumptions!T22</f>
        <v>1.489389362861242</v>
      </c>
      <c r="U12" s="220">
        <f>Assumptions!U22</f>
        <v>1.519177150118467</v>
      </c>
      <c r="V12" s="220">
        <f>Assumptions!V22</f>
        <v>1.5495606931208363</v>
      </c>
      <c r="W12" s="220">
        <f>Assumptions!W22</f>
        <v>1.580551906983253</v>
      </c>
      <c r="X12" s="220">
        <f>Assumptions!X22</f>
        <v>1.612162945122918</v>
      </c>
      <c r="Y12" s="220">
        <f>Assumptions!Y22</f>
        <v>1.6444062040253764</v>
      </c>
      <c r="Z12" s="220">
        <f>Assumptions!Z22</f>
        <v>1.6772943281058839</v>
      </c>
      <c r="AA12" s="220">
        <f>Assumptions!AA22</f>
        <v>1.7108402146680015</v>
      </c>
      <c r="AB12" s="220">
        <f>Assumptions!AB22</f>
        <v>1.7450570189613617</v>
      </c>
      <c r="AC12" s="220">
        <f>Assumptions!AC22</f>
        <v>1.7799581593405889</v>
      </c>
      <c r="AD12" s="220">
        <f>Assumptions!AD22</f>
        <v>1.8155573225274007</v>
      </c>
      <c r="AE12" s="220">
        <f>Assumptions!AE22</f>
        <v>1.8518684689779488</v>
      </c>
      <c r="AF12" s="220">
        <f>Assumptions!AF22</f>
        <v>1.8889058383575077</v>
      </c>
      <c r="AG12" s="220">
        <f>Assumptions!AG22</f>
        <v>1.926683955124658</v>
      </c>
      <c r="AH12" s="220">
        <f>Assumptions!AH22</f>
        <v>1.9652176342271512</v>
      </c>
      <c r="AI12" s="220">
        <f>Assumptions!AI22</f>
        <v>2.0045219869116941</v>
      </c>
      <c r="AJ12" s="220">
        <f>Assumptions!AJ22</f>
        <v>2.0446124266499281</v>
      </c>
      <c r="AK12" s="220">
        <f>Assumptions!AK22</f>
        <v>2.0855046751829267</v>
      </c>
      <c r="AL12" s="220">
        <f>Assumptions!AL22</f>
        <v>2.1272147686865854</v>
      </c>
      <c r="AM12" s="220">
        <f>Assumptions!AM22</f>
        <v>2.169759064060317</v>
      </c>
      <c r="AN12" s="220">
        <f>Assumptions!AN22</f>
        <v>2.2131542453415234</v>
      </c>
      <c r="AO12" s="220">
        <f>Assumptions!AO22</f>
        <v>2.2574173302483538</v>
      </c>
      <c r="AP12" s="220">
        <f>Assumptions!AP22</f>
        <v>2.3025656768533209</v>
      </c>
    </row>
    <row r="13" spans="1:45" x14ac:dyDescent="0.35">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5" x14ac:dyDescent="0.35">
      <c r="A14" t="s">
        <v>506</v>
      </c>
      <c r="B14" t="s">
        <v>508</v>
      </c>
      <c r="C14" s="162"/>
      <c r="D14" s="162"/>
      <c r="E14" s="77">
        <f>E9/E$12</f>
        <v>452656732.44630319</v>
      </c>
      <c r="F14" s="77">
        <f t="shared" ref="F14:AP14" si="3">F9/F$12</f>
        <v>1747188473.6841385</v>
      </c>
      <c r="G14" s="77">
        <f t="shared" si="3"/>
        <v>1774107554.8163326</v>
      </c>
      <c r="H14" s="77">
        <f t="shared" si="3"/>
        <v>1726115914.4966173</v>
      </c>
      <c r="I14" s="77">
        <f t="shared" si="3"/>
        <v>1680665930.3152337</v>
      </c>
      <c r="J14" s="77">
        <f t="shared" si="3"/>
        <v>1637604563.6428454</v>
      </c>
      <c r="K14" s="77">
        <f t="shared" si="3"/>
        <v>1510814872.6338913</v>
      </c>
      <c r="L14" s="77">
        <f t="shared" si="3"/>
        <v>1472452655.8619759</v>
      </c>
      <c r="M14" s="77">
        <f t="shared" si="3"/>
        <v>1461643993.3509429</v>
      </c>
      <c r="N14" s="77">
        <f t="shared" si="3"/>
        <v>1450905983.2047772</v>
      </c>
      <c r="O14" s="77">
        <f t="shared" si="3"/>
        <v>1440231203.9435916</v>
      </c>
      <c r="P14" s="77">
        <f t="shared" si="3"/>
        <v>1948677369.4202435</v>
      </c>
      <c r="Q14" s="77">
        <f t="shared" si="3"/>
        <v>1930368810.7650893</v>
      </c>
      <c r="R14" s="77">
        <f t="shared" si="3"/>
        <v>1921629326.0603426</v>
      </c>
      <c r="S14" s="77">
        <f t="shared" si="3"/>
        <v>1912608289.0502305</v>
      </c>
      <c r="T14" s="77">
        <f t="shared" si="3"/>
        <v>1903301547.8296199</v>
      </c>
      <c r="U14" s="77">
        <f t="shared" si="3"/>
        <v>1893704787.1066051</v>
      </c>
      <c r="V14" s="77">
        <f t="shared" si="3"/>
        <v>1883813528.5934775</v>
      </c>
      <c r="W14" s="77">
        <f t="shared" si="3"/>
        <v>1907974921.7762477</v>
      </c>
      <c r="X14" s="77">
        <f t="shared" si="3"/>
        <v>1932202297.4947894</v>
      </c>
      <c r="Y14" s="77">
        <f t="shared" si="3"/>
        <v>1956494697.615921</v>
      </c>
      <c r="Z14" s="77">
        <f t="shared" si="3"/>
        <v>2409027255.8773661</v>
      </c>
      <c r="AA14" s="77">
        <f t="shared" si="3"/>
        <v>2443048902.6184092</v>
      </c>
      <c r="AB14" s="77">
        <f t="shared" si="3"/>
        <v>2477137225.9245915</v>
      </c>
      <c r="AC14" s="77">
        <f t="shared" si="3"/>
        <v>2511290682.0549388</v>
      </c>
      <c r="AD14" s="77">
        <f t="shared" si="3"/>
        <v>2545507691.8246207</v>
      </c>
      <c r="AE14" s="77">
        <f t="shared" si="3"/>
        <v>2579786639.7611613</v>
      </c>
      <c r="AF14" s="77">
        <f t="shared" si="3"/>
        <v>2614125873.2427373</v>
      </c>
      <c r="AG14" s="77">
        <f t="shared" si="3"/>
        <v>2648523701.6181149</v>
      </c>
      <c r="AH14" s="77">
        <f t="shared" si="3"/>
        <v>2682978395.3077912</v>
      </c>
      <c r="AI14" s="77">
        <f t="shared" si="3"/>
        <v>2717488184.8858643</v>
      </c>
      <c r="AJ14" s="77">
        <f t="shared" si="3"/>
        <v>1595409755.8042865</v>
      </c>
      <c r="AK14" s="77">
        <f t="shared" si="3"/>
        <v>1605954416.7572033</v>
      </c>
      <c r="AL14" s="77">
        <f t="shared" si="3"/>
        <v>1616554509.1592476</v>
      </c>
      <c r="AM14" s="77">
        <f t="shared" si="3"/>
        <v>1627209666.7494538</v>
      </c>
      <c r="AN14" s="77">
        <f t="shared" si="3"/>
        <v>1637919497.1207974</v>
      </c>
      <c r="AO14" s="77">
        <f t="shared" si="3"/>
        <v>1648683580.9038177</v>
      </c>
      <c r="AP14" s="77">
        <f t="shared" si="3"/>
        <v>1659501470.92887</v>
      </c>
    </row>
    <row r="15" spans="1:45" x14ac:dyDescent="0.35">
      <c r="A15" t="s">
        <v>507</v>
      </c>
      <c r="B15" t="s">
        <v>508</v>
      </c>
      <c r="C15" s="162"/>
      <c r="D15" s="162"/>
      <c r="E15" s="77">
        <f>E10/E$12</f>
        <v>701180959.0656184</v>
      </c>
      <c r="F15" s="77">
        <f t="shared" ref="F15:AP15" ca="1" si="4">F10/F$12</f>
        <v>2035813394.373174</v>
      </c>
      <c r="G15" s="77">
        <f t="shared" ca="1" si="4"/>
        <v>2099036039.7567203</v>
      </c>
      <c r="H15" s="77">
        <f t="shared" ca="1" si="4"/>
        <v>2080890418.874368</v>
      </c>
      <c r="I15" s="77">
        <f t="shared" ca="1" si="4"/>
        <v>2051862969.7003279</v>
      </c>
      <c r="J15" s="77">
        <f t="shared" ca="1" si="4"/>
        <v>2022951692.2633338</v>
      </c>
      <c r="K15" s="77">
        <f t="shared" ca="1" si="4"/>
        <v>1904899607.1727805</v>
      </c>
      <c r="L15" s="77">
        <f t="shared" ca="1" si="4"/>
        <v>1873703389.7122235</v>
      </c>
      <c r="M15" s="77">
        <f t="shared" ca="1" si="4"/>
        <v>1869688688.1350348</v>
      </c>
      <c r="N15" s="77">
        <f t="shared" ca="1" si="4"/>
        <v>1866054128.0890231</v>
      </c>
      <c r="O15" s="77">
        <f t="shared" ca="1" si="4"/>
        <v>1862796990.7389772</v>
      </c>
      <c r="P15" s="77">
        <f t="shared" ca="1" si="4"/>
        <v>2397576993.5436182</v>
      </c>
      <c r="Q15" s="77">
        <f t="shared" ca="1" si="4"/>
        <v>2402494454.5700788</v>
      </c>
      <c r="R15" s="77">
        <f t="shared" ca="1" si="4"/>
        <v>2414107279.2713757</v>
      </c>
      <c r="S15" s="77">
        <f t="shared" ca="1" si="4"/>
        <v>2423133157.6098037</v>
      </c>
      <c r="T15" s="77">
        <f t="shared" ca="1" si="4"/>
        <v>2429424608.5315557</v>
      </c>
      <c r="U15" s="77">
        <f t="shared" ca="1" si="4"/>
        <v>2433652736.2478461</v>
      </c>
      <c r="V15" s="77">
        <f t="shared" ca="1" si="4"/>
        <v>2435720441.0251126</v>
      </c>
      <c r="W15" s="77">
        <f t="shared" ca="1" si="4"/>
        <v>2471422521.9403896</v>
      </c>
      <c r="X15" s="77">
        <f t="shared" ca="1" si="4"/>
        <v>2506727483.3051496</v>
      </c>
      <c r="Y15" s="77">
        <f t="shared" ca="1" si="4"/>
        <v>2541587615.9941702</v>
      </c>
      <c r="Z15" s="77">
        <f t="shared" ca="1" si="4"/>
        <v>3020624151.8825698</v>
      </c>
      <c r="AA15" s="77">
        <f t="shared" ca="1" si="4"/>
        <v>3079395103.7819128</v>
      </c>
      <c r="AB15" s="77">
        <f t="shared" ca="1" si="4"/>
        <v>3136277252.3472981</v>
      </c>
      <c r="AC15" s="77">
        <f t="shared" ca="1" si="4"/>
        <v>3192098249.7441449</v>
      </c>
      <c r="AD15" s="77">
        <f t="shared" ca="1" si="4"/>
        <v>3246732329.2520046</v>
      </c>
      <c r="AE15" s="77">
        <f t="shared" ca="1" si="4"/>
        <v>3300047502.4219632</v>
      </c>
      <c r="AF15" s="77">
        <f t="shared" ca="1" si="4"/>
        <v>3353046524.0584216</v>
      </c>
      <c r="AG15" s="77">
        <f t="shared" ca="1" si="4"/>
        <v>3405671260.1529779</v>
      </c>
      <c r="AH15" s="77">
        <f t="shared" ca="1" si="4"/>
        <v>3459050486.6490912</v>
      </c>
      <c r="AI15" s="77">
        <f t="shared" ca="1" si="4"/>
        <v>3513187827.8363667</v>
      </c>
      <c r="AJ15" s="77">
        <f t="shared" ca="1" si="4"/>
        <v>2360690485.7991652</v>
      </c>
      <c r="AK15" s="77">
        <f t="shared" ca="1" si="4"/>
        <v>2340437485.6956677</v>
      </c>
      <c r="AL15" s="77">
        <f t="shared" ca="1" si="4"/>
        <v>2319854304.0164061</v>
      </c>
      <c r="AM15" s="77">
        <f t="shared" ca="1" si="4"/>
        <v>2298933525.2309675</v>
      </c>
      <c r="AN15" s="77">
        <f t="shared" ca="1" si="4"/>
        <v>2277667517.6366673</v>
      </c>
      <c r="AO15" s="77">
        <f t="shared" ca="1" si="4"/>
        <v>2256048426.6857615</v>
      </c>
      <c r="AP15" s="77">
        <f t="shared" ca="1" si="4"/>
        <v>2234068168.1104999</v>
      </c>
    </row>
    <row r="16" spans="1:45" x14ac:dyDescent="0.35">
      <c r="C16" s="2"/>
      <c r="D16" s="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35">
      <c r="A17" t="s">
        <v>332</v>
      </c>
      <c r="C17" s="38"/>
      <c r="D17" s="38"/>
      <c r="E17" s="38">
        <f>Assumptions!E302</f>
        <v>1874828.9799212618</v>
      </c>
      <c r="F17" s="38">
        <f>Assumptions!F302</f>
        <v>1914040.4776844778</v>
      </c>
      <c r="G17" s="38">
        <f>Assumptions!G302</f>
        <v>1954072.0724129644</v>
      </c>
      <c r="H17" s="38">
        <f>Assumptions!H302</f>
        <v>1994940.9161940122</v>
      </c>
      <c r="I17" s="38">
        <f>Assumptions!I302</f>
        <v>2036664.5198457835</v>
      </c>
      <c r="J17" s="38">
        <f>Assumptions!J302</f>
        <v>2079260.7604200616</v>
      </c>
      <c r="K17" s="38">
        <f>Assumptions!K302</f>
        <v>2122747.8888619198</v>
      </c>
      <c r="L17" s="38">
        <f>Assumptions!L302</f>
        <v>2167144.5378295905</v>
      </c>
      <c r="M17" s="38">
        <f>Assumptions!M302</f>
        <v>2212469.7296778834</v>
      </c>
      <c r="N17" s="38">
        <f>Assumptions!N302</f>
        <v>2258742.8846085756</v>
      </c>
      <c r="O17" s="38">
        <f>Assumptions!O302</f>
        <v>2305983.8289912618</v>
      </c>
      <c r="P17" s="38">
        <f>Assumptions!P302</f>
        <v>2354212.8038582387</v>
      </c>
      <c r="Q17" s="38">
        <f>Assumptions!Q302</f>
        <v>2403450.4735770514</v>
      </c>
      <c r="R17" s="38">
        <f>Assumptions!R302</f>
        <v>2453717.9347044257</v>
      </c>
      <c r="S17" s="38">
        <f>Assumptions!S302</f>
        <v>2505036.7250253791</v>
      </c>
      <c r="T17" s="38">
        <f>Assumptions!T302</f>
        <v>2557428.8327813791</v>
      </c>
      <c r="U17" s="38">
        <f>Assumptions!U302</f>
        <v>2610916.7060915101</v>
      </c>
      <c r="V17" s="38">
        <f>Assumptions!V302</f>
        <v>2665523.2625706778</v>
      </c>
      <c r="W17" s="38">
        <f>Assumptions!W302</f>
        <v>2721271.899148975</v>
      </c>
      <c r="X17" s="38">
        <f>Assumptions!X302</f>
        <v>2778186.5020964202</v>
      </c>
      <c r="Y17" s="38">
        <f>Assumptions!Y302</f>
        <v>2836291.4572573574</v>
      </c>
      <c r="Z17" s="38">
        <f>Assumptions!Z302</f>
        <v>2895611.6604989064</v>
      </c>
      <c r="AA17" s="38">
        <f>Assumptions!AA302</f>
        <v>2956172.5283779399</v>
      </c>
      <c r="AB17" s="38">
        <f>Assumptions!AB302</f>
        <v>3018000.009031157</v>
      </c>
      <c r="AC17" s="38">
        <f>Assumptions!AC302</f>
        <v>3081120.5932929176</v>
      </c>
      <c r="AD17" s="38">
        <f>Assumptions!AD302</f>
        <v>3145561.3260456077</v>
      </c>
      <c r="AE17" s="38">
        <f>Assumptions!AE302</f>
        <v>3211349.8178073871</v>
      </c>
      <c r="AF17" s="38">
        <f>Assumptions!AF302</f>
        <v>3278514.2565623005</v>
      </c>
      <c r="AG17" s="38">
        <f>Assumptions!AG302</f>
        <v>3347083.4198378026</v>
      </c>
      <c r="AH17" s="38">
        <f>Assumptions!AH302</f>
        <v>3417086.6870348877</v>
      </c>
      <c r="AI17" s="38">
        <f>Assumptions!AI302</f>
        <v>3488554.052016099</v>
      </c>
      <c r="AJ17" s="38">
        <f>Assumptions!AJ302</f>
        <v>3561516.1359568071</v>
      </c>
      <c r="AK17" s="38">
        <f>Assumptions!AK302</f>
        <v>3636004.2004652787</v>
      </c>
      <c r="AL17" s="38">
        <f>Assumptions!AL302</f>
        <v>3712050.1609771419</v>
      </c>
      <c r="AM17" s="38">
        <f>Assumptions!AM302</f>
        <v>3789686.6004299894</v>
      </c>
      <c r="AN17" s="38">
        <f>Assumptions!AN302</f>
        <v>3868946.7832239899</v>
      </c>
      <c r="AO17" s="38">
        <f>Assumptions!AO302</f>
        <v>3949864.6694744788</v>
      </c>
      <c r="AP17" s="38">
        <f>Assumptions!AP302</f>
        <v>4032474.9295626329</v>
      </c>
    </row>
    <row r="18" spans="1:42" x14ac:dyDescent="0.35">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x14ac:dyDescent="0.35">
      <c r="A19" t="s">
        <v>509</v>
      </c>
      <c r="B19" s="25">
        <f>Assumptions!B297</f>
        <v>30</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35">
      <c r="A20" t="s">
        <v>419</v>
      </c>
      <c r="B20" s="218">
        <f>Assumptions!B298</f>
        <v>5.0000000000000001E-3</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35">
      <c r="A21" t="s">
        <v>510</v>
      </c>
      <c r="B21" s="219">
        <f>AVERAGE(F17:AI17)</f>
        <v>2625705.2854714319</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2" spans="1:42" x14ac:dyDescent="0.35">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row>
    <row r="23" spans="1:42" x14ac:dyDescent="0.35">
      <c r="A23" t="s">
        <v>511</v>
      </c>
      <c r="B23" s="77">
        <f>NPV($B$20,$F14:$AI14)</f>
        <v>55813421094.438263</v>
      </c>
      <c r="D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x14ac:dyDescent="0.35">
      <c r="A24" t="s">
        <v>512</v>
      </c>
      <c r="B24" s="77">
        <f ca="1">NPV($B$20,$F15:$AI15)</f>
        <v>70566117103.790665</v>
      </c>
      <c r="D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1:42" x14ac:dyDescent="0.35">
      <c r="B25" s="77"/>
      <c r="D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x14ac:dyDescent="0.35">
      <c r="A26" t="s">
        <v>513</v>
      </c>
      <c r="B26" s="77">
        <f>B23/$B$19</f>
        <v>1860447369.8146088</v>
      </c>
      <c r="D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row>
    <row r="27" spans="1:42" x14ac:dyDescent="0.35">
      <c r="A27" t="s">
        <v>514</v>
      </c>
      <c r="B27" s="77">
        <f ca="1">B24/$B$19</f>
        <v>2352203903.4596887</v>
      </c>
      <c r="D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row>
    <row r="28" spans="1:42" x14ac:dyDescent="0.35">
      <c r="B28" s="77"/>
      <c r="D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row>
    <row r="29" spans="1:42" x14ac:dyDescent="0.35">
      <c r="A29" t="s">
        <v>515</v>
      </c>
      <c r="B29" s="297">
        <f>B26/$B$21</f>
        <v>708.55148142818894</v>
      </c>
    </row>
    <row r="30" spans="1:42" x14ac:dyDescent="0.35">
      <c r="A30" t="s">
        <v>516</v>
      </c>
      <c r="B30" s="297">
        <f ca="1">B27/$B$21</f>
        <v>895.83698386674132</v>
      </c>
      <c r="D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spans="1:42" x14ac:dyDescent="0.3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x14ac:dyDescent="0.3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3:42" x14ac:dyDescent="0.3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3:42" x14ac:dyDescent="0.35">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spans="3:42" x14ac:dyDescent="0.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3:42" x14ac:dyDescent="0.35">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spans="3:42" x14ac:dyDescent="0.35">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spans="3:42" x14ac:dyDescent="0.3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41" spans="3:42" x14ac:dyDescent="0.3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3:42" x14ac:dyDescent="0.3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3:42" x14ac:dyDescent="0.35">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3:42" x14ac:dyDescent="0.3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3:42"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row>
    <row r="46" spans="3:42"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row>
    <row r="47" spans="3:42"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3:42" x14ac:dyDescent="0.35">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3:42" x14ac:dyDescent="0.35">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3:42" x14ac:dyDescent="0.35">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3:42" x14ac:dyDescent="0.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row>
    <row r="53" spans="3:42" x14ac:dyDescent="0.3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3:42" x14ac:dyDescent="0.3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row>
    <row r="55" spans="3:42"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row>
    <row r="56" spans="3:42" x14ac:dyDescent="0.3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3:42"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row>
    <row r="58" spans="3:42" x14ac:dyDescent="0.35">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row>
    <row r="59" spans="3:42"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row>
    <row r="60" spans="3:42"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row>
    <row r="61" spans="3:42" x14ac:dyDescent="0.3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6" spans="3:33" x14ac:dyDescent="0.35">
      <c r="L66" s="62"/>
    </row>
    <row r="71" spans="3:33" x14ac:dyDescent="0.3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3" spans="3:33" x14ac:dyDescent="0.35">
      <c r="C73" s="216">
        <f>C58-C71</f>
        <v>0</v>
      </c>
      <c r="D73" s="216">
        <f t="shared" ref="D73:AG73" si="5">D58-D71</f>
        <v>0</v>
      </c>
      <c r="E73" s="216">
        <f t="shared" si="5"/>
        <v>0</v>
      </c>
      <c r="F73" s="216">
        <f t="shared" si="5"/>
        <v>0</v>
      </c>
      <c r="G73" s="216">
        <f t="shared" si="5"/>
        <v>0</v>
      </c>
      <c r="H73" s="216">
        <f t="shared" si="5"/>
        <v>0</v>
      </c>
      <c r="I73" s="216">
        <f t="shared" si="5"/>
        <v>0</v>
      </c>
      <c r="J73" s="216">
        <f t="shared" si="5"/>
        <v>0</v>
      </c>
      <c r="K73" s="216">
        <f t="shared" si="5"/>
        <v>0</v>
      </c>
      <c r="L73" s="216">
        <f t="shared" si="5"/>
        <v>0</v>
      </c>
      <c r="M73" s="216">
        <f t="shared" si="5"/>
        <v>0</v>
      </c>
      <c r="N73" s="216">
        <f t="shared" si="5"/>
        <v>0</v>
      </c>
      <c r="O73" s="216">
        <f t="shared" si="5"/>
        <v>0</v>
      </c>
      <c r="P73" s="216">
        <f t="shared" si="5"/>
        <v>0</v>
      </c>
      <c r="Q73" s="216">
        <f t="shared" si="5"/>
        <v>0</v>
      </c>
      <c r="R73" s="216">
        <f t="shared" si="5"/>
        <v>0</v>
      </c>
      <c r="S73" s="216">
        <f t="shared" si="5"/>
        <v>0</v>
      </c>
      <c r="T73" s="216">
        <f t="shared" si="5"/>
        <v>0</v>
      </c>
      <c r="U73" s="216">
        <f t="shared" si="5"/>
        <v>0</v>
      </c>
      <c r="V73" s="216">
        <f t="shared" si="5"/>
        <v>0</v>
      </c>
      <c r="W73" s="216">
        <f t="shared" si="5"/>
        <v>0</v>
      </c>
      <c r="X73" s="216">
        <f t="shared" si="5"/>
        <v>0</v>
      </c>
      <c r="Y73" s="216">
        <f t="shared" si="5"/>
        <v>0</v>
      </c>
      <c r="Z73" s="216">
        <f t="shared" si="5"/>
        <v>0</v>
      </c>
      <c r="AA73" s="216">
        <f t="shared" si="5"/>
        <v>0</v>
      </c>
      <c r="AB73" s="216">
        <f t="shared" si="5"/>
        <v>0</v>
      </c>
      <c r="AC73" s="216">
        <f t="shared" si="5"/>
        <v>0</v>
      </c>
      <c r="AD73" s="216">
        <f t="shared" si="5"/>
        <v>0</v>
      </c>
      <c r="AE73" s="216">
        <f t="shared" si="5"/>
        <v>0</v>
      </c>
      <c r="AF73" s="216">
        <f t="shared" si="5"/>
        <v>0</v>
      </c>
      <c r="AG73" s="216">
        <f t="shared" si="5"/>
        <v>0</v>
      </c>
    </row>
  </sheetData>
  <sheetProtection algorithmName="SHA-512" hashValue="9dgYPLENJy51tkF4xO0mNRSD0b3adrJT6Nd9g6Ep35tcVvmi0ARDCP3VTgvIWWkFkOL2af8GoMwel+33/DlIRQ==" saltValue="PcL94qpMpgXBg9sN+vgt7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E8A-C18D-4869-9F0D-CDE27F5F13DC}">
  <dimension ref="A1"/>
  <sheetViews>
    <sheetView zoomScaleNormal="100" workbookViewId="0">
      <selection sqref="A1:XFD1048576"/>
    </sheetView>
  </sheetViews>
  <sheetFormatPr defaultRowHeight="15.5" x14ac:dyDescent="0.35"/>
  <sheetData>
    <row r="1" spans="1:1" x14ac:dyDescent="0.35">
      <c r="A1" t="s">
        <v>517</v>
      </c>
    </row>
  </sheetData>
  <sheetProtection algorithmName="SHA-512" hashValue="sz3Zo8hBPasgWgOb5+9WQxC+iuLbV0vMiST8oO/ge34RzjJ6r6h5VPVvbihVojjEds54Me38sPox4zdpU0/P+g==" saltValue="t0/saP9fYPqenDi25XHomA=="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60-9705-4158-962A-9E41E0E8A5D2}">
  <dimension ref="B3:F27"/>
  <sheetViews>
    <sheetView zoomScaleNormal="100" workbookViewId="0">
      <selection sqref="A1:XFD1048576"/>
    </sheetView>
  </sheetViews>
  <sheetFormatPr defaultRowHeight="15.5" x14ac:dyDescent="0.35"/>
  <cols>
    <col min="2" max="2" width="21.08203125" bestFit="1" customWidth="1"/>
    <col min="3" max="3" width="20.58203125" bestFit="1" customWidth="1"/>
    <col min="4" max="4" width="23.08203125" bestFit="1" customWidth="1"/>
    <col min="5" max="5" width="26.58203125" bestFit="1" customWidth="1"/>
    <col min="6" max="6" width="27.58203125" bestFit="1" customWidth="1"/>
  </cols>
  <sheetData>
    <row r="3" spans="2:6" ht="16" thickBot="1" x14ac:dyDescent="0.4"/>
    <row r="4" spans="2:6" x14ac:dyDescent="0.35">
      <c r="B4" s="73"/>
      <c r="C4" s="124" t="s">
        <v>518</v>
      </c>
      <c r="D4" s="124" t="s">
        <v>519</v>
      </c>
      <c r="E4" s="35"/>
      <c r="F4" s="36"/>
    </row>
    <row r="5" spans="2:6" x14ac:dyDescent="0.35">
      <c r="B5" s="17"/>
      <c r="C5" t="s">
        <v>520</v>
      </c>
      <c r="D5" t="s">
        <v>521</v>
      </c>
      <c r="F5" s="30" t="s">
        <v>522</v>
      </c>
    </row>
    <row r="6" spans="2:6" x14ac:dyDescent="0.35">
      <c r="B6" s="17" t="s">
        <v>523</v>
      </c>
      <c r="C6" s="125">
        <v>99883000</v>
      </c>
      <c r="D6" s="125">
        <f>4789*1000</f>
        <v>4789000</v>
      </c>
      <c r="E6" s="62" t="s">
        <v>524</v>
      </c>
      <c r="F6" s="30"/>
    </row>
    <row r="7" spans="2:6" ht="16" thickBot="1" x14ac:dyDescent="0.4">
      <c r="B7" s="18"/>
      <c r="C7" s="13"/>
      <c r="D7" s="123">
        <f>D6/C6</f>
        <v>4.7946096933412091E-2</v>
      </c>
      <c r="E7" s="13"/>
      <c r="F7" s="14"/>
    </row>
    <row r="9" spans="2:6" ht="16" thickBot="1" x14ac:dyDescent="0.4"/>
    <row r="10" spans="2:6" x14ac:dyDescent="0.35">
      <c r="B10" s="73"/>
      <c r="C10" s="35" t="s">
        <v>525</v>
      </c>
      <c r="D10" s="36"/>
    </row>
    <row r="11" spans="2:6" x14ac:dyDescent="0.35">
      <c r="B11" s="17"/>
      <c r="D11" s="30"/>
    </row>
    <row r="12" spans="2:6" x14ac:dyDescent="0.35">
      <c r="B12" s="17" t="s">
        <v>526</v>
      </c>
      <c r="C12" s="114">
        <v>0.25334000000000001</v>
      </c>
      <c r="D12" s="122">
        <f>0.25+1/300</f>
        <v>0.25333333333333335</v>
      </c>
    </row>
    <row r="13" spans="2:6" x14ac:dyDescent="0.35">
      <c r="B13" s="17" t="s">
        <v>527</v>
      </c>
      <c r="C13" s="114">
        <v>0.15334</v>
      </c>
      <c r="D13" s="122">
        <f>0.15+1/300</f>
        <v>0.15333333333333332</v>
      </c>
    </row>
    <row r="14" spans="2:6" x14ac:dyDescent="0.35">
      <c r="B14" s="17" t="s">
        <v>528</v>
      </c>
      <c r="C14" s="114"/>
      <c r="D14" s="122"/>
    </row>
    <row r="15" spans="2:6" x14ac:dyDescent="0.35">
      <c r="B15" s="17" t="s">
        <v>529</v>
      </c>
      <c r="C15" s="114">
        <v>0.10334</v>
      </c>
      <c r="D15" s="122">
        <f>0.1+1/300</f>
        <v>0.10333333333333333</v>
      </c>
    </row>
    <row r="16" spans="2:6" x14ac:dyDescent="0.35">
      <c r="B16" s="17" t="s">
        <v>255</v>
      </c>
      <c r="C16" s="114">
        <v>0.49</v>
      </c>
      <c r="D16" s="122">
        <f>1-SUM(D12:D15)</f>
        <v>0.49</v>
      </c>
    </row>
    <row r="17" spans="2:6" ht="16" thickBot="1" x14ac:dyDescent="0.4">
      <c r="B17" s="18" t="s">
        <v>530</v>
      </c>
      <c r="C17" s="123">
        <v>-1</v>
      </c>
      <c r="D17" s="14"/>
    </row>
    <row r="19" spans="2:6" ht="16" thickBot="1" x14ac:dyDescent="0.4"/>
    <row r="20" spans="2:6" x14ac:dyDescent="0.35">
      <c r="B20" s="73" t="s">
        <v>526</v>
      </c>
      <c r="C20" s="119">
        <f>C$6*C12</f>
        <v>25304359.220000003</v>
      </c>
      <c r="E20" s="73" t="s">
        <v>526</v>
      </c>
      <c r="F20" s="116">
        <f>$F$25*D12</f>
        <v>2568800</v>
      </c>
    </row>
    <row r="21" spans="2:6" x14ac:dyDescent="0.35">
      <c r="B21" s="17" t="s">
        <v>527</v>
      </c>
      <c r="C21" s="120">
        <f>C$6*C13</f>
        <v>15316059.220000001</v>
      </c>
      <c r="E21" s="17" t="s">
        <v>527</v>
      </c>
      <c r="F21" s="117">
        <f>$F$25*D13</f>
        <v>1554799.9999999998</v>
      </c>
    </row>
    <row r="22" spans="2:6" x14ac:dyDescent="0.35">
      <c r="B22" s="17" t="s">
        <v>528</v>
      </c>
      <c r="C22" s="120">
        <f t="shared" ref="C22:C25" si="0">C$6*C14</f>
        <v>0</v>
      </c>
      <c r="E22" s="17" t="s">
        <v>528</v>
      </c>
      <c r="F22" s="117">
        <f>$F$25*D14</f>
        <v>0</v>
      </c>
    </row>
    <row r="23" spans="2:6" x14ac:dyDescent="0.35">
      <c r="B23" s="17" t="s">
        <v>529</v>
      </c>
      <c r="C23" s="120">
        <f t="shared" si="0"/>
        <v>10321909.220000001</v>
      </c>
      <c r="E23" s="17" t="s">
        <v>529</v>
      </c>
      <c r="F23" s="117">
        <f>$F$25*D15</f>
        <v>1047800</v>
      </c>
    </row>
    <row r="24" spans="2:6" x14ac:dyDescent="0.35">
      <c r="B24" s="17" t="s">
        <v>255</v>
      </c>
      <c r="C24" s="120">
        <f t="shared" si="0"/>
        <v>48942670</v>
      </c>
      <c r="E24" s="17" t="s">
        <v>255</v>
      </c>
      <c r="F24" s="117">
        <f>$F$25*D16</f>
        <v>4968600</v>
      </c>
    </row>
    <row r="25" spans="2:6" ht="16" thickBot="1" x14ac:dyDescent="0.4">
      <c r="B25" s="18" t="s">
        <v>530</v>
      </c>
      <c r="C25" s="121">
        <f t="shared" si="0"/>
        <v>-99883000</v>
      </c>
      <c r="E25" s="17" t="s">
        <v>531</v>
      </c>
      <c r="F25" s="118">
        <v>10140000</v>
      </c>
    </row>
    <row r="26" spans="2:6" x14ac:dyDescent="0.35">
      <c r="E26" s="17"/>
      <c r="F26" s="30"/>
    </row>
    <row r="27" spans="2:6" ht="16" thickBot="1" x14ac:dyDescent="0.4">
      <c r="E27" s="18"/>
      <c r="F27" s="14" t="b">
        <f>F25=SUM(F20:F24)</f>
        <v>1</v>
      </c>
    </row>
  </sheetData>
  <sheetProtection algorithmName="SHA-512" hashValue="OV0UIluMk4noW3ighvNiqNz1CVzXlYDJB/ILwD1MQdHdTARIQkJ9dkFwPVqauD1fJzx3xO2odJzU2LZdb/m/Gg==" saltValue="YOARulL4S5AfzyYD4LW9gg=="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8638-0A9A-4F09-B34B-62EB98EE8F0A}">
  <sheetPr codeName="Sheet34"/>
  <dimension ref="A3:AX34"/>
  <sheetViews>
    <sheetView zoomScaleNormal="100" workbookViewId="0">
      <selection sqref="A1:XFD1048576"/>
    </sheetView>
  </sheetViews>
  <sheetFormatPr defaultRowHeight="15.5" x14ac:dyDescent="0.35"/>
  <sheetData>
    <row r="3" spans="1:50" s="127" customFormat="1" x14ac:dyDescent="0.35">
      <c r="A3" s="126" t="s">
        <v>532</v>
      </c>
      <c r="AE3" s="151" t="s">
        <v>533</v>
      </c>
      <c r="AF3" s="151"/>
      <c r="AG3" s="151"/>
      <c r="AH3" s="151"/>
      <c r="AI3" s="151"/>
      <c r="AJ3" s="151"/>
      <c r="AK3" s="151"/>
      <c r="AL3" s="151"/>
      <c r="AM3" s="151"/>
      <c r="AN3" s="151"/>
      <c r="AO3" s="151"/>
      <c r="AP3" s="151"/>
      <c r="AQ3" s="151"/>
      <c r="AR3" s="151"/>
      <c r="AS3" s="151"/>
      <c r="AT3" s="151"/>
      <c r="AU3" s="151"/>
      <c r="AV3" s="151"/>
      <c r="AW3" s="151"/>
      <c r="AX3" s="151"/>
    </row>
    <row r="4" spans="1:50" x14ac:dyDescent="0.35">
      <c r="A4" s="128" t="s">
        <v>534</v>
      </c>
      <c r="B4" s="129"/>
      <c r="R4" s="129"/>
      <c r="S4" s="129"/>
      <c r="T4" s="129"/>
      <c r="U4" s="129"/>
      <c r="V4" s="129"/>
      <c r="W4" s="129"/>
      <c r="X4" s="129"/>
      <c r="Y4" s="129"/>
      <c r="Z4" s="129"/>
      <c r="AE4" t="s">
        <v>535</v>
      </c>
      <c r="AF4" s="106" t="s">
        <v>536</v>
      </c>
      <c r="AG4" t="s">
        <v>537</v>
      </c>
    </row>
    <row r="5" spans="1:50" x14ac:dyDescent="0.35">
      <c r="B5" s="129"/>
      <c r="F5" s="408" t="s">
        <v>538</v>
      </c>
      <c r="G5" s="408"/>
      <c r="H5" s="408"/>
      <c r="I5" s="408"/>
      <c r="J5" s="408"/>
      <c r="K5" s="408"/>
      <c r="L5" s="408"/>
      <c r="M5" s="408"/>
      <c r="N5" s="408"/>
      <c r="O5" s="408"/>
      <c r="P5" s="408"/>
      <c r="Q5" s="408"/>
      <c r="R5" s="408"/>
      <c r="S5" s="408"/>
      <c r="T5" s="408"/>
      <c r="U5" s="408"/>
      <c r="V5" s="408"/>
      <c r="W5" s="408"/>
      <c r="X5" s="408"/>
      <c r="Y5" s="408"/>
      <c r="Z5" s="408"/>
      <c r="AA5" s="408"/>
      <c r="AB5" s="408"/>
      <c r="AC5" s="408"/>
      <c r="AD5" s="408"/>
    </row>
    <row r="6" spans="1:50" x14ac:dyDescent="0.35">
      <c r="A6" s="128"/>
      <c r="B6" s="129"/>
      <c r="F6" s="130">
        <v>42522</v>
      </c>
      <c r="G6" s="130">
        <v>42614</v>
      </c>
      <c r="H6" s="130">
        <v>42705</v>
      </c>
      <c r="I6" s="130">
        <v>42795</v>
      </c>
      <c r="J6" s="131" t="s">
        <v>539</v>
      </c>
      <c r="K6" s="131" t="s">
        <v>540</v>
      </c>
      <c r="L6" s="131" t="s">
        <v>541</v>
      </c>
      <c r="M6" s="131" t="s">
        <v>542</v>
      </c>
      <c r="N6" s="131" t="s">
        <v>543</v>
      </c>
      <c r="O6" s="130">
        <v>43344</v>
      </c>
      <c r="P6" s="130">
        <v>43435</v>
      </c>
      <c r="Q6" s="130">
        <v>43525</v>
      </c>
      <c r="R6" s="131" t="s">
        <v>544</v>
      </c>
      <c r="S6" s="131" t="s">
        <v>545</v>
      </c>
      <c r="T6" s="131" t="s">
        <v>546</v>
      </c>
      <c r="U6" s="131" t="s">
        <v>547</v>
      </c>
      <c r="V6" s="131" t="s">
        <v>548</v>
      </c>
      <c r="W6" s="131" t="s">
        <v>549</v>
      </c>
      <c r="X6" s="131" t="s">
        <v>550</v>
      </c>
      <c r="Y6" s="131" t="s">
        <v>551</v>
      </c>
      <c r="Z6" s="131" t="s">
        <v>552</v>
      </c>
      <c r="AA6" s="131" t="s">
        <v>553</v>
      </c>
      <c r="AB6" s="131" t="s">
        <v>554</v>
      </c>
      <c r="AC6" s="131" t="s">
        <v>555</v>
      </c>
      <c r="AD6" s="131" t="s">
        <v>556</v>
      </c>
      <c r="AE6" s="131" t="s">
        <v>557</v>
      </c>
      <c r="AF6" s="131" t="s">
        <v>558</v>
      </c>
      <c r="AG6" s="131" t="s">
        <v>559</v>
      </c>
      <c r="AH6" s="131" t="s">
        <v>560</v>
      </c>
      <c r="AI6" s="131" t="s">
        <v>561</v>
      </c>
      <c r="AJ6" s="131" t="s">
        <v>562</v>
      </c>
      <c r="AK6" s="131" t="s">
        <v>563</v>
      </c>
      <c r="AL6" s="131" t="s">
        <v>564</v>
      </c>
      <c r="AM6" s="131" t="s">
        <v>565</v>
      </c>
      <c r="AN6" s="131" t="s">
        <v>566</v>
      </c>
      <c r="AO6" s="131" t="s">
        <v>567</v>
      </c>
      <c r="AP6" s="131" t="s">
        <v>568</v>
      </c>
      <c r="AQ6" s="131" t="s">
        <v>569</v>
      </c>
      <c r="AR6" s="131" t="s">
        <v>570</v>
      </c>
      <c r="AS6" s="131" t="s">
        <v>571</v>
      </c>
      <c r="AT6" s="131" t="s">
        <v>572</v>
      </c>
      <c r="AU6" s="131" t="s">
        <v>573</v>
      </c>
      <c r="AV6" s="131" t="s">
        <v>574</v>
      </c>
      <c r="AW6" s="131" t="s">
        <v>575</v>
      </c>
      <c r="AX6" s="131" t="s">
        <v>576</v>
      </c>
    </row>
    <row r="7" spans="1:50" x14ac:dyDescent="0.35">
      <c r="A7" s="132" t="s">
        <v>577</v>
      </c>
      <c r="B7" s="133"/>
      <c r="C7" s="133"/>
      <c r="D7" s="134" t="s">
        <v>578</v>
      </c>
      <c r="E7" s="134"/>
      <c r="F7" s="135">
        <v>982.871126</v>
      </c>
      <c r="G7" s="135">
        <v>986.13376800000003</v>
      </c>
      <c r="H7" s="135">
        <v>990.21207200000003</v>
      </c>
      <c r="I7" s="135">
        <v>1000</v>
      </c>
      <c r="J7" s="135">
        <v>1000</v>
      </c>
      <c r="K7" s="135">
        <v>1004.893964</v>
      </c>
      <c r="L7" s="135">
        <v>1006</v>
      </c>
      <c r="M7" s="135">
        <v>1011</v>
      </c>
      <c r="N7" s="135">
        <v>1015</v>
      </c>
      <c r="O7" s="135">
        <v>1024</v>
      </c>
      <c r="P7" s="135">
        <v>1025</v>
      </c>
      <c r="Q7" s="135">
        <v>1026</v>
      </c>
      <c r="R7" s="135">
        <v>1032</v>
      </c>
      <c r="S7" s="135">
        <v>1039</v>
      </c>
      <c r="T7" s="135">
        <v>1044</v>
      </c>
      <c r="U7" s="135">
        <v>1052</v>
      </c>
      <c r="V7" s="135">
        <v>1047</v>
      </c>
      <c r="W7" s="135">
        <v>1054</v>
      </c>
      <c r="X7" s="135">
        <v>1059</v>
      </c>
      <c r="Y7" s="135">
        <v>1068</v>
      </c>
      <c r="Z7" s="135">
        <v>1082</v>
      </c>
      <c r="AA7" s="135">
        <v>1106</v>
      </c>
      <c r="AB7" s="135">
        <v>1122</v>
      </c>
      <c r="AC7" s="135">
        <v>1142</v>
      </c>
      <c r="AD7" s="135">
        <v>1161</v>
      </c>
    </row>
    <row r="8" spans="1:50" x14ac:dyDescent="0.35">
      <c r="A8" s="136"/>
      <c r="B8" s="137"/>
      <c r="C8" s="137"/>
      <c r="D8" s="128"/>
      <c r="E8" s="12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row>
    <row r="9" spans="1:50" x14ac:dyDescent="0.35">
      <c r="A9" t="s">
        <v>579</v>
      </c>
      <c r="J9" s="115">
        <f>AVERAGE(G7:J7)</f>
        <v>994.08645999999999</v>
      </c>
      <c r="N9" s="115">
        <f>AVERAGE(K7:N7)</f>
        <v>1009.223491</v>
      </c>
      <c r="R9" s="115">
        <f>AVERAGE(O7:R7)</f>
        <v>1026.75</v>
      </c>
      <c r="V9" s="115">
        <f>AVERAGE(S7:V7)</f>
        <v>1045.5</v>
      </c>
      <c r="Z9" s="115">
        <f>AVERAGE(W7:Z7)</f>
        <v>1065.75</v>
      </c>
      <c r="AD9" s="115">
        <f>AVERAGE(AA7:AD7)</f>
        <v>1132.75</v>
      </c>
    </row>
    <row r="10" spans="1:50" x14ac:dyDescent="0.35">
      <c r="A10" t="s">
        <v>580</v>
      </c>
      <c r="N10" s="101">
        <f>N7/J7-1</f>
        <v>1.4999999999999902E-2</v>
      </c>
      <c r="O10" s="101"/>
      <c r="P10" s="101"/>
      <c r="Q10" s="101"/>
      <c r="R10" s="101">
        <f>R7/N7-1</f>
        <v>1.6748768472906406E-2</v>
      </c>
      <c r="S10" s="101"/>
      <c r="T10" s="101"/>
      <c r="U10" s="101"/>
      <c r="V10" s="101">
        <f>V7/R7-1</f>
        <v>1.4534883720930258E-2</v>
      </c>
      <c r="W10" s="101"/>
      <c r="X10" s="101"/>
      <c r="Y10" s="101"/>
      <c r="Z10" s="101">
        <f>Z7/V7-1</f>
        <v>3.3428844317096473E-2</v>
      </c>
      <c r="AA10" s="101"/>
      <c r="AB10" s="101"/>
      <c r="AC10" s="101"/>
      <c r="AD10" s="101">
        <f>AD7/Z7-1</f>
        <v>7.3012939001848354E-2</v>
      </c>
      <c r="AH10" s="20">
        <v>6.4000000000000001E-2</v>
      </c>
      <c r="AL10" s="20">
        <v>3.5000000000000003E-2</v>
      </c>
      <c r="AP10" s="20">
        <v>2.5000000000000001E-2</v>
      </c>
      <c r="AT10" s="20">
        <v>0.02</v>
      </c>
      <c r="AX10" s="20">
        <v>0.02</v>
      </c>
    </row>
    <row r="11" spans="1:50" x14ac:dyDescent="0.35">
      <c r="A11" s="152" t="s">
        <v>581</v>
      </c>
      <c r="AD11" s="61"/>
    </row>
    <row r="12" spans="1:50" s="127" customFormat="1" x14ac:dyDescent="0.35">
      <c r="A12" s="139" t="s">
        <v>582</v>
      </c>
    </row>
    <row r="13" spans="1:50" x14ac:dyDescent="0.35">
      <c r="A13" s="140" t="s">
        <v>583</v>
      </c>
    </row>
    <row r="14" spans="1:50" x14ac:dyDescent="0.35">
      <c r="F14" s="408" t="s">
        <v>538</v>
      </c>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row>
    <row r="15" spans="1:50" x14ac:dyDescent="0.35">
      <c r="F15" s="130">
        <v>42522</v>
      </c>
      <c r="G15" s="130">
        <v>42614</v>
      </c>
      <c r="H15" s="130">
        <v>42705</v>
      </c>
      <c r="I15" s="130">
        <v>42795</v>
      </c>
      <c r="J15" s="131" t="s">
        <v>539</v>
      </c>
      <c r="K15" s="131" t="s">
        <v>540</v>
      </c>
      <c r="L15" s="131" t="s">
        <v>541</v>
      </c>
      <c r="M15" s="131" t="s">
        <v>542</v>
      </c>
      <c r="N15" s="131" t="s">
        <v>543</v>
      </c>
      <c r="O15" s="130">
        <v>43344</v>
      </c>
      <c r="P15" s="130">
        <v>43435</v>
      </c>
      <c r="Q15" s="130">
        <v>43525</v>
      </c>
      <c r="R15" s="131" t="s">
        <v>544</v>
      </c>
      <c r="S15" s="131" t="s">
        <v>545</v>
      </c>
      <c r="T15" s="131" t="s">
        <v>546</v>
      </c>
      <c r="U15" s="131" t="s">
        <v>547</v>
      </c>
      <c r="V15" s="131" t="s">
        <v>548</v>
      </c>
      <c r="W15" s="131" t="s">
        <v>549</v>
      </c>
      <c r="X15" s="131" t="s">
        <v>550</v>
      </c>
      <c r="Y15" s="131" t="s">
        <v>551</v>
      </c>
      <c r="Z15" s="131" t="s">
        <v>552</v>
      </c>
      <c r="AA15" s="131" t="s">
        <v>553</v>
      </c>
      <c r="AB15" s="131" t="s">
        <v>554</v>
      </c>
      <c r="AC15" s="131" t="s">
        <v>555</v>
      </c>
      <c r="AD15" s="131" t="s">
        <v>556</v>
      </c>
    </row>
    <row r="16" spans="1:50" s="43" customFormat="1" x14ac:dyDescent="0.35">
      <c r="A16" s="141" t="s">
        <v>577</v>
      </c>
      <c r="B16" s="142"/>
      <c r="C16" s="142"/>
      <c r="D16" s="143" t="s">
        <v>584</v>
      </c>
      <c r="E16" s="144"/>
      <c r="F16" s="298">
        <v>1452</v>
      </c>
      <c r="G16" s="298">
        <v>1464</v>
      </c>
      <c r="H16" s="298">
        <v>1480</v>
      </c>
      <c r="I16" s="298">
        <v>1486</v>
      </c>
      <c r="J16" s="298">
        <v>1499</v>
      </c>
      <c r="K16" s="298">
        <v>1507</v>
      </c>
      <c r="L16" s="298">
        <v>1519</v>
      </c>
      <c r="M16" s="298">
        <v>1524</v>
      </c>
      <c r="N16" s="298">
        <v>1536</v>
      </c>
      <c r="O16" s="298">
        <v>1554</v>
      </c>
      <c r="P16" s="298">
        <v>1561</v>
      </c>
      <c r="Q16" s="298">
        <v>1569</v>
      </c>
      <c r="R16" s="298">
        <v>1583</v>
      </c>
      <c r="S16" s="298">
        <v>1596</v>
      </c>
      <c r="T16" s="298">
        <v>1604</v>
      </c>
      <c r="U16" s="298">
        <v>1614</v>
      </c>
      <c r="V16" s="298">
        <v>1619</v>
      </c>
      <c r="W16" s="298">
        <v>1624</v>
      </c>
      <c r="X16" s="298">
        <v>1634</v>
      </c>
      <c r="Y16" s="298">
        <v>1644</v>
      </c>
      <c r="Z16" s="298">
        <v>1692</v>
      </c>
      <c r="AA16" s="298">
        <v>1734</v>
      </c>
      <c r="AB16" s="298">
        <v>1785</v>
      </c>
      <c r="AC16" s="298">
        <v>1835</v>
      </c>
      <c r="AD16" s="298">
        <v>1903</v>
      </c>
    </row>
    <row r="17" spans="1:30" s="43" customFormat="1" x14ac:dyDescent="0.35">
      <c r="A17" s="146"/>
      <c r="B17" s="147"/>
      <c r="C17" s="147"/>
      <c r="D17" s="148"/>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row>
    <row r="18" spans="1:30" x14ac:dyDescent="0.35">
      <c r="A18" t="s">
        <v>579</v>
      </c>
      <c r="J18" s="115">
        <f>AVERAGE(G16:J16)</f>
        <v>1482.25</v>
      </c>
      <c r="N18" s="115">
        <f>AVERAGE(K16:N16)</f>
        <v>1521.5</v>
      </c>
      <c r="R18" s="115">
        <f>AVERAGE(O16:R16)</f>
        <v>1566.75</v>
      </c>
      <c r="V18" s="115">
        <f>AVERAGE(S16:V16)</f>
        <v>1608.25</v>
      </c>
      <c r="Z18" s="115">
        <f>AVERAGE(W16:Z16)</f>
        <v>1648.5</v>
      </c>
      <c r="AD18" s="115">
        <f>AVERAGE(AA16:AD16)</f>
        <v>1814.25</v>
      </c>
    </row>
    <row r="19" spans="1:30" x14ac:dyDescent="0.35">
      <c r="A19" t="s">
        <v>580</v>
      </c>
      <c r="N19" s="101">
        <f>N16/J16-1</f>
        <v>2.4683122081387676E-2</v>
      </c>
      <c r="R19" s="101">
        <f>R16/N16-1</f>
        <v>3.0598958333333259E-2</v>
      </c>
      <c r="V19" s="101">
        <f>V16/R16-1</f>
        <v>2.2741629816803499E-2</v>
      </c>
      <c r="Z19" s="101">
        <f>Z16/V16-1</f>
        <v>4.5089561457689831E-2</v>
      </c>
      <c r="AD19" s="101">
        <f>AD16/Z16-1</f>
        <v>0.12470449172576825</v>
      </c>
    </row>
    <row r="21" spans="1:30" x14ac:dyDescent="0.35">
      <c r="N21" s="20"/>
      <c r="R21" s="20"/>
      <c r="V21" s="20"/>
      <c r="Z21" s="20"/>
      <c r="AD21" s="20"/>
    </row>
    <row r="22" spans="1:30" x14ac:dyDescent="0.35">
      <c r="Z22" s="20"/>
      <c r="AD22" s="20"/>
    </row>
    <row r="32" spans="1:30" x14ac:dyDescent="0.35">
      <c r="M32" s="149"/>
    </row>
    <row r="33" spans="13:13" x14ac:dyDescent="0.35">
      <c r="M33" s="149"/>
    </row>
    <row r="34" spans="13:13" x14ac:dyDescent="0.35">
      <c r="M34" s="149"/>
    </row>
  </sheetData>
  <sheetProtection algorithmName="SHA-512" hashValue="BzTbVtCnXuAKJGuNyNqb3Tu27ogKqJJElgUfmqLhIRl9Ad7CLra4G816t2LgATMohHbQZ2HM29kfvQfcj4PyAQ==" saltValue="iYtDO8nHAIcHGQVvK9w5FQ==" spinCount="100000" sheet="1" objects="1" scenarios="1"/>
  <mergeCells count="2">
    <mergeCell ref="F5:AD5"/>
    <mergeCell ref="F14:AD14"/>
  </mergeCells>
  <phoneticPr fontId="16" type="noConversion"/>
  <hyperlinks>
    <hyperlink ref="AF4" r:id="rId1" xr:uid="{993F39ED-BCB0-488F-B3FD-F89174F1F2B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6D791AA22684099EE4672EBEDF614" ma:contentTypeVersion="14" ma:contentTypeDescription="Create a new document." ma:contentTypeScope="" ma:versionID="d5da88a4da677b9e6979ab6dc3a9f056">
  <xsd:schema xmlns:xsd="http://www.w3.org/2001/XMLSchema" xmlns:xs="http://www.w3.org/2001/XMLSchema" xmlns:p="http://schemas.microsoft.com/office/2006/metadata/properties" xmlns:ns1="http://schemas.microsoft.com/sharepoint/v3" xmlns:ns2="08a23fc5-e034-477c-ac83-93bc1440f322" xmlns:ns3="65b6d800-2dda-48d6-88d8-9e2b35e6f7ea" targetNamespace="http://schemas.microsoft.com/office/2006/metadata/properties" ma:root="true" ma:fieldsID="3d84bdee0ea8dfdbf46e7d8ecf02b3e2" ns1:_="" ns2:_="" ns3:_="">
    <xsd:import namespace="http://schemas.microsoft.com/sharepoint/v3"/>
    <xsd:import namespace="08a23fc5-e034-477c-ac83-93bc1440f322"/>
    <xsd:import namespace="65b6d800-2dda-48d6-88d8-9e2b35e6f7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a23fc5-e034-477c-ac83-93bc1440f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6d800-2dda-48d6-88d8-9e2b35e6f7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08a23fc5-e034-477c-ac83-93bc1440f322" xsi:nil="true"/>
  </documentManagement>
</p:properties>
</file>

<file path=customXml/itemProps1.xml><?xml version="1.0" encoding="utf-8"?>
<ds:datastoreItem xmlns:ds="http://schemas.openxmlformats.org/officeDocument/2006/customXml" ds:itemID="{F94F3D6E-4EA9-407D-8CF0-98B12C31A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23fc5-e034-477c-ac83-93bc1440f322"/>
    <ds:schemaRef ds:uri="65b6d800-2dda-48d6-88d8-9e2b35e6f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43A85-40CC-4BC9-969D-0DE83E397D13}">
  <ds:schemaRefs>
    <ds:schemaRef ds:uri="http://schemas.microsoft.com/sharepoint/v3/contenttype/forms"/>
  </ds:schemaRefs>
</ds:datastoreItem>
</file>

<file path=customXml/itemProps3.xml><?xml version="1.0" encoding="utf-8"?>
<ds:datastoreItem xmlns:ds="http://schemas.openxmlformats.org/officeDocument/2006/customXml" ds:itemID="{136FAE08-158A-4A26-AB8F-64058C5E1998}">
  <ds:schemaRefs>
    <ds:schemaRef ds:uri="http://schemas.microsoft.com/office/2006/documentManagement/types"/>
    <ds:schemaRef ds:uri="http://purl.org/dc/terms/"/>
    <ds:schemaRef ds:uri="http://schemas.microsoft.com/sharepoint/v3"/>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65b6d800-2dda-48d6-88d8-9e2b35e6f7ea"/>
    <ds:schemaRef ds:uri="08a23fc5-e034-477c-ac83-93bc1440f32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overview</vt:lpstr>
      <vt:lpstr>Model outputs</vt:lpstr>
      <vt:lpstr>Data</vt:lpstr>
      <vt:lpstr>Assumptions</vt:lpstr>
      <vt:lpstr>Price and Financial Ratios</vt:lpstr>
      <vt:lpstr>Investment</vt:lpstr>
      <vt:lpstr>Profit and Loss</vt:lpstr>
      <vt:lpstr>Balance Sheet</vt:lpstr>
      <vt:lpstr>Cash Flow</vt:lpstr>
      <vt:lpstr>Depreciation</vt:lpstr>
      <vt:lpstr>Debt worksheet</vt:lpstr>
      <vt:lpstr>NPC</vt:lpstr>
      <vt:lpstr>Additional data --&gt;</vt:lpstr>
      <vt:lpstr>Allocation of GW debt</vt:lpstr>
      <vt:lpstr>Inflation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2023-05-01T08:52:52Z</dcterms:created>
  <dcterms:modified xsi:type="dcterms:W3CDTF">2023-06-07T22:39:06Z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0x0101005C06D791AA22684099EE4672EBEDF614</vt:lpwstr>
  </property>
</Properties>
</file>