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wlgprdfile02\home$\clarkejo\home\Desktop\"/>
    </mc:Choice>
  </mc:AlternateContent>
  <xr:revisionPtr revIDLastSave="0" documentId="8_{4FC4D822-A805-4A5B-BBA7-3449DE277494}" xr6:coauthVersionLast="31" xr6:coauthVersionMax="31" xr10:uidLastSave="{00000000-0000-0000-0000-000000000000}"/>
  <bookViews>
    <workbookView xWindow="-28920" yWindow="-120" windowWidth="29040" windowHeight="15840" tabRatio="498" xr2:uid="{772DBAFE-1CA8-40F9-9506-1EB920C62F87}"/>
  </bookViews>
  <sheets>
    <sheet name="Funding allocation" sheetId="13" r:id="rId1"/>
    <sheet name="Data sources" sheetId="18"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13" l="1"/>
  <c r="E51" i="13"/>
  <c r="E52" i="13"/>
  <c r="F50" i="13"/>
  <c r="E27" i="13"/>
  <c r="F27" i="13"/>
  <c r="E9" i="13"/>
  <c r="E10" i="13"/>
  <c r="E11" i="13"/>
  <c r="E12" i="13"/>
  <c r="E13" i="13"/>
  <c r="E14" i="13"/>
  <c r="E15" i="13"/>
  <c r="E16" i="13"/>
  <c r="E17" i="13"/>
  <c r="E18" i="13"/>
  <c r="E19" i="13"/>
  <c r="E20" i="13"/>
  <c r="E21" i="13"/>
  <c r="E22" i="13"/>
  <c r="E23" i="13"/>
  <c r="E24" i="13"/>
  <c r="E25" i="13"/>
  <c r="E26" i="13"/>
  <c r="E32" i="13"/>
  <c r="E33" i="13"/>
  <c r="E34" i="13"/>
  <c r="F32" i="13"/>
  <c r="E35" i="13"/>
  <c r="E36" i="13"/>
  <c r="E37" i="13"/>
  <c r="E38" i="13"/>
  <c r="E39" i="13"/>
  <c r="E40" i="13"/>
  <c r="E41" i="13"/>
  <c r="E42" i="13"/>
  <c r="E43" i="13"/>
  <c r="E44" i="13"/>
  <c r="E45" i="13"/>
  <c r="E46" i="13"/>
  <c r="E47" i="13"/>
  <c r="E48" i="13"/>
  <c r="E49" i="13"/>
  <c r="E56" i="13"/>
  <c r="E53" i="13"/>
  <c r="E54" i="13"/>
  <c r="E55" i="13"/>
  <c r="E57" i="13"/>
  <c r="E58" i="13"/>
  <c r="E59" i="13"/>
  <c r="E60" i="13"/>
  <c r="E61" i="13"/>
  <c r="E62" i="13"/>
  <c r="E63" i="13"/>
  <c r="E64" i="13"/>
  <c r="E66" i="13"/>
  <c r="E65" i="13"/>
  <c r="E67" i="13"/>
  <c r="E68" i="13"/>
  <c r="E69" i="13"/>
  <c r="E70" i="13"/>
  <c r="E71" i="13"/>
  <c r="E72" i="13"/>
  <c r="E73" i="13"/>
  <c r="E8" i="13"/>
  <c r="F67" i="13"/>
  <c r="F53" i="13"/>
  <c r="F71" i="13"/>
  <c r="F35" i="13"/>
  <c r="F11" i="13"/>
  <c r="F42" i="13"/>
  <c r="F56" i="13"/>
  <c r="F21" i="13"/>
  <c r="F8" i="13"/>
</calcChain>
</file>

<file path=xl/sharedStrings.xml><?xml version="1.0" encoding="utf-8"?>
<sst xmlns="http://schemas.openxmlformats.org/spreadsheetml/2006/main" count="159" uniqueCount="103">
  <si>
    <t>Individual Councils/TA</t>
  </si>
  <si>
    <t>Population</t>
  </si>
  <si>
    <t>Thames-Coromandel district</t>
  </si>
  <si>
    <t>Hauraki district</t>
  </si>
  <si>
    <t>Waikato district</t>
  </si>
  <si>
    <t>Matamata-Piako district</t>
  </si>
  <si>
    <t>Hamilton city</t>
  </si>
  <si>
    <t>Waipa district</t>
  </si>
  <si>
    <t>South Waikato district</t>
  </si>
  <si>
    <t>Waitomo district</t>
  </si>
  <si>
    <t>Taupo district</t>
  </si>
  <si>
    <t>Western Bay of Plenty district</t>
  </si>
  <si>
    <t>Tauranga city</t>
  </si>
  <si>
    <t>Rotorua district</t>
  </si>
  <si>
    <t>Whakatane district</t>
  </si>
  <si>
    <t>Kawerau district</t>
  </si>
  <si>
    <t>Gisborne district</t>
  </si>
  <si>
    <t>Wairoa district</t>
  </si>
  <si>
    <t>Hastings district</t>
  </si>
  <si>
    <t>Napier city</t>
  </si>
  <si>
    <t>Central Hawke's Bay district</t>
  </si>
  <si>
    <t>New Plymouth district</t>
  </si>
  <si>
    <t>Stratford district</t>
  </si>
  <si>
    <t>South Taranaki district</t>
  </si>
  <si>
    <t>Ruapehu district</t>
  </si>
  <si>
    <t>Whanganui district</t>
  </si>
  <si>
    <t>Rangitikei district</t>
  </si>
  <si>
    <t>Manawatu district</t>
  </si>
  <si>
    <t>Palmerston North city</t>
  </si>
  <si>
    <t>Tararua district</t>
  </si>
  <si>
    <t>Horowhenua district</t>
  </si>
  <si>
    <t>Kapiti Coast district</t>
  </si>
  <si>
    <t>Porirua city</t>
  </si>
  <si>
    <t>Upper Hutt city</t>
  </si>
  <si>
    <t>Lower Hutt city</t>
  </si>
  <si>
    <t>Wellington city</t>
  </si>
  <si>
    <t>Masterton district</t>
  </si>
  <si>
    <t>Carterton district</t>
  </si>
  <si>
    <t>South Wairarapa district</t>
  </si>
  <si>
    <t>Tasman district</t>
  </si>
  <si>
    <t>Nelson city</t>
  </si>
  <si>
    <t>Marlborough district</t>
  </si>
  <si>
    <t>Kaikoura district</t>
  </si>
  <si>
    <t>Buller district</t>
  </si>
  <si>
    <t>Grey district</t>
  </si>
  <si>
    <t>Westland district</t>
  </si>
  <si>
    <t>Hurunui district</t>
  </si>
  <si>
    <t>Waimakariri district</t>
  </si>
  <si>
    <t>Christchurch city</t>
  </si>
  <si>
    <t>Selwyn district</t>
  </si>
  <si>
    <t>Ashburton district</t>
  </si>
  <si>
    <t>Timaru district</t>
  </si>
  <si>
    <t>Mackenzie district</t>
  </si>
  <si>
    <t>Waimate district</t>
  </si>
  <si>
    <t>Chatham Islands territory</t>
  </si>
  <si>
    <t>Waitaki district</t>
  </si>
  <si>
    <t>Central Otago district</t>
  </si>
  <si>
    <t>Queenstown-Lakes district</t>
  </si>
  <si>
    <t>Dunedin city</t>
  </si>
  <si>
    <t>Clutha district</t>
  </si>
  <si>
    <t>Southland district</t>
  </si>
  <si>
    <t>Gore district</t>
  </si>
  <si>
    <t>Invercargill city</t>
  </si>
  <si>
    <t>Far North district</t>
  </si>
  <si>
    <t>Whangarei district</t>
  </si>
  <si>
    <t>Kaipara district</t>
  </si>
  <si>
    <t>Bay of Plenty</t>
  </si>
  <si>
    <t>Northland</t>
  </si>
  <si>
    <t>Otago</t>
  </si>
  <si>
    <t>Southland</t>
  </si>
  <si>
    <t>Taranaki</t>
  </si>
  <si>
    <t>Waikato</t>
  </si>
  <si>
    <t>Wellington</t>
  </si>
  <si>
    <t>Canterbury</t>
  </si>
  <si>
    <t>Ōtorohanga District</t>
  </si>
  <si>
    <t>Ōpōtiki District</t>
  </si>
  <si>
    <t>West Coast</t>
  </si>
  <si>
    <t>Manawatū-Whanganui</t>
  </si>
  <si>
    <t>Regional allocation</t>
  </si>
  <si>
    <t>Total funding package</t>
  </si>
  <si>
    <t>-</t>
  </si>
  <si>
    <t>Data</t>
  </si>
  <si>
    <t>Source</t>
  </si>
  <si>
    <t>Land area</t>
  </si>
  <si>
    <t xml:space="preserve">https://datafinder.stats.govt.nz/layer/104267-territorial-authority-2020-generalised/ </t>
  </si>
  <si>
    <t>Link</t>
  </si>
  <si>
    <t>2020 Stats NZ GIS data</t>
  </si>
  <si>
    <t>National parks area</t>
  </si>
  <si>
    <t>2020 LINZ data</t>
  </si>
  <si>
    <t xml:space="preserve">https://data.linz.govt.nz/layer/53564-protected-areas/ </t>
  </si>
  <si>
    <t>https://www.stats.govt.nz/information-releases/subnational-population-estimates-at-30-june-2019-provisional</t>
  </si>
  <si>
    <t>Stats NZ subnational population estimates</t>
  </si>
  <si>
    <t>Hawke's Bay</t>
  </si>
  <si>
    <t>TA allocation</t>
  </si>
  <si>
    <t>Funding for rural supplies</t>
  </si>
  <si>
    <t xml:space="preserve">Funding available for allocation </t>
  </si>
  <si>
    <t>Unallocated as at 4 August 2020</t>
  </si>
  <si>
    <t>Gisborne*</t>
  </si>
  <si>
    <t>Regional Grouping</t>
  </si>
  <si>
    <t>Upper South Island</t>
  </si>
  <si>
    <t>Total New Zealand</t>
  </si>
  <si>
    <t>*The regional allocation for Gisborne District Council (a unitary authority) will be made available based on Gisborne participating in one of the neighbouring regions (e.g. Bay of Plenty or Hawke's Bay), with the allocation to that region increasing by the amount tagged for Gisborne.</t>
  </si>
  <si>
    <r>
      <t>Size excluding national parks (km</t>
    </r>
    <r>
      <rPr>
        <b/>
        <vertAlign val="superscript"/>
        <sz val="10"/>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</si>
</sst>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0\ ;\(#,##0\)"/>
    <numFmt numFmtId="165" formatCode="#,##0\ \ \ ;"/>
    <numFmt numFmtId="166" formatCode="_-&quot;$&quot;* #,##0_-;\-&quot;$&quot;* #,##0_-;_-&quot;$&quot;* &quot;-&quot;??_-;_-@_-"/>
    <numFmt numFmtId="167" formatCode="#,##0.00\ \ \ ;"/>
    <numFmt numFmtId="168" formatCode="#,##0.00\ ;\(#,##0.00\)"/>
    <numFmt numFmtId="169" formatCode="_-&quot;$&quot;* #,##0.0_-;\-&quot;$&quot;* #,##0.0_-;_-&quot;$&quot;* &quot;-&quot;??_-;_-@_-"/>
    <numFmt numFmtId="170" formatCode="_-* #,##0_-;\-* #,##0_-;_-* &quot;-&quot;??_-;_-@_-"/>
  </numFmts>
  <fonts count="8" x14ac:knownFonts="1">
    <font>
      <sz val="10"/>
      <color theme="1"/>
      <name val="Arial"/>
      <family val="2"/>
    </font>
    <font>
      <sz val="10"/>
      <color theme="1"/>
      <name val="Arial"/>
      <family val="2"/>
    </font>
    <font>
      <sz val="10"/>
      <name val="Calibri"/>
      <family val="2"/>
      <scheme val="minor"/>
    </font>
    <font>
      <b/>
      <sz val="10"/>
      <color theme="1"/>
      <name val="Calibri"/>
      <family val="2"/>
      <scheme val="minor"/>
    </font>
    <font>
      <sz val="10"/>
      <color theme="1"/>
      <name val="Calibri"/>
      <family val="2"/>
      <scheme val="minor"/>
    </font>
    <font>
      <b/>
      <sz val="10"/>
      <name val="Calibri"/>
      <family val="2"/>
      <scheme val="minor"/>
    </font>
    <font>
      <u/>
      <sz val="10"/>
      <color theme="10"/>
      <name val="Arial"/>
      <family val="2"/>
    </font>
    <font>
      <b/>
      <vertAlign val="superscript"/>
      <sz val="10"/>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164" fontId="2" fillId="0" borderId="0" applyFill="0" applyBorder="0" applyProtection="0">
      <alignment vertical="center"/>
    </xf>
    <xf numFmtId="9" fontId="1" fillId="0" borderId="0" applyFon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cellStyleXfs>
  <cellXfs count="64">
    <xf numFmtId="0" fontId="0" fillId="0" borderId="0" xfId="0"/>
    <xf numFmtId="164" fontId="2" fillId="0" borderId="0" xfId="2">
      <alignment vertical="center"/>
    </xf>
    <xf numFmtId="0" fontId="0" fillId="0" borderId="0" xfId="0" applyFill="1"/>
    <xf numFmtId="166" fontId="2" fillId="0" borderId="0" xfId="1" applyNumberFormat="1" applyFont="1" applyAlignment="1">
      <alignment horizontal="right" vertical="center"/>
    </xf>
    <xf numFmtId="9" fontId="2" fillId="0" borderId="0" xfId="3" applyFont="1" applyAlignment="1">
      <alignment vertical="center"/>
    </xf>
    <xf numFmtId="0" fontId="3" fillId="0" borderId="0" xfId="0" applyFont="1"/>
    <xf numFmtId="0" fontId="4" fillId="0" borderId="0" xfId="0" applyFont="1"/>
    <xf numFmtId="0" fontId="3" fillId="0" borderId="0" xfId="0" applyFont="1" applyAlignment="1">
      <alignment horizontal="right"/>
    </xf>
    <xf numFmtId="0" fontId="4" fillId="0" borderId="0" xfId="0" applyFont="1" applyAlignment="1">
      <alignment horizontal="left" indent="1"/>
    </xf>
    <xf numFmtId="166" fontId="4" fillId="0" borderId="0" xfId="1" applyNumberFormat="1" applyFont="1" applyAlignment="1">
      <alignment horizontal="left" indent="1"/>
    </xf>
    <xf numFmtId="164" fontId="5" fillId="0" borderId="0" xfId="2" applyFont="1">
      <alignment vertical="center"/>
    </xf>
    <xf numFmtId="0" fontId="4" fillId="0" borderId="0" xfId="0" applyFont="1" applyAlignment="1">
      <alignment horizontal="left"/>
    </xf>
    <xf numFmtId="169" fontId="4" fillId="0" borderId="0" xfId="0" applyNumberFormat="1" applyFont="1"/>
    <xf numFmtId="166" fontId="0" fillId="0" borderId="0" xfId="0" applyNumberFormat="1"/>
    <xf numFmtId="9" fontId="0" fillId="0" borderId="0" xfId="3" applyFont="1"/>
    <xf numFmtId="0" fontId="4" fillId="0" borderId="0" xfId="0" applyFont="1" applyAlignment="1">
      <alignment horizontal="right"/>
    </xf>
    <xf numFmtId="0" fontId="0" fillId="0" borderId="0" xfId="0" applyFont="1" applyBorder="1"/>
    <xf numFmtId="0" fontId="0" fillId="0" borderId="0" xfId="0" applyFont="1" applyFill="1" applyBorder="1"/>
    <xf numFmtId="0" fontId="0" fillId="0" borderId="0" xfId="0" applyFont="1" applyBorder="1" applyAlignment="1">
      <alignment wrapText="1"/>
    </xf>
    <xf numFmtId="169" fontId="4" fillId="0" borderId="0" xfId="0" applyNumberFormat="1" applyFont="1" applyAlignment="1">
      <alignment horizontal="right"/>
    </xf>
    <xf numFmtId="0" fontId="6" fillId="0" borderId="0" xfId="4"/>
    <xf numFmtId="0" fontId="6" fillId="0" borderId="0" xfId="4" applyAlignment="1"/>
    <xf numFmtId="4" fontId="4" fillId="0" borderId="0" xfId="0" applyNumberFormat="1" applyFont="1" applyAlignment="1">
      <alignment horizontal="left" indent="1"/>
    </xf>
    <xf numFmtId="164" fontId="2" fillId="0" borderId="0" xfId="2" applyProtection="1">
      <alignment vertical="center"/>
      <protection locked="0"/>
    </xf>
    <xf numFmtId="170" fontId="2" fillId="0" borderId="0" xfId="5" applyNumberFormat="1" applyFont="1" applyAlignment="1" applyProtection="1">
      <alignment vertical="center"/>
      <protection locked="0"/>
    </xf>
    <xf numFmtId="0" fontId="0" fillId="0" borderId="0" xfId="0" applyProtection="1">
      <protection locked="0"/>
    </xf>
    <xf numFmtId="168" fontId="2" fillId="0" borderId="0" xfId="2" applyNumberFormat="1" applyProtection="1">
      <alignment vertical="center"/>
      <protection locked="0"/>
    </xf>
    <xf numFmtId="44" fontId="0" fillId="0" borderId="0" xfId="0" applyNumberFormat="1" applyProtection="1">
      <protection locked="0"/>
    </xf>
    <xf numFmtId="0" fontId="2" fillId="0" borderId="0" xfId="2" applyNumberFormat="1" applyFill="1" applyProtection="1">
      <alignment vertical="center"/>
      <protection locked="0"/>
    </xf>
    <xf numFmtId="44" fontId="2" fillId="0" borderId="0" xfId="1" applyFont="1" applyAlignment="1" applyProtection="1">
      <alignment vertical="center"/>
      <protection locked="0"/>
    </xf>
    <xf numFmtId="0" fontId="5" fillId="0" borderId="0" xfId="0" applyFont="1" applyFill="1" applyAlignment="1" applyProtection="1">
      <alignment horizontal="left"/>
      <protection locked="0"/>
    </xf>
    <xf numFmtId="164" fontId="5" fillId="0" borderId="0" xfId="2" applyFont="1" applyAlignment="1" applyProtection="1">
      <alignment horizontal="left" vertical="center"/>
      <protection locked="0"/>
    </xf>
    <xf numFmtId="164" fontId="5" fillId="0" borderId="0" xfId="2" applyFont="1" applyAlignment="1" applyProtection="1">
      <alignment horizontal="right" vertical="center"/>
      <protection locked="0"/>
    </xf>
    <xf numFmtId="0" fontId="2" fillId="0" borderId="2"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165" fontId="2" fillId="0" borderId="3" xfId="0" applyNumberFormat="1" applyFont="1" applyBorder="1" applyProtection="1">
      <protection locked="0"/>
    </xf>
    <xf numFmtId="167" fontId="2" fillId="0" borderId="3" xfId="0" applyNumberFormat="1" applyFont="1" applyBorder="1" applyProtection="1">
      <protection locked="0"/>
    </xf>
    <xf numFmtId="166" fontId="2" fillId="0" borderId="4" xfId="1" applyNumberFormat="1" applyFont="1" applyBorder="1" applyAlignment="1" applyProtection="1">
      <alignment vertical="center"/>
      <protection locked="0"/>
    </xf>
    <xf numFmtId="0" fontId="2" fillId="0" borderId="5"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165" fontId="2" fillId="0" borderId="0" xfId="0" applyNumberFormat="1" applyFont="1" applyBorder="1" applyProtection="1">
      <protection locked="0"/>
    </xf>
    <xf numFmtId="167" fontId="2" fillId="0" borderId="0" xfId="0" applyNumberFormat="1" applyFont="1" applyBorder="1" applyProtection="1">
      <protection locked="0"/>
    </xf>
    <xf numFmtId="166" fontId="2" fillId="0" borderId="6" xfId="1" applyNumberFormat="1" applyFont="1" applyBorder="1" applyAlignment="1" applyProtection="1">
      <alignment vertical="center"/>
      <protection locked="0"/>
    </xf>
    <xf numFmtId="0" fontId="2" fillId="0" borderId="7" xfId="0" applyFont="1" applyFill="1" applyBorder="1" applyAlignment="1" applyProtection="1">
      <alignment horizontal="left"/>
      <protection locked="0"/>
    </xf>
    <xf numFmtId="0" fontId="2" fillId="0" borderId="8" xfId="0" applyFont="1" applyFill="1" applyBorder="1" applyAlignment="1" applyProtection="1">
      <alignment horizontal="left"/>
      <protection locked="0"/>
    </xf>
    <xf numFmtId="165" fontId="2" fillId="0" borderId="8" xfId="0" applyNumberFormat="1" applyFont="1" applyBorder="1" applyProtection="1">
      <protection locked="0"/>
    </xf>
    <xf numFmtId="167" fontId="2" fillId="0" borderId="8" xfId="0" applyNumberFormat="1" applyFont="1" applyBorder="1" applyProtection="1">
      <protection locked="0"/>
    </xf>
    <xf numFmtId="166" fontId="2" fillId="0" borderId="9" xfId="1" applyNumberFormat="1" applyFont="1" applyBorder="1" applyAlignment="1" applyProtection="1">
      <alignment vertical="center"/>
      <protection locked="0"/>
    </xf>
    <xf numFmtId="0" fontId="2" fillId="0" borderId="3"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10" xfId="0" applyFont="1" applyFill="1" applyBorder="1" applyAlignment="1" applyProtection="1">
      <alignment horizontal="left"/>
      <protection locked="0"/>
    </xf>
    <xf numFmtId="0" fontId="2" fillId="0" borderId="11" xfId="0" applyFont="1" applyBorder="1" applyAlignment="1" applyProtection="1">
      <alignment horizontal="left"/>
      <protection locked="0"/>
    </xf>
    <xf numFmtId="165" fontId="2" fillId="0" borderId="11" xfId="0" applyNumberFormat="1" applyFont="1" applyBorder="1" applyProtection="1">
      <protection locked="0"/>
    </xf>
    <xf numFmtId="167" fontId="2" fillId="0" borderId="11" xfId="0" applyNumberFormat="1" applyFont="1" applyBorder="1" applyProtection="1">
      <protection locked="0"/>
    </xf>
    <xf numFmtId="166" fontId="2" fillId="0" borderId="12" xfId="1" applyNumberFormat="1" applyFont="1" applyBorder="1" applyAlignment="1" applyProtection="1">
      <alignment vertical="center"/>
      <protection locked="0"/>
    </xf>
    <xf numFmtId="166" fontId="2" fillId="0" borderId="1" xfId="1" applyNumberFormat="1" applyFont="1" applyBorder="1" applyAlignment="1" applyProtection="1">
      <alignment horizontal="right" vertical="center"/>
      <protection locked="0"/>
    </xf>
    <xf numFmtId="166" fontId="4" fillId="0" borderId="4" xfId="1" applyNumberFormat="1" applyFont="1" applyBorder="1" applyAlignment="1" applyProtection="1">
      <alignment horizontal="left"/>
      <protection locked="0"/>
    </xf>
    <xf numFmtId="166" fontId="4" fillId="0" borderId="6" xfId="1" applyNumberFormat="1" applyFont="1" applyBorder="1" applyAlignment="1" applyProtection="1">
      <alignment horizontal="left"/>
      <protection locked="0"/>
    </xf>
    <xf numFmtId="166" fontId="4" fillId="0" borderId="9" xfId="1" applyNumberFormat="1" applyFont="1" applyBorder="1" applyAlignment="1" applyProtection="1">
      <alignment horizontal="left"/>
      <protection locked="0"/>
    </xf>
    <xf numFmtId="166" fontId="2" fillId="0" borderId="0" xfId="1" applyNumberFormat="1" applyFont="1" applyAlignment="1" applyProtection="1">
      <alignment horizontal="right" vertical="center"/>
      <protection locked="0"/>
    </xf>
    <xf numFmtId="0" fontId="4" fillId="0" borderId="0" xfId="0" applyFont="1" applyAlignment="1" applyProtection="1">
      <alignment horizontal="right"/>
      <protection locked="0"/>
    </xf>
    <xf numFmtId="0" fontId="4" fillId="0" borderId="0" xfId="0" applyFont="1" applyAlignment="1" applyProtection="1">
      <alignment horizontal="left" wrapText="1"/>
      <protection locked="0"/>
    </xf>
    <xf numFmtId="166" fontId="2" fillId="0" borderId="1" xfId="1" applyNumberFormat="1" applyFont="1" applyBorder="1" applyAlignment="1" applyProtection="1">
      <alignment horizontal="right" vertical="center"/>
      <protection locked="0"/>
    </xf>
  </cellXfs>
  <cellStyles count="6">
    <cellStyle name="Body" xfId="2" xr:uid="{015D29D5-BE4F-40EB-A83D-76763735AF5C}"/>
    <cellStyle name="Comma" xfId="5" builtinId="3"/>
    <cellStyle name="Currency" xfId="1"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tats.govt.nz/information-releases/subnational-population-estimates-at-30-june-2019-provisional" TargetMode="External"/><Relationship Id="rId2" Type="http://schemas.openxmlformats.org/officeDocument/2006/relationships/hyperlink" Target="https://data.linz.govt.nz/layer/53564-protected-areas/" TargetMode="External"/><Relationship Id="rId1" Type="http://schemas.openxmlformats.org/officeDocument/2006/relationships/hyperlink" Target="https://datafinder.stats.govt.nz/layer/104267-territorial-authority-2020-generalised/"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31F97-C3C4-4184-8F75-E8E8E49968C6}">
  <dimension ref="A1:O84"/>
  <sheetViews>
    <sheetView showGridLines="0" tabSelected="1" topLeftCell="A57" zoomScaleNormal="100" workbookViewId="0">
      <selection activeCell="A76" sqref="A1:F76"/>
    </sheetView>
  </sheetViews>
  <sheetFormatPr defaultRowHeight="12.75" x14ac:dyDescent="0.2"/>
  <cols>
    <col min="1" max="1" width="28.42578125" bestFit="1" customWidth="1"/>
    <col min="2" max="2" width="21.85546875" bestFit="1" customWidth="1"/>
    <col min="3" max="3" width="25.42578125" customWidth="1"/>
    <col min="4" max="4" width="28.42578125" customWidth="1"/>
    <col min="5" max="5" width="24.42578125" customWidth="1"/>
    <col min="6" max="6" width="20.28515625" customWidth="1"/>
    <col min="7" max="7" width="16.5703125" bestFit="1" customWidth="1"/>
    <col min="8" max="8" width="28" style="6" customWidth="1"/>
    <col min="9" max="9" width="13.5703125" style="6" customWidth="1"/>
    <col min="10" max="10" width="11.28515625" style="6" bestFit="1" customWidth="1"/>
    <col min="13" max="13" width="28.42578125" customWidth="1"/>
    <col min="14" max="14" width="11" bestFit="1" customWidth="1"/>
  </cols>
  <sheetData>
    <row r="1" spans="1:10" x14ac:dyDescent="0.2">
      <c r="A1" s="23" t="s">
        <v>79</v>
      </c>
      <c r="B1" s="24">
        <v>701940000</v>
      </c>
      <c r="C1" s="25"/>
      <c r="D1" s="25"/>
      <c r="E1" s="25"/>
      <c r="F1" s="25"/>
    </row>
    <row r="2" spans="1:10" x14ac:dyDescent="0.2">
      <c r="A2" s="23" t="s">
        <v>94</v>
      </c>
      <c r="B2" s="24">
        <v>30000000</v>
      </c>
      <c r="C2" s="25"/>
      <c r="D2" s="23"/>
      <c r="E2" s="26"/>
      <c r="F2" s="25"/>
      <c r="I2" s="7"/>
    </row>
    <row r="3" spans="1:10" x14ac:dyDescent="0.2">
      <c r="A3" s="23" t="s">
        <v>95</v>
      </c>
      <c r="B3" s="24">
        <v>671940000</v>
      </c>
      <c r="C3" s="27"/>
      <c r="D3" s="23"/>
      <c r="E3" s="28"/>
      <c r="F3" s="25"/>
    </row>
    <row r="4" spans="1:10" x14ac:dyDescent="0.2">
      <c r="A4" s="23" t="s">
        <v>96</v>
      </c>
      <c r="B4" s="24">
        <v>148792847.890378</v>
      </c>
      <c r="C4" s="25"/>
      <c r="D4" s="25"/>
      <c r="E4" s="23"/>
      <c r="F4" s="25"/>
      <c r="H4" s="5"/>
      <c r="I4" s="7"/>
    </row>
    <row r="5" spans="1:10" x14ac:dyDescent="0.2">
      <c r="A5" s="23"/>
      <c r="B5" s="29"/>
      <c r="C5" s="25"/>
      <c r="D5" s="25"/>
      <c r="E5" s="23"/>
      <c r="F5" s="25"/>
      <c r="H5" s="5"/>
      <c r="I5" s="7"/>
    </row>
    <row r="6" spans="1:10" x14ac:dyDescent="0.2">
      <c r="A6" s="25"/>
      <c r="B6" s="25"/>
      <c r="C6" s="25"/>
      <c r="D6" s="25"/>
      <c r="E6" s="25"/>
      <c r="F6" s="25"/>
      <c r="I6" s="3"/>
      <c r="J6"/>
    </row>
    <row r="7" spans="1:10" ht="15" x14ac:dyDescent="0.2">
      <c r="A7" s="30" t="s">
        <v>98</v>
      </c>
      <c r="B7" s="31" t="s">
        <v>0</v>
      </c>
      <c r="C7" s="32" t="s">
        <v>1</v>
      </c>
      <c r="D7" s="32" t="s">
        <v>102</v>
      </c>
      <c r="E7" s="32" t="s">
        <v>93</v>
      </c>
      <c r="F7" s="32" t="s">
        <v>78</v>
      </c>
      <c r="H7" s="11"/>
      <c r="I7" s="15"/>
    </row>
    <row r="8" spans="1:10" x14ac:dyDescent="0.2">
      <c r="A8" s="33" t="s">
        <v>67</v>
      </c>
      <c r="B8" s="34" t="s">
        <v>63</v>
      </c>
      <c r="C8" s="35">
        <v>68500</v>
      </c>
      <c r="D8" s="36">
        <v>6683.6375399999997</v>
      </c>
      <c r="E8" s="37">
        <f t="shared" ref="E8:E27" si="0">((C8/$C$74)*(0.75*$B$3) + (D8/$D$74)*(0.25*$B$3))*0.5</f>
        <v>5897894.6646948317</v>
      </c>
      <c r="F8" s="63">
        <f>SUMIF(A$8:A$73, "=Northland",E8:E73)</f>
        <v>14131788.668778941</v>
      </c>
      <c r="I8" s="12"/>
      <c r="J8" s="4"/>
    </row>
    <row r="9" spans="1:10" x14ac:dyDescent="0.2">
      <c r="A9" s="38" t="s">
        <v>67</v>
      </c>
      <c r="B9" s="39" t="s">
        <v>64</v>
      </c>
      <c r="C9" s="40">
        <v>96000</v>
      </c>
      <c r="D9" s="41">
        <v>2711.912785</v>
      </c>
      <c r="E9" s="42">
        <f t="shared" si="0"/>
        <v>5888369.9513614131</v>
      </c>
      <c r="F9" s="63"/>
      <c r="H9" s="11"/>
      <c r="I9" s="12"/>
      <c r="J9" s="4"/>
    </row>
    <row r="10" spans="1:10" x14ac:dyDescent="0.2">
      <c r="A10" s="43" t="s">
        <v>67</v>
      </c>
      <c r="B10" s="44" t="s">
        <v>65</v>
      </c>
      <c r="C10" s="45">
        <v>24100</v>
      </c>
      <c r="D10" s="46">
        <v>3108.6962210000002</v>
      </c>
      <c r="E10" s="47">
        <f t="shared" si="0"/>
        <v>2345524.0527226967</v>
      </c>
      <c r="F10" s="63"/>
      <c r="H10" s="11"/>
      <c r="I10" s="12"/>
      <c r="J10" s="4"/>
    </row>
    <row r="11" spans="1:10" x14ac:dyDescent="0.2">
      <c r="A11" s="33" t="s">
        <v>71</v>
      </c>
      <c r="B11" s="48" t="s">
        <v>2</v>
      </c>
      <c r="C11" s="35">
        <v>31500</v>
      </c>
      <c r="D11" s="36">
        <v>2207.2140789999999</v>
      </c>
      <c r="E11" s="37">
        <f t="shared" si="0"/>
        <v>2402714.6624559471</v>
      </c>
      <c r="F11" s="63">
        <f>SUMIF(A$8:A$73, "=Waikato",E8:E73)</f>
        <v>33303369.989847168</v>
      </c>
      <c r="H11" s="11"/>
      <c r="I11" s="12"/>
      <c r="J11" s="4"/>
    </row>
    <row r="12" spans="1:10" x14ac:dyDescent="0.2">
      <c r="A12" s="38" t="s">
        <v>71</v>
      </c>
      <c r="B12" s="49" t="s">
        <v>3</v>
      </c>
      <c r="C12" s="40">
        <v>21000</v>
      </c>
      <c r="D12" s="41">
        <v>1270.154117</v>
      </c>
      <c r="E12" s="42">
        <f t="shared" si="0"/>
        <v>1529893.066582083</v>
      </c>
      <c r="F12" s="63"/>
      <c r="H12" s="11"/>
      <c r="I12" s="19"/>
      <c r="J12" s="4"/>
    </row>
    <row r="13" spans="1:10" x14ac:dyDescent="0.2">
      <c r="A13" s="38" t="s">
        <v>71</v>
      </c>
      <c r="B13" s="49" t="s">
        <v>4</v>
      </c>
      <c r="C13" s="40">
        <v>79900</v>
      </c>
      <c r="D13" s="41">
        <v>4403.7751250000001</v>
      </c>
      <c r="E13" s="42">
        <f t="shared" si="0"/>
        <v>5667680.8552302765</v>
      </c>
      <c r="F13" s="63"/>
      <c r="H13" s="11"/>
      <c r="I13" s="12"/>
      <c r="J13" s="4"/>
    </row>
    <row r="14" spans="1:10" x14ac:dyDescent="0.2">
      <c r="A14" s="38" t="s">
        <v>71</v>
      </c>
      <c r="B14" s="49" t="s">
        <v>5</v>
      </c>
      <c r="C14" s="40">
        <v>36000</v>
      </c>
      <c r="D14" s="41">
        <v>1755.3789710000001</v>
      </c>
      <c r="E14" s="42">
        <f t="shared" si="0"/>
        <v>2471915.9353855979</v>
      </c>
      <c r="F14" s="63"/>
      <c r="H14" s="11"/>
      <c r="I14" s="12"/>
      <c r="J14" s="4"/>
    </row>
    <row r="15" spans="1:10" x14ac:dyDescent="0.2">
      <c r="A15" s="38" t="s">
        <v>71</v>
      </c>
      <c r="B15" s="39" t="s">
        <v>6</v>
      </c>
      <c r="C15" s="40">
        <v>169500</v>
      </c>
      <c r="D15" s="41">
        <v>110.37280800000001</v>
      </c>
      <c r="E15" s="42">
        <f t="shared" si="0"/>
        <v>8725620.9554521516</v>
      </c>
      <c r="F15" s="63"/>
      <c r="H15" s="11"/>
      <c r="I15" s="12"/>
      <c r="J15" s="4"/>
    </row>
    <row r="16" spans="1:10" x14ac:dyDescent="0.2">
      <c r="A16" s="38" t="s">
        <v>71</v>
      </c>
      <c r="B16" s="49" t="s">
        <v>7</v>
      </c>
      <c r="C16" s="40">
        <v>56200</v>
      </c>
      <c r="D16" s="41">
        <v>1470.0629799999999</v>
      </c>
      <c r="E16" s="42">
        <f t="shared" si="0"/>
        <v>3405163.4283180018</v>
      </c>
      <c r="F16" s="63"/>
      <c r="H16" s="11"/>
      <c r="I16" s="12"/>
      <c r="J16" s="4"/>
    </row>
    <row r="17" spans="1:15" x14ac:dyDescent="0.2">
      <c r="A17" s="38" t="s">
        <v>71</v>
      </c>
      <c r="B17" s="49" t="s">
        <v>74</v>
      </c>
      <c r="C17" s="40">
        <v>10500</v>
      </c>
      <c r="D17" s="41">
        <v>1999.1756580000001</v>
      </c>
      <c r="E17" s="42">
        <f t="shared" si="0"/>
        <v>1252233.1315875007</v>
      </c>
      <c r="F17" s="63"/>
      <c r="H17" s="11"/>
      <c r="I17" s="12"/>
      <c r="J17" s="4"/>
    </row>
    <row r="18" spans="1:15" x14ac:dyDescent="0.2">
      <c r="A18" s="38" t="s">
        <v>71</v>
      </c>
      <c r="B18" s="49" t="s">
        <v>8</v>
      </c>
      <c r="C18" s="40">
        <v>25100</v>
      </c>
      <c r="D18" s="41">
        <v>1818.8759190000001</v>
      </c>
      <c r="E18" s="42">
        <f t="shared" si="0"/>
        <v>1936017.3056208189</v>
      </c>
      <c r="F18" s="63"/>
      <c r="I18" s="12"/>
      <c r="J18" s="4"/>
    </row>
    <row r="19" spans="1:15" x14ac:dyDescent="0.2">
      <c r="A19" s="38" t="s">
        <v>71</v>
      </c>
      <c r="B19" s="49" t="s">
        <v>9</v>
      </c>
      <c r="C19" s="40">
        <v>9490</v>
      </c>
      <c r="D19" s="41">
        <v>3534.832895</v>
      </c>
      <c r="E19" s="42">
        <f t="shared" si="0"/>
        <v>1749045.8829355177</v>
      </c>
      <c r="F19" s="63"/>
      <c r="H19" s="11"/>
      <c r="I19" s="12"/>
      <c r="J19" s="4"/>
    </row>
    <row r="20" spans="1:15" x14ac:dyDescent="0.2">
      <c r="A20" s="43" t="s">
        <v>71</v>
      </c>
      <c r="B20" s="50" t="s">
        <v>10</v>
      </c>
      <c r="C20" s="45">
        <v>39300</v>
      </c>
      <c r="D20" s="46">
        <v>6016.1896917232416</v>
      </c>
      <c r="E20" s="47">
        <f t="shared" si="0"/>
        <v>4163084.7662792746</v>
      </c>
      <c r="F20" s="63"/>
      <c r="H20" s="11"/>
      <c r="I20" s="12"/>
      <c r="J20" s="4"/>
    </row>
    <row r="21" spans="1:15" x14ac:dyDescent="0.2">
      <c r="A21" s="33" t="s">
        <v>66</v>
      </c>
      <c r="B21" s="48" t="s">
        <v>11</v>
      </c>
      <c r="C21" s="35">
        <v>53900</v>
      </c>
      <c r="D21" s="36">
        <v>1951.119563</v>
      </c>
      <c r="E21" s="37">
        <f t="shared" si="0"/>
        <v>3459141.8734679297</v>
      </c>
      <c r="F21" s="63">
        <f>SUMIF(A$8:A$73, "=Bay of Plenty",E8:E73)</f>
        <v>21116885.502839826</v>
      </c>
      <c r="J21" s="4"/>
    </row>
    <row r="22" spans="1:15" x14ac:dyDescent="0.2">
      <c r="A22" s="38" t="s">
        <v>66</v>
      </c>
      <c r="B22" s="39" t="s">
        <v>12</v>
      </c>
      <c r="C22" s="40">
        <v>144700</v>
      </c>
      <c r="D22" s="41">
        <v>135.11536799999999</v>
      </c>
      <c r="E22" s="42">
        <f t="shared" si="0"/>
        <v>7463559.2918030545</v>
      </c>
      <c r="F22" s="63"/>
      <c r="J22" s="4"/>
    </row>
    <row r="23" spans="1:15" x14ac:dyDescent="0.2">
      <c r="A23" s="38" t="s">
        <v>66</v>
      </c>
      <c r="B23" s="49" t="s">
        <v>13</v>
      </c>
      <c r="C23" s="40">
        <v>75100</v>
      </c>
      <c r="D23" s="41">
        <v>2409.2079239999998</v>
      </c>
      <c r="E23" s="42">
        <f t="shared" si="0"/>
        <v>4709196.043843654</v>
      </c>
      <c r="F23" s="63"/>
      <c r="J23" s="4"/>
    </row>
    <row r="24" spans="1:15" x14ac:dyDescent="0.2">
      <c r="A24" s="38" t="s">
        <v>66</v>
      </c>
      <c r="B24" s="49" t="s">
        <v>14</v>
      </c>
      <c r="C24" s="40">
        <v>37100</v>
      </c>
      <c r="D24" s="41">
        <v>4450.0701865578403</v>
      </c>
      <c r="E24" s="42">
        <f t="shared" si="0"/>
        <v>3490890.6196808675</v>
      </c>
      <c r="F24" s="63"/>
      <c r="H24" s="8"/>
      <c r="I24" s="9"/>
    </row>
    <row r="25" spans="1:15" x14ac:dyDescent="0.2">
      <c r="A25" s="38" t="s">
        <v>66</v>
      </c>
      <c r="B25" s="49" t="s">
        <v>15</v>
      </c>
      <c r="C25" s="40">
        <v>7490</v>
      </c>
      <c r="D25" s="41">
        <v>23.562180000000001</v>
      </c>
      <c r="E25" s="42">
        <f t="shared" si="0"/>
        <v>392249.3160125966</v>
      </c>
      <c r="F25" s="63"/>
      <c r="H25" s="8"/>
      <c r="I25" s="9"/>
    </row>
    <row r="26" spans="1:15" x14ac:dyDescent="0.2">
      <c r="A26" s="43" t="s">
        <v>66</v>
      </c>
      <c r="B26" s="50" t="s">
        <v>75</v>
      </c>
      <c r="C26" s="45">
        <v>9720</v>
      </c>
      <c r="D26" s="46">
        <v>3089.7765589999999</v>
      </c>
      <c r="E26" s="47">
        <f t="shared" si="0"/>
        <v>1601848.3580317267</v>
      </c>
      <c r="F26" s="63"/>
      <c r="H26" s="8"/>
      <c r="I26" s="9"/>
    </row>
    <row r="27" spans="1:15" x14ac:dyDescent="0.2">
      <c r="A27" s="51" t="s">
        <v>97</v>
      </c>
      <c r="B27" s="52" t="s">
        <v>16</v>
      </c>
      <c r="C27" s="53">
        <v>49300</v>
      </c>
      <c r="D27" s="54">
        <v>8385.3264650000001</v>
      </c>
      <c r="E27" s="55">
        <f t="shared" si="0"/>
        <v>5521853.3124141786</v>
      </c>
      <c r="F27" s="56">
        <f>SUMIF(A$8:A$73, "=Gisborne*",E8:E73)</f>
        <v>5521853.3124141786</v>
      </c>
      <c r="H27" s="8"/>
      <c r="I27" s="9"/>
    </row>
    <row r="28" spans="1:15" x14ac:dyDescent="0.2">
      <c r="A28" s="33" t="s">
        <v>92</v>
      </c>
      <c r="B28" s="48" t="s">
        <v>17</v>
      </c>
      <c r="C28" s="35">
        <v>8680</v>
      </c>
      <c r="D28" s="36">
        <v>4077.2767269999999</v>
      </c>
      <c r="E28" s="57">
        <v>11040190</v>
      </c>
      <c r="F28" s="63" t="s">
        <v>80</v>
      </c>
      <c r="H28" s="22"/>
      <c r="I28" s="9"/>
      <c r="M28" s="8"/>
      <c r="N28" s="9"/>
      <c r="O28" s="6"/>
    </row>
    <row r="29" spans="1:15" x14ac:dyDescent="0.2">
      <c r="A29" s="38" t="s">
        <v>92</v>
      </c>
      <c r="B29" s="49" t="s">
        <v>18</v>
      </c>
      <c r="C29" s="40">
        <v>85000</v>
      </c>
      <c r="D29" s="41">
        <v>5226.6063569999997</v>
      </c>
      <c r="E29" s="58">
        <v>15361850</v>
      </c>
      <c r="F29" s="63"/>
      <c r="H29" s="8"/>
      <c r="I29" s="9"/>
      <c r="M29" s="8"/>
      <c r="N29" s="9"/>
      <c r="O29" s="6"/>
    </row>
    <row r="30" spans="1:15" x14ac:dyDescent="0.2">
      <c r="A30" s="38" t="s">
        <v>92</v>
      </c>
      <c r="B30" s="49" t="s">
        <v>19</v>
      </c>
      <c r="C30" s="40">
        <v>65000</v>
      </c>
      <c r="D30" s="41">
        <v>105.05100400000001</v>
      </c>
      <c r="E30" s="58">
        <v>12507400</v>
      </c>
      <c r="F30" s="63"/>
      <c r="H30" s="8"/>
      <c r="I30" s="9"/>
      <c r="M30" s="8"/>
      <c r="N30" s="9"/>
      <c r="O30" s="6"/>
    </row>
    <row r="31" spans="1:15" x14ac:dyDescent="0.2">
      <c r="A31" s="43" t="s">
        <v>92</v>
      </c>
      <c r="B31" s="50" t="s">
        <v>20</v>
      </c>
      <c r="C31" s="45">
        <v>14850</v>
      </c>
      <c r="D31" s="46">
        <v>3333.139975</v>
      </c>
      <c r="E31" s="59">
        <v>11090560</v>
      </c>
      <c r="F31" s="63"/>
      <c r="H31" s="8"/>
      <c r="I31" s="9"/>
      <c r="M31" s="8"/>
      <c r="N31" s="9"/>
      <c r="O31" s="6"/>
    </row>
    <row r="32" spans="1:15" x14ac:dyDescent="0.2">
      <c r="A32" s="33" t="s">
        <v>70</v>
      </c>
      <c r="B32" s="48" t="s">
        <v>21</v>
      </c>
      <c r="C32" s="35">
        <v>84400</v>
      </c>
      <c r="D32" s="36">
        <v>2039.157287548052</v>
      </c>
      <c r="E32" s="37">
        <f t="shared" ref="E32:E73" si="1">((C32/$C$74)*(0.75*$B$3) + (D32/$D$74)*(0.25*$B$3))*0.5</f>
        <v>5053593.2589707794</v>
      </c>
      <c r="F32" s="63">
        <f>SUMIF(A$8:A$73, "=Taranaki",E8:E73)</f>
        <v>8945175.0952606853</v>
      </c>
      <c r="H32" s="8"/>
      <c r="I32" s="9"/>
      <c r="M32" s="8"/>
      <c r="N32" s="9"/>
      <c r="O32" s="6"/>
    </row>
    <row r="33" spans="1:15" x14ac:dyDescent="0.2">
      <c r="A33" s="38" t="s">
        <v>70</v>
      </c>
      <c r="B33" s="49" t="s">
        <v>22</v>
      </c>
      <c r="C33" s="40">
        <v>9860</v>
      </c>
      <c r="D33" s="41">
        <v>1930.6157469143661</v>
      </c>
      <c r="E33" s="42">
        <f t="shared" si="1"/>
        <v>1194944.5683791852</v>
      </c>
      <c r="F33" s="63"/>
      <c r="H33" s="8"/>
      <c r="I33" s="9"/>
    </row>
    <row r="34" spans="1:15" x14ac:dyDescent="0.2">
      <c r="A34" s="43" t="s">
        <v>70</v>
      </c>
      <c r="B34" s="50" t="s">
        <v>23</v>
      </c>
      <c r="C34" s="45">
        <v>28600</v>
      </c>
      <c r="D34" s="46">
        <v>3446.03874883355</v>
      </c>
      <c r="E34" s="47">
        <f t="shared" si="1"/>
        <v>2696637.2679107208</v>
      </c>
      <c r="F34" s="63"/>
      <c r="H34" s="8"/>
      <c r="I34" s="9"/>
    </row>
    <row r="35" spans="1:15" s="6" customFormat="1" x14ac:dyDescent="0.2">
      <c r="A35" s="33" t="s">
        <v>77</v>
      </c>
      <c r="B35" s="48" t="s">
        <v>24</v>
      </c>
      <c r="C35" s="35">
        <v>12750</v>
      </c>
      <c r="D35" s="36">
        <v>6005.3596809512828</v>
      </c>
      <c r="E35" s="37">
        <f t="shared" si="1"/>
        <v>2798635.3209852092</v>
      </c>
      <c r="F35" s="63">
        <f>SUMIF(A$8:A$73, "=Manawatū-Whanganui",E8:E73)</f>
        <v>20268351.4340575</v>
      </c>
      <c r="H35" s="8"/>
      <c r="I35" s="9"/>
      <c r="K35"/>
      <c r="L35"/>
      <c r="M35"/>
      <c r="N35"/>
      <c r="O35"/>
    </row>
    <row r="36" spans="1:15" s="6" customFormat="1" x14ac:dyDescent="0.2">
      <c r="A36" s="38" t="s">
        <v>77</v>
      </c>
      <c r="B36" s="49" t="s">
        <v>25</v>
      </c>
      <c r="C36" s="40">
        <v>47300</v>
      </c>
      <c r="D36" s="41">
        <v>2074.3608015633008</v>
      </c>
      <c r="E36" s="42">
        <f t="shared" si="1"/>
        <v>3164942.9500577343</v>
      </c>
      <c r="F36" s="63"/>
      <c r="H36" s="8"/>
      <c r="I36" s="9"/>
      <c r="K36"/>
      <c r="L36"/>
      <c r="M36"/>
      <c r="N36"/>
      <c r="O36"/>
    </row>
    <row r="37" spans="1:15" s="6" customFormat="1" x14ac:dyDescent="0.2">
      <c r="A37" s="38" t="s">
        <v>77</v>
      </c>
      <c r="B37" s="49" t="s">
        <v>26</v>
      </c>
      <c r="C37" s="40">
        <v>15750</v>
      </c>
      <c r="D37" s="41">
        <v>4483.9270189999997</v>
      </c>
      <c r="E37" s="42">
        <f t="shared" si="1"/>
        <v>2408883.4034399632</v>
      </c>
      <c r="F37" s="63"/>
      <c r="H37" s="8"/>
      <c r="I37" s="9"/>
      <c r="K37"/>
      <c r="L37"/>
      <c r="M37"/>
      <c r="N37"/>
      <c r="O37"/>
    </row>
    <row r="38" spans="1:15" s="6" customFormat="1" x14ac:dyDescent="0.2">
      <c r="A38" s="38" t="s">
        <v>77</v>
      </c>
      <c r="B38" s="49" t="s">
        <v>27</v>
      </c>
      <c r="C38" s="40">
        <v>31700</v>
      </c>
      <c r="D38" s="41">
        <v>2566.5704449999998</v>
      </c>
      <c r="E38" s="42">
        <f t="shared" si="1"/>
        <v>2541334.0076170601</v>
      </c>
      <c r="F38" s="63"/>
      <c r="H38" s="8"/>
      <c r="I38" s="9"/>
      <c r="K38"/>
      <c r="L38"/>
      <c r="M38"/>
      <c r="N38"/>
      <c r="O38"/>
    </row>
    <row r="39" spans="1:15" s="6" customFormat="1" x14ac:dyDescent="0.2">
      <c r="A39" s="38" t="s">
        <v>77</v>
      </c>
      <c r="B39" s="39" t="s">
        <v>28</v>
      </c>
      <c r="C39" s="40">
        <v>88300</v>
      </c>
      <c r="D39" s="41">
        <v>394.74411900000001</v>
      </c>
      <c r="E39" s="42">
        <f t="shared" si="1"/>
        <v>4666031.3280847212</v>
      </c>
      <c r="F39" s="63"/>
      <c r="H39" s="8"/>
      <c r="I39" s="9"/>
      <c r="K39"/>
      <c r="L39"/>
      <c r="M39"/>
      <c r="N39"/>
      <c r="O39"/>
    </row>
    <row r="40" spans="1:15" s="6" customFormat="1" x14ac:dyDescent="0.2">
      <c r="A40" s="38" t="s">
        <v>77</v>
      </c>
      <c r="B40" s="49" t="s">
        <v>29</v>
      </c>
      <c r="C40" s="40">
        <v>18650</v>
      </c>
      <c r="D40" s="41">
        <v>4364.5820860000003</v>
      </c>
      <c r="E40" s="42">
        <f t="shared" si="1"/>
        <v>2514864.0549956341</v>
      </c>
      <c r="F40" s="63"/>
      <c r="H40" s="8"/>
      <c r="I40" s="9"/>
      <c r="K40"/>
      <c r="L40"/>
      <c r="M40"/>
      <c r="N40"/>
      <c r="O40"/>
    </row>
    <row r="41" spans="1:15" s="6" customFormat="1" x14ac:dyDescent="0.2">
      <c r="A41" s="43" t="s">
        <v>77</v>
      </c>
      <c r="B41" s="50" t="s">
        <v>30</v>
      </c>
      <c r="C41" s="45">
        <v>35000</v>
      </c>
      <c r="D41" s="46">
        <v>1063.9061610000001</v>
      </c>
      <c r="E41" s="47">
        <f t="shared" si="1"/>
        <v>2173660.368877179</v>
      </c>
      <c r="F41" s="63"/>
      <c r="H41" s="8"/>
      <c r="I41" s="9"/>
      <c r="K41"/>
      <c r="L41"/>
      <c r="M41"/>
      <c r="N41"/>
      <c r="O41"/>
    </row>
    <row r="42" spans="1:15" s="6" customFormat="1" x14ac:dyDescent="0.2">
      <c r="A42" s="33" t="s">
        <v>72</v>
      </c>
      <c r="B42" s="48" t="s">
        <v>31</v>
      </c>
      <c r="C42" s="35">
        <v>56000</v>
      </c>
      <c r="D42" s="36">
        <v>731.52011200000004</v>
      </c>
      <c r="E42" s="37">
        <f t="shared" si="1"/>
        <v>3131090.1645418848</v>
      </c>
      <c r="F42" s="63">
        <f>SUMIF(A$8:A$73, "=Wellington",E8:E73)</f>
        <v>29897573.487295788</v>
      </c>
      <c r="H42" s="8"/>
      <c r="I42" s="9"/>
      <c r="K42"/>
      <c r="L42"/>
      <c r="M42"/>
      <c r="N42"/>
      <c r="O42"/>
    </row>
    <row r="43" spans="1:15" s="6" customFormat="1" x14ac:dyDescent="0.2">
      <c r="A43" s="38" t="s">
        <v>72</v>
      </c>
      <c r="B43" s="39" t="s">
        <v>32</v>
      </c>
      <c r="C43" s="40">
        <v>59100</v>
      </c>
      <c r="D43" s="41">
        <v>174.812083</v>
      </c>
      <c r="E43" s="42">
        <f t="shared" si="1"/>
        <v>3091084.1096309721</v>
      </c>
      <c r="F43" s="63"/>
      <c r="H43" s="8"/>
      <c r="I43" s="9"/>
      <c r="K43"/>
      <c r="L43"/>
      <c r="M43"/>
      <c r="N43"/>
      <c r="O43"/>
    </row>
    <row r="44" spans="1:15" s="6" customFormat="1" x14ac:dyDescent="0.2">
      <c r="A44" s="38" t="s">
        <v>72</v>
      </c>
      <c r="B44" s="39" t="s">
        <v>33</v>
      </c>
      <c r="C44" s="40">
        <v>46000</v>
      </c>
      <c r="D44" s="41">
        <v>539.86898099999996</v>
      </c>
      <c r="E44" s="42">
        <f t="shared" si="1"/>
        <v>2550168.3018163363</v>
      </c>
      <c r="F44" s="63"/>
      <c r="H44" s="8"/>
      <c r="I44" s="9"/>
      <c r="K44"/>
      <c r="L44"/>
      <c r="M44"/>
      <c r="N44"/>
      <c r="O44"/>
    </row>
    <row r="45" spans="1:15" s="6" customFormat="1" x14ac:dyDescent="0.2">
      <c r="A45" s="38" t="s">
        <v>72</v>
      </c>
      <c r="B45" s="39" t="s">
        <v>34</v>
      </c>
      <c r="C45" s="40">
        <v>108700</v>
      </c>
      <c r="D45" s="41">
        <v>376.403572</v>
      </c>
      <c r="E45" s="42">
        <f t="shared" si="1"/>
        <v>5704897.6299667284</v>
      </c>
      <c r="F45" s="63"/>
      <c r="H45" s="8"/>
      <c r="I45" s="9"/>
      <c r="K45"/>
      <c r="L45"/>
      <c r="M45"/>
      <c r="N45"/>
      <c r="O45"/>
    </row>
    <row r="46" spans="1:15" s="6" customFormat="1" x14ac:dyDescent="0.2">
      <c r="A46" s="38" t="s">
        <v>72</v>
      </c>
      <c r="B46" s="39" t="s">
        <v>35</v>
      </c>
      <c r="C46" s="40">
        <v>210400</v>
      </c>
      <c r="D46" s="41">
        <v>289.84639700000002</v>
      </c>
      <c r="E46" s="42">
        <f t="shared" si="1"/>
        <v>10885693.45527857</v>
      </c>
      <c r="F46" s="63"/>
      <c r="H46" s="8"/>
      <c r="I46" s="9"/>
      <c r="K46"/>
      <c r="L46"/>
      <c r="M46"/>
      <c r="N46"/>
      <c r="O46"/>
    </row>
    <row r="47" spans="1:15" s="6" customFormat="1" x14ac:dyDescent="0.2">
      <c r="A47" s="38" t="s">
        <v>72</v>
      </c>
      <c r="B47" s="49" t="s">
        <v>36</v>
      </c>
      <c r="C47" s="40">
        <v>26800</v>
      </c>
      <c r="D47" s="41">
        <v>2300.234817</v>
      </c>
      <c r="E47" s="42">
        <f t="shared" si="1"/>
        <v>2195087.6574861314</v>
      </c>
      <c r="F47" s="63"/>
      <c r="H47" s="8"/>
      <c r="I47" s="9"/>
      <c r="K47"/>
      <c r="L47"/>
      <c r="M47"/>
      <c r="N47"/>
      <c r="O47"/>
    </row>
    <row r="48" spans="1:15" s="6" customFormat="1" x14ac:dyDescent="0.2">
      <c r="A48" s="38" t="s">
        <v>72</v>
      </c>
      <c r="B48" s="49" t="s">
        <v>37</v>
      </c>
      <c r="C48" s="40">
        <v>9690</v>
      </c>
      <c r="D48" s="41">
        <v>1179.91147</v>
      </c>
      <c r="E48" s="42">
        <f t="shared" si="1"/>
        <v>918064.35606815852</v>
      </c>
      <c r="F48" s="63"/>
      <c r="H48" s="8"/>
      <c r="I48" s="9"/>
      <c r="K48"/>
      <c r="L48"/>
      <c r="M48"/>
      <c r="N48"/>
      <c r="O48"/>
    </row>
    <row r="49" spans="1:15" s="6" customFormat="1" x14ac:dyDescent="0.2">
      <c r="A49" s="43" t="s">
        <v>72</v>
      </c>
      <c r="B49" s="50" t="s">
        <v>38</v>
      </c>
      <c r="C49" s="45">
        <v>11100</v>
      </c>
      <c r="D49" s="46">
        <v>2386.9091469999998</v>
      </c>
      <c r="E49" s="47">
        <f t="shared" si="1"/>
        <v>1421487.8125070077</v>
      </c>
      <c r="F49" s="63"/>
      <c r="H49" s="8"/>
      <c r="I49" s="9"/>
      <c r="K49"/>
      <c r="L49"/>
      <c r="M49"/>
      <c r="N49"/>
      <c r="O49"/>
    </row>
    <row r="50" spans="1:15" s="6" customFormat="1" x14ac:dyDescent="0.2">
      <c r="A50" s="33" t="s">
        <v>99</v>
      </c>
      <c r="B50" s="48" t="s">
        <v>39</v>
      </c>
      <c r="C50" s="35">
        <v>54800</v>
      </c>
      <c r="D50" s="36">
        <v>5828.0851922578686</v>
      </c>
      <c r="E50" s="37">
        <f t="shared" si="1"/>
        <v>4890202.2853471916</v>
      </c>
      <c r="F50" s="63">
        <f>(SUMIF(A$8:A$73,"=Upper South Island",E8:E73))</f>
        <v>14008058.83158464</v>
      </c>
      <c r="H50" s="8"/>
      <c r="I50" s="9"/>
      <c r="K50"/>
      <c r="L50"/>
      <c r="M50"/>
      <c r="N50"/>
      <c r="O50"/>
    </row>
    <row r="51" spans="1:15" s="6" customFormat="1" x14ac:dyDescent="0.2">
      <c r="A51" s="38" t="s">
        <v>99</v>
      </c>
      <c r="B51" s="49" t="s">
        <v>40</v>
      </c>
      <c r="C51" s="40">
        <v>52900</v>
      </c>
      <c r="D51" s="41">
        <v>422.19365900000003</v>
      </c>
      <c r="E51" s="42">
        <f t="shared" si="1"/>
        <v>2861729.2888688212</v>
      </c>
      <c r="F51" s="63"/>
      <c r="H51" s="8"/>
      <c r="I51" s="9"/>
      <c r="K51"/>
      <c r="L51"/>
      <c r="M51"/>
      <c r="N51"/>
      <c r="O51"/>
    </row>
    <row r="52" spans="1:15" s="6" customFormat="1" x14ac:dyDescent="0.2">
      <c r="A52" s="43" t="s">
        <v>99</v>
      </c>
      <c r="B52" s="50" t="s">
        <v>41</v>
      </c>
      <c r="C52" s="45">
        <v>49200</v>
      </c>
      <c r="D52" s="46">
        <v>10455.181290075361</v>
      </c>
      <c r="E52" s="47">
        <f t="shared" si="1"/>
        <v>6256127.2573686279</v>
      </c>
      <c r="F52" s="63"/>
      <c r="K52"/>
      <c r="L52"/>
      <c r="M52"/>
      <c r="N52"/>
      <c r="O52"/>
    </row>
    <row r="53" spans="1:15" s="6" customFormat="1" x14ac:dyDescent="0.2">
      <c r="A53" s="33" t="s">
        <v>76</v>
      </c>
      <c r="B53" s="48" t="s">
        <v>43</v>
      </c>
      <c r="C53" s="35">
        <v>9840</v>
      </c>
      <c r="D53" s="36">
        <v>4954.5570291400909</v>
      </c>
      <c r="E53" s="37">
        <f t="shared" si="1"/>
        <v>2274139.2615342452</v>
      </c>
      <c r="F53" s="63">
        <f>SUMIF(A$8:A$73, "=West Coast",E8:E73)</f>
        <v>7623303.5438510273</v>
      </c>
      <c r="H53" s="8"/>
      <c r="I53" s="9"/>
      <c r="K53"/>
      <c r="L53"/>
      <c r="M53"/>
      <c r="N53"/>
      <c r="O53"/>
    </row>
    <row r="54" spans="1:15" s="6" customFormat="1" x14ac:dyDescent="0.2">
      <c r="A54" s="38" t="s">
        <v>76</v>
      </c>
      <c r="B54" s="49" t="s">
        <v>44</v>
      </c>
      <c r="C54" s="40">
        <v>13750</v>
      </c>
      <c r="D54" s="41">
        <v>3405.100183887419</v>
      </c>
      <c r="E54" s="42">
        <f t="shared" si="1"/>
        <v>1921010.3177168933</v>
      </c>
      <c r="F54" s="63"/>
      <c r="H54" s="8"/>
      <c r="I54" s="9"/>
      <c r="K54"/>
      <c r="L54"/>
      <c r="M54"/>
      <c r="N54"/>
      <c r="O54"/>
    </row>
    <row r="55" spans="1:15" s="6" customFormat="1" x14ac:dyDescent="0.2">
      <c r="A55" s="43" t="s">
        <v>76</v>
      </c>
      <c r="B55" s="50" t="s">
        <v>45</v>
      </c>
      <c r="C55" s="45">
        <v>8960</v>
      </c>
      <c r="D55" s="46">
        <v>8311.3205130534952</v>
      </c>
      <c r="E55" s="47">
        <f t="shared" si="1"/>
        <v>3428153.9645998888</v>
      </c>
      <c r="F55" s="63"/>
      <c r="H55" s="8"/>
      <c r="I55" s="9"/>
      <c r="K55"/>
      <c r="L55"/>
      <c r="M55"/>
      <c r="N55"/>
      <c r="O55"/>
    </row>
    <row r="56" spans="1:15" s="6" customFormat="1" x14ac:dyDescent="0.2">
      <c r="A56" s="33" t="s">
        <v>73</v>
      </c>
      <c r="B56" s="48" t="s">
        <v>42</v>
      </c>
      <c r="C56" s="35">
        <v>4110</v>
      </c>
      <c r="D56" s="36">
        <v>2046.8217070000001</v>
      </c>
      <c r="E56" s="37">
        <f t="shared" si="1"/>
        <v>941791.56730606966</v>
      </c>
      <c r="F56" s="63">
        <f>SUMIF(A$8:A$73, "=Canterbury",E8:E73)</f>
        <v>50001369.752430946</v>
      </c>
      <c r="H56" s="8"/>
      <c r="I56" s="9"/>
      <c r="K56"/>
      <c r="L56"/>
      <c r="M56"/>
      <c r="N56"/>
      <c r="O56"/>
    </row>
    <row r="57" spans="1:15" s="6" customFormat="1" x14ac:dyDescent="0.2">
      <c r="A57" s="38" t="s">
        <v>73</v>
      </c>
      <c r="B57" s="49" t="s">
        <v>46</v>
      </c>
      <c r="C57" s="40">
        <v>12950</v>
      </c>
      <c r="D57" s="41">
        <v>8640.8817465370776</v>
      </c>
      <c r="E57" s="42">
        <f t="shared" si="1"/>
        <v>3750352.0781052457</v>
      </c>
      <c r="F57" s="63"/>
      <c r="H57" s="8"/>
      <c r="I57" s="9"/>
      <c r="K57"/>
      <c r="L57"/>
      <c r="M57"/>
      <c r="N57"/>
      <c r="O57"/>
    </row>
    <row r="58" spans="1:15" s="6" customFormat="1" x14ac:dyDescent="0.2">
      <c r="A58" s="38" t="s">
        <v>73</v>
      </c>
      <c r="B58" s="49" t="s">
        <v>47</v>
      </c>
      <c r="C58" s="40">
        <v>62800</v>
      </c>
      <c r="D58" s="41">
        <v>2217.128346</v>
      </c>
      <c r="E58" s="42">
        <f t="shared" si="1"/>
        <v>4010255.3802585676</v>
      </c>
      <c r="F58" s="63"/>
      <c r="H58" s="8"/>
      <c r="I58" s="9"/>
      <c r="K58"/>
      <c r="L58"/>
      <c r="M58"/>
      <c r="N58"/>
      <c r="O58"/>
    </row>
    <row r="59" spans="1:15" s="6" customFormat="1" x14ac:dyDescent="0.2">
      <c r="A59" s="38" t="s">
        <v>73</v>
      </c>
      <c r="B59" s="39" t="s">
        <v>48</v>
      </c>
      <c r="C59" s="40">
        <v>385500</v>
      </c>
      <c r="D59" s="41">
        <v>1415.8372569999999</v>
      </c>
      <c r="E59" s="42">
        <f t="shared" si="1"/>
        <v>20261093.423913665</v>
      </c>
      <c r="F59" s="63"/>
      <c r="H59" s="8"/>
      <c r="I59" s="9"/>
      <c r="K59"/>
      <c r="L59"/>
      <c r="M59"/>
      <c r="N59"/>
      <c r="O59"/>
    </row>
    <row r="60" spans="1:15" s="6" customFormat="1" x14ac:dyDescent="0.2">
      <c r="A60" s="38" t="s">
        <v>73</v>
      </c>
      <c r="B60" s="49" t="s">
        <v>49</v>
      </c>
      <c r="C60" s="40">
        <v>65600</v>
      </c>
      <c r="D60" s="41">
        <v>5505.7409295562411</v>
      </c>
      <c r="E60" s="42">
        <f t="shared" si="1"/>
        <v>5328510.2539788932</v>
      </c>
      <c r="F60" s="63"/>
      <c r="H60" s="8"/>
      <c r="I60" s="9"/>
      <c r="K60"/>
      <c r="L60"/>
      <c r="M60"/>
      <c r="N60"/>
      <c r="O60"/>
    </row>
    <row r="61" spans="1:15" s="6" customFormat="1" x14ac:dyDescent="0.2">
      <c r="A61" s="38" t="s">
        <v>73</v>
      </c>
      <c r="B61" s="49" t="s">
        <v>50</v>
      </c>
      <c r="C61" s="40">
        <v>34800</v>
      </c>
      <c r="D61" s="41">
        <v>6181.6865049999997</v>
      </c>
      <c r="E61" s="42">
        <f t="shared" si="1"/>
        <v>3991597.0357219707</v>
      </c>
      <c r="F61" s="63"/>
      <c r="H61" s="8"/>
      <c r="I61" s="9"/>
      <c r="K61"/>
      <c r="L61"/>
      <c r="M61"/>
      <c r="N61"/>
      <c r="O61"/>
    </row>
    <row r="62" spans="1:15" s="6" customFormat="1" x14ac:dyDescent="0.2">
      <c r="A62" s="38" t="s">
        <v>73</v>
      </c>
      <c r="B62" s="49" t="s">
        <v>51</v>
      </c>
      <c r="C62" s="40">
        <v>47900</v>
      </c>
      <c r="D62" s="41">
        <v>2732.4064328483832</v>
      </c>
      <c r="E62" s="42">
        <f t="shared" si="1"/>
        <v>3430759.1877009324</v>
      </c>
      <c r="F62" s="63"/>
      <c r="H62" s="8"/>
      <c r="I62" s="9"/>
      <c r="K62"/>
      <c r="L62"/>
      <c r="M62"/>
      <c r="N62"/>
      <c r="O62"/>
    </row>
    <row r="63" spans="1:15" s="6" customFormat="1" x14ac:dyDescent="0.2">
      <c r="A63" s="38" t="s">
        <v>73</v>
      </c>
      <c r="B63" s="39" t="s">
        <v>52</v>
      </c>
      <c r="C63" s="40">
        <v>5140</v>
      </c>
      <c r="D63" s="41">
        <v>6416.0752802128936</v>
      </c>
      <c r="E63" s="42">
        <f t="shared" si="1"/>
        <v>2555370.2453981102</v>
      </c>
      <c r="F63" s="63"/>
      <c r="H63" s="8"/>
      <c r="I63" s="9"/>
      <c r="K63"/>
      <c r="L63"/>
      <c r="M63"/>
      <c r="N63"/>
      <c r="O63"/>
    </row>
    <row r="64" spans="1:15" s="6" customFormat="1" x14ac:dyDescent="0.2">
      <c r="A64" s="38" t="s">
        <v>73</v>
      </c>
      <c r="B64" s="39" t="s">
        <v>53</v>
      </c>
      <c r="C64" s="40">
        <v>8080</v>
      </c>
      <c r="D64" s="41">
        <v>3554.46288</v>
      </c>
      <c r="E64" s="42">
        <f t="shared" si="1"/>
        <v>1683801.3242767907</v>
      </c>
      <c r="F64" s="63"/>
      <c r="H64" s="8"/>
      <c r="I64" s="9"/>
      <c r="K64"/>
      <c r="L64"/>
      <c r="M64"/>
      <c r="N64"/>
      <c r="O64"/>
    </row>
    <row r="65" spans="1:15" s="6" customFormat="1" x14ac:dyDescent="0.2">
      <c r="A65" s="38" t="s">
        <v>73</v>
      </c>
      <c r="B65" s="39" t="s">
        <v>55</v>
      </c>
      <c r="C65" s="40">
        <v>23200</v>
      </c>
      <c r="D65" s="41">
        <v>7107.6859020000002</v>
      </c>
      <c r="E65" s="42">
        <f t="shared" si="1"/>
        <v>3727931.4303985471</v>
      </c>
      <c r="F65" s="63"/>
      <c r="H65" s="8"/>
      <c r="I65" s="9"/>
      <c r="K65"/>
      <c r="L65"/>
      <c r="M65"/>
      <c r="N65"/>
      <c r="O65"/>
    </row>
    <row r="66" spans="1:15" s="6" customFormat="1" x14ac:dyDescent="0.2">
      <c r="A66" s="43" t="s">
        <v>73</v>
      </c>
      <c r="B66" s="44" t="s">
        <v>54</v>
      </c>
      <c r="C66" s="45">
        <v>710</v>
      </c>
      <c r="D66" s="46">
        <v>793.68809899999997</v>
      </c>
      <c r="E66" s="47">
        <f t="shared" si="1"/>
        <v>319907.82537215337</v>
      </c>
      <c r="F66" s="63"/>
      <c r="H66" s="8"/>
      <c r="I66" s="9"/>
      <c r="K66"/>
      <c r="L66"/>
      <c r="M66"/>
      <c r="N66"/>
      <c r="O66"/>
    </row>
    <row r="67" spans="1:15" s="6" customFormat="1" x14ac:dyDescent="0.2">
      <c r="A67" s="33" t="s">
        <v>68</v>
      </c>
      <c r="B67" s="34" t="s">
        <v>56</v>
      </c>
      <c r="C67" s="35">
        <v>23100</v>
      </c>
      <c r="D67" s="36">
        <v>9933.3417759999993</v>
      </c>
      <c r="E67" s="37">
        <f t="shared" si="1"/>
        <v>4732194.4525754023</v>
      </c>
      <c r="F67" s="63">
        <f>SUMIF(A$8:A$73, "=Otago",E8:E73)</f>
        <v>20602075.894608244</v>
      </c>
      <c r="H67" s="8"/>
      <c r="I67" s="9"/>
      <c r="K67"/>
      <c r="L67"/>
      <c r="M67"/>
      <c r="N67"/>
      <c r="O67"/>
    </row>
    <row r="68" spans="1:15" s="6" customFormat="1" x14ac:dyDescent="0.2">
      <c r="A68" s="38" t="s">
        <v>68</v>
      </c>
      <c r="B68" s="39" t="s">
        <v>57</v>
      </c>
      <c r="C68" s="40">
        <v>41700</v>
      </c>
      <c r="D68" s="41">
        <v>7297.1413634530718</v>
      </c>
      <c r="E68" s="42">
        <f t="shared" si="1"/>
        <v>4743659.7659108592</v>
      </c>
      <c r="F68" s="63"/>
      <c r="H68" s="8"/>
      <c r="I68" s="9"/>
      <c r="K68"/>
      <c r="L68"/>
      <c r="M68"/>
      <c r="N68"/>
      <c r="O68"/>
    </row>
    <row r="69" spans="1:15" s="6" customFormat="1" x14ac:dyDescent="0.2">
      <c r="A69" s="38" t="s">
        <v>68</v>
      </c>
      <c r="B69" s="39" t="s">
        <v>58</v>
      </c>
      <c r="C69" s="40">
        <v>131700</v>
      </c>
      <c r="D69" s="41">
        <v>3286.2748000000001</v>
      </c>
      <c r="E69" s="42">
        <f t="shared" si="1"/>
        <v>7923026.3621139275</v>
      </c>
      <c r="F69" s="63"/>
      <c r="H69" s="8"/>
      <c r="I69" s="9"/>
      <c r="K69"/>
      <c r="L69"/>
      <c r="M69"/>
      <c r="N69"/>
      <c r="O69"/>
    </row>
    <row r="70" spans="1:15" s="6" customFormat="1" x14ac:dyDescent="0.2">
      <c r="A70" s="43" t="s">
        <v>68</v>
      </c>
      <c r="B70" s="44" t="s">
        <v>59</v>
      </c>
      <c r="C70" s="45">
        <v>18350</v>
      </c>
      <c r="D70" s="46">
        <v>6334.5173969999996</v>
      </c>
      <c r="E70" s="47">
        <f t="shared" si="1"/>
        <v>3203195.314008059</v>
      </c>
      <c r="F70" s="63"/>
      <c r="H70" s="8"/>
      <c r="I70" s="9"/>
      <c r="K70"/>
      <c r="L70"/>
      <c r="M70"/>
      <c r="N70"/>
      <c r="O70"/>
    </row>
    <row r="71" spans="1:15" s="6" customFormat="1" x14ac:dyDescent="0.2">
      <c r="A71" s="33" t="s">
        <v>69</v>
      </c>
      <c r="B71" s="34" t="s">
        <v>60</v>
      </c>
      <c r="C71" s="35">
        <v>32100</v>
      </c>
      <c r="D71" s="36">
        <v>15076.398287615553</v>
      </c>
      <c r="E71" s="37">
        <f t="shared" si="1"/>
        <v>7030623.3330472289</v>
      </c>
      <c r="F71" s="63">
        <f>SUMIF(A$8:A$73, "=Southland",E8:E73)</f>
        <v>11153770.541842258</v>
      </c>
      <c r="H71" s="8"/>
      <c r="I71" s="9"/>
      <c r="K71"/>
      <c r="L71"/>
      <c r="M71"/>
      <c r="N71"/>
      <c r="O71"/>
    </row>
    <row r="72" spans="1:15" s="6" customFormat="1" x14ac:dyDescent="0.2">
      <c r="A72" s="38" t="s">
        <v>69</v>
      </c>
      <c r="B72" s="39" t="s">
        <v>61</v>
      </c>
      <c r="C72" s="40">
        <v>12800</v>
      </c>
      <c r="D72" s="41">
        <v>1253.8462930000001</v>
      </c>
      <c r="E72" s="42">
        <f t="shared" si="1"/>
        <v>1103850.5245900911</v>
      </c>
      <c r="F72" s="63"/>
      <c r="H72" s="8"/>
      <c r="I72" s="9"/>
      <c r="K72"/>
      <c r="L72"/>
      <c r="M72"/>
      <c r="N72"/>
      <c r="O72"/>
    </row>
    <row r="73" spans="1:15" s="6" customFormat="1" x14ac:dyDescent="0.2">
      <c r="A73" s="43" t="s">
        <v>69</v>
      </c>
      <c r="B73" s="44" t="s">
        <v>62</v>
      </c>
      <c r="C73" s="45">
        <v>56200</v>
      </c>
      <c r="D73" s="46">
        <v>389.87672600000002</v>
      </c>
      <c r="E73" s="47">
        <f t="shared" si="1"/>
        <v>3019296.6842049384</v>
      </c>
      <c r="F73" s="63"/>
      <c r="H73" s="8"/>
      <c r="I73" s="9"/>
      <c r="K73"/>
      <c r="L73"/>
      <c r="M73"/>
      <c r="N73"/>
      <c r="O73"/>
    </row>
    <row r="74" spans="1:15" s="6" customFormat="1" x14ac:dyDescent="0.2">
      <c r="A74" s="39"/>
      <c r="B74" s="39" t="s">
        <v>100</v>
      </c>
      <c r="C74" s="40">
        <v>4917020</v>
      </c>
      <c r="D74" s="41">
        <v>235126.62162072907</v>
      </c>
      <c r="E74" s="60" t="s">
        <v>80</v>
      </c>
      <c r="F74" s="61" t="s">
        <v>80</v>
      </c>
      <c r="H74" s="8"/>
      <c r="I74" s="9"/>
      <c r="K74"/>
      <c r="L74"/>
      <c r="M74"/>
      <c r="N74"/>
      <c r="O74"/>
    </row>
    <row r="75" spans="1:15" s="6" customFormat="1" x14ac:dyDescent="0.2">
      <c r="A75" s="39"/>
      <c r="B75" s="39"/>
      <c r="C75" s="40"/>
      <c r="D75" s="41"/>
      <c r="E75" s="60"/>
      <c r="F75" s="61"/>
      <c r="H75" s="8"/>
      <c r="I75" s="9"/>
      <c r="K75"/>
      <c r="L75"/>
      <c r="M75"/>
      <c r="N75"/>
      <c r="O75"/>
    </row>
    <row r="76" spans="1:15" s="6" customFormat="1" ht="23.25" customHeight="1" x14ac:dyDescent="0.2">
      <c r="A76" s="62" t="s">
        <v>101</v>
      </c>
      <c r="B76" s="62"/>
      <c r="C76" s="62"/>
      <c r="D76" s="62"/>
      <c r="E76" s="62"/>
      <c r="F76" s="62"/>
      <c r="G76"/>
      <c r="H76" s="8"/>
      <c r="I76" s="9"/>
      <c r="K76"/>
      <c r="L76"/>
      <c r="M76"/>
      <c r="N76"/>
      <c r="O76"/>
    </row>
    <row r="77" spans="1:15" s="6" customFormat="1" x14ac:dyDescent="0.2">
      <c r="A77" s="16"/>
      <c r="B77" s="16"/>
      <c r="C77" s="17"/>
      <c r="D77" s="18"/>
      <c r="E77" s="18"/>
      <c r="F77" s="18"/>
      <c r="G77"/>
      <c r="K77"/>
      <c r="L77"/>
      <c r="M77"/>
      <c r="N77"/>
      <c r="O77"/>
    </row>
    <row r="78" spans="1:15" s="6" customFormat="1" x14ac:dyDescent="0.2">
      <c r="A78" s="16"/>
      <c r="B78" s="16"/>
      <c r="C78" s="17"/>
      <c r="D78" s="16"/>
      <c r="E78" s="16"/>
      <c r="F78" s="16"/>
      <c r="G78"/>
      <c r="K78"/>
      <c r="L78"/>
      <c r="M78"/>
      <c r="N78"/>
      <c r="O78"/>
    </row>
    <row r="79" spans="1:15" s="6" customFormat="1" x14ac:dyDescent="0.2">
      <c r="A79" s="16"/>
      <c r="B79" s="16"/>
      <c r="C79" s="17"/>
      <c r="D79" s="16"/>
      <c r="E79" s="16"/>
      <c r="F79" s="16"/>
      <c r="G79"/>
      <c r="K79"/>
      <c r="L79"/>
      <c r="M79"/>
      <c r="N79"/>
      <c r="O79"/>
    </row>
    <row r="80" spans="1:15" s="6" customFormat="1" x14ac:dyDescent="0.2">
      <c r="A80" s="16"/>
      <c r="B80" s="16"/>
      <c r="C80" s="17"/>
      <c r="D80" s="16"/>
      <c r="E80" s="16"/>
      <c r="F80" s="16"/>
      <c r="G80"/>
      <c r="K80"/>
      <c r="L80"/>
      <c r="M80"/>
      <c r="N80"/>
      <c r="O80"/>
    </row>
    <row r="81" spans="1:15" s="6" customFormat="1" x14ac:dyDescent="0.2">
      <c r="A81"/>
      <c r="B81"/>
      <c r="C81" s="2"/>
      <c r="D81"/>
      <c r="E81"/>
      <c r="F81" s="13"/>
      <c r="G81"/>
      <c r="K81"/>
      <c r="L81"/>
      <c r="M81"/>
      <c r="N81"/>
      <c r="O81"/>
    </row>
    <row r="82" spans="1:15" s="6" customFormat="1" x14ac:dyDescent="0.2">
      <c r="A82"/>
      <c r="B82"/>
      <c r="C82" s="2"/>
      <c r="D82"/>
      <c r="E82"/>
      <c r="F82" s="14"/>
      <c r="G82"/>
      <c r="K82"/>
      <c r="L82"/>
      <c r="M82"/>
      <c r="N82"/>
      <c r="O82"/>
    </row>
    <row r="83" spans="1:15" s="6" customFormat="1" x14ac:dyDescent="0.2">
      <c r="A83"/>
      <c r="B83"/>
      <c r="C83" s="2"/>
      <c r="D83"/>
      <c r="E83"/>
      <c r="F83"/>
      <c r="G83"/>
      <c r="K83"/>
      <c r="L83"/>
      <c r="M83"/>
      <c r="N83"/>
      <c r="O83"/>
    </row>
    <row r="84" spans="1:15" x14ac:dyDescent="0.2">
      <c r="C84" s="2"/>
    </row>
  </sheetData>
  <sheetProtection algorithmName="SHA-512" hashValue="TT0yc3x+xiUDJtcgTqnawG1Rb5e41vyQMqSLmDUKt4wAak9OqWKt9o7iadsh9tRXf6rpkS9tzfSV6cZSeKgpEg==" saltValue="/cqR6/u9e+OG1UNpI+e0Vg==" spinCount="100000" sheet="1" objects="1" scenarios="1"/>
  <mergeCells count="13">
    <mergeCell ref="A76:F76"/>
    <mergeCell ref="F71:F73"/>
    <mergeCell ref="F8:F10"/>
    <mergeCell ref="F11:F20"/>
    <mergeCell ref="F21:F26"/>
    <mergeCell ref="F28:F31"/>
    <mergeCell ref="F32:F34"/>
    <mergeCell ref="F35:F41"/>
    <mergeCell ref="F42:F49"/>
    <mergeCell ref="F50:F52"/>
    <mergeCell ref="F53:F55"/>
    <mergeCell ref="F56:F66"/>
    <mergeCell ref="F67:F7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AD627-1C1D-42A1-A01D-8C5829696B93}">
  <dimension ref="A1:C4"/>
  <sheetViews>
    <sheetView zoomScaleNormal="100" workbookViewId="0">
      <selection activeCell="C4" sqref="C4"/>
    </sheetView>
  </sheetViews>
  <sheetFormatPr defaultColWidth="9.140625" defaultRowHeight="12.75" x14ac:dyDescent="0.2"/>
  <cols>
    <col min="1" max="1" width="16.85546875" style="1" bestFit="1" customWidth="1"/>
    <col min="2" max="2" width="35.28515625" style="1" bestFit="1" customWidth="1"/>
    <col min="3" max="3" width="92" style="1" bestFit="1" customWidth="1"/>
    <col min="4" max="5" width="9.140625" style="1" customWidth="1"/>
    <col min="6" max="16384" width="9.140625" style="1"/>
  </cols>
  <sheetData>
    <row r="1" spans="1:3" x14ac:dyDescent="0.2">
      <c r="A1" s="10" t="s">
        <v>81</v>
      </c>
      <c r="B1" s="10" t="s">
        <v>82</v>
      </c>
      <c r="C1" s="10" t="s">
        <v>85</v>
      </c>
    </row>
    <row r="2" spans="1:3" x14ac:dyDescent="0.2">
      <c r="A2" s="1" t="s">
        <v>83</v>
      </c>
      <c r="B2" s="1" t="s">
        <v>86</v>
      </c>
      <c r="C2" s="20" t="s">
        <v>84</v>
      </c>
    </row>
    <row r="3" spans="1:3" x14ac:dyDescent="0.2">
      <c r="A3" s="1" t="s">
        <v>87</v>
      </c>
      <c r="B3" s="1" t="s">
        <v>88</v>
      </c>
      <c r="C3" s="20" t="s">
        <v>89</v>
      </c>
    </row>
    <row r="4" spans="1:3" x14ac:dyDescent="0.2">
      <c r="A4" s="1" t="s">
        <v>1</v>
      </c>
      <c r="B4" s="1" t="s">
        <v>91</v>
      </c>
      <c r="C4" s="21" t="s">
        <v>90</v>
      </c>
    </row>
  </sheetData>
  <hyperlinks>
    <hyperlink ref="C2" r:id="rId1" display="https://datafinder.stats.govt.nz/layer/104267-territorial-authority-2020-generalised/" xr:uid="{42EAF78F-A9AA-4F6B-AB7B-66804B4B6D3D}"/>
    <hyperlink ref="C3" r:id="rId2" display="https://data.linz.govt.nz/layer/53564-protected-areas/" xr:uid="{E795C19F-6F81-4FFB-B420-755CEB68C594}"/>
    <hyperlink ref="C4" r:id="rId3" xr:uid="{A326834B-B92D-4054-95A6-BF104C8B65B6}"/>
  </hyperlinks>
  <pageMargins left="0" right="0" top="0.19685039370078741" bottom="0.59055118110236227" header="0" footer="0"/>
  <pageSetup paperSize="9" scale="80" orientation="landscape" horizontalDpi="4294967292" r:id="rId4"/>
  <headerFooter>
    <oddFooter>&amp;L&amp;8MartinJenkins
Printed: &amp;D, &amp;T&amp;C&amp;8Commercial In Confidence
&amp;F: &amp;A&amp;R&amp;8DRAFT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Funding allocation</vt:lpstr>
      <vt:lpstr>Data 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Webber</dc:creator>
  <cp:lastModifiedBy>Josephine Clarke</cp:lastModifiedBy>
  <dcterms:created xsi:type="dcterms:W3CDTF">2020-05-14T22:58:48Z</dcterms:created>
  <dcterms:modified xsi:type="dcterms:W3CDTF">2020-08-14T01:54:32Z</dcterms:modified>
</cp:coreProperties>
</file>