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aklserver15\Documents\ITP\Evaluation\ITP &amp; RRP_Financial_Analysis\46. Three Waters\Analysis\"/>
    </mc:Choice>
  </mc:AlternateContent>
  <xr:revisionPtr revIDLastSave="0" documentId="8_{07C4E928-2250-4050-B488-2A11A63C2A1B}" xr6:coauthVersionLast="45" xr6:coauthVersionMax="45" xr10:uidLastSave="{00000000-0000-0000-0000-000000000000}"/>
  <bookViews>
    <workbookView xWindow="1050" yWindow="-120" windowWidth="27870" windowHeight="16440" activeTab="2" xr2:uid="{00000000-000D-0000-FFFF-FFFF00000000}"/>
  </bookViews>
  <sheets>
    <sheet name="Guidance" sheetId="3" r:id="rId1"/>
    <sheet name="Input" sheetId="1" r:id="rId2"/>
    <sheet name="Output" sheetId="2" r:id="rId3"/>
    <sheet name="Lists" sheetId="5" state="hidden" r:id="rId4"/>
  </sheets>
  <calcPr calcId="191029" calcMode="autoNoTable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Y110" i="1" l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J38" i="1"/>
  <c r="I38" i="1"/>
  <c r="C38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F24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F10" i="2"/>
  <c r="G10" i="2" s="1"/>
  <c r="H103" i="1"/>
  <c r="H68" i="1"/>
  <c r="H37" i="1"/>
  <c r="H10" i="2" l="1"/>
  <c r="I10" i="2"/>
  <c r="J10" i="2" l="1"/>
  <c r="K10" i="2" l="1"/>
  <c r="L10" i="2" l="1"/>
  <c r="C114" i="1"/>
  <c r="C110" i="1"/>
  <c r="C96" i="1"/>
  <c r="C92" i="1"/>
  <c r="C78" i="1"/>
  <c r="C74" i="1"/>
  <c r="C60" i="1"/>
  <c r="C56" i="1"/>
  <c r="C42" i="1"/>
  <c r="M10" i="2" l="1"/>
  <c r="N10" i="2" l="1"/>
  <c r="A1" i="2"/>
  <c r="A1" i="1"/>
  <c r="O10" i="2" l="1"/>
  <c r="C111" i="1"/>
  <c r="C112" i="1" s="1"/>
  <c r="C107" i="1"/>
  <c r="C108" i="1" s="1"/>
  <c r="C93" i="1"/>
  <c r="C94" i="1" s="1"/>
  <c r="C89" i="1"/>
  <c r="C90" i="1" s="1"/>
  <c r="C75" i="1"/>
  <c r="C76" i="1" s="1"/>
  <c r="C71" i="1"/>
  <c r="C72" i="1" s="1"/>
  <c r="C57" i="1"/>
  <c r="C58" i="1" s="1"/>
  <c r="C53" i="1"/>
  <c r="C54" i="1" s="1"/>
  <c r="C39" i="1"/>
  <c r="C35" i="1"/>
  <c r="P10" i="2" l="1"/>
  <c r="B30" i="2"/>
  <c r="B24" i="2"/>
  <c r="B29" i="2"/>
  <c r="B28" i="2"/>
  <c r="B27" i="2"/>
  <c r="B26" i="2"/>
  <c r="B25" i="2"/>
  <c r="D14" i="1"/>
  <c r="D15" i="1" s="1"/>
  <c r="Q10" i="2" l="1"/>
  <c r="B20" i="2"/>
  <c r="B19" i="2"/>
  <c r="B18" i="2"/>
  <c r="B17" i="2"/>
  <c r="B16" i="2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C40" i="1"/>
  <c r="E13" i="1"/>
  <c r="E14" i="1" s="1"/>
  <c r="E15" i="1" s="1"/>
  <c r="Y13" i="2"/>
  <c r="E12" i="1"/>
  <c r="E10" i="1"/>
  <c r="W30" i="2" l="1"/>
  <c r="X30" i="2" s="1"/>
  <c r="Y30" i="2" s="1"/>
  <c r="R10" i="2"/>
  <c r="F27" i="2"/>
  <c r="F26" i="2"/>
  <c r="F28" i="2"/>
  <c r="F25" i="2"/>
  <c r="F29" i="2"/>
  <c r="Y104" i="1"/>
  <c r="W20" i="2" s="1"/>
  <c r="X104" i="1"/>
  <c r="V20" i="2" s="1"/>
  <c r="W104" i="1"/>
  <c r="U20" i="2" s="1"/>
  <c r="V104" i="1"/>
  <c r="T20" i="2" s="1"/>
  <c r="U104" i="1"/>
  <c r="S20" i="2" s="1"/>
  <c r="T104" i="1"/>
  <c r="R20" i="2" s="1"/>
  <c r="S104" i="1"/>
  <c r="Q20" i="2" s="1"/>
  <c r="R104" i="1"/>
  <c r="P20" i="2" s="1"/>
  <c r="Q104" i="1"/>
  <c r="O20" i="2" s="1"/>
  <c r="P104" i="1"/>
  <c r="N20" i="2" s="1"/>
  <c r="O104" i="1"/>
  <c r="M20" i="2" s="1"/>
  <c r="N104" i="1"/>
  <c r="L20" i="2" s="1"/>
  <c r="M104" i="1"/>
  <c r="K20" i="2" s="1"/>
  <c r="L104" i="1"/>
  <c r="J20" i="2" s="1"/>
  <c r="K104" i="1"/>
  <c r="I20" i="2" s="1"/>
  <c r="J104" i="1"/>
  <c r="H20" i="2" s="1"/>
  <c r="I104" i="1"/>
  <c r="G20" i="2" s="1"/>
  <c r="H104" i="1"/>
  <c r="F20" i="2" s="1"/>
  <c r="Y86" i="1"/>
  <c r="W19" i="2" s="1"/>
  <c r="X86" i="1"/>
  <c r="V19" i="2" s="1"/>
  <c r="W86" i="1"/>
  <c r="U19" i="2" s="1"/>
  <c r="V86" i="1"/>
  <c r="T19" i="2" s="1"/>
  <c r="U86" i="1"/>
  <c r="S19" i="2" s="1"/>
  <c r="T86" i="1"/>
  <c r="R19" i="2" s="1"/>
  <c r="S86" i="1"/>
  <c r="Q19" i="2" s="1"/>
  <c r="R86" i="1"/>
  <c r="P19" i="2" s="1"/>
  <c r="Q86" i="1"/>
  <c r="O19" i="2" s="1"/>
  <c r="P86" i="1"/>
  <c r="N19" i="2" s="1"/>
  <c r="O86" i="1"/>
  <c r="M19" i="2" s="1"/>
  <c r="N86" i="1"/>
  <c r="L19" i="2" s="1"/>
  <c r="M86" i="1"/>
  <c r="K19" i="2" s="1"/>
  <c r="L86" i="1"/>
  <c r="J19" i="2" s="1"/>
  <c r="K86" i="1"/>
  <c r="I19" i="2" s="1"/>
  <c r="J86" i="1"/>
  <c r="H19" i="2" s="1"/>
  <c r="I86" i="1"/>
  <c r="G19" i="2" s="1"/>
  <c r="H86" i="1"/>
  <c r="F19" i="2" s="1"/>
  <c r="Y68" i="1"/>
  <c r="W18" i="2" s="1"/>
  <c r="X68" i="1"/>
  <c r="V18" i="2" s="1"/>
  <c r="W68" i="1"/>
  <c r="U18" i="2" s="1"/>
  <c r="V68" i="1"/>
  <c r="T18" i="2" s="1"/>
  <c r="U68" i="1"/>
  <c r="S18" i="2" s="1"/>
  <c r="T68" i="1"/>
  <c r="R18" i="2" s="1"/>
  <c r="S68" i="1"/>
  <c r="Q18" i="2" s="1"/>
  <c r="R68" i="1"/>
  <c r="P18" i="2" s="1"/>
  <c r="Q68" i="1"/>
  <c r="O18" i="2" s="1"/>
  <c r="P68" i="1"/>
  <c r="N18" i="2" s="1"/>
  <c r="O68" i="1"/>
  <c r="M18" i="2" s="1"/>
  <c r="N68" i="1"/>
  <c r="L18" i="2" s="1"/>
  <c r="M68" i="1"/>
  <c r="K18" i="2" s="1"/>
  <c r="L68" i="1"/>
  <c r="J18" i="2" s="1"/>
  <c r="K68" i="1"/>
  <c r="I18" i="2" s="1"/>
  <c r="J68" i="1"/>
  <c r="H18" i="2" s="1"/>
  <c r="I68" i="1"/>
  <c r="G18" i="2" s="1"/>
  <c r="F18" i="2"/>
  <c r="Y50" i="1"/>
  <c r="W17" i="2" s="1"/>
  <c r="X50" i="1"/>
  <c r="V17" i="2" s="1"/>
  <c r="W50" i="1"/>
  <c r="U17" i="2" s="1"/>
  <c r="V50" i="1"/>
  <c r="T17" i="2" s="1"/>
  <c r="U50" i="1"/>
  <c r="S17" i="2" s="1"/>
  <c r="T50" i="1"/>
  <c r="R17" i="2" s="1"/>
  <c r="S50" i="1"/>
  <c r="Q17" i="2" s="1"/>
  <c r="R50" i="1"/>
  <c r="P17" i="2" s="1"/>
  <c r="Q50" i="1"/>
  <c r="O17" i="2" s="1"/>
  <c r="P50" i="1"/>
  <c r="N17" i="2" s="1"/>
  <c r="O50" i="1"/>
  <c r="M17" i="2" s="1"/>
  <c r="N50" i="1"/>
  <c r="L17" i="2" s="1"/>
  <c r="M50" i="1"/>
  <c r="K17" i="2" s="1"/>
  <c r="L50" i="1"/>
  <c r="J17" i="2" s="1"/>
  <c r="K50" i="1"/>
  <c r="I17" i="2" s="1"/>
  <c r="J50" i="1"/>
  <c r="H17" i="2" s="1"/>
  <c r="I50" i="1"/>
  <c r="G17" i="2" s="1"/>
  <c r="H50" i="1"/>
  <c r="F17" i="2" s="1"/>
  <c r="Y32" i="1"/>
  <c r="W16" i="2" s="1"/>
  <c r="X32" i="1"/>
  <c r="V16" i="2" s="1"/>
  <c r="W32" i="1"/>
  <c r="U16" i="2" s="1"/>
  <c r="V32" i="1"/>
  <c r="T16" i="2" s="1"/>
  <c r="U32" i="1"/>
  <c r="S16" i="2" s="1"/>
  <c r="T32" i="1"/>
  <c r="R16" i="2" s="1"/>
  <c r="S32" i="1"/>
  <c r="Q16" i="2" s="1"/>
  <c r="R32" i="1"/>
  <c r="P16" i="2" s="1"/>
  <c r="Q32" i="1"/>
  <c r="O16" i="2" s="1"/>
  <c r="P32" i="1"/>
  <c r="N16" i="2" s="1"/>
  <c r="O32" i="1"/>
  <c r="M16" i="2" s="1"/>
  <c r="N32" i="1"/>
  <c r="L16" i="2" s="1"/>
  <c r="M32" i="1"/>
  <c r="K16" i="2" s="1"/>
  <c r="L32" i="1"/>
  <c r="J16" i="2" s="1"/>
  <c r="K32" i="1"/>
  <c r="I16" i="2" s="1"/>
  <c r="J32" i="1"/>
  <c r="H16" i="2" s="1"/>
  <c r="I32" i="1"/>
  <c r="G16" i="2" s="1"/>
  <c r="H32" i="1"/>
  <c r="F16" i="2" s="1"/>
  <c r="C36" i="1"/>
  <c r="S10" i="2" l="1"/>
  <c r="J21" i="2"/>
  <c r="R21" i="2"/>
  <c r="X20" i="2"/>
  <c r="Y20" i="2" s="1"/>
  <c r="N21" i="2"/>
  <c r="V21" i="2"/>
  <c r="G21" i="2"/>
  <c r="W21" i="2"/>
  <c r="X19" i="2"/>
  <c r="Y19" i="2" s="1"/>
  <c r="H21" i="2"/>
  <c r="P21" i="2"/>
  <c r="O21" i="2"/>
  <c r="I21" i="2"/>
  <c r="Q21" i="2"/>
  <c r="X17" i="2"/>
  <c r="Y17" i="2" s="1"/>
  <c r="K21" i="2"/>
  <c r="L21" i="2"/>
  <c r="T21" i="2"/>
  <c r="X18" i="2"/>
  <c r="Y18" i="2" s="1"/>
  <c r="S21" i="2"/>
  <c r="M21" i="2"/>
  <c r="U21" i="2"/>
  <c r="F21" i="2"/>
  <c r="X16" i="2"/>
  <c r="Y16" i="2" s="1"/>
  <c r="J33" i="1"/>
  <c r="L105" i="1"/>
  <c r="S105" i="1"/>
  <c r="R105" i="1"/>
  <c r="K105" i="1"/>
  <c r="T105" i="1"/>
  <c r="M105" i="1"/>
  <c r="V105" i="1"/>
  <c r="N105" i="1"/>
  <c r="O105" i="1"/>
  <c r="W105" i="1"/>
  <c r="H105" i="1"/>
  <c r="X105" i="1"/>
  <c r="I105" i="1"/>
  <c r="Q105" i="1"/>
  <c r="Y105" i="1"/>
  <c r="U105" i="1"/>
  <c r="P105" i="1"/>
  <c r="J105" i="1"/>
  <c r="S87" i="1"/>
  <c r="U87" i="1"/>
  <c r="L87" i="1"/>
  <c r="T87" i="1"/>
  <c r="N87" i="1"/>
  <c r="V87" i="1"/>
  <c r="O87" i="1"/>
  <c r="W87" i="1"/>
  <c r="M87" i="1"/>
  <c r="X87" i="1"/>
  <c r="H87" i="1"/>
  <c r="I87" i="1"/>
  <c r="Q87" i="1"/>
  <c r="Y87" i="1"/>
  <c r="P87" i="1"/>
  <c r="J87" i="1"/>
  <c r="R87" i="1"/>
  <c r="K87" i="1"/>
  <c r="S69" i="1"/>
  <c r="L69" i="1"/>
  <c r="T69" i="1"/>
  <c r="N69" i="1"/>
  <c r="V69" i="1"/>
  <c r="W69" i="1"/>
  <c r="H69" i="1"/>
  <c r="P69" i="1"/>
  <c r="X69" i="1"/>
  <c r="M69" i="1"/>
  <c r="U69" i="1"/>
  <c r="O69" i="1"/>
  <c r="I69" i="1"/>
  <c r="Q69" i="1"/>
  <c r="Y69" i="1"/>
  <c r="J69" i="1"/>
  <c r="R69" i="1"/>
  <c r="K69" i="1"/>
  <c r="R33" i="1"/>
  <c r="Q33" i="1"/>
  <c r="Y33" i="1"/>
  <c r="X33" i="1"/>
  <c r="K33" i="1"/>
  <c r="I33" i="1"/>
  <c r="S51" i="1"/>
  <c r="N33" i="1"/>
  <c r="V33" i="1"/>
  <c r="O33" i="1"/>
  <c r="W33" i="1"/>
  <c r="L51" i="1"/>
  <c r="S33" i="1"/>
  <c r="U51" i="1"/>
  <c r="L33" i="1"/>
  <c r="T33" i="1"/>
  <c r="M33" i="1"/>
  <c r="U33" i="1"/>
  <c r="H33" i="1"/>
  <c r="P33" i="1"/>
  <c r="M51" i="1"/>
  <c r="O51" i="1"/>
  <c r="W51" i="1"/>
  <c r="T51" i="1"/>
  <c r="N51" i="1"/>
  <c r="H51" i="1"/>
  <c r="P51" i="1"/>
  <c r="X51" i="1"/>
  <c r="I51" i="1"/>
  <c r="Q51" i="1"/>
  <c r="Y51" i="1"/>
  <c r="J51" i="1"/>
  <c r="R51" i="1"/>
  <c r="V51" i="1"/>
  <c r="K51" i="1"/>
  <c r="T10" i="2" l="1"/>
  <c r="H77" i="1"/>
  <c r="J77" i="1" s="1"/>
  <c r="H73" i="1"/>
  <c r="I73" i="1" s="1"/>
  <c r="J73" i="1" s="1"/>
  <c r="H109" i="1"/>
  <c r="I109" i="1" s="1"/>
  <c r="H113" i="1"/>
  <c r="I91" i="1"/>
  <c r="I37" i="1"/>
  <c r="H41" i="1"/>
  <c r="I77" i="1"/>
  <c r="H95" i="1"/>
  <c r="H91" i="1"/>
  <c r="H55" i="1"/>
  <c r="I55" i="1" s="1"/>
  <c r="H59" i="1"/>
  <c r="I41" i="1"/>
  <c r="X21" i="2"/>
  <c r="I96" i="1" l="1"/>
  <c r="I95" i="1"/>
  <c r="J96" i="1" s="1"/>
  <c r="I59" i="1"/>
  <c r="J59" i="1" s="1"/>
  <c r="I60" i="1"/>
  <c r="I78" i="1"/>
  <c r="G27" i="2" s="1"/>
  <c r="J78" i="1"/>
  <c r="K78" i="1"/>
  <c r="J41" i="1"/>
  <c r="K41" i="1"/>
  <c r="I42" i="1"/>
  <c r="J42" i="1"/>
  <c r="I114" i="1"/>
  <c r="K73" i="1"/>
  <c r="L73" i="1" s="1"/>
  <c r="U10" i="2"/>
  <c r="J37" i="1"/>
  <c r="I113" i="1"/>
  <c r="J109" i="1"/>
  <c r="K109" i="1" s="1"/>
  <c r="J95" i="1"/>
  <c r="K96" i="1" s="1"/>
  <c r="J55" i="1"/>
  <c r="J91" i="1"/>
  <c r="K77" i="1"/>
  <c r="L78" i="1" s="1"/>
  <c r="H27" i="2"/>
  <c r="Y21" i="2"/>
  <c r="W37" i="2"/>
  <c r="O37" i="2"/>
  <c r="G37" i="2"/>
  <c r="M37" i="2"/>
  <c r="L37" i="2"/>
  <c r="S37" i="2"/>
  <c r="J37" i="2"/>
  <c r="Q37" i="2"/>
  <c r="V37" i="2"/>
  <c r="N37" i="2"/>
  <c r="F37" i="2"/>
  <c r="U37" i="2"/>
  <c r="T37" i="2"/>
  <c r="K37" i="2"/>
  <c r="R37" i="2"/>
  <c r="I37" i="2"/>
  <c r="P37" i="2"/>
  <c r="H37" i="2"/>
  <c r="K59" i="1" l="1"/>
  <c r="L59" i="1" s="1"/>
  <c r="J114" i="1"/>
  <c r="H29" i="2" s="1"/>
  <c r="K42" i="1"/>
  <c r="L60" i="1"/>
  <c r="K60" i="1"/>
  <c r="L41" i="1"/>
  <c r="M41" i="1" s="1"/>
  <c r="J60" i="1"/>
  <c r="H26" i="2" s="1"/>
  <c r="L42" i="1"/>
  <c r="J113" i="1"/>
  <c r="M73" i="1"/>
  <c r="V10" i="2"/>
  <c r="G25" i="2"/>
  <c r="K37" i="1"/>
  <c r="L37" i="1"/>
  <c r="M37" i="1" s="1"/>
  <c r="N37" i="1" s="1"/>
  <c r="G29" i="2"/>
  <c r="G26" i="2"/>
  <c r="N73" i="1"/>
  <c r="O73" i="1" s="1"/>
  <c r="P73" i="1" s="1"/>
  <c r="Q73" i="1" s="1"/>
  <c r="L77" i="1"/>
  <c r="L109" i="1"/>
  <c r="K91" i="1"/>
  <c r="K95" i="1"/>
  <c r="K55" i="1"/>
  <c r="H25" i="2"/>
  <c r="H28" i="2"/>
  <c r="G28" i="2"/>
  <c r="F31" i="2"/>
  <c r="F32" i="2" s="1"/>
  <c r="F33" i="2" s="1"/>
  <c r="M60" i="1" l="1"/>
  <c r="N41" i="1"/>
  <c r="O42" i="1" s="1"/>
  <c r="M59" i="1"/>
  <c r="N60" i="1" s="1"/>
  <c r="L96" i="1"/>
  <c r="N42" i="1"/>
  <c r="K114" i="1"/>
  <c r="I29" i="2" s="1"/>
  <c r="M78" i="1"/>
  <c r="M42" i="1"/>
  <c r="K113" i="1"/>
  <c r="L114" i="1" s="1"/>
  <c r="M77" i="1"/>
  <c r="N77" i="1"/>
  <c r="W10" i="2"/>
  <c r="P37" i="1"/>
  <c r="Q37" i="1" s="1"/>
  <c r="R37" i="1" s="1"/>
  <c r="S37" i="1" s="1"/>
  <c r="T37" i="1" s="1"/>
  <c r="U37" i="1" s="1"/>
  <c r="V37" i="1" s="1"/>
  <c r="W37" i="1" s="1"/>
  <c r="X37" i="1" s="1"/>
  <c r="Y37" i="1" s="1"/>
  <c r="O37" i="1"/>
  <c r="I26" i="2"/>
  <c r="M91" i="1"/>
  <c r="N91" i="1" s="1"/>
  <c r="O91" i="1" s="1"/>
  <c r="P91" i="1" s="1"/>
  <c r="L91" i="1"/>
  <c r="M109" i="1"/>
  <c r="G31" i="2"/>
  <c r="G32" i="2" s="1"/>
  <c r="L55" i="1"/>
  <c r="R73" i="1"/>
  <c r="S73" i="1" s="1"/>
  <c r="T73" i="1" s="1"/>
  <c r="U73" i="1" s="1"/>
  <c r="V73" i="1" s="1"/>
  <c r="W73" i="1" s="1"/>
  <c r="X73" i="1" s="1"/>
  <c r="Y73" i="1" s="1"/>
  <c r="L95" i="1"/>
  <c r="I25" i="2"/>
  <c r="J27" i="2"/>
  <c r="J26" i="2"/>
  <c r="I27" i="2"/>
  <c r="I28" i="2"/>
  <c r="F35" i="2"/>
  <c r="G13" i="2"/>
  <c r="H31" i="2"/>
  <c r="H32" i="2" s="1"/>
  <c r="J25" i="2"/>
  <c r="O77" i="1" l="1"/>
  <c r="P78" i="1"/>
  <c r="N78" i="1"/>
  <c r="N59" i="1"/>
  <c r="M96" i="1"/>
  <c r="L113" i="1"/>
  <c r="M114" i="1"/>
  <c r="O78" i="1"/>
  <c r="O41" i="1"/>
  <c r="G33" i="2"/>
  <c r="G35" i="2" s="1"/>
  <c r="X24" i="2"/>
  <c r="Y24" i="2" s="1"/>
  <c r="M95" i="1"/>
  <c r="N96" i="1" s="1"/>
  <c r="M55" i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N109" i="1"/>
  <c r="Q91" i="1"/>
  <c r="R91" i="1" s="1"/>
  <c r="S91" i="1" s="1"/>
  <c r="T91" i="1" s="1"/>
  <c r="U91" i="1" s="1"/>
  <c r="V91" i="1" s="1"/>
  <c r="W91" i="1" s="1"/>
  <c r="X91" i="1" s="1"/>
  <c r="Y91" i="1" s="1"/>
  <c r="K27" i="2"/>
  <c r="J29" i="2"/>
  <c r="K26" i="2"/>
  <c r="J28" i="2"/>
  <c r="K29" i="2"/>
  <c r="I31" i="2"/>
  <c r="I32" i="2" s="1"/>
  <c r="P41" i="1" l="1"/>
  <c r="P42" i="1"/>
  <c r="Q42" i="1"/>
  <c r="N95" i="1"/>
  <c r="O96" i="1" s="1"/>
  <c r="O59" i="1"/>
  <c r="O60" i="1"/>
  <c r="M113" i="1"/>
  <c r="P60" i="1"/>
  <c r="P77" i="1"/>
  <c r="H13" i="2"/>
  <c r="H33" i="2" s="1"/>
  <c r="H35" i="2" s="1"/>
  <c r="O109" i="1"/>
  <c r="P109" i="1" s="1"/>
  <c r="Q109" i="1" s="1"/>
  <c r="R109" i="1" s="1"/>
  <c r="L27" i="2"/>
  <c r="L26" i="2"/>
  <c r="K25" i="2"/>
  <c r="K28" i="2"/>
  <c r="J31" i="2"/>
  <c r="J32" i="2" s="1"/>
  <c r="L25" i="2"/>
  <c r="Q77" i="1" l="1"/>
  <c r="N113" i="1"/>
  <c r="N114" i="1"/>
  <c r="L29" i="2" s="1"/>
  <c r="Q41" i="1"/>
  <c r="R41" i="1" s="1"/>
  <c r="O95" i="1"/>
  <c r="P96" i="1" s="1"/>
  <c r="R78" i="1"/>
  <c r="O114" i="1"/>
  <c r="P59" i="1"/>
  <c r="Q78" i="1"/>
  <c r="I13" i="2"/>
  <c r="I33" i="2" s="1"/>
  <c r="I35" i="2" s="1"/>
  <c r="S109" i="1"/>
  <c r="T109" i="1" s="1"/>
  <c r="U109" i="1" s="1"/>
  <c r="V109" i="1" s="1"/>
  <c r="W109" i="1" s="1"/>
  <c r="X109" i="1" s="1"/>
  <c r="Y109" i="1" s="1"/>
  <c r="M27" i="2"/>
  <c r="M26" i="2"/>
  <c r="L28" i="2"/>
  <c r="K31" i="2"/>
  <c r="K32" i="2" s="1"/>
  <c r="N27" i="2"/>
  <c r="Q59" i="1" l="1"/>
  <c r="Q60" i="1"/>
  <c r="Q96" i="1"/>
  <c r="S41" i="1"/>
  <c r="S42" i="1"/>
  <c r="P95" i="1"/>
  <c r="O113" i="1"/>
  <c r="R77" i="1"/>
  <c r="R42" i="1"/>
  <c r="J13" i="2"/>
  <c r="J33" i="2" s="1"/>
  <c r="J35" i="2" s="1"/>
  <c r="N26" i="2"/>
  <c r="M29" i="2"/>
  <c r="M28" i="2"/>
  <c r="M25" i="2"/>
  <c r="L31" i="2"/>
  <c r="L32" i="2" s="1"/>
  <c r="O27" i="2"/>
  <c r="S77" i="1" l="1"/>
  <c r="P113" i="1"/>
  <c r="T41" i="1"/>
  <c r="T42" i="1"/>
  <c r="R59" i="1"/>
  <c r="R60" i="1"/>
  <c r="T78" i="1"/>
  <c r="Q95" i="1"/>
  <c r="P114" i="1"/>
  <c r="N29" i="2" s="1"/>
  <c r="S60" i="1"/>
  <c r="S78" i="1"/>
  <c r="K13" i="2"/>
  <c r="K33" i="2" s="1"/>
  <c r="K35" i="2" s="1"/>
  <c r="O26" i="2"/>
  <c r="N25" i="2"/>
  <c r="N28" i="2"/>
  <c r="M31" i="2"/>
  <c r="M32" i="2" s="1"/>
  <c r="P27" i="2"/>
  <c r="L13" i="2" l="1"/>
  <c r="L33" i="2" s="1"/>
  <c r="L35" i="2" s="1"/>
  <c r="Q113" i="1"/>
  <c r="R95" i="1"/>
  <c r="R96" i="1"/>
  <c r="U41" i="1"/>
  <c r="U42" i="1"/>
  <c r="T77" i="1"/>
  <c r="S59" i="1"/>
  <c r="Q114" i="1"/>
  <c r="O29" i="2" s="1"/>
  <c r="P26" i="2"/>
  <c r="O28" i="2"/>
  <c r="O25" i="2"/>
  <c r="M13" i="2"/>
  <c r="M33" i="2" s="1"/>
  <c r="M35" i="2" s="1"/>
  <c r="N31" i="2"/>
  <c r="N32" i="2" s="1"/>
  <c r="Q27" i="2"/>
  <c r="T59" i="1" l="1"/>
  <c r="R114" i="1"/>
  <c r="P29" i="2" s="1"/>
  <c r="U77" i="1"/>
  <c r="V41" i="1"/>
  <c r="W42" i="1" s="1"/>
  <c r="V42" i="1"/>
  <c r="U78" i="1"/>
  <c r="R113" i="1"/>
  <c r="U60" i="1"/>
  <c r="S95" i="1"/>
  <c r="S96" i="1"/>
  <c r="T60" i="1"/>
  <c r="Q26" i="2"/>
  <c r="P25" i="2"/>
  <c r="P28" i="2"/>
  <c r="N13" i="2"/>
  <c r="N33" i="2" s="1"/>
  <c r="N35" i="2" s="1"/>
  <c r="O31" i="2"/>
  <c r="O32" i="2" s="1"/>
  <c r="R27" i="2"/>
  <c r="S113" i="1" l="1"/>
  <c r="U59" i="1"/>
  <c r="T95" i="1"/>
  <c r="U96" i="1" s="1"/>
  <c r="V77" i="1"/>
  <c r="V78" i="1"/>
  <c r="S114" i="1"/>
  <c r="Q29" i="2" s="1"/>
  <c r="W41" i="1"/>
  <c r="X41" i="1" s="1"/>
  <c r="Y41" i="1" s="1"/>
  <c r="Y42" i="1"/>
  <c r="T114" i="1"/>
  <c r="X42" i="1"/>
  <c r="T96" i="1"/>
  <c r="R26" i="2"/>
  <c r="Q25" i="2"/>
  <c r="Q28" i="2"/>
  <c r="O13" i="2"/>
  <c r="O33" i="2" s="1"/>
  <c r="O35" i="2" s="1"/>
  <c r="P31" i="2"/>
  <c r="P32" i="2" s="1"/>
  <c r="S27" i="2"/>
  <c r="W77" i="1" l="1"/>
  <c r="W78" i="1"/>
  <c r="V59" i="1"/>
  <c r="V60" i="1"/>
  <c r="U95" i="1"/>
  <c r="T113" i="1"/>
  <c r="U114" i="1" s="1"/>
  <c r="S26" i="2"/>
  <c r="R29" i="2"/>
  <c r="R25" i="2"/>
  <c r="R28" i="2"/>
  <c r="P13" i="2"/>
  <c r="P33" i="2" s="1"/>
  <c r="P35" i="2" s="1"/>
  <c r="Q31" i="2"/>
  <c r="Q32" i="2" s="1"/>
  <c r="T27" i="2"/>
  <c r="X77" i="1" l="1"/>
  <c r="Y77" i="1" s="1"/>
  <c r="X78" i="1"/>
  <c r="W59" i="1"/>
  <c r="W60" i="1"/>
  <c r="Y78" i="1"/>
  <c r="U113" i="1"/>
  <c r="V95" i="1"/>
  <c r="V96" i="1"/>
  <c r="T26" i="2"/>
  <c r="S25" i="2"/>
  <c r="S29" i="2"/>
  <c r="S28" i="2"/>
  <c r="Q13" i="2"/>
  <c r="Q33" i="2" s="1"/>
  <c r="Q35" i="2" s="1"/>
  <c r="R31" i="2"/>
  <c r="R32" i="2" s="1"/>
  <c r="U27" i="2"/>
  <c r="X59" i="1" l="1"/>
  <c r="Y59" i="1" s="1"/>
  <c r="X60" i="1"/>
  <c r="V113" i="1"/>
  <c r="W114" i="1" s="1"/>
  <c r="V114" i="1"/>
  <c r="T29" i="2" s="1"/>
  <c r="W95" i="1"/>
  <c r="Y60" i="1"/>
  <c r="W96" i="1"/>
  <c r="U26" i="2"/>
  <c r="T28" i="2"/>
  <c r="T25" i="2"/>
  <c r="R13" i="2"/>
  <c r="R33" i="2" s="1"/>
  <c r="R35" i="2" s="1"/>
  <c r="S31" i="2"/>
  <c r="S32" i="2" s="1"/>
  <c r="V27" i="2"/>
  <c r="X95" i="1" l="1"/>
  <c r="X96" i="1"/>
  <c r="W113" i="1"/>
  <c r="V26" i="2"/>
  <c r="U29" i="2"/>
  <c r="U25" i="2"/>
  <c r="U28" i="2"/>
  <c r="S13" i="2"/>
  <c r="S33" i="2" s="1"/>
  <c r="S35" i="2" s="1"/>
  <c r="T31" i="2"/>
  <c r="T32" i="2" s="1"/>
  <c r="W27" i="2"/>
  <c r="X113" i="1" l="1"/>
  <c r="X114" i="1"/>
  <c r="V29" i="2" s="1"/>
  <c r="Y95" i="1"/>
  <c r="Y96" i="1"/>
  <c r="W26" i="2"/>
  <c r="V25" i="2"/>
  <c r="V28" i="2"/>
  <c r="U31" i="2"/>
  <c r="U32" i="2" s="1"/>
  <c r="T13" i="2"/>
  <c r="T33" i="2" s="1"/>
  <c r="T35" i="2" s="1"/>
  <c r="Y113" i="1" l="1"/>
  <c r="Y114" i="1"/>
  <c r="W29" i="2" s="1"/>
  <c r="W28" i="2"/>
  <c r="X28" i="2" s="1"/>
  <c r="Y28" i="2" s="1"/>
  <c r="W25" i="2"/>
  <c r="V31" i="2"/>
  <c r="V32" i="2" s="1"/>
  <c r="U13" i="2"/>
  <c r="U33" i="2" s="1"/>
  <c r="U35" i="2" s="1"/>
  <c r="X27" i="2"/>
  <c r="Y27" i="2" s="1"/>
  <c r="X29" i="2" l="1"/>
  <c r="Y29" i="2" s="1"/>
  <c r="X25" i="2"/>
  <c r="Y25" i="2" s="1"/>
  <c r="V13" i="2"/>
  <c r="V33" i="2" s="1"/>
  <c r="V35" i="2" s="1"/>
  <c r="W31" i="2"/>
  <c r="W32" i="2" s="1"/>
  <c r="X26" i="2"/>
  <c r="Y26" i="2" s="1"/>
  <c r="W13" i="2" l="1"/>
  <c r="W33" i="2" s="1"/>
  <c r="X31" i="2"/>
  <c r="X32" i="2"/>
  <c r="Y32" i="2" s="1"/>
  <c r="W35" i="2" l="1"/>
  <c r="Y31" i="2"/>
  <c r="S38" i="2"/>
  <c r="K38" i="2"/>
  <c r="Q38" i="2"/>
  <c r="I38" i="2"/>
  <c r="P38" i="2"/>
  <c r="W38" i="2"/>
  <c r="G38" i="2"/>
  <c r="N38" i="2"/>
  <c r="M38" i="2"/>
  <c r="T38" i="2"/>
  <c r="R38" i="2"/>
  <c r="J38" i="2"/>
  <c r="H38" i="2"/>
  <c r="O38" i="2"/>
  <c r="V38" i="2"/>
  <c r="F38" i="2"/>
  <c r="U38" i="2"/>
  <c r="L38" i="2"/>
  <c r="X33" i="2"/>
  <c r="C4" i="2" l="1"/>
  <c r="C4" i="1" s="1"/>
  <c r="C5" i="2"/>
  <c r="C5" i="1" s="1"/>
  <c r="X35" i="2"/>
  <c r="Y33" i="2"/>
  <c r="C3" i="2" l="1"/>
  <c r="C3" i="1" s="1"/>
</calcChain>
</file>

<file path=xl/sharedStrings.xml><?xml version="1.0" encoding="utf-8"?>
<sst xmlns="http://schemas.openxmlformats.org/spreadsheetml/2006/main" count="162" uniqueCount="73">
  <si>
    <t>Reform Funding</t>
  </si>
  <si>
    <t>Activity Flag</t>
  </si>
  <si>
    <t>Allocated funding</t>
  </si>
  <si>
    <t>Estimated cash outflow</t>
  </si>
  <si>
    <t>Cumulative cash outflow</t>
  </si>
  <si>
    <t>$</t>
  </si>
  <si>
    <t>Total</t>
  </si>
  <si>
    <t>Opening Cash</t>
  </si>
  <si>
    <t>Closing Cash</t>
  </si>
  <si>
    <t>Net Cash Flow</t>
  </si>
  <si>
    <t>Funding:</t>
  </si>
  <si>
    <t>Assumptions</t>
  </si>
  <si>
    <t>%</t>
  </si>
  <si>
    <t>Upfront payment</t>
  </si>
  <si>
    <t>Funding</t>
  </si>
  <si>
    <t>Final payment</t>
  </si>
  <si>
    <t>Check</t>
  </si>
  <si>
    <t>Start date</t>
  </si>
  <si>
    <t>End date</t>
  </si>
  <si>
    <t>Cash Outflows:</t>
  </si>
  <si>
    <t>Funding shortfall check</t>
  </si>
  <si>
    <t>Error Check</t>
  </si>
  <si>
    <t>Funding Shortfall Check</t>
  </si>
  <si>
    <t>Milestone Funding: Tranche 1</t>
  </si>
  <si>
    <t>Milestone Funding: Tranche 2</t>
  </si>
  <si>
    <t>Milestone Spend threshold %: Tranche 1</t>
  </si>
  <si>
    <t>Milestone Spend threshold %: Tranche 2</t>
  </si>
  <si>
    <t>Milestone Spend threshold $: Tranche 1</t>
  </si>
  <si>
    <t>Milestone Flag: Tranche 1</t>
  </si>
  <si>
    <t>Milestone Spend threshold $: Tranche 2</t>
  </si>
  <si>
    <t>Milestone Flag: Tranche 2</t>
  </si>
  <si>
    <t xml:space="preserve">% of total cash spent </t>
  </si>
  <si>
    <t>% of total cash received</t>
  </si>
  <si>
    <t>Funding Shortfall</t>
  </si>
  <si>
    <t>Quantity</t>
  </si>
  <si>
    <t>End</t>
  </si>
  <si>
    <t>Cash Flow Profile</t>
  </si>
  <si>
    <t>[Enter project name]</t>
  </si>
  <si>
    <t>Project Cash Flow Profile</t>
  </si>
  <si>
    <t>Guidance</t>
  </si>
  <si>
    <t>Project start date</t>
  </si>
  <si>
    <t>Project budget</t>
  </si>
  <si>
    <t>Total funding to be received</t>
  </si>
  <si>
    <t>% of funding received upfront</t>
  </si>
  <si>
    <t>% of funding to be paid in final month of delivery</t>
  </si>
  <si>
    <t>% of funding to be received upon achieving milestone and number of milestones</t>
  </si>
  <si>
    <t>% of project budget to be spent for milestone achievement. Can be entered at an individual project level below.</t>
  </si>
  <si>
    <t>Formatting</t>
  </si>
  <si>
    <t>Input Assumption - for Council Input</t>
  </si>
  <si>
    <t>Cell Formatting</t>
  </si>
  <si>
    <t>Sheet Formatting</t>
  </si>
  <si>
    <t>Output Sheets</t>
  </si>
  <si>
    <t>Input and calculation sheets</t>
  </si>
  <si>
    <t>Three Waters Stimulus Funding - Cash Flow Profile</t>
  </si>
  <si>
    <t>The following principles were used to guide the approach to forecasting funding injections:</t>
  </si>
  <si>
    <t>- Funding injections are received upon achievement of Programme milestones</t>
  </si>
  <si>
    <t>- A contingency amount is held throughout and is to be received as a final payment at the end of the Water Reform period</t>
  </si>
  <si>
    <t>- Funding injections are balanced against expected cash outflows as not to hold too much cash, but also not risk a funding gap and impact on workflow</t>
  </si>
  <si>
    <t>This template was created to forecast the cash flow profile of Three Waters Stimulus funding injections against the estimated cash outflows of the Expenditure Programme.</t>
  </si>
  <si>
    <t>- The milestones are linked to a % of funding spent, rather than activities, to allow flexibility in the Programme</t>
  </si>
  <si>
    <t>- 50% of the allocated Stimulus funding is received upfront</t>
  </si>
  <si>
    <t>Programme Cash Flow Profile</t>
  </si>
  <si>
    <t>Payment delay: Tranche 1 Milestones</t>
  </si>
  <si>
    <t xml:space="preserve">Payment delay: Tranche 2 Milestones </t>
  </si>
  <si>
    <t>Months delay from milestone achievement to payment</t>
  </si>
  <si>
    <t>Payment Flag: Tranche 1</t>
  </si>
  <si>
    <t>Payment Flag: Tranche 2</t>
  </si>
  <si>
    <t>Project end date</t>
  </si>
  <si>
    <t>Project Dates</t>
  </si>
  <si>
    <t>Max Funding Shortfall</t>
  </si>
  <si>
    <t>Payment delay Initial Funding</t>
  </si>
  <si>
    <t>Months delay from requested payment to actual payment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</si>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</sst>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_(* #,##0.0_);_(* \(#,##0.0\);_(* &quot; - &quot;_);_(* @_)"/>
    <numFmt numFmtId="166" formatCode="_-* #,##0_-;\-* #,##0_-;_-* &quot;-&quot;??_-;_-@_-"/>
    <numFmt numFmtId="167" formatCode="_-* #,##0.0_-;\-* #,##0.0_-;_-* &quot;-&quot;??_-;_-@_-"/>
    <numFmt numFmtId="168" formatCode="_-* #,##0.0_-;\-* #,##0.0_-;_-* &quot;-&quot;?_-;_-@_-"/>
    <numFmt numFmtId="169" formatCode="0.0%"/>
    <numFmt numFmtId="170" formatCode="_-* #,##0.0000_-;\-* #,##0.0000_-;_-* &quot;-&quot;??_-;_-@_-"/>
    <numFmt numFmtId="171" formatCode="&quot;Error&quot;;&quot;Error&quot;;&quot;OK&quot;"/>
    <numFmt numFmtId="172" formatCode="#,##0;\(#,##0\);\-"/>
  </numFmts>
  <fonts count="25" x14ac:knownFonts="1">
    <font>
      <sz val="8"/>
      <color theme="1"/>
      <name val="Arial"/>
      <family val="2"/>
    </font>
    <font>
      <sz val="11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theme="1"/>
      <name val="Calibri"/>
      <family val="2"/>
    </font>
    <font>
      <b/>
      <sz val="9"/>
      <color rgb="FFFFFFFF"/>
      <name val="Arial"/>
      <family val="2"/>
    </font>
    <font>
      <b/>
      <u/>
      <sz val="9"/>
      <color theme="1"/>
      <name val="Calibri"/>
      <family val="2"/>
    </font>
    <font>
      <b/>
      <sz val="9"/>
      <color rgb="FFFFFFFF"/>
      <name val="Calibri"/>
      <family val="2"/>
    </font>
    <font>
      <i/>
      <sz val="9"/>
      <color theme="9"/>
      <name val="Calibri"/>
      <family val="2"/>
    </font>
    <font>
      <b/>
      <i/>
      <sz val="9"/>
      <color theme="9"/>
      <name val="Calibri"/>
      <family val="2"/>
    </font>
    <font>
      <sz val="9"/>
      <color theme="9"/>
      <name val="Calibri"/>
      <family val="2"/>
    </font>
    <font>
      <b/>
      <sz val="9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Arial"/>
      <family val="2"/>
    </font>
    <font>
      <b/>
      <sz val="10"/>
      <color theme="0"/>
      <name val="Calibri"/>
      <family val="2"/>
    </font>
    <font>
      <i/>
      <sz val="9"/>
      <color theme="0" tint="-0.499984740745262"/>
      <name val="Calibri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6BC25"/>
        <bgColor indexed="64"/>
      </patternFill>
    </fill>
    <fill>
      <patternFill patternType="solid">
        <fgColor rgb="FF046A3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3" fontId="3" fillId="0" borderId="0" xfId="1" applyFont="1"/>
    <xf numFmtId="43" fontId="3" fillId="0" borderId="0" xfId="0" applyNumberFormat="1" applyFont="1"/>
    <xf numFmtId="2" fontId="3" fillId="2" borderId="1" xfId="2" applyNumberFormat="1" applyFont="1"/>
    <xf numFmtId="43" fontId="3" fillId="0" borderId="2" xfId="1" applyFont="1" applyBorder="1"/>
    <xf numFmtId="0" fontId="3" fillId="0" borderId="3" xfId="0" applyFont="1" applyBorder="1"/>
    <xf numFmtId="43" fontId="4" fillId="0" borderId="0" xfId="0" applyNumberFormat="1" applyFont="1"/>
    <xf numFmtId="0" fontId="4" fillId="0" borderId="4" xfId="0" applyFont="1" applyBorder="1"/>
    <xf numFmtId="43" fontId="4" fillId="0" borderId="4" xfId="0" applyNumberFormat="1" applyFont="1" applyBorder="1"/>
    <xf numFmtId="0" fontId="7" fillId="0" borderId="0" xfId="0" applyFont="1"/>
    <xf numFmtId="0" fontId="3" fillId="0" borderId="4" xfId="0" applyFont="1" applyBorder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4" fillId="0" borderId="5" xfId="0" applyFont="1" applyBorder="1"/>
    <xf numFmtId="0" fontId="3" fillId="0" borderId="5" xfId="0" applyFont="1" applyBorder="1"/>
    <xf numFmtId="1" fontId="4" fillId="2" borderId="1" xfId="2" applyNumberFormat="1" applyFont="1"/>
    <xf numFmtId="165" fontId="4" fillId="0" borderId="0" xfId="0" applyNumberFormat="1" applyFont="1"/>
    <xf numFmtId="0" fontId="9" fillId="0" borderId="0" xfId="0" applyFont="1"/>
    <xf numFmtId="17" fontId="10" fillId="3" borderId="0" xfId="0" applyNumberFormat="1" applyFont="1" applyFill="1" applyAlignment="1">
      <alignment horizontal="right" vertical="center"/>
    </xf>
    <xf numFmtId="0" fontId="10" fillId="4" borderId="6" xfId="0" applyFont="1" applyFill="1" applyBorder="1" applyAlignment="1">
      <alignment horizontal="right" vertical="center"/>
    </xf>
    <xf numFmtId="0" fontId="3" fillId="0" borderId="6" xfId="0" applyFont="1" applyBorder="1"/>
    <xf numFmtId="165" fontId="3" fillId="0" borderId="6" xfId="0" applyNumberFormat="1" applyFont="1" applyBorder="1"/>
    <xf numFmtId="165" fontId="4" fillId="0" borderId="6" xfId="0" applyNumberFormat="1" applyFont="1" applyBorder="1"/>
    <xf numFmtId="0" fontId="3" fillId="0" borderId="0" xfId="0" applyFont="1" applyAlignment="1">
      <alignment horizontal="right"/>
    </xf>
    <xf numFmtId="165" fontId="5" fillId="0" borderId="0" xfId="0" applyNumberFormat="1" applyFont="1" applyFill="1" applyAlignment="1">
      <alignment horizontal="left" vertical="center"/>
    </xf>
    <xf numFmtId="165" fontId="6" fillId="0" borderId="4" xfId="0" applyNumberFormat="1" applyFont="1" applyFill="1" applyBorder="1" applyAlignment="1">
      <alignment horizontal="left" vertical="center"/>
    </xf>
    <xf numFmtId="165" fontId="6" fillId="0" borderId="7" xfId="0" applyNumberFormat="1" applyFont="1" applyFill="1" applyBorder="1" applyAlignment="1">
      <alignment horizontal="left" vertical="center"/>
    </xf>
    <xf numFmtId="165" fontId="6" fillId="0" borderId="4" xfId="1" applyNumberFormat="1" applyFont="1" applyFill="1" applyBorder="1" applyAlignment="1">
      <alignment horizontal="left" vertical="center"/>
    </xf>
    <xf numFmtId="165" fontId="6" fillId="0" borderId="9" xfId="1" applyNumberFormat="1" applyFont="1" applyFill="1" applyBorder="1" applyAlignment="1">
      <alignment horizontal="left" vertical="center"/>
    </xf>
    <xf numFmtId="165" fontId="6" fillId="0" borderId="5" xfId="0" applyNumberFormat="1" applyFont="1" applyFill="1" applyBorder="1" applyAlignment="1">
      <alignment horizontal="left" vertical="center"/>
    </xf>
    <xf numFmtId="165" fontId="6" fillId="0" borderId="8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165" fontId="5" fillId="0" borderId="4" xfId="1" applyNumberFormat="1" applyFont="1" applyFill="1" applyBorder="1" applyAlignment="1">
      <alignment horizontal="left" vertical="center"/>
    </xf>
    <xf numFmtId="168" fontId="3" fillId="0" borderId="0" xfId="0" applyNumberFormat="1" applyFont="1"/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3" borderId="0" xfId="0" applyFont="1" applyFill="1" applyAlignment="1">
      <alignment horizontal="left" vertical="center"/>
    </xf>
    <xf numFmtId="9" fontId="3" fillId="0" borderId="0" xfId="0" applyNumberFormat="1" applyFont="1"/>
    <xf numFmtId="169" fontId="3" fillId="2" borderId="1" xfId="3" applyNumberFormat="1" applyFont="1" applyFill="1" applyBorder="1"/>
    <xf numFmtId="9" fontId="3" fillId="0" borderId="0" xfId="3" applyFont="1"/>
    <xf numFmtId="17" fontId="3" fillId="2" borderId="1" xfId="2" applyNumberFormat="1" applyFont="1"/>
    <xf numFmtId="166" fontId="3" fillId="0" borderId="1" xfId="2" applyNumberFormat="1" applyFont="1" applyFill="1"/>
    <xf numFmtId="167" fontId="7" fillId="0" borderId="0" xfId="1" applyNumberFormat="1" applyFont="1"/>
    <xf numFmtId="0" fontId="7" fillId="0" borderId="0" xfId="0" applyFont="1" applyBorder="1"/>
    <xf numFmtId="166" fontId="7" fillId="0" borderId="0" xfId="1" applyNumberFormat="1" applyFont="1" applyBorder="1"/>
    <xf numFmtId="0" fontId="3" fillId="0" borderId="0" xfId="0" applyFont="1" applyBorder="1"/>
    <xf numFmtId="169" fontId="7" fillId="2" borderId="1" xfId="3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6" fontId="3" fillId="2" borderId="1" xfId="1" applyNumberFormat="1" applyFont="1" applyFill="1" applyBorder="1"/>
    <xf numFmtId="164" fontId="4" fillId="0" borderId="1" xfId="2" applyNumberFormat="1" applyFont="1" applyFill="1"/>
    <xf numFmtId="2" fontId="3" fillId="0" borderId="1" xfId="2" applyNumberFormat="1" applyFont="1" applyFill="1"/>
    <xf numFmtId="0" fontId="3" fillId="0" borderId="0" xfId="0" applyFont="1" applyFill="1"/>
    <xf numFmtId="0" fontId="7" fillId="0" borderId="0" xfId="0" applyFont="1" applyFill="1"/>
    <xf numFmtId="0" fontId="4" fillId="0" borderId="4" xfId="0" applyFont="1" applyFill="1" applyBorder="1"/>
    <xf numFmtId="2" fontId="7" fillId="0" borderId="0" xfId="0" applyNumberFormat="1" applyFont="1" applyBorder="1"/>
    <xf numFmtId="164" fontId="7" fillId="0" borderId="0" xfId="0" applyNumberFormat="1" applyFont="1" applyBorder="1"/>
    <xf numFmtId="170" fontId="3" fillId="0" borderId="0" xfId="0" applyNumberFormat="1" applyFont="1"/>
    <xf numFmtId="0" fontId="3" fillId="0" borderId="10" xfId="0" applyFont="1" applyFill="1" applyBorder="1"/>
    <xf numFmtId="0" fontId="1" fillId="0" borderId="11" xfId="0" applyFont="1" applyFill="1" applyBorder="1"/>
    <xf numFmtId="9" fontId="5" fillId="0" borderId="11" xfId="3" applyFont="1" applyFill="1" applyBorder="1" applyAlignment="1">
      <alignment horizontal="left" vertical="center" indent="1"/>
    </xf>
    <xf numFmtId="0" fontId="3" fillId="0" borderId="12" xfId="0" applyFont="1" applyFill="1" applyBorder="1"/>
    <xf numFmtId="0" fontId="1" fillId="0" borderId="13" xfId="0" applyFont="1" applyFill="1" applyBorder="1"/>
    <xf numFmtId="9" fontId="5" fillId="0" borderId="13" xfId="3" applyFont="1" applyFill="1" applyBorder="1" applyAlignment="1">
      <alignment horizontal="left" vertical="center" indent="1"/>
    </xf>
    <xf numFmtId="9" fontId="5" fillId="0" borderId="14" xfId="3" applyFont="1" applyFill="1" applyBorder="1" applyAlignment="1">
      <alignment horizontal="left" vertical="center" indent="1"/>
    </xf>
    <xf numFmtId="9" fontId="5" fillId="0" borderId="15" xfId="3" applyFont="1" applyFill="1" applyBorder="1" applyAlignment="1">
      <alignment horizontal="left" vertical="center" indent="1"/>
    </xf>
    <xf numFmtId="43" fontId="3" fillId="0" borderId="1" xfId="1" applyFont="1" applyFill="1" applyBorder="1"/>
    <xf numFmtId="166" fontId="3" fillId="0" borderId="1" xfId="1" applyNumberFormat="1" applyFont="1" applyFill="1" applyBorder="1" applyAlignment="1">
      <alignment horizontal="right"/>
    </xf>
    <xf numFmtId="43" fontId="3" fillId="0" borderId="1" xfId="1" applyNumberFormat="1" applyFont="1" applyFill="1" applyBorder="1"/>
    <xf numFmtId="0" fontId="1" fillId="5" borderId="0" xfId="0" applyFont="1" applyFill="1"/>
    <xf numFmtId="0" fontId="1" fillId="0" borderId="0" xfId="0" applyFont="1" applyFill="1"/>
    <xf numFmtId="0" fontId="14" fillId="0" borderId="0" xfId="0" applyFont="1" applyFill="1"/>
    <xf numFmtId="0" fontId="15" fillId="0" borderId="0" xfId="0" applyFont="1"/>
    <xf numFmtId="0" fontId="16" fillId="5" borderId="0" xfId="0" applyFont="1" applyFill="1"/>
    <xf numFmtId="0" fontId="17" fillId="5" borderId="0" xfId="0" applyFont="1" applyFill="1" applyAlignment="1">
      <alignment horizontal="left" vertical="center"/>
    </xf>
    <xf numFmtId="169" fontId="7" fillId="0" borderId="0" xfId="0" applyNumberFormat="1" applyFont="1"/>
    <xf numFmtId="0" fontId="18" fillId="5" borderId="0" xfId="0" applyFont="1" applyFill="1" applyAlignment="1">
      <alignment horizontal="right" vertical="center"/>
    </xf>
    <xf numFmtId="17" fontId="17" fillId="5" borderId="0" xfId="0" applyNumberFormat="1" applyFont="1" applyFill="1" applyAlignment="1">
      <alignment horizontal="right" vertical="center"/>
    </xf>
    <xf numFmtId="164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right"/>
    </xf>
    <xf numFmtId="0" fontId="16" fillId="6" borderId="0" xfId="0" applyFont="1" applyFill="1"/>
    <xf numFmtId="164" fontId="15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applyFont="1" applyFill="1"/>
    <xf numFmtId="0" fontId="19" fillId="5" borderId="0" xfId="0" applyFont="1" applyFill="1"/>
    <xf numFmtId="0" fontId="20" fillId="0" borderId="0" xfId="0" applyFont="1"/>
    <xf numFmtId="0" fontId="19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167" fontId="17" fillId="5" borderId="0" xfId="1" applyNumberFormat="1" applyFont="1" applyFill="1" applyAlignment="1">
      <alignment horizontal="left" vertical="center"/>
    </xf>
    <xf numFmtId="0" fontId="21" fillId="2" borderId="1" xfId="3" applyNumberFormat="1" applyFont="1" applyFill="1" applyBorder="1"/>
    <xf numFmtId="0" fontId="23" fillId="0" borderId="0" xfId="0" applyFont="1"/>
    <xf numFmtId="0" fontId="3" fillId="0" borderId="0" xfId="0" quotePrefix="1" applyFont="1"/>
    <xf numFmtId="0" fontId="22" fillId="8" borderId="1" xfId="3" applyNumberFormat="1" applyFont="1" applyFill="1" applyBorder="1"/>
    <xf numFmtId="0" fontId="22" fillId="7" borderId="1" xfId="3" applyNumberFormat="1" applyFont="1" applyFill="1" applyBorder="1"/>
    <xf numFmtId="0" fontId="7" fillId="0" borderId="0" xfId="0" applyFont="1" applyFill="1" applyBorder="1"/>
    <xf numFmtId="166" fontId="7" fillId="0" borderId="1" xfId="1" applyNumberFormat="1" applyFont="1" applyFill="1" applyBorder="1"/>
    <xf numFmtId="166" fontId="7" fillId="0" borderId="0" xfId="1" applyNumberFormat="1" applyFont="1" applyFill="1" applyBorder="1"/>
    <xf numFmtId="9" fontId="7" fillId="0" borderId="0" xfId="3" applyFont="1"/>
    <xf numFmtId="14" fontId="1" fillId="0" borderId="0" xfId="0" applyNumberFormat="1" applyFont="1"/>
    <xf numFmtId="17" fontId="24" fillId="0" borderId="0" xfId="0" applyNumberFormat="1" applyFont="1"/>
    <xf numFmtId="171" fontId="7" fillId="0" borderId="0" xfId="1" applyNumberFormat="1" applyFont="1" applyFill="1" applyBorder="1"/>
    <xf numFmtId="14" fontId="5" fillId="0" borderId="0" xfId="0" applyNumberFormat="1" applyFont="1" applyFill="1" applyAlignment="1">
      <alignment horizontal="left" vertical="center"/>
    </xf>
    <xf numFmtId="0" fontId="11" fillId="0" borderId="3" xfId="0" applyFont="1" applyBorder="1" applyAlignment="1">
      <alignment horizontal="center"/>
    </xf>
    <xf numFmtId="43" fontId="4" fillId="0" borderId="17" xfId="1" applyFont="1" applyFill="1" applyBorder="1"/>
    <xf numFmtId="43" fontId="5" fillId="0" borderId="3" xfId="1" applyFont="1" applyFill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0" fillId="3" borderId="0" xfId="1" applyFont="1" applyFill="1" applyAlignment="1">
      <alignment horizontal="right" vertical="center"/>
    </xf>
    <xf numFmtId="165" fontId="3" fillId="0" borderId="18" xfId="0" applyNumberFormat="1" applyFont="1" applyBorder="1"/>
    <xf numFmtId="43" fontId="5" fillId="0" borderId="19" xfId="1" applyFont="1" applyFill="1" applyBorder="1" applyAlignment="1">
      <alignment horizontal="left" vertical="center"/>
    </xf>
    <xf numFmtId="43" fontId="5" fillId="0" borderId="16" xfId="1" applyFont="1" applyFill="1" applyBorder="1" applyAlignment="1">
      <alignment horizontal="left" vertical="center"/>
    </xf>
    <xf numFmtId="172" fontId="3" fillId="0" borderId="0" xfId="0" applyNumberFormat="1" applyFont="1"/>
  </cellXfs>
  <cellStyles count="4">
    <cellStyle name="Comma" xfId="1" builtinId="3"/>
    <cellStyle name="Normal" xfId="0" builtinId="0"/>
    <cellStyle name="Note" xfId="2" builtinId="10"/>
    <cellStyle name="Percent" xfId="3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00000"/>
                </a:solidFill>
                <a:latin typeface="Calibri" panose="020F0502020204030204" pitchFamily="34" charset="0"/>
                <a:ea typeface="Verdana"/>
                <a:cs typeface="Calibri" panose="020F0502020204030204" pitchFamily="34" charset="0"/>
              </a:defRPr>
            </a:pPr>
            <a:r>
              <a:rPr lang="en-NZ" sz="1200" b="1">
                <a:latin typeface="Calibri" panose="020F0502020204030204" pitchFamily="34" charset="0"/>
                <a:cs typeface="Calibri" panose="020F0502020204030204" pitchFamily="34" charset="0"/>
              </a:rPr>
              <a:t>Cash Flow</a:t>
            </a:r>
            <a:r>
              <a:rPr lang="en-NZ" sz="1200" b="1" baseline="0">
                <a:latin typeface="Calibri" panose="020F0502020204030204" pitchFamily="34" charset="0"/>
                <a:cs typeface="Calibri" panose="020F0502020204030204" pitchFamily="34" charset="0"/>
              </a:rPr>
              <a:t> Profile</a:t>
            </a:r>
            <a:endParaRPr lang="en-NZ" sz="1200" b="1"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6.9982444674632563E-4"/>
          <c:y val="6.1605877103475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00000"/>
              </a:solidFill>
              <a:latin typeface="Calibri" panose="020F0502020204030204" pitchFamily="34" charset="0"/>
              <a:ea typeface="Verdan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78949409843613E-2"/>
          <c:y val="0.12786534964421198"/>
          <c:w val="0.8932654690895403"/>
          <c:h val="0.68102169835712312"/>
        </c:manualLayout>
      </c:layout>
      <c:barChart>
        <c:barDir val="col"/>
        <c:grouping val="stacked"/>
        <c:varyColors val="0"/>
        <c:ser>
          <c:idx val="0"/>
          <c:order val="0"/>
          <c:tx>
            <c:v>Costs</c:v>
          </c:tx>
          <c:spPr>
            <a:solidFill>
              <a:srgbClr val="86BC25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Output!$F$10:$W$10</c:f>
              <c:numCache>
                <c:formatCode>mmm\-yy</c:formatCode>
                <c:ptCount val="18"/>
                <c:pt idx="0">
                  <c:v>44135</c:v>
                </c:pt>
                <c:pt idx="1">
                  <c:v>44165</c:v>
                </c:pt>
                <c:pt idx="2">
                  <c:v>44196</c:v>
                </c:pt>
                <c:pt idx="3">
                  <c:v>44227</c:v>
                </c:pt>
                <c:pt idx="4">
                  <c:v>44255</c:v>
                </c:pt>
                <c:pt idx="5">
                  <c:v>44286</c:v>
                </c:pt>
                <c:pt idx="6">
                  <c:v>44316</c:v>
                </c:pt>
                <c:pt idx="7">
                  <c:v>44347</c:v>
                </c:pt>
                <c:pt idx="8">
                  <c:v>44377</c:v>
                </c:pt>
                <c:pt idx="9">
                  <c:v>44408</c:v>
                </c:pt>
                <c:pt idx="10">
                  <c:v>44439</c:v>
                </c:pt>
                <c:pt idx="11">
                  <c:v>44469</c:v>
                </c:pt>
                <c:pt idx="12">
                  <c:v>44500</c:v>
                </c:pt>
                <c:pt idx="13">
                  <c:v>44530</c:v>
                </c:pt>
                <c:pt idx="14">
                  <c:v>44561</c:v>
                </c:pt>
                <c:pt idx="15">
                  <c:v>44592</c:v>
                </c:pt>
                <c:pt idx="16">
                  <c:v>44620</c:v>
                </c:pt>
                <c:pt idx="17">
                  <c:v>44651</c:v>
                </c:pt>
              </c:numCache>
            </c:numRef>
          </c:cat>
          <c:val>
            <c:numRef>
              <c:f>Output!$F$21:$W$21</c:f>
              <c:numCache>
                <c:formatCode>_(* #,##0.0_);_(* \(#,##0.0\);_(* " - "_);_(* @_)</c:formatCode>
                <c:ptCount val="18"/>
                <c:pt idx="0">
                  <c:v>-0.29166666666666663</c:v>
                </c:pt>
                <c:pt idx="1">
                  <c:v>-0.87990196078431371</c:v>
                </c:pt>
                <c:pt idx="2">
                  <c:v>-1.263235294117647</c:v>
                </c:pt>
                <c:pt idx="3">
                  <c:v>-1.263235294117647</c:v>
                </c:pt>
                <c:pt idx="4">
                  <c:v>-1.263235294117647</c:v>
                </c:pt>
                <c:pt idx="5">
                  <c:v>-1.263235294117647</c:v>
                </c:pt>
                <c:pt idx="6">
                  <c:v>-1.263235294117647</c:v>
                </c:pt>
                <c:pt idx="7">
                  <c:v>-1.263235294117647</c:v>
                </c:pt>
                <c:pt idx="8">
                  <c:v>-1.138235294117647</c:v>
                </c:pt>
                <c:pt idx="9">
                  <c:v>-1.138235294117647</c:v>
                </c:pt>
                <c:pt idx="10">
                  <c:v>-1.138235294117647</c:v>
                </c:pt>
                <c:pt idx="11">
                  <c:v>-1.138235294117647</c:v>
                </c:pt>
                <c:pt idx="12">
                  <c:v>-1.138235294117647</c:v>
                </c:pt>
                <c:pt idx="13">
                  <c:v>-1.138235294117647</c:v>
                </c:pt>
                <c:pt idx="14">
                  <c:v>-1.138235294117647</c:v>
                </c:pt>
                <c:pt idx="15">
                  <c:v>-1.138235294117647</c:v>
                </c:pt>
                <c:pt idx="16">
                  <c:v>-1.138235294117647</c:v>
                </c:pt>
                <c:pt idx="17">
                  <c:v>-1.0049019607843137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9-42C3-B29D-404591747BA8}"/>
            </c:ext>
          </c:extLst>
        </c:ser>
        <c:ser>
          <c:idx val="1"/>
          <c:order val="1"/>
          <c:tx>
            <c:v>Funding</c:v>
          </c:tx>
          <c:spPr>
            <a:solidFill>
              <a:srgbClr val="0076A8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Output!$F$10:$W$10</c:f>
              <c:numCache>
                <c:formatCode>mmm\-yy</c:formatCode>
                <c:ptCount val="18"/>
                <c:pt idx="0">
                  <c:v>44135</c:v>
                </c:pt>
                <c:pt idx="1">
                  <c:v>44165</c:v>
                </c:pt>
                <c:pt idx="2">
                  <c:v>44196</c:v>
                </c:pt>
                <c:pt idx="3">
                  <c:v>44227</c:v>
                </c:pt>
                <c:pt idx="4">
                  <c:v>44255</c:v>
                </c:pt>
                <c:pt idx="5">
                  <c:v>44286</c:v>
                </c:pt>
                <c:pt idx="6">
                  <c:v>44316</c:v>
                </c:pt>
                <c:pt idx="7">
                  <c:v>44347</c:v>
                </c:pt>
                <c:pt idx="8">
                  <c:v>44377</c:v>
                </c:pt>
                <c:pt idx="9">
                  <c:v>44408</c:v>
                </c:pt>
                <c:pt idx="10">
                  <c:v>44439</c:v>
                </c:pt>
                <c:pt idx="11">
                  <c:v>44469</c:v>
                </c:pt>
                <c:pt idx="12">
                  <c:v>44500</c:v>
                </c:pt>
                <c:pt idx="13">
                  <c:v>44530</c:v>
                </c:pt>
                <c:pt idx="14">
                  <c:v>44561</c:v>
                </c:pt>
                <c:pt idx="15">
                  <c:v>44592</c:v>
                </c:pt>
                <c:pt idx="16">
                  <c:v>44620</c:v>
                </c:pt>
                <c:pt idx="17">
                  <c:v>44651</c:v>
                </c:pt>
              </c:numCache>
            </c:numRef>
          </c:cat>
          <c:val>
            <c:numRef>
              <c:f>Output!$F$31:$W$31</c:f>
              <c:numCache>
                <c:formatCode>_(* #,##0.0_);_(* \(#,##0.0\);_(* " - "_);_(* @_)</c:formatCode>
                <c:ptCount val="18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1.96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3.84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9-42C3-B29D-404591747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077448"/>
        <c:axId val="518077776"/>
      </c:barChart>
      <c:lineChart>
        <c:grouping val="standard"/>
        <c:varyColors val="0"/>
        <c:ser>
          <c:idx val="2"/>
          <c:order val="2"/>
          <c:tx>
            <c:strRef>
              <c:f>Output!$B$33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rgbClr val="75787B"/>
              </a:solidFill>
              <a:round/>
            </a:ln>
            <a:effectLst/>
          </c:spPr>
          <c:marker>
            <c:symbol val="none"/>
          </c:marker>
          <c:val>
            <c:numRef>
              <c:f>Output!$F$33:$W$33</c:f>
              <c:numCache>
                <c:formatCode>_(* #,##0.0_);_(* \(#,##0.0\);_(* " - "_);_(* @_)</c:formatCode>
                <c:ptCount val="18"/>
                <c:pt idx="0">
                  <c:v>9.7083333333333339</c:v>
                </c:pt>
                <c:pt idx="1">
                  <c:v>8.8284313725490193</c:v>
                </c:pt>
                <c:pt idx="2">
                  <c:v>7.5651960784313719</c:v>
                </c:pt>
                <c:pt idx="3">
                  <c:v>6.3019607843137244</c:v>
                </c:pt>
                <c:pt idx="4">
                  <c:v>5.038725490196077</c:v>
                </c:pt>
                <c:pt idx="5">
                  <c:v>3.7754901960784299</c:v>
                </c:pt>
                <c:pt idx="6">
                  <c:v>4.4722549019607829</c:v>
                </c:pt>
                <c:pt idx="7">
                  <c:v>3.2090196078431359</c:v>
                </c:pt>
                <c:pt idx="8">
                  <c:v>2.0707843137254889</c:v>
                </c:pt>
                <c:pt idx="9">
                  <c:v>4.9325490196078423</c:v>
                </c:pt>
                <c:pt idx="10">
                  <c:v>3.7943137254901953</c:v>
                </c:pt>
                <c:pt idx="11">
                  <c:v>2.6560784313725483</c:v>
                </c:pt>
                <c:pt idx="12">
                  <c:v>5.3578431372549016</c:v>
                </c:pt>
                <c:pt idx="13">
                  <c:v>4.2196078431372541</c:v>
                </c:pt>
                <c:pt idx="14">
                  <c:v>3.0813725490196071</c:v>
                </c:pt>
                <c:pt idx="15">
                  <c:v>1.9431372549019601</c:v>
                </c:pt>
                <c:pt idx="16">
                  <c:v>0.80490196078431309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29-42C3-B29D-404591747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8"/>
        <c:axId val="518077776"/>
      </c:lineChart>
      <c:dateAx>
        <c:axId val="518077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D0D0C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Arial"/>
                <a:cs typeface="Calibri" panose="020F0502020204030204" pitchFamily="34" charset="0"/>
              </a:defRPr>
            </a:pPr>
            <a:endParaRPr lang="en-US"/>
          </a:p>
        </c:txPr>
        <c:crossAx val="518077776"/>
        <c:crosses val="autoZero"/>
        <c:auto val="1"/>
        <c:lblOffset val="0"/>
        <c:baseTimeUnit val="months"/>
      </c:dateAx>
      <c:valAx>
        <c:axId val="518077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0D0CE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Arial"/>
                    <a:cs typeface="Calibri" panose="020F0502020204030204" pitchFamily="34" charset="0"/>
                  </a:defRPr>
                </a:pPr>
                <a:r>
                  <a:rPr lang="en-US" sz="1000">
                    <a:latin typeface="Calibri" panose="020F0502020204030204" pitchFamily="34" charset="0"/>
                    <a:cs typeface="Calibri" panose="020F0502020204030204" pitchFamily="34" charset="0"/>
                  </a:rPr>
                  <a:t>$m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Arial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_(* #,##0_);_(* \(#,##0\);_(* &quot; - &quot;_);_(* @_)" sourceLinked="0"/>
        <c:majorTickMark val="cross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Arial"/>
                <a:cs typeface="Calibri" panose="020F0502020204030204" pitchFamily="34" charset="0"/>
              </a:defRPr>
            </a:pPr>
            <a:endParaRPr lang="en-US"/>
          </a:p>
        </c:txPr>
        <c:crossAx val="518077448"/>
        <c:crosses val="autoZero"/>
        <c:crossBetween val="between"/>
        <c:majorUnit val="5"/>
      </c:valAx>
      <c:spPr>
        <a:solidFill>
          <a:srgbClr val="FFFFFF"/>
        </a:solidFill>
        <a:ln>
          <a:solidFill>
            <a:srgbClr val="FFFFFF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9092804024496935"/>
          <c:y val="0.89423337707786543"/>
          <c:w val="0.27405586192602949"/>
          <c:h val="5.119770751409339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FFFFFF"/>
      </a:solidFill>
      <a:prstDash val="solid"/>
      <a:round/>
    </a:ln>
    <a:effectLst/>
  </c:spPr>
  <c:txPr>
    <a:bodyPr/>
    <a:lstStyle/>
    <a:p>
      <a:pPr>
        <a:defRPr sz="800" u="none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55286</xdr:colOff>
      <xdr:row>39</xdr:row>
      <xdr:rowOff>72894</xdr:rowOff>
    </xdr:from>
    <xdr:ext cx="8891364" cy="4572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Deloitte_4_3_Onscreen Theme">
  <a:themeElements>
    <a:clrScheme name="Deloitte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BC25"/>
      </a:accent1>
      <a:accent2>
        <a:srgbClr val="046A38"/>
      </a:accent2>
      <a:accent3>
        <a:srgbClr val="62B5E5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Deloitte Powerpoint fon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9050" algn="ctr">
          <a:noFill/>
          <a:miter lim="800000"/>
          <a:headEnd/>
          <a:tailEnd/>
        </a:ln>
      </a:spPr>
      <a:bodyPr wrap="square" lIns="88900" tIns="88900" rIns="88900" bIns="88900" rtlCol="0" anchor="ctr"/>
      <a:lstStyle>
        <a:defPPr>
          <a:lnSpc>
            <a:spcPct val="106000"/>
          </a:lnSpc>
          <a:buFont typeface="Wingdings 2" pitchFamily="18" charset="2"/>
          <a:buNone/>
          <a:defRPr sz="1600" b="1" dirty="0" smtClean="0">
            <a:solidFill>
              <a:schemeClr val="bg1"/>
            </a:solidFill>
          </a:defRPr>
        </a:defPPr>
      </a:lst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marL="203200" indent="-203200">
          <a:spcBef>
            <a:spcPts val="600"/>
          </a:spcBef>
          <a:buSzPct val="100000"/>
          <a:buFont typeface="Arial"/>
          <a:buChar char="�"/>
          <a:defRPr dirty="0" smtClean="0">
            <a:solidFill>
              <a:srgbClr val="313131"/>
            </a:solidFill>
          </a:defRPr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eloitte_4_3_Onscreen Theme" id="{A4654A4A-3032-4E2E-A538-DBF9559F84BA}" vid="{2DD47FB6-9DB5-479C-9CDF-C7DA76EBCA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22"/>
  <sheetViews>
    <sheetView showGridLines="0" zoomScale="85" zoomScaleNormal="85" workbookViewId="0">
      <selection activeCell="J19" sqref="J19"/>
    </sheetView>
  </sheetViews>
  <sheetFormatPr defaultColWidth="9.1640625" defaultRowHeight="14.25" x14ac:dyDescent="0.2"/>
  <cols>
    <col min="1" max="1" width="9.1640625" style="1"/>
    <col min="2" max="2" width="39.5" style="1" customWidth="1"/>
    <col min="3" max="16384" width="9.1640625" style="1"/>
  </cols>
  <sheetData>
    <row r="1" spans="1:9" ht="21" x14ac:dyDescent="0.35">
      <c r="A1" s="96" t="s">
        <v>53</v>
      </c>
    </row>
    <row r="3" spans="1:9" s="78" customFormat="1" ht="12.75" x14ac:dyDescent="0.2">
      <c r="A3" s="94">
        <v>1</v>
      </c>
      <c r="B3" s="79" t="s">
        <v>39</v>
      </c>
      <c r="C3" s="92"/>
      <c r="D3" s="93"/>
      <c r="E3" s="93"/>
      <c r="G3" s="79"/>
      <c r="H3" s="79"/>
      <c r="I3" s="79"/>
    </row>
    <row r="5" spans="1:9" x14ac:dyDescent="0.2">
      <c r="B5" s="2" t="s">
        <v>58</v>
      </c>
    </row>
    <row r="6" spans="1:9" x14ac:dyDescent="0.2">
      <c r="B6" s="2" t="s">
        <v>54</v>
      </c>
    </row>
    <row r="7" spans="1:9" x14ac:dyDescent="0.2">
      <c r="B7" s="97" t="s">
        <v>55</v>
      </c>
    </row>
    <row r="8" spans="1:9" x14ac:dyDescent="0.2">
      <c r="B8" s="97" t="s">
        <v>59</v>
      </c>
    </row>
    <row r="9" spans="1:9" x14ac:dyDescent="0.2">
      <c r="B9" s="97" t="s">
        <v>60</v>
      </c>
    </row>
    <row r="10" spans="1:9" x14ac:dyDescent="0.2">
      <c r="B10" s="97" t="s">
        <v>56</v>
      </c>
    </row>
    <row r="11" spans="1:9" x14ac:dyDescent="0.2">
      <c r="B11" s="97" t="s">
        <v>57</v>
      </c>
    </row>
    <row r="13" spans="1:9" s="78" customFormat="1" ht="12.75" x14ac:dyDescent="0.2">
      <c r="A13" s="94">
        <v>2</v>
      </c>
      <c r="B13" s="79" t="s">
        <v>47</v>
      </c>
      <c r="C13" s="92"/>
      <c r="D13" s="93"/>
      <c r="E13" s="93"/>
      <c r="G13" s="79"/>
      <c r="H13" s="79"/>
      <c r="I13" s="79"/>
    </row>
    <row r="15" spans="1:9" x14ac:dyDescent="0.2">
      <c r="A15" s="3">
        <v>2.1</v>
      </c>
      <c r="B15" s="3" t="s">
        <v>49</v>
      </c>
    </row>
    <row r="16" spans="1:9" x14ac:dyDescent="0.2">
      <c r="B16" s="95" t="s">
        <v>48</v>
      </c>
    </row>
    <row r="18" spans="1:9" x14ac:dyDescent="0.2">
      <c r="A18" s="3">
        <v>2.2000000000000002</v>
      </c>
      <c r="B18" s="3" t="s">
        <v>50</v>
      </c>
    </row>
    <row r="19" spans="1:9" x14ac:dyDescent="0.2">
      <c r="B19" s="98" t="s">
        <v>52</v>
      </c>
    </row>
    <row r="20" spans="1:9" x14ac:dyDescent="0.2">
      <c r="B20" s="99" t="s">
        <v>51</v>
      </c>
    </row>
    <row r="22" spans="1:9" s="78" customFormat="1" ht="12.75" x14ac:dyDescent="0.2">
      <c r="A22" s="94"/>
      <c r="B22" s="79" t="s">
        <v>35</v>
      </c>
      <c r="C22" s="92"/>
      <c r="D22" s="93"/>
      <c r="E22" s="93"/>
      <c r="G22" s="79"/>
      <c r="H22" s="79"/>
      <c r="I22" s="7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Z116"/>
  <sheetViews>
    <sheetView showGridLines="0" zoomScale="85" zoomScaleNormal="85" workbookViewId="0">
      <pane xSplit="6" ySplit="24" topLeftCell="G49" activePane="bottomRight" state="frozen"/>
      <selection pane="topRight" activeCell="G1" sqref="G1"/>
      <selection pane="bottomLeft" activeCell="A21" sqref="A21"/>
      <selection pane="bottomRight" activeCell="D14" sqref="D14"/>
    </sheetView>
  </sheetViews>
  <sheetFormatPr defaultColWidth="9.33203125" defaultRowHeight="12" x14ac:dyDescent="0.2"/>
  <cols>
    <col min="1" max="1" width="6.83203125" style="2" customWidth="1"/>
    <col min="2" max="2" width="48.5" style="2" customWidth="1"/>
    <col min="3" max="5" width="12.5" style="2" customWidth="1"/>
    <col min="6" max="6" width="1.5" style="2" customWidth="1"/>
    <col min="7" max="7" width="1.83203125" style="2" customWidth="1"/>
    <col min="8" max="25" width="12.33203125" style="2" customWidth="1"/>
    <col min="26" max="16384" width="9.33203125" style="2"/>
  </cols>
  <sheetData>
    <row r="1" spans="1:13" ht="12.75" x14ac:dyDescent="0.2">
      <c r="A1" s="77" t="str">
        <f>Guidance!A1</f>
        <v>Three Waters Stimulus Funding - Cash Flow Profile</v>
      </c>
    </row>
    <row r="3" spans="1:13" x14ac:dyDescent="0.2">
      <c r="B3" s="12" t="s">
        <v>21</v>
      </c>
      <c r="C3" s="72" t="str">
        <f ca="1">Output!C3</f>
        <v>OK</v>
      </c>
    </row>
    <row r="4" spans="1:13" x14ac:dyDescent="0.2">
      <c r="B4" s="12" t="s">
        <v>22</v>
      </c>
      <c r="C4" s="72" t="str">
        <f ca="1">Output!C4</f>
        <v>OK</v>
      </c>
    </row>
    <row r="5" spans="1:13" x14ac:dyDescent="0.2">
      <c r="B5" s="12" t="s">
        <v>33</v>
      </c>
      <c r="C5" s="71">
        <f ca="1">Output!C5</f>
        <v>0</v>
      </c>
    </row>
    <row r="7" spans="1:13" s="78" customFormat="1" ht="12.75" x14ac:dyDescent="0.2">
      <c r="A7" s="94">
        <v>1</v>
      </c>
      <c r="B7" s="79" t="s">
        <v>14</v>
      </c>
      <c r="C7" s="92" t="s">
        <v>34</v>
      </c>
      <c r="D7" s="93" t="s">
        <v>12</v>
      </c>
      <c r="E7" s="93" t="s">
        <v>5</v>
      </c>
      <c r="G7" s="79" t="s">
        <v>39</v>
      </c>
      <c r="H7" s="79"/>
      <c r="I7" s="79"/>
    </row>
    <row r="8" spans="1:13" x14ac:dyDescent="0.2">
      <c r="M8" s="57"/>
    </row>
    <row r="9" spans="1:13" x14ac:dyDescent="0.2">
      <c r="B9" s="2" t="s">
        <v>0</v>
      </c>
      <c r="E9" s="6">
        <v>20</v>
      </c>
      <c r="G9" s="91" t="s">
        <v>42</v>
      </c>
      <c r="M9" s="57"/>
    </row>
    <row r="10" spans="1:13" x14ac:dyDescent="0.2">
      <c r="B10" s="2" t="s">
        <v>13</v>
      </c>
      <c r="D10" s="42">
        <v>0.5</v>
      </c>
      <c r="E10" s="56">
        <f>E9*D10</f>
        <v>10</v>
      </c>
      <c r="G10" s="91" t="s">
        <v>43</v>
      </c>
      <c r="M10" s="57"/>
    </row>
    <row r="11" spans="1:13" x14ac:dyDescent="0.2">
      <c r="B11" s="2" t="s">
        <v>15</v>
      </c>
      <c r="D11" s="42">
        <v>0.01</v>
      </c>
      <c r="E11" s="56">
        <f>E9*D11</f>
        <v>0.2</v>
      </c>
      <c r="G11" s="91" t="s">
        <v>44</v>
      </c>
      <c r="M11" s="57"/>
    </row>
    <row r="12" spans="1:13" x14ac:dyDescent="0.2">
      <c r="B12" s="2" t="s">
        <v>23</v>
      </c>
      <c r="C12" s="54">
        <v>5</v>
      </c>
      <c r="D12" s="42">
        <v>0.05</v>
      </c>
      <c r="E12" s="56">
        <f>E9*D12</f>
        <v>1</v>
      </c>
      <c r="G12" s="91" t="s">
        <v>45</v>
      </c>
      <c r="K12" s="5"/>
      <c r="M12" s="57"/>
    </row>
    <row r="13" spans="1:13" x14ac:dyDescent="0.2">
      <c r="B13" s="2" t="s">
        <v>24</v>
      </c>
      <c r="C13" s="54">
        <v>5</v>
      </c>
      <c r="D13" s="42">
        <v>4.8000000000000001E-2</v>
      </c>
      <c r="E13" s="56">
        <f>E9*D13</f>
        <v>0.96</v>
      </c>
      <c r="G13" s="91" t="s">
        <v>45</v>
      </c>
      <c r="K13" s="5"/>
      <c r="L13" s="62"/>
      <c r="M13" s="57"/>
    </row>
    <row r="14" spans="1:13" x14ac:dyDescent="0.2">
      <c r="B14" s="12" t="s">
        <v>6</v>
      </c>
      <c r="D14" s="80">
        <f>SUM(D10,D11,D12*C12,D13*C13)</f>
        <v>1</v>
      </c>
      <c r="E14" s="46">
        <f>SUM(E10,E11,E12*C12,E13*C13)</f>
        <v>20</v>
      </c>
      <c r="M14" s="57"/>
    </row>
    <row r="15" spans="1:13" x14ac:dyDescent="0.2">
      <c r="B15" s="12" t="s">
        <v>16</v>
      </c>
      <c r="D15" s="103">
        <f>D14-1</f>
        <v>0</v>
      </c>
      <c r="E15" s="46">
        <f>E14-E9</f>
        <v>0</v>
      </c>
      <c r="M15" s="57"/>
    </row>
    <row r="16" spans="1:13" x14ac:dyDescent="0.2">
      <c r="B16" s="12"/>
      <c r="D16" s="46"/>
      <c r="E16" s="41"/>
      <c r="M16" s="57"/>
    </row>
    <row r="17" spans="1:25" x14ac:dyDescent="0.2">
      <c r="B17" s="2" t="s">
        <v>25</v>
      </c>
      <c r="C17" s="42">
        <v>0.4</v>
      </c>
      <c r="E17" s="41"/>
      <c r="G17" s="91" t="s">
        <v>46</v>
      </c>
      <c r="M17" s="57"/>
    </row>
    <row r="18" spans="1:25" x14ac:dyDescent="0.2">
      <c r="B18" s="2" t="s">
        <v>26</v>
      </c>
      <c r="C18" s="42">
        <v>0.6</v>
      </c>
      <c r="E18" s="41"/>
      <c r="G18" s="91" t="s">
        <v>46</v>
      </c>
      <c r="M18" s="57"/>
    </row>
    <row r="19" spans="1:25" x14ac:dyDescent="0.2">
      <c r="E19" s="41"/>
      <c r="G19" s="91"/>
      <c r="M19" s="57"/>
    </row>
    <row r="20" spans="1:25" x14ac:dyDescent="0.2">
      <c r="B20" s="2" t="s">
        <v>70</v>
      </c>
      <c r="C20" s="54">
        <v>1</v>
      </c>
      <c r="E20" s="41"/>
      <c r="G20" s="91" t="s">
        <v>71</v>
      </c>
      <c r="M20" s="57"/>
    </row>
    <row r="21" spans="1:25" x14ac:dyDescent="0.2">
      <c r="B21" s="2" t="s">
        <v>62</v>
      </c>
      <c r="C21" s="54">
        <v>1</v>
      </c>
      <c r="E21" s="41"/>
      <c r="G21" s="91" t="s">
        <v>64</v>
      </c>
      <c r="M21" s="57"/>
    </row>
    <row r="22" spans="1:25" x14ac:dyDescent="0.2">
      <c r="B22" s="2" t="s">
        <v>63</v>
      </c>
      <c r="C22" s="54">
        <v>1</v>
      </c>
      <c r="E22" s="41"/>
      <c r="G22" s="91" t="s">
        <v>64</v>
      </c>
      <c r="M22" s="57"/>
    </row>
    <row r="23" spans="1:25" x14ac:dyDescent="0.2">
      <c r="C23" s="43"/>
      <c r="D23" s="4"/>
      <c r="M23" s="57"/>
    </row>
    <row r="24" spans="1:25" s="78" customFormat="1" ht="12.75" x14ac:dyDescent="0.2">
      <c r="A24" s="94">
        <v>2</v>
      </c>
      <c r="B24" s="79" t="s">
        <v>38</v>
      </c>
      <c r="C24" s="81"/>
      <c r="D24" s="81"/>
      <c r="E24" s="81"/>
      <c r="F24" s="81"/>
      <c r="G24" s="81"/>
      <c r="H24" s="82">
        <v>44105</v>
      </c>
      <c r="I24" s="82">
        <v>44136</v>
      </c>
      <c r="J24" s="82">
        <v>44166</v>
      </c>
      <c r="K24" s="82">
        <v>44197</v>
      </c>
      <c r="L24" s="82">
        <v>44228</v>
      </c>
      <c r="M24" s="82">
        <v>44256</v>
      </c>
      <c r="N24" s="82">
        <v>44287</v>
      </c>
      <c r="O24" s="82">
        <v>44317</v>
      </c>
      <c r="P24" s="82">
        <v>44348</v>
      </c>
      <c r="Q24" s="82">
        <v>44378</v>
      </c>
      <c r="R24" s="82">
        <v>44409</v>
      </c>
      <c r="S24" s="82">
        <v>44440</v>
      </c>
      <c r="T24" s="82">
        <v>44470</v>
      </c>
      <c r="U24" s="82">
        <v>44501</v>
      </c>
      <c r="V24" s="82">
        <v>44531</v>
      </c>
      <c r="W24" s="82">
        <v>44562</v>
      </c>
      <c r="X24" s="82">
        <v>44593</v>
      </c>
      <c r="Y24" s="82">
        <v>44621</v>
      </c>
    </row>
    <row r="25" spans="1:25" x14ac:dyDescent="0.2">
      <c r="B25" s="2" t="s">
        <v>72</v>
      </c>
      <c r="H25" s="117">
        <f>INDEX(Lists!$C$3:$C$20,MATCH(Input!H24,Lists!$B$3:$B$20,0))</f>
        <v>0</v>
      </c>
      <c r="I25" s="117">
        <f>INDEX(Lists!$C$3:$C$20,MATCH(Input!I24,Lists!$B$3:$B$20,0))</f>
        <v>0</v>
      </c>
      <c r="J25" s="117">
        <f>INDEX(Lists!$C$3:$C$20,MATCH(Input!J24,Lists!$B$3:$B$20,0))</f>
        <v>1</v>
      </c>
      <c r="K25" s="117">
        <f>INDEX(Lists!$C$3:$C$20,MATCH(Input!K24,Lists!$B$3:$B$20,0))</f>
        <v>0</v>
      </c>
      <c r="L25" s="117">
        <f>INDEX(Lists!$C$3:$C$20,MATCH(Input!L24,Lists!$B$3:$B$20,0))</f>
        <v>0</v>
      </c>
      <c r="M25" s="117">
        <f>INDEX(Lists!$C$3:$C$20,MATCH(Input!M24,Lists!$B$3:$B$20,0))</f>
        <v>1</v>
      </c>
      <c r="N25" s="117">
        <f>INDEX(Lists!$C$3:$C$20,MATCH(Input!N24,Lists!$B$3:$B$20,0))</f>
        <v>0</v>
      </c>
      <c r="O25" s="117">
        <f>INDEX(Lists!$C$3:$C$20,MATCH(Input!O24,Lists!$B$3:$B$20,0))</f>
        <v>0</v>
      </c>
      <c r="P25" s="117">
        <f>INDEX(Lists!$C$3:$C$20,MATCH(Input!P24,Lists!$B$3:$B$20,0))</f>
        <v>1</v>
      </c>
      <c r="Q25" s="117">
        <f>INDEX(Lists!$C$3:$C$20,MATCH(Input!Q24,Lists!$B$3:$B$20,0))</f>
        <v>0</v>
      </c>
      <c r="R25" s="117">
        <f>INDEX(Lists!$C$3:$C$20,MATCH(Input!R24,Lists!$B$3:$B$20,0))</f>
        <v>0</v>
      </c>
      <c r="S25" s="117">
        <f>INDEX(Lists!$C$3:$C$20,MATCH(Input!S24,Lists!$B$3:$B$20,0))</f>
        <v>1</v>
      </c>
      <c r="T25" s="117">
        <f>INDEX(Lists!$C$3:$C$20,MATCH(Input!T24,Lists!$B$3:$B$20,0))</f>
        <v>0</v>
      </c>
      <c r="U25" s="117">
        <f>INDEX(Lists!$C$3:$C$20,MATCH(Input!U24,Lists!$B$3:$B$20,0))</f>
        <v>0</v>
      </c>
      <c r="V25" s="117">
        <f>INDEX(Lists!$C$3:$C$20,MATCH(Input!V24,Lists!$B$3:$B$20,0))</f>
        <v>1</v>
      </c>
      <c r="W25" s="117">
        <f>INDEX(Lists!$C$3:$C$20,MATCH(Input!W24,Lists!$B$3:$B$20,0))</f>
        <v>0</v>
      </c>
      <c r="X25" s="117">
        <f>INDEX(Lists!$C$3:$C$20,MATCH(Input!X24,Lists!$B$3:$B$20,0))</f>
        <v>0</v>
      </c>
      <c r="Y25" s="117">
        <f>INDEX(Lists!$C$3:$C$20,MATCH(Input!Y24,Lists!$B$3:$B$20,0))</f>
        <v>1</v>
      </c>
    </row>
    <row r="26" spans="1:25" s="85" customFormat="1" ht="12.75" x14ac:dyDescent="0.2">
      <c r="A26" s="83">
        <v>2.1</v>
      </c>
      <c r="B26" s="54" t="s">
        <v>37</v>
      </c>
      <c r="C26" s="84"/>
    </row>
    <row r="27" spans="1:25" s="89" customFormat="1" ht="12.75" x14ac:dyDescent="0.2">
      <c r="A27" s="86"/>
      <c r="B27" s="87"/>
      <c r="C27" s="88"/>
    </row>
    <row r="28" spans="1:25" x14ac:dyDescent="0.2">
      <c r="A28" s="52"/>
      <c r="B28" s="2" t="s">
        <v>17</v>
      </c>
      <c r="C28" s="44">
        <v>44136</v>
      </c>
      <c r="D28" s="91" t="s">
        <v>40</v>
      </c>
    </row>
    <row r="29" spans="1:25" x14ac:dyDescent="0.2">
      <c r="A29" s="52"/>
      <c r="B29" s="2" t="s">
        <v>18</v>
      </c>
      <c r="C29" s="44">
        <v>44621</v>
      </c>
      <c r="D29" s="91" t="s">
        <v>67</v>
      </c>
    </row>
    <row r="30" spans="1:25" x14ac:dyDescent="0.2">
      <c r="A30" s="52"/>
      <c r="B30" s="2" t="s">
        <v>2</v>
      </c>
      <c r="C30" s="6">
        <v>10</v>
      </c>
      <c r="D30" s="91" t="s">
        <v>41</v>
      </c>
    </row>
    <row r="31" spans="1:25" x14ac:dyDescent="0.2">
      <c r="A31" s="52"/>
      <c r="B31" s="2" t="s">
        <v>1</v>
      </c>
      <c r="H31" s="45">
        <f t="shared" ref="H31:Y31" si="0">IF(AND(H$24&gt;=$C28,H$24&lt;=$C29),1,0)</f>
        <v>0</v>
      </c>
      <c r="I31" s="45">
        <f t="shared" si="0"/>
        <v>1</v>
      </c>
      <c r="J31" s="45">
        <f t="shared" si="0"/>
        <v>1</v>
      </c>
      <c r="K31" s="45">
        <f t="shared" si="0"/>
        <v>1</v>
      </c>
      <c r="L31" s="45">
        <f t="shared" si="0"/>
        <v>1</v>
      </c>
      <c r="M31" s="45">
        <f t="shared" si="0"/>
        <v>1</v>
      </c>
      <c r="N31" s="45">
        <f t="shared" si="0"/>
        <v>1</v>
      </c>
      <c r="O31" s="45">
        <f t="shared" si="0"/>
        <v>1</v>
      </c>
      <c r="P31" s="45">
        <f t="shared" si="0"/>
        <v>1</v>
      </c>
      <c r="Q31" s="45">
        <f t="shared" si="0"/>
        <v>1</v>
      </c>
      <c r="R31" s="45">
        <f t="shared" si="0"/>
        <v>1</v>
      </c>
      <c r="S31" s="45">
        <f t="shared" si="0"/>
        <v>1</v>
      </c>
      <c r="T31" s="45">
        <f t="shared" si="0"/>
        <v>1</v>
      </c>
      <c r="U31" s="45">
        <f t="shared" si="0"/>
        <v>1</v>
      </c>
      <c r="V31" s="45">
        <f t="shared" si="0"/>
        <v>1</v>
      </c>
      <c r="W31" s="45">
        <f t="shared" si="0"/>
        <v>1</v>
      </c>
      <c r="X31" s="45">
        <f t="shared" si="0"/>
        <v>1</v>
      </c>
      <c r="Y31" s="45">
        <f t="shared" si="0"/>
        <v>1</v>
      </c>
    </row>
    <row r="32" spans="1:25" x14ac:dyDescent="0.2">
      <c r="A32" s="52"/>
      <c r="B32" s="8" t="s">
        <v>3</v>
      </c>
      <c r="C32" s="8"/>
      <c r="D32" s="8"/>
      <c r="E32" s="8"/>
      <c r="F32" s="8"/>
      <c r="G32" s="8"/>
      <c r="H32" s="7">
        <f t="shared" ref="H32:Y32" si="1">IFERROR($C30/SUM($H31:$Y31)*H31,0)</f>
        <v>0</v>
      </c>
      <c r="I32" s="7">
        <f t="shared" si="1"/>
        <v>0.58823529411764708</v>
      </c>
      <c r="J32" s="7">
        <f t="shared" si="1"/>
        <v>0.58823529411764708</v>
      </c>
      <c r="K32" s="7">
        <f t="shared" si="1"/>
        <v>0.58823529411764708</v>
      </c>
      <c r="L32" s="7">
        <f t="shared" si="1"/>
        <v>0.58823529411764708</v>
      </c>
      <c r="M32" s="7">
        <f t="shared" si="1"/>
        <v>0.58823529411764708</v>
      </c>
      <c r="N32" s="7">
        <f t="shared" si="1"/>
        <v>0.58823529411764708</v>
      </c>
      <c r="O32" s="7">
        <f t="shared" si="1"/>
        <v>0.58823529411764708</v>
      </c>
      <c r="P32" s="7">
        <f t="shared" si="1"/>
        <v>0.58823529411764708</v>
      </c>
      <c r="Q32" s="7">
        <f t="shared" si="1"/>
        <v>0.58823529411764708</v>
      </c>
      <c r="R32" s="7">
        <f t="shared" si="1"/>
        <v>0.58823529411764708</v>
      </c>
      <c r="S32" s="7">
        <f t="shared" si="1"/>
        <v>0.58823529411764708</v>
      </c>
      <c r="T32" s="7">
        <f t="shared" si="1"/>
        <v>0.58823529411764708</v>
      </c>
      <c r="U32" s="7">
        <f t="shared" si="1"/>
        <v>0.58823529411764708</v>
      </c>
      <c r="V32" s="7">
        <f t="shared" si="1"/>
        <v>0.58823529411764708</v>
      </c>
      <c r="W32" s="7">
        <f t="shared" si="1"/>
        <v>0.58823529411764708</v>
      </c>
      <c r="X32" s="7">
        <f t="shared" si="1"/>
        <v>0.58823529411764708</v>
      </c>
      <c r="Y32" s="7">
        <f t="shared" si="1"/>
        <v>0.58823529411764708</v>
      </c>
    </row>
    <row r="33" spans="1:26" x14ac:dyDescent="0.2">
      <c r="A33" s="52"/>
      <c r="B33" s="3" t="s">
        <v>4</v>
      </c>
      <c r="H33" s="9">
        <f>SUM($H32:H32)</f>
        <v>0</v>
      </c>
      <c r="I33" s="9">
        <f>SUM($H32:I32)</f>
        <v>0.58823529411764708</v>
      </c>
      <c r="J33" s="9">
        <f>SUM($H32:J32)</f>
        <v>1.1764705882352942</v>
      </c>
      <c r="K33" s="9">
        <f>SUM($H32:K32)</f>
        <v>1.7647058823529411</v>
      </c>
      <c r="L33" s="9">
        <f>SUM($H32:L32)</f>
        <v>2.3529411764705883</v>
      </c>
      <c r="M33" s="9">
        <f>SUM($H32:M32)</f>
        <v>2.9411764705882355</v>
      </c>
      <c r="N33" s="9">
        <f>SUM($H32:N32)</f>
        <v>3.5294117647058827</v>
      </c>
      <c r="O33" s="9">
        <f>SUM($H32:O32)</f>
        <v>4.1176470588235299</v>
      </c>
      <c r="P33" s="9">
        <f>SUM($H32:P32)</f>
        <v>4.7058823529411766</v>
      </c>
      <c r="Q33" s="9">
        <f>SUM($H32:Q32)</f>
        <v>5.2941176470588234</v>
      </c>
      <c r="R33" s="9">
        <f>SUM($H32:R32)</f>
        <v>5.8823529411764701</v>
      </c>
      <c r="S33" s="9">
        <f>SUM($H32:S32)</f>
        <v>6.4705882352941169</v>
      </c>
      <c r="T33" s="9">
        <f>SUM($H32:T32)</f>
        <v>7.0588235294117636</v>
      </c>
      <c r="U33" s="9">
        <f>SUM($H32:U32)</f>
        <v>7.6470588235294104</v>
      </c>
      <c r="V33" s="9">
        <f>SUM($H32:V32)</f>
        <v>8.235294117647058</v>
      </c>
      <c r="W33" s="9">
        <f>SUM($H32:W32)</f>
        <v>8.8235294117647047</v>
      </c>
      <c r="X33" s="9">
        <f>SUM($H32:X32)</f>
        <v>9.4117647058823515</v>
      </c>
      <c r="Y33" s="9">
        <f>SUM($H32:Y32)</f>
        <v>9.9999999999999982</v>
      </c>
    </row>
    <row r="34" spans="1:26" x14ac:dyDescent="0.2">
      <c r="A34" s="52"/>
      <c r="B34" s="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6" x14ac:dyDescent="0.2">
      <c r="A35" s="52"/>
      <c r="B35" s="12" t="s">
        <v>25</v>
      </c>
      <c r="C35" s="50">
        <f>$C$17</f>
        <v>0.4</v>
      </c>
      <c r="D35" s="9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6" x14ac:dyDescent="0.2">
      <c r="A36" s="52"/>
      <c r="B36" s="12" t="s">
        <v>27</v>
      </c>
      <c r="C36" s="61">
        <f>C30*C35</f>
        <v>4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9"/>
    </row>
    <row r="37" spans="1:26" x14ac:dyDescent="0.2">
      <c r="A37" s="52"/>
      <c r="B37" s="47" t="s">
        <v>28</v>
      </c>
      <c r="C37" s="47"/>
      <c r="E37" s="47"/>
      <c r="F37" s="47"/>
      <c r="G37" s="47"/>
      <c r="H37" s="48">
        <f>IF(AND(H33&gt;=$C36,SUM($G37:G37)=0),1,0)</f>
        <v>0</v>
      </c>
      <c r="I37" s="48">
        <f>IF(AND(I33&gt;=$C36,SUM($G37:H37)=0),1,0)</f>
        <v>0</v>
      </c>
      <c r="J37" s="48">
        <f>IF(AND(J33&gt;=$C36,SUM($G37:I37)=0),1,0)</f>
        <v>0</v>
      </c>
      <c r="K37" s="48">
        <f>IF(AND(K33&gt;=$C36,SUM($G37:J37)=0),1,0)</f>
        <v>0</v>
      </c>
      <c r="L37" s="48">
        <f>IF(AND(L33&gt;=$C36,SUM($G37:K37)=0),1,0)</f>
        <v>0</v>
      </c>
      <c r="M37" s="48">
        <f>IF(AND(M33&gt;=$C36,SUM($G37:L37)=0),1,0)</f>
        <v>0</v>
      </c>
      <c r="N37" s="48">
        <f>IF(AND(N33&gt;=$C36,SUM($G37:M37)=0),1,0)</f>
        <v>0</v>
      </c>
      <c r="O37" s="48">
        <f>IF(AND(O33&gt;=$C36,SUM($G37:N37)=0),1,0)</f>
        <v>1</v>
      </c>
      <c r="P37" s="48">
        <f>IF(AND(P33&gt;=$C36,SUM($G37:O37)=0),1,0)</f>
        <v>0</v>
      </c>
      <c r="Q37" s="48">
        <f>IF(AND(Q33&gt;=$C36,SUM($G37:P37)=0),1,0)</f>
        <v>0</v>
      </c>
      <c r="R37" s="48">
        <f>IF(AND(R33&gt;=$C36,SUM($G37:Q37)=0),1,0)</f>
        <v>0</v>
      </c>
      <c r="S37" s="48">
        <f>IF(AND(S33&gt;=$C36,SUM($G37:R37)=0),1,0)</f>
        <v>0</v>
      </c>
      <c r="T37" s="48">
        <f>IF(AND(T33&gt;=$C36,SUM($G37:S37)=0),1,0)</f>
        <v>0</v>
      </c>
      <c r="U37" s="48">
        <f>IF(AND(U33&gt;=$C36,SUM($G37:T37)=0),1,0)</f>
        <v>0</v>
      </c>
      <c r="V37" s="48">
        <f>IF(AND(V33&gt;=$C36,SUM($G37:U37)=0),1,0)</f>
        <v>0</v>
      </c>
      <c r="W37" s="48">
        <f>IF(AND(W33&gt;=$C36,SUM($G37:V37)=0),1,0)</f>
        <v>0</v>
      </c>
      <c r="X37" s="48">
        <f>IF(AND(X33&gt;=$C36,SUM($G37:W37)=0),1,0)</f>
        <v>0</v>
      </c>
      <c r="Y37" s="48">
        <f>IF(AND(Y33&gt;=$C36,SUM($G37:X37)=0),1,0)</f>
        <v>0</v>
      </c>
      <c r="Z37" s="49"/>
    </row>
    <row r="38" spans="1:26" x14ac:dyDescent="0.2">
      <c r="A38" s="52"/>
      <c r="B38" s="100" t="s">
        <v>65</v>
      </c>
      <c r="C38" s="101">
        <f>$C$21</f>
        <v>1</v>
      </c>
      <c r="E38" s="47"/>
      <c r="F38" s="47"/>
      <c r="G38" s="47"/>
      <c r="H38" s="102"/>
      <c r="I38" s="102">
        <f ca="1">IF(AND(MAX(H37)=1,OFFSET(I$25,,-$C38)=1),1,0)</f>
        <v>0</v>
      </c>
      <c r="J38" s="102">
        <f ca="1">IF(AND(MAX(H37:I37)=1,OFFSET(J$25,,-$C38)=1),1,0)</f>
        <v>0</v>
      </c>
      <c r="K38" s="102">
        <f t="shared" ref="K38:Y38" ca="1" si="2">IF(AND(MAX(H37:J37)=1,OFFSET(K$25,,-$C38)=1),1,0)</f>
        <v>0</v>
      </c>
      <c r="L38" s="102">
        <f t="shared" ca="1" si="2"/>
        <v>0</v>
      </c>
      <c r="M38" s="102">
        <f t="shared" ca="1" si="2"/>
        <v>0</v>
      </c>
      <c r="N38" s="102">
        <f t="shared" ca="1" si="2"/>
        <v>0</v>
      </c>
      <c r="O38" s="102">
        <f t="shared" ca="1" si="2"/>
        <v>0</v>
      </c>
      <c r="P38" s="102">
        <f t="shared" ca="1" si="2"/>
        <v>0</v>
      </c>
      <c r="Q38" s="102">
        <f t="shared" ca="1" si="2"/>
        <v>1</v>
      </c>
      <c r="R38" s="102">
        <f t="shared" ca="1" si="2"/>
        <v>0</v>
      </c>
      <c r="S38" s="102">
        <f t="shared" ca="1" si="2"/>
        <v>0</v>
      </c>
      <c r="T38" s="102">
        <f t="shared" ca="1" si="2"/>
        <v>0</v>
      </c>
      <c r="U38" s="102">
        <f t="shared" ca="1" si="2"/>
        <v>0</v>
      </c>
      <c r="V38" s="102">
        <f t="shared" ca="1" si="2"/>
        <v>0</v>
      </c>
      <c r="W38" s="102">
        <f t="shared" ca="1" si="2"/>
        <v>0</v>
      </c>
      <c r="X38" s="102">
        <f t="shared" ca="1" si="2"/>
        <v>0</v>
      </c>
      <c r="Y38" s="102">
        <f t="shared" ca="1" si="2"/>
        <v>0</v>
      </c>
      <c r="Z38" s="49"/>
    </row>
    <row r="39" spans="1:26" x14ac:dyDescent="0.2">
      <c r="A39" s="52"/>
      <c r="B39" s="12" t="s">
        <v>26</v>
      </c>
      <c r="C39" s="50">
        <f>$C$18</f>
        <v>0.6</v>
      </c>
      <c r="D39" s="91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9"/>
    </row>
    <row r="40" spans="1:26" x14ac:dyDescent="0.2">
      <c r="A40" s="52"/>
      <c r="B40" s="12" t="s">
        <v>29</v>
      </c>
      <c r="C40" s="60">
        <f>C30*C39</f>
        <v>6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9"/>
    </row>
    <row r="41" spans="1:26" x14ac:dyDescent="0.2">
      <c r="A41" s="52"/>
      <c r="B41" s="47" t="s">
        <v>30</v>
      </c>
      <c r="C41" s="47"/>
      <c r="D41" s="47"/>
      <c r="E41" s="47"/>
      <c r="F41" s="47"/>
      <c r="G41" s="47"/>
      <c r="H41" s="48">
        <f>IF(AND(H33&gt;=$C40,SUM($G41:G41)=0),1,0)</f>
        <v>0</v>
      </c>
      <c r="I41" s="48">
        <f>IF(AND(I33&gt;=$C40,SUM($G41:H41)=0),1,0)</f>
        <v>0</v>
      </c>
      <c r="J41" s="48">
        <f>IF(AND(J33&gt;=$C40,SUM($G41:I41)=0),1,0)</f>
        <v>0</v>
      </c>
      <c r="K41" s="48">
        <f>IF(AND(K33&gt;=$C40,SUM($G41:J41)=0),1,0)</f>
        <v>0</v>
      </c>
      <c r="L41" s="48">
        <f>IF(AND(L33&gt;=$C40,SUM($G41:K41)=0),1,0)</f>
        <v>0</v>
      </c>
      <c r="M41" s="48">
        <f>IF(AND(M33&gt;=$C40,SUM($G41:L41)=0),1,0)</f>
        <v>0</v>
      </c>
      <c r="N41" s="48">
        <f>IF(AND(N33&gt;=$C40,SUM($G41:M41)=0),1,0)</f>
        <v>0</v>
      </c>
      <c r="O41" s="48">
        <f>IF(AND(O33&gt;=$C40,SUM($G41:N41)=0),1,0)</f>
        <v>0</v>
      </c>
      <c r="P41" s="48">
        <f>IF(AND(P33&gt;=$C40,SUM($G41:O41)=0),1,0)</f>
        <v>0</v>
      </c>
      <c r="Q41" s="48">
        <f>IF(AND(Q33&gt;=$C40,SUM($G41:P41)=0),1,0)</f>
        <v>0</v>
      </c>
      <c r="R41" s="48">
        <f>IF(AND(R33&gt;=$C40,SUM($G41:Q41)=0),1,0)</f>
        <v>0</v>
      </c>
      <c r="S41" s="48">
        <f>IF(AND(S33&gt;=$C40,SUM($G41:R41)=0),1,0)</f>
        <v>1</v>
      </c>
      <c r="T41" s="48">
        <f>IF(AND(T33&gt;=$C40,SUM($G41:S41)=0),1,0)</f>
        <v>0</v>
      </c>
      <c r="U41" s="48">
        <f>IF(AND(U33&gt;=$C40,SUM($G41:T41)=0),1,0)</f>
        <v>0</v>
      </c>
      <c r="V41" s="48">
        <f>IF(AND(V33&gt;=$C40,SUM($G41:U41)=0),1,0)</f>
        <v>0</v>
      </c>
      <c r="W41" s="48">
        <f>IF(AND(W33&gt;=$C40,SUM($G41:V41)=0),1,0)</f>
        <v>0</v>
      </c>
      <c r="X41" s="48">
        <f>IF(AND(X33&gt;=$C40,SUM($G41:W41)=0),1,0)</f>
        <v>0</v>
      </c>
      <c r="Y41" s="48">
        <f>IF(AND(Y33&gt;=$C40,SUM($G41:X41)=0),1,0)</f>
        <v>0</v>
      </c>
      <c r="Z41" s="49"/>
    </row>
    <row r="42" spans="1:26" x14ac:dyDescent="0.2">
      <c r="A42" s="52"/>
      <c r="B42" s="100" t="s">
        <v>66</v>
      </c>
      <c r="C42" s="101">
        <f>$C$22</f>
        <v>1</v>
      </c>
      <c r="D42" s="47"/>
      <c r="E42" s="47"/>
      <c r="F42" s="47"/>
      <c r="G42" s="47"/>
      <c r="H42" s="102"/>
      <c r="I42" s="102">
        <f ca="1">IF(AND(MAX(H41)=1,OFFSET(I$25,,-$C42)=1),1,0)</f>
        <v>0</v>
      </c>
      <c r="J42" s="102">
        <f ca="1">IF(AND(MAX(H41:I41)=1,OFFSET(J$25,,-$C42)=1),1,0)</f>
        <v>0</v>
      </c>
      <c r="K42" s="102">
        <f t="shared" ref="K42" ca="1" si="3">IF(AND(MAX(H41:J41)=1,OFFSET(K$25,,-$C42)=1),1,0)</f>
        <v>0</v>
      </c>
      <c r="L42" s="102">
        <f t="shared" ref="L42" ca="1" si="4">IF(AND(MAX(I41:K41)=1,OFFSET(L$25,,-$C42)=1),1,0)</f>
        <v>0</v>
      </c>
      <c r="M42" s="102">
        <f t="shared" ref="M42" ca="1" si="5">IF(AND(MAX(J41:L41)=1,OFFSET(M$25,,-$C42)=1),1,0)</f>
        <v>0</v>
      </c>
      <c r="N42" s="102">
        <f t="shared" ref="N42" ca="1" si="6">IF(AND(MAX(K41:M41)=1,OFFSET(N$25,,-$C42)=1),1,0)</f>
        <v>0</v>
      </c>
      <c r="O42" s="102">
        <f t="shared" ref="O42" ca="1" si="7">IF(AND(MAX(L41:N41)=1,OFFSET(O$25,,-$C42)=1),1,0)</f>
        <v>0</v>
      </c>
      <c r="P42" s="102">
        <f t="shared" ref="P42" ca="1" si="8">IF(AND(MAX(M41:O41)=1,OFFSET(P$25,,-$C42)=1),1,0)</f>
        <v>0</v>
      </c>
      <c r="Q42" s="102">
        <f t="shared" ref="Q42" ca="1" si="9">IF(AND(MAX(N41:P41)=1,OFFSET(Q$25,,-$C42)=1),1,0)</f>
        <v>0</v>
      </c>
      <c r="R42" s="102">
        <f t="shared" ref="R42" ca="1" si="10">IF(AND(MAX(O41:Q41)=1,OFFSET(R$25,,-$C42)=1),1,0)</f>
        <v>0</v>
      </c>
      <c r="S42" s="102">
        <f t="shared" ref="S42" ca="1" si="11">IF(AND(MAX(P41:R41)=1,OFFSET(S$25,,-$C42)=1),1,0)</f>
        <v>0</v>
      </c>
      <c r="T42" s="102">
        <f t="shared" ref="T42" ca="1" si="12">IF(AND(MAX(Q41:S41)=1,OFFSET(T$25,,-$C42)=1),1,0)</f>
        <v>1</v>
      </c>
      <c r="U42" s="102">
        <f t="shared" ref="U42" ca="1" si="13">IF(AND(MAX(R41:T41)=1,OFFSET(U$25,,-$C42)=1),1,0)</f>
        <v>0</v>
      </c>
      <c r="V42" s="102">
        <f t="shared" ref="V42" ca="1" si="14">IF(AND(MAX(S41:U41)=1,OFFSET(V$25,,-$C42)=1),1,0)</f>
        <v>0</v>
      </c>
      <c r="W42" s="102">
        <f t="shared" ref="W42" ca="1" si="15">IF(AND(MAX(T41:V41)=1,OFFSET(W$25,,-$C42)=1),1,0)</f>
        <v>0</v>
      </c>
      <c r="X42" s="102">
        <f t="shared" ref="X42" ca="1" si="16">IF(AND(MAX(U41:W41)=1,OFFSET(X$25,,-$C42)=1),1,0)</f>
        <v>0</v>
      </c>
      <c r="Y42" s="102">
        <f t="shared" ref="Y42" ca="1" si="17">IF(AND(MAX(V41:X41)=1,OFFSET(Y$25,,-$C42)=1),1,0)</f>
        <v>0</v>
      </c>
      <c r="Z42" s="49"/>
    </row>
    <row r="43" spans="1:26" x14ac:dyDescent="0.2">
      <c r="A43" s="52"/>
      <c r="Z43" s="49"/>
    </row>
    <row r="44" spans="1:26" s="85" customFormat="1" ht="12.75" x14ac:dyDescent="0.2">
      <c r="A44" s="83">
        <v>2.2000000000000002</v>
      </c>
      <c r="B44" s="54" t="s">
        <v>37</v>
      </c>
      <c r="C44" s="84"/>
    </row>
    <row r="45" spans="1:26" s="89" customFormat="1" ht="12.75" x14ac:dyDescent="0.2">
      <c r="A45" s="86"/>
      <c r="B45" s="87"/>
      <c r="C45" s="88"/>
    </row>
    <row r="46" spans="1:26" x14ac:dyDescent="0.2">
      <c r="B46" s="2" t="s">
        <v>17</v>
      </c>
      <c r="C46" s="44">
        <v>44166</v>
      </c>
      <c r="D46" s="91" t="s">
        <v>40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6" x14ac:dyDescent="0.2">
      <c r="B47" s="2" t="s">
        <v>18</v>
      </c>
      <c r="C47" s="44">
        <v>44621</v>
      </c>
      <c r="D47" s="91" t="s">
        <v>67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6" x14ac:dyDescent="0.2">
      <c r="B48" s="2" t="s">
        <v>2</v>
      </c>
      <c r="C48" s="6">
        <v>4</v>
      </c>
      <c r="D48" s="91" t="s">
        <v>41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">
      <c r="B49" s="2" t="s">
        <v>1</v>
      </c>
      <c r="H49" s="45">
        <f t="shared" ref="H49:Y49" si="18">IF(AND(H$24&gt;=$C46,H$24&lt;=$C47),1,0)</f>
        <v>0</v>
      </c>
      <c r="I49" s="45">
        <f t="shared" si="18"/>
        <v>0</v>
      </c>
      <c r="J49" s="45">
        <f t="shared" si="18"/>
        <v>1</v>
      </c>
      <c r="K49" s="45">
        <f t="shared" si="18"/>
        <v>1</v>
      </c>
      <c r="L49" s="45">
        <f t="shared" si="18"/>
        <v>1</v>
      </c>
      <c r="M49" s="45">
        <f t="shared" si="18"/>
        <v>1</v>
      </c>
      <c r="N49" s="45">
        <f t="shared" si="18"/>
        <v>1</v>
      </c>
      <c r="O49" s="45">
        <f t="shared" si="18"/>
        <v>1</v>
      </c>
      <c r="P49" s="45">
        <f t="shared" si="18"/>
        <v>1</v>
      </c>
      <c r="Q49" s="45">
        <f t="shared" si="18"/>
        <v>1</v>
      </c>
      <c r="R49" s="45">
        <f t="shared" si="18"/>
        <v>1</v>
      </c>
      <c r="S49" s="45">
        <f t="shared" si="18"/>
        <v>1</v>
      </c>
      <c r="T49" s="45">
        <f t="shared" si="18"/>
        <v>1</v>
      </c>
      <c r="U49" s="45">
        <f t="shared" si="18"/>
        <v>1</v>
      </c>
      <c r="V49" s="45">
        <f t="shared" si="18"/>
        <v>1</v>
      </c>
      <c r="W49" s="45">
        <f t="shared" si="18"/>
        <v>1</v>
      </c>
      <c r="X49" s="45">
        <f t="shared" si="18"/>
        <v>1</v>
      </c>
      <c r="Y49" s="45">
        <f t="shared" si="18"/>
        <v>1</v>
      </c>
    </row>
    <row r="50" spans="1:25" x14ac:dyDescent="0.2">
      <c r="B50" s="2" t="s">
        <v>3</v>
      </c>
      <c r="H50" s="4">
        <f t="shared" ref="H50:Y50" si="19">IFERROR($C48/SUM($H49:$Y49)*H49,0)</f>
        <v>0</v>
      </c>
      <c r="I50" s="4">
        <f t="shared" si="19"/>
        <v>0</v>
      </c>
      <c r="J50" s="4">
        <f t="shared" si="19"/>
        <v>0.25</v>
      </c>
      <c r="K50" s="4">
        <f t="shared" si="19"/>
        <v>0.25</v>
      </c>
      <c r="L50" s="4">
        <f t="shared" si="19"/>
        <v>0.25</v>
      </c>
      <c r="M50" s="4">
        <f t="shared" si="19"/>
        <v>0.25</v>
      </c>
      <c r="N50" s="4">
        <f t="shared" si="19"/>
        <v>0.25</v>
      </c>
      <c r="O50" s="4">
        <f t="shared" si="19"/>
        <v>0.25</v>
      </c>
      <c r="P50" s="4">
        <f t="shared" si="19"/>
        <v>0.25</v>
      </c>
      <c r="Q50" s="4">
        <f t="shared" si="19"/>
        <v>0.25</v>
      </c>
      <c r="R50" s="4">
        <f t="shared" si="19"/>
        <v>0.25</v>
      </c>
      <c r="S50" s="4">
        <f t="shared" si="19"/>
        <v>0.25</v>
      </c>
      <c r="T50" s="4">
        <f t="shared" si="19"/>
        <v>0.25</v>
      </c>
      <c r="U50" s="4">
        <f t="shared" si="19"/>
        <v>0.25</v>
      </c>
      <c r="V50" s="4">
        <f t="shared" si="19"/>
        <v>0.25</v>
      </c>
      <c r="W50" s="4">
        <f t="shared" si="19"/>
        <v>0.25</v>
      </c>
      <c r="X50" s="4">
        <f t="shared" si="19"/>
        <v>0.25</v>
      </c>
      <c r="Y50" s="4">
        <f t="shared" si="19"/>
        <v>0.25</v>
      </c>
    </row>
    <row r="51" spans="1:25" x14ac:dyDescent="0.2">
      <c r="B51" s="10" t="s">
        <v>4</v>
      </c>
      <c r="C51" s="10"/>
      <c r="D51" s="10"/>
      <c r="E51" s="10"/>
      <c r="F51" s="10"/>
      <c r="G51" s="10"/>
      <c r="H51" s="11">
        <f>SUM($H50:H50)</f>
        <v>0</v>
      </c>
      <c r="I51" s="11">
        <f>SUM($H50:I50)</f>
        <v>0</v>
      </c>
      <c r="J51" s="11">
        <f>SUM($H50:J50)</f>
        <v>0.25</v>
      </c>
      <c r="K51" s="11">
        <f>SUM($H50:K50)</f>
        <v>0.5</v>
      </c>
      <c r="L51" s="11">
        <f>SUM($H50:L50)</f>
        <v>0.75</v>
      </c>
      <c r="M51" s="11">
        <f>SUM($H50:M50)</f>
        <v>1</v>
      </c>
      <c r="N51" s="11">
        <f>SUM($H50:N50)</f>
        <v>1.25</v>
      </c>
      <c r="O51" s="11">
        <f>SUM($H50:O50)</f>
        <v>1.5</v>
      </c>
      <c r="P51" s="11">
        <f>SUM($H50:P50)</f>
        <v>1.75</v>
      </c>
      <c r="Q51" s="11">
        <f>SUM($H50:Q50)</f>
        <v>2</v>
      </c>
      <c r="R51" s="11">
        <f>SUM($H50:R50)</f>
        <v>2.25</v>
      </c>
      <c r="S51" s="11">
        <f>SUM($H50:S50)</f>
        <v>2.5</v>
      </c>
      <c r="T51" s="11">
        <f>SUM($H50:T50)</f>
        <v>2.75</v>
      </c>
      <c r="U51" s="11">
        <f>SUM($H50:U50)</f>
        <v>3</v>
      </c>
      <c r="V51" s="11">
        <f>SUM($H50:V50)</f>
        <v>3.25</v>
      </c>
      <c r="W51" s="11">
        <f>SUM($H50:W50)</f>
        <v>3.5</v>
      </c>
      <c r="X51" s="11">
        <f>SUM($H50:X50)</f>
        <v>3.75</v>
      </c>
      <c r="Y51" s="11">
        <f>SUM($H50:Y50)</f>
        <v>4</v>
      </c>
    </row>
    <row r="52" spans="1:25" x14ac:dyDescent="0.2">
      <c r="C52" s="57"/>
    </row>
    <row r="53" spans="1:25" x14ac:dyDescent="0.2">
      <c r="B53" s="12" t="s">
        <v>25</v>
      </c>
      <c r="C53" s="50">
        <f>$C$17</f>
        <v>0.4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x14ac:dyDescent="0.2">
      <c r="B54" s="12" t="s">
        <v>27</v>
      </c>
      <c r="C54" s="47">
        <f>C48*C53</f>
        <v>1.6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x14ac:dyDescent="0.2">
      <c r="B55" s="47" t="s">
        <v>28</v>
      </c>
      <c r="C55" s="47"/>
      <c r="D55" s="12"/>
      <c r="E55" s="12"/>
      <c r="F55" s="12"/>
      <c r="G55" s="12"/>
      <c r="H55" s="48">
        <f>IF(AND(H51&gt;=$C54,SUM($G55:G55)=0),1,0)</f>
        <v>0</v>
      </c>
      <c r="I55" s="48">
        <f>IF(AND(I51&gt;=$C54,SUM($G55:H55)=0),1,0)</f>
        <v>0</v>
      </c>
      <c r="J55" s="48">
        <f>IF(AND(J51&gt;=$C54,SUM($G55:I55)=0),1,0)</f>
        <v>0</v>
      </c>
      <c r="K55" s="48">
        <f>IF(AND(K51&gt;=$C54,SUM($G55:J55)=0),1,0)</f>
        <v>0</v>
      </c>
      <c r="L55" s="48">
        <f>IF(AND(L51&gt;=$C54,SUM($G55:K55)=0),1,0)</f>
        <v>0</v>
      </c>
      <c r="M55" s="48">
        <f>IF(AND(M51&gt;=$C54,SUM($G55:L55)=0),1,0)</f>
        <v>0</v>
      </c>
      <c r="N55" s="48">
        <f>IF(AND(N51&gt;=$C54,SUM($G55:M55)=0),1,0)</f>
        <v>0</v>
      </c>
      <c r="O55" s="48">
        <f>IF(AND(O51&gt;=$C54,SUM($G55:N55)=0),1,0)</f>
        <v>0</v>
      </c>
      <c r="P55" s="48">
        <f>IF(AND(P51&gt;=$C54,SUM($G55:O55)=0),1,0)</f>
        <v>1</v>
      </c>
      <c r="Q55" s="48">
        <f>IF(AND(Q51&gt;=$C54,SUM($G55:P55)=0),1,0)</f>
        <v>0</v>
      </c>
      <c r="R55" s="48">
        <f>IF(AND(R51&gt;=$C54,SUM($G55:Q55)=0),1,0)</f>
        <v>0</v>
      </c>
      <c r="S55" s="48">
        <f>IF(AND(S51&gt;=$C54,SUM($G55:R55)=0),1,0)</f>
        <v>0</v>
      </c>
      <c r="T55" s="48">
        <f>IF(AND(T51&gt;=$C54,SUM($G55:S55)=0),1,0)</f>
        <v>0</v>
      </c>
      <c r="U55" s="48">
        <f>IF(AND(U51&gt;=$C54,SUM($G55:T55)=0),1,0)</f>
        <v>0</v>
      </c>
      <c r="V55" s="48">
        <f>IF(AND(V51&gt;=$C54,SUM($G55:U55)=0),1,0)</f>
        <v>0</v>
      </c>
      <c r="W55" s="48">
        <f>IF(AND(W51&gt;=$C54,SUM($G55:V55)=0),1,0)</f>
        <v>0</v>
      </c>
      <c r="X55" s="48">
        <f>IF(AND(X51&gt;=$C54,SUM($G55:W55)=0),1,0)</f>
        <v>0</v>
      </c>
      <c r="Y55" s="48">
        <f>IF(AND(Y51&gt;=$C54,SUM($G55:X55)=0),1,0)</f>
        <v>0</v>
      </c>
    </row>
    <row r="56" spans="1:25" x14ac:dyDescent="0.2">
      <c r="B56" s="100" t="s">
        <v>65</v>
      </c>
      <c r="C56" s="101">
        <f>$C$21</f>
        <v>1</v>
      </c>
      <c r="D56" s="100"/>
      <c r="E56" s="100"/>
      <c r="F56" s="100"/>
      <c r="G56" s="100"/>
      <c r="H56" s="102"/>
      <c r="I56" s="102">
        <f ca="1">IF(AND(MAX(H55)=1,OFFSET(I$25,,-$C56)=1),1,0)</f>
        <v>0</v>
      </c>
      <c r="J56" s="102">
        <f ca="1">IF(AND(MAX(H55:I55)=1,OFFSET(J$25,,-$C56)=1),1,0)</f>
        <v>0</v>
      </c>
      <c r="K56" s="102">
        <f t="shared" ref="K56" ca="1" si="20">IF(AND(MAX(H55:J55)=1,OFFSET(K$25,,-$C56)=1),1,0)</f>
        <v>0</v>
      </c>
      <c r="L56" s="102">
        <f t="shared" ref="L56" ca="1" si="21">IF(AND(MAX(I55:K55)=1,OFFSET(L$25,,-$C56)=1),1,0)</f>
        <v>0</v>
      </c>
      <c r="M56" s="102">
        <f t="shared" ref="M56" ca="1" si="22">IF(AND(MAX(J55:L55)=1,OFFSET(M$25,,-$C56)=1),1,0)</f>
        <v>0</v>
      </c>
      <c r="N56" s="102">
        <f t="shared" ref="N56" ca="1" si="23">IF(AND(MAX(K55:M55)=1,OFFSET(N$25,,-$C56)=1),1,0)</f>
        <v>0</v>
      </c>
      <c r="O56" s="102">
        <f t="shared" ref="O56" ca="1" si="24">IF(AND(MAX(L55:N55)=1,OFFSET(O$25,,-$C56)=1),1,0)</f>
        <v>0</v>
      </c>
      <c r="P56" s="102">
        <f t="shared" ref="P56" ca="1" si="25">IF(AND(MAX(M55:O55)=1,OFFSET(P$25,,-$C56)=1),1,0)</f>
        <v>0</v>
      </c>
      <c r="Q56" s="102">
        <f t="shared" ref="Q56" ca="1" si="26">IF(AND(MAX(N55:P55)=1,OFFSET(Q$25,,-$C56)=1),1,0)</f>
        <v>1</v>
      </c>
      <c r="R56" s="102">
        <f t="shared" ref="R56" ca="1" si="27">IF(AND(MAX(O55:Q55)=1,OFFSET(R$25,,-$C56)=1),1,0)</f>
        <v>0</v>
      </c>
      <c r="S56" s="102">
        <f t="shared" ref="S56" ca="1" si="28">IF(AND(MAX(P55:R55)=1,OFFSET(S$25,,-$C56)=1),1,0)</f>
        <v>0</v>
      </c>
      <c r="T56" s="102">
        <f t="shared" ref="T56" ca="1" si="29">IF(AND(MAX(Q55:S55)=1,OFFSET(T$25,,-$C56)=1),1,0)</f>
        <v>0</v>
      </c>
      <c r="U56" s="102">
        <f t="shared" ref="U56" ca="1" si="30">IF(AND(MAX(R55:T55)=1,OFFSET(U$25,,-$C56)=1),1,0)</f>
        <v>0</v>
      </c>
      <c r="V56" s="102">
        <f t="shared" ref="V56" ca="1" si="31">IF(AND(MAX(S55:U55)=1,OFFSET(V$25,,-$C56)=1),1,0)</f>
        <v>0</v>
      </c>
      <c r="W56" s="102">
        <f t="shared" ref="W56" ca="1" si="32">IF(AND(MAX(T55:V55)=1,OFFSET(W$25,,-$C56)=1),1,0)</f>
        <v>0</v>
      </c>
      <c r="X56" s="102">
        <f t="shared" ref="X56" ca="1" si="33">IF(AND(MAX(U55:W55)=1,OFFSET(X$25,,-$C56)=1),1,0)</f>
        <v>0</v>
      </c>
      <c r="Y56" s="102">
        <f t="shared" ref="Y56" ca="1" si="34">IF(AND(MAX(V55:X55)=1,OFFSET(Y$25,,-$C56)=1),1,0)</f>
        <v>0</v>
      </c>
    </row>
    <row r="57" spans="1:25" x14ac:dyDescent="0.2">
      <c r="B57" s="12" t="s">
        <v>26</v>
      </c>
      <c r="C57" s="50">
        <f>$C$18</f>
        <v>0.6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x14ac:dyDescent="0.2">
      <c r="B58" s="12" t="s">
        <v>29</v>
      </c>
      <c r="C58" s="47">
        <f>C48*C57</f>
        <v>2.4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x14ac:dyDescent="0.2">
      <c r="B59" s="47" t="s">
        <v>30</v>
      </c>
      <c r="C59" s="12"/>
      <c r="D59" s="12"/>
      <c r="E59" s="12"/>
      <c r="F59" s="12"/>
      <c r="G59" s="12"/>
      <c r="H59" s="48">
        <f>IF(AND(H51&gt;=$C58,SUM($G59:G59)=0),1,0)</f>
        <v>0</v>
      </c>
      <c r="I59" s="48">
        <f>IF(AND(I51&gt;=$C58,SUM($G59:H59)=0),1,0)</f>
        <v>0</v>
      </c>
      <c r="J59" s="48">
        <f>IF(AND(J51&gt;=$C58,SUM($G59:I59)=0),1,0)</f>
        <v>0</v>
      </c>
      <c r="K59" s="48">
        <f>IF(AND(K51&gt;=$C58,SUM($G59:J59)=0),1,0)</f>
        <v>0</v>
      </c>
      <c r="L59" s="48">
        <f>IF(AND(L51&gt;=$C58,SUM($G59:K59)=0),1,0)</f>
        <v>0</v>
      </c>
      <c r="M59" s="48">
        <f>IF(AND(M51&gt;=$C58,SUM($G59:L59)=0),1,0)</f>
        <v>0</v>
      </c>
      <c r="N59" s="48">
        <f>IF(AND(N51&gt;=$C58,SUM($G59:M59)=0),1,0)</f>
        <v>0</v>
      </c>
      <c r="O59" s="48">
        <f>IF(AND(O51&gt;=$C58,SUM($G59:N59)=0),1,0)</f>
        <v>0</v>
      </c>
      <c r="P59" s="48">
        <f>IF(AND(P51&gt;=$C58,SUM($G59:O59)=0),1,0)</f>
        <v>0</v>
      </c>
      <c r="Q59" s="48">
        <f>IF(AND(Q51&gt;=$C58,SUM($G59:P59)=0),1,0)</f>
        <v>0</v>
      </c>
      <c r="R59" s="48">
        <f>IF(AND(R51&gt;=$C58,SUM($G59:Q59)=0),1,0)</f>
        <v>0</v>
      </c>
      <c r="S59" s="48">
        <f>IF(AND(S51&gt;=$C58,SUM($G59:R59)=0),1,0)</f>
        <v>1</v>
      </c>
      <c r="T59" s="48">
        <f>IF(AND(T51&gt;=$C58,SUM($G59:S59)=0),1,0)</f>
        <v>0</v>
      </c>
      <c r="U59" s="48">
        <f>IF(AND(U51&gt;=$C58,SUM($G59:T59)=0),1,0)</f>
        <v>0</v>
      </c>
      <c r="V59" s="48">
        <f>IF(AND(V51&gt;=$C58,SUM($G59:U59)=0),1,0)</f>
        <v>0</v>
      </c>
      <c r="W59" s="48">
        <f>IF(AND(W51&gt;=$C58,SUM($G59:V59)=0),1,0)</f>
        <v>0</v>
      </c>
      <c r="X59" s="48">
        <f>IF(AND(X51&gt;=$C58,SUM($G59:W59)=0),1,0)</f>
        <v>0</v>
      </c>
      <c r="Y59" s="48">
        <f>IF(AND(Y51&gt;=$C58,SUM($G59:X59)=0),1,0)</f>
        <v>0</v>
      </c>
    </row>
    <row r="60" spans="1:25" x14ac:dyDescent="0.2">
      <c r="B60" s="100" t="s">
        <v>66</v>
      </c>
      <c r="C60" s="101">
        <f>$C$22</f>
        <v>1</v>
      </c>
      <c r="D60" s="100"/>
      <c r="E60" s="100"/>
      <c r="F60" s="100"/>
      <c r="G60" s="100"/>
      <c r="H60" s="102"/>
      <c r="I60" s="102">
        <f ca="1">IF(AND(MAX(H59)=1,OFFSET(I$25,,-$C60)=1),1,0)</f>
        <v>0</v>
      </c>
      <c r="J60" s="102">
        <f ca="1">IF(AND(MAX(H59:I59)=1,OFFSET(J$25,,-$C60)=1),1,0)</f>
        <v>0</v>
      </c>
      <c r="K60" s="102">
        <f t="shared" ref="K60" ca="1" si="35">IF(AND(MAX(H59:J59)=1,OFFSET(K$25,,-$C60)=1),1,0)</f>
        <v>0</v>
      </c>
      <c r="L60" s="102">
        <f t="shared" ref="L60" ca="1" si="36">IF(AND(MAX(I59:K59)=1,OFFSET(L$25,,-$C60)=1),1,0)</f>
        <v>0</v>
      </c>
      <c r="M60" s="102">
        <f t="shared" ref="M60" ca="1" si="37">IF(AND(MAX(J59:L59)=1,OFFSET(M$25,,-$C60)=1),1,0)</f>
        <v>0</v>
      </c>
      <c r="N60" s="102">
        <f t="shared" ref="N60" ca="1" si="38">IF(AND(MAX(K59:M59)=1,OFFSET(N$25,,-$C60)=1),1,0)</f>
        <v>0</v>
      </c>
      <c r="O60" s="102">
        <f t="shared" ref="O60" ca="1" si="39">IF(AND(MAX(L59:N59)=1,OFFSET(O$25,,-$C60)=1),1,0)</f>
        <v>0</v>
      </c>
      <c r="P60" s="102">
        <f t="shared" ref="P60" ca="1" si="40">IF(AND(MAX(M59:O59)=1,OFFSET(P$25,,-$C60)=1),1,0)</f>
        <v>0</v>
      </c>
      <c r="Q60" s="102">
        <f t="shared" ref="Q60" ca="1" si="41">IF(AND(MAX(N59:P59)=1,OFFSET(Q$25,,-$C60)=1),1,0)</f>
        <v>0</v>
      </c>
      <c r="R60" s="102">
        <f t="shared" ref="R60" ca="1" si="42">IF(AND(MAX(O59:Q59)=1,OFFSET(R$25,,-$C60)=1),1,0)</f>
        <v>0</v>
      </c>
      <c r="S60" s="102">
        <f t="shared" ref="S60" ca="1" si="43">IF(AND(MAX(P59:R59)=1,OFFSET(S$25,,-$C60)=1),1,0)</f>
        <v>0</v>
      </c>
      <c r="T60" s="102">
        <f t="shared" ref="T60" ca="1" si="44">IF(AND(MAX(Q59:S59)=1,OFFSET(T$25,,-$C60)=1),1,0)</f>
        <v>1</v>
      </c>
      <c r="U60" s="102">
        <f t="shared" ref="U60" ca="1" si="45">IF(AND(MAX(R59:T59)=1,OFFSET(U$25,,-$C60)=1),1,0)</f>
        <v>0</v>
      </c>
      <c r="V60" s="102">
        <f t="shared" ref="V60" ca="1" si="46">IF(AND(MAX(S59:U59)=1,OFFSET(V$25,,-$C60)=1),1,0)</f>
        <v>0</v>
      </c>
      <c r="W60" s="102">
        <f t="shared" ref="W60" ca="1" si="47">IF(AND(MAX(T59:V59)=1,OFFSET(W$25,,-$C60)=1),1,0)</f>
        <v>0</v>
      </c>
      <c r="X60" s="102">
        <f t="shared" ref="X60" ca="1" si="48">IF(AND(MAX(U59:W59)=1,OFFSET(X$25,,-$C60)=1),1,0)</f>
        <v>0</v>
      </c>
      <c r="Y60" s="102">
        <f t="shared" ref="Y60" ca="1" si="49">IF(AND(MAX(V59:X59)=1,OFFSET(Y$25,,-$C60)=1),1,0)</f>
        <v>0</v>
      </c>
    </row>
    <row r="62" spans="1:25" s="85" customFormat="1" ht="12.75" x14ac:dyDescent="0.2">
      <c r="A62" s="83">
        <v>2.2999999999999998</v>
      </c>
      <c r="B62" s="54" t="s">
        <v>37</v>
      </c>
      <c r="C62" s="84"/>
    </row>
    <row r="63" spans="1:25" s="89" customFormat="1" ht="12.75" x14ac:dyDescent="0.2">
      <c r="A63" s="86"/>
      <c r="B63" s="87"/>
      <c r="C63" s="88"/>
    </row>
    <row r="64" spans="1:25" x14ac:dyDescent="0.2">
      <c r="B64" s="2" t="s">
        <v>17</v>
      </c>
      <c r="C64" s="44">
        <v>44105</v>
      </c>
      <c r="D64" s="91" t="s">
        <v>40</v>
      </c>
    </row>
    <row r="65" spans="1:25" x14ac:dyDescent="0.2">
      <c r="B65" s="2" t="s">
        <v>18</v>
      </c>
      <c r="C65" s="44">
        <v>44621</v>
      </c>
      <c r="D65" s="91" t="s">
        <v>67</v>
      </c>
    </row>
    <row r="66" spans="1:25" x14ac:dyDescent="0.2">
      <c r="B66" s="2" t="s">
        <v>2</v>
      </c>
      <c r="C66" s="6">
        <v>3</v>
      </c>
      <c r="D66" s="91" t="s">
        <v>41</v>
      </c>
    </row>
    <row r="67" spans="1:25" x14ac:dyDescent="0.2">
      <c r="B67" s="2" t="s">
        <v>1</v>
      </c>
      <c r="H67" s="45">
        <f t="shared" ref="H67:Y67" si="50">IF(AND(H$24&gt;=$C64,H$24&lt;=$C65),1,0)</f>
        <v>1</v>
      </c>
      <c r="I67" s="45">
        <f t="shared" si="50"/>
        <v>1</v>
      </c>
      <c r="J67" s="45">
        <f t="shared" si="50"/>
        <v>1</v>
      </c>
      <c r="K67" s="45">
        <f t="shared" si="50"/>
        <v>1</v>
      </c>
      <c r="L67" s="45">
        <f t="shared" si="50"/>
        <v>1</v>
      </c>
      <c r="M67" s="45">
        <f t="shared" si="50"/>
        <v>1</v>
      </c>
      <c r="N67" s="45">
        <f t="shared" si="50"/>
        <v>1</v>
      </c>
      <c r="O67" s="45">
        <f t="shared" si="50"/>
        <v>1</v>
      </c>
      <c r="P67" s="45">
        <f t="shared" si="50"/>
        <v>1</v>
      </c>
      <c r="Q67" s="45">
        <f t="shared" si="50"/>
        <v>1</v>
      </c>
      <c r="R67" s="45">
        <f t="shared" si="50"/>
        <v>1</v>
      </c>
      <c r="S67" s="45">
        <f t="shared" si="50"/>
        <v>1</v>
      </c>
      <c r="T67" s="45">
        <f t="shared" si="50"/>
        <v>1</v>
      </c>
      <c r="U67" s="45">
        <f t="shared" si="50"/>
        <v>1</v>
      </c>
      <c r="V67" s="45">
        <f t="shared" si="50"/>
        <v>1</v>
      </c>
      <c r="W67" s="45">
        <f t="shared" si="50"/>
        <v>1</v>
      </c>
      <c r="X67" s="45">
        <f t="shared" si="50"/>
        <v>1</v>
      </c>
      <c r="Y67" s="45">
        <f t="shared" si="50"/>
        <v>1</v>
      </c>
    </row>
    <row r="68" spans="1:25" x14ac:dyDescent="0.2">
      <c r="B68" s="2" t="s">
        <v>3</v>
      </c>
      <c r="H68" s="4">
        <f>IFERROR($C66/SUM($H67:$Y67)*H67,0)</f>
        <v>0.16666666666666666</v>
      </c>
      <c r="I68" s="4">
        <f t="shared" ref="I68:Y68" si="51">IFERROR($C66/SUM($H67:$Y67)*I67,0)</f>
        <v>0.16666666666666666</v>
      </c>
      <c r="J68" s="4">
        <f t="shared" si="51"/>
        <v>0.16666666666666666</v>
      </c>
      <c r="K68" s="4">
        <f t="shared" si="51"/>
        <v>0.16666666666666666</v>
      </c>
      <c r="L68" s="4">
        <f t="shared" si="51"/>
        <v>0.16666666666666666</v>
      </c>
      <c r="M68" s="4">
        <f t="shared" si="51"/>
        <v>0.16666666666666666</v>
      </c>
      <c r="N68" s="4">
        <f t="shared" si="51"/>
        <v>0.16666666666666666</v>
      </c>
      <c r="O68" s="4">
        <f t="shared" si="51"/>
        <v>0.16666666666666666</v>
      </c>
      <c r="P68" s="4">
        <f t="shared" si="51"/>
        <v>0.16666666666666666</v>
      </c>
      <c r="Q68" s="4">
        <f t="shared" si="51"/>
        <v>0.16666666666666666</v>
      </c>
      <c r="R68" s="4">
        <f t="shared" si="51"/>
        <v>0.16666666666666666</v>
      </c>
      <c r="S68" s="4">
        <f t="shared" si="51"/>
        <v>0.16666666666666666</v>
      </c>
      <c r="T68" s="4">
        <f t="shared" si="51"/>
        <v>0.16666666666666666</v>
      </c>
      <c r="U68" s="4">
        <f t="shared" si="51"/>
        <v>0.16666666666666666</v>
      </c>
      <c r="V68" s="4">
        <f t="shared" si="51"/>
        <v>0.16666666666666666</v>
      </c>
      <c r="W68" s="4">
        <f t="shared" si="51"/>
        <v>0.16666666666666666</v>
      </c>
      <c r="X68" s="4">
        <f t="shared" si="51"/>
        <v>0.16666666666666666</v>
      </c>
      <c r="Y68" s="4">
        <f t="shared" si="51"/>
        <v>0.16666666666666666</v>
      </c>
    </row>
    <row r="69" spans="1:25" x14ac:dyDescent="0.2">
      <c r="B69" s="10" t="s">
        <v>4</v>
      </c>
      <c r="C69" s="10"/>
      <c r="D69" s="10"/>
      <c r="E69" s="10"/>
      <c r="F69" s="10"/>
      <c r="G69" s="10"/>
      <c r="H69" s="11">
        <f>SUM($H68:H68)</f>
        <v>0.16666666666666666</v>
      </c>
      <c r="I69" s="11">
        <f>SUM($H68:I68)</f>
        <v>0.33333333333333331</v>
      </c>
      <c r="J69" s="11">
        <f>SUM($H68:J68)</f>
        <v>0.5</v>
      </c>
      <c r="K69" s="11">
        <f>SUM($H68:K68)</f>
        <v>0.66666666666666663</v>
      </c>
      <c r="L69" s="11">
        <f>SUM($H68:L68)</f>
        <v>0.83333333333333326</v>
      </c>
      <c r="M69" s="11">
        <f>SUM($H68:M68)</f>
        <v>0.99999999999999989</v>
      </c>
      <c r="N69" s="11">
        <f>SUM($H68:N68)</f>
        <v>1.1666666666666665</v>
      </c>
      <c r="O69" s="11">
        <f>SUM($H68:O68)</f>
        <v>1.3333333333333333</v>
      </c>
      <c r="P69" s="11">
        <f>SUM($H68:P68)</f>
        <v>1.5</v>
      </c>
      <c r="Q69" s="11">
        <f>SUM($H68:Q68)</f>
        <v>1.6666666666666667</v>
      </c>
      <c r="R69" s="11">
        <f>SUM($H68:R68)</f>
        <v>1.8333333333333335</v>
      </c>
      <c r="S69" s="11">
        <f>SUM($H68:S68)</f>
        <v>2</v>
      </c>
      <c r="T69" s="11">
        <f>SUM($H68:T68)</f>
        <v>2.1666666666666665</v>
      </c>
      <c r="U69" s="11">
        <f>SUM($H68:U68)</f>
        <v>2.333333333333333</v>
      </c>
      <c r="V69" s="11">
        <f>SUM($H68:V68)</f>
        <v>2.4999999999999996</v>
      </c>
      <c r="W69" s="11">
        <f>SUM($H68:W68)</f>
        <v>2.6666666666666661</v>
      </c>
      <c r="X69" s="11">
        <f>SUM($H68:X68)</f>
        <v>2.8333333333333326</v>
      </c>
      <c r="Y69" s="11">
        <f>SUM($H68:Y68)</f>
        <v>2.9999999999999991</v>
      </c>
    </row>
    <row r="70" spans="1:25" x14ac:dyDescent="0.2">
      <c r="C70" s="57"/>
    </row>
    <row r="71" spans="1:25" x14ac:dyDescent="0.2">
      <c r="B71" s="12" t="s">
        <v>25</v>
      </c>
      <c r="C71" s="50">
        <f>$C$17</f>
        <v>0.4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x14ac:dyDescent="0.2">
      <c r="B72" s="12" t="s">
        <v>27</v>
      </c>
      <c r="C72" s="60">
        <f>C66*C71</f>
        <v>1.2000000000000002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x14ac:dyDescent="0.2">
      <c r="B73" s="47" t="s">
        <v>28</v>
      </c>
      <c r="C73" s="47"/>
      <c r="D73" s="12"/>
      <c r="E73" s="12"/>
      <c r="F73" s="12"/>
      <c r="G73" s="12"/>
      <c r="H73" s="48">
        <f>IF(AND(H69&gt;=$C72,SUM($G73:G73)=0),1,0)</f>
        <v>0</v>
      </c>
      <c r="I73" s="48">
        <f>IF(AND(I69&gt;=$C72,SUM($G73:H73)=0),1,0)</f>
        <v>0</v>
      </c>
      <c r="J73" s="48">
        <f>IF(AND(J69&gt;=$C72,SUM($G73:I73)=0),1,0)</f>
        <v>0</v>
      </c>
      <c r="K73" s="48">
        <f>IF(AND(K69&gt;=$C72,SUM($G73:J73)=0),1,0)</f>
        <v>0</v>
      </c>
      <c r="L73" s="48">
        <f>IF(AND(L69&gt;=$C72,SUM($G73:K73)=0),1,0)</f>
        <v>0</v>
      </c>
      <c r="M73" s="48">
        <f>IF(AND(M69&gt;=$C72,SUM($G73:L73)=0),1,0)</f>
        <v>0</v>
      </c>
      <c r="N73" s="48">
        <f>IF(AND(N69&gt;=$C72,SUM($G73:M73)=0),1,0)</f>
        <v>0</v>
      </c>
      <c r="O73" s="48">
        <f>IF(AND(O69&gt;=$C72,SUM($G73:N73)=0),1,0)</f>
        <v>1</v>
      </c>
      <c r="P73" s="48">
        <f>IF(AND(P69&gt;=$C72,SUM($G73:O73)=0),1,0)</f>
        <v>0</v>
      </c>
      <c r="Q73" s="48">
        <f>IF(AND(Q69&gt;=$C72,SUM($G73:P73)=0),1,0)</f>
        <v>0</v>
      </c>
      <c r="R73" s="48">
        <f>IF(AND(R69&gt;=$C72,SUM($G73:Q73)=0),1,0)</f>
        <v>0</v>
      </c>
      <c r="S73" s="48">
        <f>IF(AND(S69&gt;=$C72,SUM($G73:R73)=0),1,0)</f>
        <v>0</v>
      </c>
      <c r="T73" s="48">
        <f>IF(AND(T69&gt;=$C72,SUM($G73:S73)=0),1,0)</f>
        <v>0</v>
      </c>
      <c r="U73" s="48">
        <f>IF(AND(U69&gt;=$C72,SUM($G73:T73)=0),1,0)</f>
        <v>0</v>
      </c>
      <c r="V73" s="48">
        <f>IF(AND(V69&gt;=$C72,SUM($G73:U73)=0),1,0)</f>
        <v>0</v>
      </c>
      <c r="W73" s="48">
        <f>IF(AND(W69&gt;=$C72,SUM($G73:V73)=0),1,0)</f>
        <v>0</v>
      </c>
      <c r="X73" s="48">
        <f>IF(AND(X69&gt;=$C72,SUM($G73:W73)=0),1,0)</f>
        <v>0</v>
      </c>
      <c r="Y73" s="48">
        <f>IF(AND(Y69&gt;=$C72,SUM($G73:X73)=0),1,0)</f>
        <v>0</v>
      </c>
    </row>
    <row r="74" spans="1:25" x14ac:dyDescent="0.2">
      <c r="B74" s="100" t="s">
        <v>65</v>
      </c>
      <c r="C74" s="101">
        <f>$C$21</f>
        <v>1</v>
      </c>
      <c r="D74" s="12"/>
      <c r="E74" s="12"/>
      <c r="F74" s="12"/>
      <c r="G74" s="12"/>
      <c r="H74" s="102"/>
      <c r="I74" s="102">
        <f ca="1">IF(AND(MAX(H73)=1,OFFSET(I$25,,-$C74)=1),1,0)</f>
        <v>0</v>
      </c>
      <c r="J74" s="102">
        <f ca="1">IF(AND(MAX(H73:I73)=1,OFFSET(J$25,,-$C74)=1),1,0)</f>
        <v>0</v>
      </c>
      <c r="K74" s="102">
        <f t="shared" ref="K74" ca="1" si="52">IF(AND(MAX(H73:J73)=1,OFFSET(K$25,,-$C74)=1),1,0)</f>
        <v>0</v>
      </c>
      <c r="L74" s="102">
        <f t="shared" ref="L74" ca="1" si="53">IF(AND(MAX(I73:K73)=1,OFFSET(L$25,,-$C74)=1),1,0)</f>
        <v>0</v>
      </c>
      <c r="M74" s="102">
        <f t="shared" ref="M74" ca="1" si="54">IF(AND(MAX(J73:L73)=1,OFFSET(M$25,,-$C74)=1),1,0)</f>
        <v>0</v>
      </c>
      <c r="N74" s="102">
        <f t="shared" ref="N74" ca="1" si="55">IF(AND(MAX(K73:M73)=1,OFFSET(N$25,,-$C74)=1),1,0)</f>
        <v>0</v>
      </c>
      <c r="O74" s="102">
        <f t="shared" ref="O74" ca="1" si="56">IF(AND(MAX(L73:N73)=1,OFFSET(O$25,,-$C74)=1),1,0)</f>
        <v>0</v>
      </c>
      <c r="P74" s="102">
        <f t="shared" ref="P74" ca="1" si="57">IF(AND(MAX(M73:O73)=1,OFFSET(P$25,,-$C74)=1),1,0)</f>
        <v>0</v>
      </c>
      <c r="Q74" s="102">
        <f t="shared" ref="Q74" ca="1" si="58">IF(AND(MAX(N73:P73)=1,OFFSET(Q$25,,-$C74)=1),1,0)</f>
        <v>1</v>
      </c>
      <c r="R74" s="102">
        <f t="shared" ref="R74" ca="1" si="59">IF(AND(MAX(O73:Q73)=1,OFFSET(R$25,,-$C74)=1),1,0)</f>
        <v>0</v>
      </c>
      <c r="S74" s="102">
        <f t="shared" ref="S74" ca="1" si="60">IF(AND(MAX(P73:R73)=1,OFFSET(S$25,,-$C74)=1),1,0)</f>
        <v>0</v>
      </c>
      <c r="T74" s="102">
        <f t="shared" ref="T74" ca="1" si="61">IF(AND(MAX(Q73:S73)=1,OFFSET(T$25,,-$C74)=1),1,0)</f>
        <v>0</v>
      </c>
      <c r="U74" s="102">
        <f t="shared" ref="U74" ca="1" si="62">IF(AND(MAX(R73:T73)=1,OFFSET(U$25,,-$C74)=1),1,0)</f>
        <v>0</v>
      </c>
      <c r="V74" s="102">
        <f t="shared" ref="V74" ca="1" si="63">IF(AND(MAX(S73:U73)=1,OFFSET(V$25,,-$C74)=1),1,0)</f>
        <v>0</v>
      </c>
      <c r="W74" s="102">
        <f t="shared" ref="W74" ca="1" si="64">IF(AND(MAX(T73:V73)=1,OFFSET(W$25,,-$C74)=1),1,0)</f>
        <v>0</v>
      </c>
      <c r="X74" s="102">
        <f t="shared" ref="X74" ca="1" si="65">IF(AND(MAX(U73:W73)=1,OFFSET(X$25,,-$C74)=1),1,0)</f>
        <v>0</v>
      </c>
      <c r="Y74" s="102">
        <f t="shared" ref="Y74" ca="1" si="66">IF(AND(MAX(V73:X73)=1,OFFSET(Y$25,,-$C74)=1),1,0)</f>
        <v>0</v>
      </c>
    </row>
    <row r="75" spans="1:25" x14ac:dyDescent="0.2">
      <c r="B75" s="12" t="s">
        <v>26</v>
      </c>
      <c r="C75" s="50">
        <f>$C$18</f>
        <v>0.6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x14ac:dyDescent="0.2">
      <c r="B76" s="12" t="s">
        <v>29</v>
      </c>
      <c r="C76" s="60">
        <f>C66*C75</f>
        <v>1.7999999999999998</v>
      </c>
      <c r="D76" s="12"/>
      <c r="E76" s="12"/>
      <c r="F76" s="12"/>
      <c r="G76" s="12"/>
    </row>
    <row r="77" spans="1:25" x14ac:dyDescent="0.2">
      <c r="B77" s="47" t="s">
        <v>30</v>
      </c>
      <c r="C77" s="12"/>
      <c r="D77" s="12"/>
      <c r="E77" s="12"/>
      <c r="F77" s="12"/>
      <c r="G77" s="12"/>
      <c r="H77" s="48">
        <f>IF(AND(H69&gt;=$C76,SUM($G77:G77)=0),1,0)</f>
        <v>0</v>
      </c>
      <c r="I77" s="48">
        <f>IF(AND(I69&gt;=$C76,SUM($G77:H77)=0),1,0)</f>
        <v>0</v>
      </c>
      <c r="J77" s="48">
        <f>IF(AND(J69&gt;=$C76,SUM($G77:I77)=0),1,0)</f>
        <v>0</v>
      </c>
      <c r="K77" s="48">
        <f>IF(AND(K69&gt;=$C76,SUM($G77:J77)=0),1,0)</f>
        <v>0</v>
      </c>
      <c r="L77" s="48">
        <f>IF(AND(L69&gt;=$C76,SUM($G77:K77)=0),1,0)</f>
        <v>0</v>
      </c>
      <c r="M77" s="48">
        <f>IF(AND(M69&gt;=$C76,SUM($G77:L77)=0),1,0)</f>
        <v>0</v>
      </c>
      <c r="N77" s="48">
        <f>IF(AND(N69&gt;=$C76,SUM($G77:M77)=0),1,0)</f>
        <v>0</v>
      </c>
      <c r="O77" s="48">
        <f>IF(AND(O69&gt;=$C76,SUM($G77:N77)=0),1,0)</f>
        <v>0</v>
      </c>
      <c r="P77" s="48">
        <f>IF(AND(P69&gt;=$C76,SUM($G77:O77)=0),1,0)</f>
        <v>0</v>
      </c>
      <c r="Q77" s="48">
        <f>IF(AND(Q69&gt;=$C76,SUM($G77:P77)=0),1,0)</f>
        <v>0</v>
      </c>
      <c r="R77" s="48">
        <f>IF(AND(R69&gt;=$C76,SUM($G77:Q77)=0),1,0)</f>
        <v>1</v>
      </c>
      <c r="S77" s="48">
        <f>IF(AND(S69&gt;=$C76,SUM($G77:R77)=0),1,0)</f>
        <v>0</v>
      </c>
      <c r="T77" s="48">
        <f>IF(AND(T69&gt;=$C76,SUM($G77:S77)=0),1,0)</f>
        <v>0</v>
      </c>
      <c r="U77" s="48">
        <f>IF(AND(U69&gt;=$C76,SUM($G77:T77)=0),1,0)</f>
        <v>0</v>
      </c>
      <c r="V77" s="48">
        <f>IF(AND(V69&gt;=$C76,SUM($G77:U77)=0),1,0)</f>
        <v>0</v>
      </c>
      <c r="W77" s="48">
        <f>IF(AND(W69&gt;=$C76,SUM($G77:V77)=0),1,0)</f>
        <v>0</v>
      </c>
      <c r="X77" s="48">
        <f>IF(AND(X69&gt;=$C76,SUM($G77:W77)=0),1,0)</f>
        <v>0</v>
      </c>
      <c r="Y77" s="48">
        <f>IF(AND(Y69&gt;=$C76,SUM($G77:X77)=0),1,0)</f>
        <v>0</v>
      </c>
    </row>
    <row r="78" spans="1:25" x14ac:dyDescent="0.2">
      <c r="B78" s="100" t="s">
        <v>66</v>
      </c>
      <c r="C78" s="101">
        <f>$C$22</f>
        <v>1</v>
      </c>
      <c r="D78" s="12"/>
      <c r="E78" s="12"/>
      <c r="F78" s="12"/>
      <c r="G78" s="12"/>
      <c r="H78" s="102"/>
      <c r="I78" s="102">
        <f ca="1">IF(AND(MAX(H77)=1,OFFSET(I$25,,-$C78)=1),1,0)</f>
        <v>0</v>
      </c>
      <c r="J78" s="102">
        <f ca="1">IF(AND(MAX(H77:I77)=1,OFFSET(J$25,,-$C78)=1),1,0)</f>
        <v>0</v>
      </c>
      <c r="K78" s="102">
        <f t="shared" ref="K78" ca="1" si="67">IF(AND(MAX(H77:J77)=1,OFFSET(K$25,,-$C78)=1),1,0)</f>
        <v>0</v>
      </c>
      <c r="L78" s="102">
        <f t="shared" ref="L78" ca="1" si="68">IF(AND(MAX(I77:K77)=1,OFFSET(L$25,,-$C78)=1),1,0)</f>
        <v>0</v>
      </c>
      <c r="M78" s="102">
        <f t="shared" ref="M78" ca="1" si="69">IF(AND(MAX(J77:L77)=1,OFFSET(M$25,,-$C78)=1),1,0)</f>
        <v>0</v>
      </c>
      <c r="N78" s="102">
        <f t="shared" ref="N78" ca="1" si="70">IF(AND(MAX(K77:M77)=1,OFFSET(N$25,,-$C78)=1),1,0)</f>
        <v>0</v>
      </c>
      <c r="O78" s="102">
        <f t="shared" ref="O78" ca="1" si="71">IF(AND(MAX(L77:N77)=1,OFFSET(O$25,,-$C78)=1),1,0)</f>
        <v>0</v>
      </c>
      <c r="P78" s="102">
        <f t="shared" ref="P78" ca="1" si="72">IF(AND(MAX(M77:O77)=1,OFFSET(P$25,,-$C78)=1),1,0)</f>
        <v>0</v>
      </c>
      <c r="Q78" s="102">
        <f t="shared" ref="Q78" ca="1" si="73">IF(AND(MAX(N77:P77)=1,OFFSET(Q$25,,-$C78)=1),1,0)</f>
        <v>0</v>
      </c>
      <c r="R78" s="102">
        <f t="shared" ref="R78" ca="1" si="74">IF(AND(MAX(O77:Q77)=1,OFFSET(R$25,,-$C78)=1),1,0)</f>
        <v>0</v>
      </c>
      <c r="S78" s="102">
        <f t="shared" ref="S78" ca="1" si="75">IF(AND(MAX(P77:R77)=1,OFFSET(S$25,,-$C78)=1),1,0)</f>
        <v>0</v>
      </c>
      <c r="T78" s="102">
        <f t="shared" ref="T78" ca="1" si="76">IF(AND(MAX(Q77:S77)=1,OFFSET(T$25,,-$C78)=1),1,0)</f>
        <v>1</v>
      </c>
      <c r="U78" s="102">
        <f t="shared" ref="U78" ca="1" si="77">IF(AND(MAX(R77:T77)=1,OFFSET(U$25,,-$C78)=1),1,0)</f>
        <v>0</v>
      </c>
      <c r="V78" s="102">
        <f t="shared" ref="V78" ca="1" si="78">IF(AND(MAX(S77:U77)=1,OFFSET(V$25,,-$C78)=1),1,0)</f>
        <v>0</v>
      </c>
      <c r="W78" s="102">
        <f t="shared" ref="W78" ca="1" si="79">IF(AND(MAX(T77:V77)=1,OFFSET(W$25,,-$C78)=1),1,0)</f>
        <v>0</v>
      </c>
      <c r="X78" s="102">
        <f t="shared" ref="X78" ca="1" si="80">IF(AND(MAX(U77:W77)=1,OFFSET(X$25,,-$C78)=1),1,0)</f>
        <v>0</v>
      </c>
      <c r="Y78" s="102">
        <f t="shared" ref="Y78" ca="1" si="81">IF(AND(MAX(V77:X77)=1,OFFSET(Y$25,,-$C78)=1),1,0)</f>
        <v>0</v>
      </c>
    </row>
    <row r="80" spans="1:25" s="85" customFormat="1" ht="12.75" x14ac:dyDescent="0.2">
      <c r="A80" s="83">
        <v>2.4</v>
      </c>
      <c r="B80" s="54" t="s">
        <v>37</v>
      </c>
      <c r="C80" s="84"/>
    </row>
    <row r="81" spans="1:25" s="89" customFormat="1" ht="12.75" x14ac:dyDescent="0.2">
      <c r="A81" s="86"/>
      <c r="B81" s="87"/>
      <c r="C81" s="88"/>
    </row>
    <row r="82" spans="1:25" x14ac:dyDescent="0.2">
      <c r="B82" s="2" t="s">
        <v>17</v>
      </c>
      <c r="C82" s="44">
        <v>44166</v>
      </c>
      <c r="D82" s="91" t="s">
        <v>40</v>
      </c>
    </row>
    <row r="83" spans="1:25" x14ac:dyDescent="0.2">
      <c r="B83" s="2" t="s">
        <v>18</v>
      </c>
      <c r="C83" s="44">
        <v>44593</v>
      </c>
      <c r="D83" s="91" t="s">
        <v>67</v>
      </c>
      <c r="E83" s="12"/>
      <c r="F83" s="12"/>
      <c r="G83" s="12"/>
    </row>
    <row r="84" spans="1:25" x14ac:dyDescent="0.2">
      <c r="B84" s="2" t="s">
        <v>2</v>
      </c>
      <c r="C84" s="6">
        <v>2</v>
      </c>
      <c r="D84" s="91" t="s">
        <v>41</v>
      </c>
    </row>
    <row r="85" spans="1:25" x14ac:dyDescent="0.2">
      <c r="B85" s="2" t="s">
        <v>1</v>
      </c>
      <c r="H85" s="45">
        <f t="shared" ref="H85:Y85" si="82">IF(AND(H$24&gt;=$C82,H$24&lt;=$C83),1,0)</f>
        <v>0</v>
      </c>
      <c r="I85" s="45">
        <f t="shared" si="82"/>
        <v>0</v>
      </c>
      <c r="J85" s="45">
        <f t="shared" si="82"/>
        <v>1</v>
      </c>
      <c r="K85" s="45">
        <f t="shared" si="82"/>
        <v>1</v>
      </c>
      <c r="L85" s="45">
        <f t="shared" si="82"/>
        <v>1</v>
      </c>
      <c r="M85" s="45">
        <f t="shared" si="82"/>
        <v>1</v>
      </c>
      <c r="N85" s="45">
        <f t="shared" si="82"/>
        <v>1</v>
      </c>
      <c r="O85" s="45">
        <f t="shared" si="82"/>
        <v>1</v>
      </c>
      <c r="P85" s="45">
        <f t="shared" si="82"/>
        <v>1</v>
      </c>
      <c r="Q85" s="45">
        <f t="shared" si="82"/>
        <v>1</v>
      </c>
      <c r="R85" s="45">
        <f t="shared" si="82"/>
        <v>1</v>
      </c>
      <c r="S85" s="45">
        <f t="shared" si="82"/>
        <v>1</v>
      </c>
      <c r="T85" s="45">
        <f t="shared" si="82"/>
        <v>1</v>
      </c>
      <c r="U85" s="45">
        <f t="shared" si="82"/>
        <v>1</v>
      </c>
      <c r="V85" s="45">
        <f t="shared" si="82"/>
        <v>1</v>
      </c>
      <c r="W85" s="45">
        <f t="shared" si="82"/>
        <v>1</v>
      </c>
      <c r="X85" s="45">
        <f t="shared" si="82"/>
        <v>1</v>
      </c>
      <c r="Y85" s="45">
        <f t="shared" si="82"/>
        <v>0</v>
      </c>
    </row>
    <row r="86" spans="1:25" x14ac:dyDescent="0.2">
      <c r="B86" s="2" t="s">
        <v>3</v>
      </c>
      <c r="H86" s="4">
        <f t="shared" ref="H86:Y86" si="83">IFERROR($C84/SUM($H85:$Y85)*H85,0)</f>
        <v>0</v>
      </c>
      <c r="I86" s="4">
        <f t="shared" si="83"/>
        <v>0</v>
      </c>
      <c r="J86" s="4">
        <f t="shared" si="83"/>
        <v>0.13333333333333333</v>
      </c>
      <c r="K86" s="4">
        <f t="shared" si="83"/>
        <v>0.13333333333333333</v>
      </c>
      <c r="L86" s="4">
        <f t="shared" si="83"/>
        <v>0.13333333333333333</v>
      </c>
      <c r="M86" s="4">
        <f t="shared" si="83"/>
        <v>0.13333333333333333</v>
      </c>
      <c r="N86" s="4">
        <f t="shared" si="83"/>
        <v>0.13333333333333333</v>
      </c>
      <c r="O86" s="4">
        <f t="shared" si="83"/>
        <v>0.13333333333333333</v>
      </c>
      <c r="P86" s="4">
        <f t="shared" si="83"/>
        <v>0.13333333333333333</v>
      </c>
      <c r="Q86" s="4">
        <f t="shared" si="83"/>
        <v>0.13333333333333333</v>
      </c>
      <c r="R86" s="4">
        <f t="shared" si="83"/>
        <v>0.13333333333333333</v>
      </c>
      <c r="S86" s="4">
        <f t="shared" si="83"/>
        <v>0.13333333333333333</v>
      </c>
      <c r="T86" s="4">
        <f t="shared" si="83"/>
        <v>0.13333333333333333</v>
      </c>
      <c r="U86" s="4">
        <f t="shared" si="83"/>
        <v>0.13333333333333333</v>
      </c>
      <c r="V86" s="4">
        <f t="shared" si="83"/>
        <v>0.13333333333333333</v>
      </c>
      <c r="W86" s="4">
        <f t="shared" si="83"/>
        <v>0.13333333333333333</v>
      </c>
      <c r="X86" s="4">
        <f t="shared" si="83"/>
        <v>0.13333333333333333</v>
      </c>
      <c r="Y86" s="4">
        <f t="shared" si="83"/>
        <v>0</v>
      </c>
    </row>
    <row r="87" spans="1:25" x14ac:dyDescent="0.2">
      <c r="B87" s="10" t="s">
        <v>4</v>
      </c>
      <c r="C87" s="59"/>
      <c r="D87" s="10"/>
      <c r="E87" s="10"/>
      <c r="F87" s="10"/>
      <c r="G87" s="10"/>
      <c r="H87" s="11">
        <f>SUM($H86:H86)</f>
        <v>0</v>
      </c>
      <c r="I87" s="11">
        <f>SUM($H86:I86)</f>
        <v>0</v>
      </c>
      <c r="J87" s="11">
        <f>SUM($H86:J86)</f>
        <v>0.13333333333333333</v>
      </c>
      <c r="K87" s="11">
        <f>SUM($H86:K86)</f>
        <v>0.26666666666666666</v>
      </c>
      <c r="L87" s="11">
        <f>SUM($H86:L86)</f>
        <v>0.4</v>
      </c>
      <c r="M87" s="11">
        <f>SUM($H86:M86)</f>
        <v>0.53333333333333333</v>
      </c>
      <c r="N87" s="11">
        <f>SUM($H86:N86)</f>
        <v>0.66666666666666663</v>
      </c>
      <c r="O87" s="11">
        <f>SUM($H86:O86)</f>
        <v>0.79999999999999993</v>
      </c>
      <c r="P87" s="11">
        <f>SUM($H86:P86)</f>
        <v>0.93333333333333324</v>
      </c>
      <c r="Q87" s="11">
        <f>SUM($H86:Q86)</f>
        <v>1.0666666666666667</v>
      </c>
      <c r="R87" s="11">
        <f>SUM($H86:R86)</f>
        <v>1.2</v>
      </c>
      <c r="S87" s="11">
        <f>SUM($H86:S86)</f>
        <v>1.3333333333333333</v>
      </c>
      <c r="T87" s="11">
        <f>SUM($H86:T86)</f>
        <v>1.4666666666666666</v>
      </c>
      <c r="U87" s="11">
        <f>SUM($H86:U86)</f>
        <v>1.5999999999999999</v>
      </c>
      <c r="V87" s="11">
        <f>SUM($H86:V86)</f>
        <v>1.7333333333333332</v>
      </c>
      <c r="W87" s="11">
        <f>SUM($H86:W86)</f>
        <v>1.8666666666666665</v>
      </c>
      <c r="X87" s="11">
        <f>SUM($H86:X86)</f>
        <v>1.9999999999999998</v>
      </c>
      <c r="Y87" s="11">
        <f>SUM($H86:Y86)</f>
        <v>1.9999999999999998</v>
      </c>
    </row>
    <row r="88" spans="1:25" x14ac:dyDescent="0.2">
      <c r="C88" s="57"/>
    </row>
    <row r="89" spans="1:25" x14ac:dyDescent="0.2">
      <c r="B89" s="12" t="s">
        <v>25</v>
      </c>
      <c r="C89" s="50">
        <f>$C$17</f>
        <v>0.4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x14ac:dyDescent="0.2">
      <c r="B90" s="12" t="s">
        <v>27</v>
      </c>
      <c r="C90" s="60">
        <f>C84*C89</f>
        <v>0.8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x14ac:dyDescent="0.2">
      <c r="B91" s="47" t="s">
        <v>28</v>
      </c>
      <c r="C91" s="47"/>
      <c r="D91" s="12"/>
      <c r="E91" s="12"/>
      <c r="F91" s="12"/>
      <c r="G91" s="12"/>
      <c r="H91" s="48">
        <f>IF(AND(H87&gt;=$C90,SUM($G91:G91)=0),1,0)</f>
        <v>0</v>
      </c>
      <c r="I91" s="48">
        <f>IF(AND(I87&gt;=$C90,SUM($G91:H91)=0),1,0)</f>
        <v>0</v>
      </c>
      <c r="J91" s="48">
        <f>IF(AND(J87&gt;=$C90,SUM($G91:I91)=0),1,0)</f>
        <v>0</v>
      </c>
      <c r="K91" s="48">
        <f>IF(AND(K87&gt;=$C90,SUM($G91:J91)=0),1,0)</f>
        <v>0</v>
      </c>
      <c r="L91" s="48">
        <f>IF(AND(L87&gt;=$C90,SUM($G91:K91)=0),1,0)</f>
        <v>0</v>
      </c>
      <c r="M91" s="48">
        <f>IF(AND(M87&gt;=$C90,SUM($G91:L91)=0),1,0)</f>
        <v>0</v>
      </c>
      <c r="N91" s="48">
        <f>IF(AND(N87&gt;=$C90,SUM($G91:M91)=0),1,0)</f>
        <v>0</v>
      </c>
      <c r="O91" s="48">
        <f>IF(AND(O87&gt;=$C90,SUM($G91:N91)=0),1,0)</f>
        <v>1</v>
      </c>
      <c r="P91" s="48">
        <f>IF(AND(P87&gt;=$C90,SUM($G91:O91)=0),1,0)</f>
        <v>0</v>
      </c>
      <c r="Q91" s="48">
        <f>IF(AND(Q87&gt;=$C90,SUM($G91:P91)=0),1,0)</f>
        <v>0</v>
      </c>
      <c r="R91" s="48">
        <f>IF(AND(R87&gt;=$C90,SUM($G91:Q91)=0),1,0)</f>
        <v>0</v>
      </c>
      <c r="S91" s="48">
        <f>IF(AND(S87&gt;=$C90,SUM($G91:R91)=0),1,0)</f>
        <v>0</v>
      </c>
      <c r="T91" s="48">
        <f>IF(AND(T87&gt;=$C90,SUM($G91:S91)=0),1,0)</f>
        <v>0</v>
      </c>
      <c r="U91" s="48">
        <f>IF(AND(U87&gt;=$C90,SUM($G91:T91)=0),1,0)</f>
        <v>0</v>
      </c>
      <c r="V91" s="48">
        <f>IF(AND(V87&gt;=$C90,SUM($G91:U91)=0),1,0)</f>
        <v>0</v>
      </c>
      <c r="W91" s="48">
        <f>IF(AND(W87&gt;=$C90,SUM($G91:V91)=0),1,0)</f>
        <v>0</v>
      </c>
      <c r="X91" s="48">
        <f>IF(AND(X87&gt;=$C90,SUM($G91:W91)=0),1,0)</f>
        <v>0</v>
      </c>
      <c r="Y91" s="48">
        <f>IF(AND(Y87&gt;=$C90,SUM($G91:X91)=0),1,0)</f>
        <v>0</v>
      </c>
    </row>
    <row r="92" spans="1:25" x14ac:dyDescent="0.2">
      <c r="B92" s="100" t="s">
        <v>65</v>
      </c>
      <c r="C92" s="101">
        <f>$C$21</f>
        <v>1</v>
      </c>
      <c r="D92" s="12"/>
      <c r="E92" s="12"/>
      <c r="F92" s="12"/>
      <c r="G92" s="12"/>
      <c r="H92" s="102"/>
      <c r="I92" s="102">
        <f ca="1">IF(AND(MAX(H91)=1,OFFSET(I$25,,-$C92)=1),1,0)</f>
        <v>0</v>
      </c>
      <c r="J92" s="102">
        <f ca="1">IF(AND(MAX(H91:I91)=1,OFFSET(J$25,,-$C92)=1),1,0)</f>
        <v>0</v>
      </c>
      <c r="K92" s="102">
        <f t="shared" ref="K92" ca="1" si="84">IF(AND(MAX(H91:J91)=1,OFFSET(K$25,,-$C92)=1),1,0)</f>
        <v>0</v>
      </c>
      <c r="L92" s="102">
        <f t="shared" ref="L92" ca="1" si="85">IF(AND(MAX(I91:K91)=1,OFFSET(L$25,,-$C92)=1),1,0)</f>
        <v>0</v>
      </c>
      <c r="M92" s="102">
        <f t="shared" ref="M92" ca="1" si="86">IF(AND(MAX(J91:L91)=1,OFFSET(M$25,,-$C92)=1),1,0)</f>
        <v>0</v>
      </c>
      <c r="N92" s="102">
        <f t="shared" ref="N92" ca="1" si="87">IF(AND(MAX(K91:M91)=1,OFFSET(N$25,,-$C92)=1),1,0)</f>
        <v>0</v>
      </c>
      <c r="O92" s="102">
        <f t="shared" ref="O92" ca="1" si="88">IF(AND(MAX(L91:N91)=1,OFFSET(O$25,,-$C92)=1),1,0)</f>
        <v>0</v>
      </c>
      <c r="P92" s="102">
        <f t="shared" ref="P92" ca="1" si="89">IF(AND(MAX(M91:O91)=1,OFFSET(P$25,,-$C92)=1),1,0)</f>
        <v>0</v>
      </c>
      <c r="Q92" s="102">
        <f t="shared" ref="Q92" ca="1" si="90">IF(AND(MAX(N91:P91)=1,OFFSET(Q$25,,-$C92)=1),1,0)</f>
        <v>1</v>
      </c>
      <c r="R92" s="102">
        <f t="shared" ref="R92" ca="1" si="91">IF(AND(MAX(O91:Q91)=1,OFFSET(R$25,,-$C92)=1),1,0)</f>
        <v>0</v>
      </c>
      <c r="S92" s="102">
        <f t="shared" ref="S92" ca="1" si="92">IF(AND(MAX(P91:R91)=1,OFFSET(S$25,,-$C92)=1),1,0)</f>
        <v>0</v>
      </c>
      <c r="T92" s="102">
        <f t="shared" ref="T92" ca="1" si="93">IF(AND(MAX(Q91:S91)=1,OFFSET(T$25,,-$C92)=1),1,0)</f>
        <v>0</v>
      </c>
      <c r="U92" s="102">
        <f t="shared" ref="U92" ca="1" si="94">IF(AND(MAX(R91:T91)=1,OFFSET(U$25,,-$C92)=1),1,0)</f>
        <v>0</v>
      </c>
      <c r="V92" s="102">
        <f t="shared" ref="V92" ca="1" si="95">IF(AND(MAX(S91:U91)=1,OFFSET(V$25,,-$C92)=1),1,0)</f>
        <v>0</v>
      </c>
      <c r="W92" s="102">
        <f t="shared" ref="W92" ca="1" si="96">IF(AND(MAX(T91:V91)=1,OFFSET(W$25,,-$C92)=1),1,0)</f>
        <v>0</v>
      </c>
      <c r="X92" s="102">
        <f t="shared" ref="X92" ca="1" si="97">IF(AND(MAX(U91:W91)=1,OFFSET(X$25,,-$C92)=1),1,0)</f>
        <v>0</v>
      </c>
      <c r="Y92" s="102">
        <f t="shared" ref="Y92" ca="1" si="98">IF(AND(MAX(V91:X91)=1,OFFSET(Y$25,,-$C92)=1),1,0)</f>
        <v>0</v>
      </c>
    </row>
    <row r="93" spans="1:25" x14ac:dyDescent="0.2">
      <c r="B93" s="12" t="s">
        <v>26</v>
      </c>
      <c r="C93" s="50">
        <f>$C$18</f>
        <v>0.6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x14ac:dyDescent="0.2">
      <c r="B94" s="12" t="s">
        <v>29</v>
      </c>
      <c r="C94" s="61">
        <f>C84*C93</f>
        <v>1.2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x14ac:dyDescent="0.2">
      <c r="B95" s="47" t="s">
        <v>30</v>
      </c>
      <c r="C95" s="58"/>
      <c r="D95" s="12"/>
      <c r="E95" s="12"/>
      <c r="F95" s="12"/>
      <c r="G95" s="12"/>
      <c r="H95" s="48">
        <f>IF(AND(H87&gt;=$C94,SUM($G95:G95)=0),1,0)</f>
        <v>0</v>
      </c>
      <c r="I95" s="48">
        <f>IF(AND(I87&gt;=$C94,SUM($G95:H95)=0),1,0)</f>
        <v>0</v>
      </c>
      <c r="J95" s="48">
        <f>IF(AND(J87&gt;=$C94,SUM($G95:I95)=0),1,0)</f>
        <v>0</v>
      </c>
      <c r="K95" s="48">
        <f>IF(AND(K87&gt;=$C94,SUM($G95:J95)=0),1,0)</f>
        <v>0</v>
      </c>
      <c r="L95" s="48">
        <f>IF(AND(L87&gt;=$C94,SUM($G95:K95)=0),1,0)</f>
        <v>0</v>
      </c>
      <c r="M95" s="48">
        <f>IF(AND(M87&gt;=$C94,SUM($G95:L95)=0),1,0)</f>
        <v>0</v>
      </c>
      <c r="N95" s="48">
        <f>IF(AND(N87&gt;=$C94,SUM($G95:M95)=0),1,0)</f>
        <v>0</v>
      </c>
      <c r="O95" s="48">
        <f>IF(AND(O87&gt;=$C94,SUM($G95:N95)=0),1,0)</f>
        <v>0</v>
      </c>
      <c r="P95" s="48">
        <f>IF(AND(P87&gt;=$C94,SUM($G95:O95)=0),1,0)</f>
        <v>0</v>
      </c>
      <c r="Q95" s="48">
        <f>IF(AND(Q87&gt;=$C94,SUM($G95:P95)=0),1,0)</f>
        <v>0</v>
      </c>
      <c r="R95" s="48">
        <f>IF(AND(R87&gt;=$C94,SUM($G95:Q95)=0),1,0)</f>
        <v>1</v>
      </c>
      <c r="S95" s="48">
        <f>IF(AND(S87&gt;=$C94,SUM($G95:R95)=0),1,0)</f>
        <v>0</v>
      </c>
      <c r="T95" s="48">
        <f>IF(AND(T87&gt;=$C94,SUM($G95:S95)=0),1,0)</f>
        <v>0</v>
      </c>
      <c r="U95" s="48">
        <f>IF(AND(U87&gt;=$C94,SUM($G95:T95)=0),1,0)</f>
        <v>0</v>
      </c>
      <c r="V95" s="48">
        <f>IF(AND(V87&gt;=$C94,SUM($G95:U95)=0),1,0)</f>
        <v>0</v>
      </c>
      <c r="W95" s="48">
        <f>IF(AND(W87&gt;=$C94,SUM($G95:V95)=0),1,0)</f>
        <v>0</v>
      </c>
      <c r="X95" s="48">
        <f>IF(AND(X87&gt;=$C94,SUM($G95:W95)=0),1,0)</f>
        <v>0</v>
      </c>
      <c r="Y95" s="48">
        <f>IF(AND(Y87&gt;=$C94,SUM($G95:X95)=0),1,0)</f>
        <v>0</v>
      </c>
    </row>
    <row r="96" spans="1:25" x14ac:dyDescent="0.2">
      <c r="B96" s="100" t="s">
        <v>66</v>
      </c>
      <c r="C96" s="101">
        <f>$C$22</f>
        <v>1</v>
      </c>
      <c r="D96" s="12"/>
      <c r="E96" s="12"/>
      <c r="F96" s="12"/>
      <c r="G96" s="12"/>
      <c r="H96" s="102"/>
      <c r="I96" s="102">
        <f ca="1">IF(AND(MAX(H95)=1,OFFSET(I$25,,-$C96)=1),1,0)</f>
        <v>0</v>
      </c>
      <c r="J96" s="102">
        <f ca="1">IF(AND(MAX(H95:I95)=1,OFFSET(J$25,,-$C96)=1),1,0)</f>
        <v>0</v>
      </c>
      <c r="K96" s="102">
        <f t="shared" ref="K96" ca="1" si="99">IF(AND(MAX(H95:J95)=1,OFFSET(K$25,,-$C96)=1),1,0)</f>
        <v>0</v>
      </c>
      <c r="L96" s="102">
        <f t="shared" ref="L96" ca="1" si="100">IF(AND(MAX(I95:K95)=1,OFFSET(L$25,,-$C96)=1),1,0)</f>
        <v>0</v>
      </c>
      <c r="M96" s="102">
        <f t="shared" ref="M96" ca="1" si="101">IF(AND(MAX(J95:L95)=1,OFFSET(M$25,,-$C96)=1),1,0)</f>
        <v>0</v>
      </c>
      <c r="N96" s="102">
        <f t="shared" ref="N96" ca="1" si="102">IF(AND(MAX(K95:M95)=1,OFFSET(N$25,,-$C96)=1),1,0)</f>
        <v>0</v>
      </c>
      <c r="O96" s="102">
        <f t="shared" ref="O96" ca="1" si="103">IF(AND(MAX(L95:N95)=1,OFFSET(O$25,,-$C96)=1),1,0)</f>
        <v>0</v>
      </c>
      <c r="P96" s="102">
        <f t="shared" ref="P96" ca="1" si="104">IF(AND(MAX(M95:O95)=1,OFFSET(P$25,,-$C96)=1),1,0)</f>
        <v>0</v>
      </c>
      <c r="Q96" s="102">
        <f t="shared" ref="Q96" ca="1" si="105">IF(AND(MAX(N95:P95)=1,OFFSET(Q$25,,-$C96)=1),1,0)</f>
        <v>0</v>
      </c>
      <c r="R96" s="102">
        <f t="shared" ref="R96" ca="1" si="106">IF(AND(MAX(O95:Q95)=1,OFFSET(R$25,,-$C96)=1),1,0)</f>
        <v>0</v>
      </c>
      <c r="S96" s="102">
        <f t="shared" ref="S96" ca="1" si="107">IF(AND(MAX(P95:R95)=1,OFFSET(S$25,,-$C96)=1),1,0)</f>
        <v>0</v>
      </c>
      <c r="T96" s="102">
        <f t="shared" ref="T96" ca="1" si="108">IF(AND(MAX(Q95:S95)=1,OFFSET(T$25,,-$C96)=1),1,0)</f>
        <v>1</v>
      </c>
      <c r="U96" s="102">
        <f t="shared" ref="U96" ca="1" si="109">IF(AND(MAX(R95:T95)=1,OFFSET(U$25,,-$C96)=1),1,0)</f>
        <v>0</v>
      </c>
      <c r="V96" s="102">
        <f t="shared" ref="V96" ca="1" si="110">IF(AND(MAX(S95:U95)=1,OFFSET(V$25,,-$C96)=1),1,0)</f>
        <v>0</v>
      </c>
      <c r="W96" s="102">
        <f t="shared" ref="W96" ca="1" si="111">IF(AND(MAX(T95:V95)=1,OFFSET(W$25,,-$C96)=1),1,0)</f>
        <v>0</v>
      </c>
      <c r="X96" s="102">
        <f t="shared" ref="X96" ca="1" si="112">IF(AND(MAX(U95:W95)=1,OFFSET(X$25,,-$C96)=1),1,0)</f>
        <v>0</v>
      </c>
      <c r="Y96" s="102">
        <f t="shared" ref="Y96" ca="1" si="113">IF(AND(MAX(V95:X95)=1,OFFSET(Y$25,,-$C96)=1),1,0)</f>
        <v>0</v>
      </c>
    </row>
    <row r="97" spans="1:25" x14ac:dyDescent="0.2">
      <c r="A97" s="51"/>
    </row>
    <row r="98" spans="1:25" s="85" customFormat="1" ht="12.75" x14ac:dyDescent="0.2">
      <c r="A98" s="83">
        <v>2.5</v>
      </c>
      <c r="B98" s="54" t="s">
        <v>37</v>
      </c>
      <c r="C98" s="84"/>
    </row>
    <row r="99" spans="1:25" s="89" customFormat="1" ht="12.75" x14ac:dyDescent="0.2">
      <c r="A99" s="86"/>
      <c r="B99" s="87"/>
      <c r="C99" s="88"/>
    </row>
    <row r="100" spans="1:25" x14ac:dyDescent="0.2">
      <c r="B100" s="2" t="s">
        <v>17</v>
      </c>
      <c r="C100" s="44">
        <v>44105</v>
      </c>
      <c r="D100" s="91" t="s">
        <v>40</v>
      </c>
    </row>
    <row r="101" spans="1:25" x14ac:dyDescent="0.2">
      <c r="B101" s="2" t="s">
        <v>18</v>
      </c>
      <c r="C101" s="44">
        <v>44317</v>
      </c>
      <c r="D101" s="91" t="s">
        <v>67</v>
      </c>
    </row>
    <row r="102" spans="1:25" x14ac:dyDescent="0.2">
      <c r="B102" s="2" t="s">
        <v>2</v>
      </c>
      <c r="C102" s="6">
        <v>1</v>
      </c>
      <c r="D102" s="91" t="s">
        <v>41</v>
      </c>
    </row>
    <row r="103" spans="1:25" x14ac:dyDescent="0.2">
      <c r="B103" s="2" t="s">
        <v>1</v>
      </c>
      <c r="H103" s="45">
        <f>IF(AND(H$24&gt;=$C100,H$24&lt;=$C101),1,0)</f>
        <v>1</v>
      </c>
      <c r="I103" s="45">
        <f t="shared" ref="I103:Y103" si="114">IF(AND(I$24&gt;=$C100,I$24&lt;=$C101),1,0)</f>
        <v>1</v>
      </c>
      <c r="J103" s="45">
        <f t="shared" si="114"/>
        <v>1</v>
      </c>
      <c r="K103" s="45">
        <f t="shared" si="114"/>
        <v>1</v>
      </c>
      <c r="L103" s="45">
        <f t="shared" si="114"/>
        <v>1</v>
      </c>
      <c r="M103" s="45">
        <f t="shared" si="114"/>
        <v>1</v>
      </c>
      <c r="N103" s="45">
        <f t="shared" si="114"/>
        <v>1</v>
      </c>
      <c r="O103" s="45">
        <f t="shared" si="114"/>
        <v>1</v>
      </c>
      <c r="P103" s="45">
        <f t="shared" si="114"/>
        <v>0</v>
      </c>
      <c r="Q103" s="45">
        <f t="shared" si="114"/>
        <v>0</v>
      </c>
      <c r="R103" s="45">
        <f t="shared" si="114"/>
        <v>0</v>
      </c>
      <c r="S103" s="45">
        <f t="shared" si="114"/>
        <v>0</v>
      </c>
      <c r="T103" s="45">
        <f t="shared" si="114"/>
        <v>0</v>
      </c>
      <c r="U103" s="45">
        <f t="shared" si="114"/>
        <v>0</v>
      </c>
      <c r="V103" s="45">
        <f t="shared" si="114"/>
        <v>0</v>
      </c>
      <c r="W103" s="45">
        <f t="shared" si="114"/>
        <v>0</v>
      </c>
      <c r="X103" s="45">
        <f t="shared" si="114"/>
        <v>0</v>
      </c>
      <c r="Y103" s="45">
        <f t="shared" si="114"/>
        <v>0</v>
      </c>
    </row>
    <row r="104" spans="1:25" x14ac:dyDescent="0.2">
      <c r="B104" s="2" t="s">
        <v>3</v>
      </c>
      <c r="H104" s="4">
        <f t="shared" ref="H104:Y104" si="115">IFERROR($C102/SUM($H103:$Y103)*H103,0)</f>
        <v>0.125</v>
      </c>
      <c r="I104" s="4">
        <f t="shared" si="115"/>
        <v>0.125</v>
      </c>
      <c r="J104" s="4">
        <f t="shared" si="115"/>
        <v>0.125</v>
      </c>
      <c r="K104" s="4">
        <f t="shared" si="115"/>
        <v>0.125</v>
      </c>
      <c r="L104" s="4">
        <f t="shared" si="115"/>
        <v>0.125</v>
      </c>
      <c r="M104" s="4">
        <f t="shared" si="115"/>
        <v>0.125</v>
      </c>
      <c r="N104" s="4">
        <f t="shared" si="115"/>
        <v>0.125</v>
      </c>
      <c r="O104" s="4">
        <f t="shared" si="115"/>
        <v>0.125</v>
      </c>
      <c r="P104" s="4">
        <f t="shared" si="115"/>
        <v>0</v>
      </c>
      <c r="Q104" s="4">
        <f t="shared" si="115"/>
        <v>0</v>
      </c>
      <c r="R104" s="4">
        <f t="shared" si="115"/>
        <v>0</v>
      </c>
      <c r="S104" s="4">
        <f t="shared" si="115"/>
        <v>0</v>
      </c>
      <c r="T104" s="4">
        <f t="shared" si="115"/>
        <v>0</v>
      </c>
      <c r="U104" s="4">
        <f t="shared" si="115"/>
        <v>0</v>
      </c>
      <c r="V104" s="4">
        <f t="shared" si="115"/>
        <v>0</v>
      </c>
      <c r="W104" s="4">
        <f t="shared" si="115"/>
        <v>0</v>
      </c>
      <c r="X104" s="4">
        <f t="shared" si="115"/>
        <v>0</v>
      </c>
      <c r="Y104" s="4">
        <f t="shared" si="115"/>
        <v>0</v>
      </c>
    </row>
    <row r="105" spans="1:25" x14ac:dyDescent="0.2">
      <c r="B105" s="10" t="s">
        <v>4</v>
      </c>
      <c r="C105" s="10"/>
      <c r="D105" s="10"/>
      <c r="E105" s="10"/>
      <c r="F105" s="10"/>
      <c r="G105" s="10"/>
      <c r="H105" s="11">
        <f>SUM($H104:H104)</f>
        <v>0.125</v>
      </c>
      <c r="I105" s="11">
        <f>SUM($H104:I104)</f>
        <v>0.25</v>
      </c>
      <c r="J105" s="11">
        <f>SUM($H104:J104)</f>
        <v>0.375</v>
      </c>
      <c r="K105" s="11">
        <f>SUM($H104:K104)</f>
        <v>0.5</v>
      </c>
      <c r="L105" s="11">
        <f>SUM($H104:L104)</f>
        <v>0.625</v>
      </c>
      <c r="M105" s="11">
        <f>SUM($H104:M104)</f>
        <v>0.75</v>
      </c>
      <c r="N105" s="11">
        <f>SUM($H104:N104)</f>
        <v>0.875</v>
      </c>
      <c r="O105" s="11">
        <f>SUM($H104:O104)</f>
        <v>1</v>
      </c>
      <c r="P105" s="11">
        <f>SUM($H104:P104)</f>
        <v>1</v>
      </c>
      <c r="Q105" s="11">
        <f>SUM($H104:Q104)</f>
        <v>1</v>
      </c>
      <c r="R105" s="11">
        <f>SUM($H104:R104)</f>
        <v>1</v>
      </c>
      <c r="S105" s="11">
        <f>SUM($H104:S104)</f>
        <v>1</v>
      </c>
      <c r="T105" s="11">
        <f>SUM($H104:T104)</f>
        <v>1</v>
      </c>
      <c r="U105" s="11">
        <f>SUM($H104:U104)</f>
        <v>1</v>
      </c>
      <c r="V105" s="11">
        <f>SUM($H104:V104)</f>
        <v>1</v>
      </c>
      <c r="W105" s="11">
        <f>SUM($H104:W104)</f>
        <v>1</v>
      </c>
      <c r="X105" s="11">
        <f>SUM($H104:X104)</f>
        <v>1</v>
      </c>
      <c r="Y105" s="11">
        <f>SUM($H104:Y104)</f>
        <v>1</v>
      </c>
    </row>
    <row r="106" spans="1:25" x14ac:dyDescent="0.2">
      <c r="C106" s="57"/>
    </row>
    <row r="107" spans="1:25" x14ac:dyDescent="0.2">
      <c r="B107" s="12" t="s">
        <v>25</v>
      </c>
      <c r="C107" s="50">
        <f>$C$17</f>
        <v>0.4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x14ac:dyDescent="0.2">
      <c r="B108" s="12" t="s">
        <v>27</v>
      </c>
      <c r="C108" s="60">
        <f>C102*C107</f>
        <v>0.4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x14ac:dyDescent="0.2">
      <c r="B109" s="47" t="s">
        <v>28</v>
      </c>
      <c r="C109" s="47"/>
      <c r="D109" s="12"/>
      <c r="E109" s="12"/>
      <c r="F109" s="12"/>
      <c r="G109" s="12"/>
      <c r="H109" s="48">
        <f>IF(AND(H105&gt;=$C108,SUM($G109:G109)=0),1,0)</f>
        <v>0</v>
      </c>
      <c r="I109" s="48">
        <f>IF(AND(I105&gt;=$C108,SUM($G109:H109)=0),1,0)</f>
        <v>0</v>
      </c>
      <c r="J109" s="48">
        <f>IF(AND(J105&gt;=$C108,SUM($G109:I109)=0),1,0)</f>
        <v>0</v>
      </c>
      <c r="K109" s="48">
        <f>IF(AND(K105&gt;=$C108,SUM($G109:J109)=0),1,0)</f>
        <v>1</v>
      </c>
      <c r="L109" s="48">
        <f>IF(AND(L105&gt;=$C108,SUM($G109:K109)=0),1,0)</f>
        <v>0</v>
      </c>
      <c r="M109" s="48">
        <f>IF(AND(M105&gt;=$C108,SUM($G109:L109)=0),1,0)</f>
        <v>0</v>
      </c>
      <c r="N109" s="48">
        <f>IF(AND(N105&gt;=$C108,SUM($G109:M109)=0),1,0)</f>
        <v>0</v>
      </c>
      <c r="O109" s="48">
        <f>IF(AND(O105&gt;=$C108,SUM($G109:N109)=0),1,0)</f>
        <v>0</v>
      </c>
      <c r="P109" s="48">
        <f>IF(AND(P105&gt;=$C108,SUM($G109:O109)=0),1,0)</f>
        <v>0</v>
      </c>
      <c r="Q109" s="48">
        <f>IF(AND(Q105&gt;=$C108,SUM($G109:P109)=0),1,0)</f>
        <v>0</v>
      </c>
      <c r="R109" s="48">
        <f>IF(AND(R105&gt;=$C108,SUM($G109:Q109)=0),1,0)</f>
        <v>0</v>
      </c>
      <c r="S109" s="48">
        <f>IF(AND(S105&gt;=$C108,SUM($G109:R109)=0),1,0)</f>
        <v>0</v>
      </c>
      <c r="T109" s="48">
        <f>IF(AND(T105&gt;=$C108,SUM($G109:S109)=0),1,0)</f>
        <v>0</v>
      </c>
      <c r="U109" s="48">
        <f>IF(AND(U105&gt;=$C108,SUM($G109:T109)=0),1,0)</f>
        <v>0</v>
      </c>
      <c r="V109" s="48">
        <f>IF(AND(V105&gt;=$C108,SUM($G109:U109)=0),1,0)</f>
        <v>0</v>
      </c>
      <c r="W109" s="48">
        <f>IF(AND(W105&gt;=$C108,SUM($G109:V109)=0),1,0)</f>
        <v>0</v>
      </c>
      <c r="X109" s="48">
        <f>IF(AND(X105&gt;=$C108,SUM($G109:W109)=0),1,0)</f>
        <v>0</v>
      </c>
      <c r="Y109" s="48">
        <f>IF(AND(Y105&gt;=$C108,SUM($G109:X109)=0),1,0)</f>
        <v>0</v>
      </c>
    </row>
    <row r="110" spans="1:25" x14ac:dyDescent="0.2">
      <c r="B110" s="100" t="s">
        <v>65</v>
      </c>
      <c r="C110" s="101">
        <f>$C$21</f>
        <v>1</v>
      </c>
      <c r="D110" s="12"/>
      <c r="E110" s="12"/>
      <c r="F110" s="12"/>
      <c r="G110" s="12"/>
      <c r="H110" s="102"/>
      <c r="I110" s="102">
        <f ca="1">IF(AND(MAX(H109)=1,OFFSET(I$25,,-$C110)=1),1,0)</f>
        <v>0</v>
      </c>
      <c r="J110" s="102">
        <f ca="1">IF(AND(MAX(H109:I109)=1,OFFSET(J$25,,-$C110)=1),1,0)</f>
        <v>0</v>
      </c>
      <c r="K110" s="102">
        <f t="shared" ref="K110" ca="1" si="116">IF(AND(MAX(H109:J109)=1,OFFSET(K$25,,-$C110)=1),1,0)</f>
        <v>0</v>
      </c>
      <c r="L110" s="102">
        <f t="shared" ref="L110" ca="1" si="117">IF(AND(MAX(I109:K109)=1,OFFSET(L$25,,-$C110)=1),1,0)</f>
        <v>0</v>
      </c>
      <c r="M110" s="102">
        <f t="shared" ref="M110" ca="1" si="118">IF(AND(MAX(J109:L109)=1,OFFSET(M$25,,-$C110)=1),1,0)</f>
        <v>0</v>
      </c>
      <c r="N110" s="102">
        <f t="shared" ref="N110" ca="1" si="119">IF(AND(MAX(K109:M109)=1,OFFSET(N$25,,-$C110)=1),1,0)</f>
        <v>1</v>
      </c>
      <c r="O110" s="102">
        <f t="shared" ref="O110" ca="1" si="120">IF(AND(MAX(L109:N109)=1,OFFSET(O$25,,-$C110)=1),1,0)</f>
        <v>0</v>
      </c>
      <c r="P110" s="102">
        <f t="shared" ref="P110" ca="1" si="121">IF(AND(MAX(M109:O109)=1,OFFSET(P$25,,-$C110)=1),1,0)</f>
        <v>0</v>
      </c>
      <c r="Q110" s="102">
        <f t="shared" ref="Q110" ca="1" si="122">IF(AND(MAX(N109:P109)=1,OFFSET(Q$25,,-$C110)=1),1,0)</f>
        <v>0</v>
      </c>
      <c r="R110" s="102">
        <f t="shared" ref="R110" ca="1" si="123">IF(AND(MAX(O109:Q109)=1,OFFSET(R$25,,-$C110)=1),1,0)</f>
        <v>0</v>
      </c>
      <c r="S110" s="102">
        <f t="shared" ref="S110" ca="1" si="124">IF(AND(MAX(P109:R109)=1,OFFSET(S$25,,-$C110)=1),1,0)</f>
        <v>0</v>
      </c>
      <c r="T110" s="102">
        <f t="shared" ref="T110" ca="1" si="125">IF(AND(MAX(Q109:S109)=1,OFFSET(T$25,,-$C110)=1),1,0)</f>
        <v>0</v>
      </c>
      <c r="U110" s="102">
        <f t="shared" ref="U110" ca="1" si="126">IF(AND(MAX(R109:T109)=1,OFFSET(U$25,,-$C110)=1),1,0)</f>
        <v>0</v>
      </c>
      <c r="V110" s="102">
        <f t="shared" ref="V110" ca="1" si="127">IF(AND(MAX(S109:U109)=1,OFFSET(V$25,,-$C110)=1),1,0)</f>
        <v>0</v>
      </c>
      <c r="W110" s="102">
        <f t="shared" ref="W110" ca="1" si="128">IF(AND(MAX(T109:V109)=1,OFFSET(W$25,,-$C110)=1),1,0)</f>
        <v>0</v>
      </c>
      <c r="X110" s="102">
        <f t="shared" ref="X110" ca="1" si="129">IF(AND(MAX(U109:W109)=1,OFFSET(X$25,,-$C110)=1),1,0)</f>
        <v>0</v>
      </c>
      <c r="Y110" s="102">
        <f t="shared" ref="Y110" ca="1" si="130">IF(AND(MAX(V109:X109)=1,OFFSET(Y$25,,-$C110)=1),1,0)</f>
        <v>0</v>
      </c>
    </row>
    <row r="111" spans="1:25" x14ac:dyDescent="0.2">
      <c r="B111" s="12" t="s">
        <v>26</v>
      </c>
      <c r="C111" s="50">
        <f>$C$18</f>
        <v>0.6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x14ac:dyDescent="0.2">
      <c r="B112" s="12" t="s">
        <v>29</v>
      </c>
      <c r="C112" s="60">
        <f>C102*C111</f>
        <v>0.6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2:25" x14ac:dyDescent="0.2">
      <c r="B113" s="47" t="s">
        <v>30</v>
      </c>
      <c r="C113" s="12"/>
      <c r="D113" s="12"/>
      <c r="E113" s="12"/>
      <c r="F113" s="12"/>
      <c r="G113" s="12"/>
      <c r="H113" s="48">
        <f>IF(AND(H105&gt;=$C112,SUM($G113:G113)=0),1,0)</f>
        <v>0</v>
      </c>
      <c r="I113" s="48">
        <f>IF(AND(I105&gt;=$C112,SUM($G113:H113)=0),1,0)</f>
        <v>0</v>
      </c>
      <c r="J113" s="48">
        <f>IF(AND(J105&gt;=$C112,SUM($G113:I113)=0),1,0)</f>
        <v>0</v>
      </c>
      <c r="K113" s="48">
        <f>IF(AND(K105&gt;=$C112,SUM($G113:J113)=0),1,0)</f>
        <v>0</v>
      </c>
      <c r="L113" s="48">
        <f>IF(AND(L105&gt;=$C112,SUM($G113:K113)=0),1,0)</f>
        <v>1</v>
      </c>
      <c r="M113" s="48">
        <f>IF(AND(M105&gt;=$C112,SUM($G113:L113)=0),1,0)</f>
        <v>0</v>
      </c>
      <c r="N113" s="48">
        <f>IF(AND(N105&gt;=$C112,SUM($G113:M113)=0),1,0)</f>
        <v>0</v>
      </c>
      <c r="O113" s="48">
        <f>IF(AND(O105&gt;=$C112,SUM($G113:N113)=0),1,0)</f>
        <v>0</v>
      </c>
      <c r="P113" s="48">
        <f>IF(AND(P105&gt;=$C112,SUM($G113:O113)=0),1,0)</f>
        <v>0</v>
      </c>
      <c r="Q113" s="48">
        <f>IF(AND(Q105&gt;=$C112,SUM($G113:P113)=0),1,0)</f>
        <v>0</v>
      </c>
      <c r="R113" s="48">
        <f>IF(AND(R105&gt;=$C112,SUM($G113:Q113)=0),1,0)</f>
        <v>0</v>
      </c>
      <c r="S113" s="48">
        <f>IF(AND(S105&gt;=$C112,SUM($G113:R113)=0),1,0)</f>
        <v>0</v>
      </c>
      <c r="T113" s="48">
        <f>IF(AND(T105&gt;=$C112,SUM($G113:S113)=0),1,0)</f>
        <v>0</v>
      </c>
      <c r="U113" s="48">
        <f>IF(AND(U105&gt;=$C112,SUM($G113:T113)=0),1,0)</f>
        <v>0</v>
      </c>
      <c r="V113" s="48">
        <f>IF(AND(V105&gt;=$C112,SUM($G113:U113)=0),1,0)</f>
        <v>0</v>
      </c>
      <c r="W113" s="48">
        <f>IF(AND(W105&gt;=$C112,SUM($G113:V113)=0),1,0)</f>
        <v>0</v>
      </c>
      <c r="X113" s="48">
        <f>IF(AND(X105&gt;=$C112,SUM($G113:W113)=0),1,0)</f>
        <v>0</v>
      </c>
      <c r="Y113" s="48">
        <f>IF(AND(Y105&gt;=$C112,SUM($G113:X113)=0),1,0)</f>
        <v>0</v>
      </c>
    </row>
    <row r="114" spans="2:25" x14ac:dyDescent="0.2">
      <c r="B114" s="100" t="s">
        <v>66</v>
      </c>
      <c r="C114" s="101">
        <f>$C$22</f>
        <v>1</v>
      </c>
      <c r="D114" s="12"/>
      <c r="E114" s="12"/>
      <c r="F114" s="12"/>
      <c r="G114" s="12"/>
      <c r="H114" s="102"/>
      <c r="I114" s="102">
        <f ca="1">IF(AND(MAX(H113)=1,OFFSET(I$25,,-$C114)=1),1,0)</f>
        <v>0</v>
      </c>
      <c r="J114" s="102">
        <f ca="1">IF(AND(MAX(H113:I113)=1,OFFSET(J$25,,-$C114)=1),1,0)</f>
        <v>0</v>
      </c>
      <c r="K114" s="102">
        <f t="shared" ref="K114" ca="1" si="131">IF(AND(MAX(H113:J113)=1,OFFSET(K$25,,-$C114)=1),1,0)</f>
        <v>0</v>
      </c>
      <c r="L114" s="102">
        <f t="shared" ref="L114" ca="1" si="132">IF(AND(MAX(I113:K113)=1,OFFSET(L$25,,-$C114)=1),1,0)</f>
        <v>0</v>
      </c>
      <c r="M114" s="102">
        <f t="shared" ref="M114" ca="1" si="133">IF(AND(MAX(J113:L113)=1,OFFSET(M$25,,-$C114)=1),1,0)</f>
        <v>0</v>
      </c>
      <c r="N114" s="102">
        <f t="shared" ref="N114" ca="1" si="134">IF(AND(MAX(K113:M113)=1,OFFSET(N$25,,-$C114)=1),1,0)</f>
        <v>1</v>
      </c>
      <c r="O114" s="102">
        <f t="shared" ref="O114" ca="1" si="135">IF(AND(MAX(L113:N113)=1,OFFSET(O$25,,-$C114)=1),1,0)</f>
        <v>0</v>
      </c>
      <c r="P114" s="102">
        <f t="shared" ref="P114" ca="1" si="136">IF(AND(MAX(M113:O113)=1,OFFSET(P$25,,-$C114)=1),1,0)</f>
        <v>0</v>
      </c>
      <c r="Q114" s="102">
        <f t="shared" ref="Q114" ca="1" si="137">IF(AND(MAX(N113:P113)=1,OFFSET(Q$25,,-$C114)=1),1,0)</f>
        <v>0</v>
      </c>
      <c r="R114" s="102">
        <f t="shared" ref="R114" ca="1" si="138">IF(AND(MAX(O113:Q113)=1,OFFSET(R$25,,-$C114)=1),1,0)</f>
        <v>0</v>
      </c>
      <c r="S114" s="102">
        <f t="shared" ref="S114" ca="1" si="139">IF(AND(MAX(P113:R113)=1,OFFSET(S$25,,-$C114)=1),1,0)</f>
        <v>0</v>
      </c>
      <c r="T114" s="102">
        <f t="shared" ref="T114" ca="1" si="140">IF(AND(MAX(Q113:S113)=1,OFFSET(T$25,,-$C114)=1),1,0)</f>
        <v>0</v>
      </c>
      <c r="U114" s="102">
        <f t="shared" ref="U114" ca="1" si="141">IF(AND(MAX(R113:T113)=1,OFFSET(U$25,,-$C114)=1),1,0)</f>
        <v>0</v>
      </c>
      <c r="V114" s="102">
        <f t="shared" ref="V114" ca="1" si="142">IF(AND(MAX(S113:U113)=1,OFFSET(V$25,,-$C114)=1),1,0)</f>
        <v>0</v>
      </c>
      <c r="W114" s="102">
        <f t="shared" ref="W114" ca="1" si="143">IF(AND(MAX(T113:V113)=1,OFFSET(W$25,,-$C114)=1),1,0)</f>
        <v>0</v>
      </c>
      <c r="X114" s="102">
        <f t="shared" ref="X114" ca="1" si="144">IF(AND(MAX(U113:W113)=1,OFFSET(X$25,,-$C114)=1),1,0)</f>
        <v>0</v>
      </c>
      <c r="Y114" s="102">
        <f t="shared" ref="Y114" ca="1" si="145">IF(AND(MAX(V113:X113)=1,OFFSET(Y$25,,-$C114)=1),1,0)</f>
        <v>0</v>
      </c>
    </row>
    <row r="116" spans="2:25" s="78" customFormat="1" ht="12.75" x14ac:dyDescent="0.2">
      <c r="B116" s="90" t="s">
        <v>35</v>
      </c>
    </row>
  </sheetData>
  <conditionalFormatting sqref="C3">
    <cfRule type="cellIs" dxfId="5" priority="4" operator="equal">
      <formula>1</formula>
    </cfRule>
  </conditionalFormatting>
  <conditionalFormatting sqref="C4:C5">
    <cfRule type="cellIs" dxfId="4" priority="2" operator="equal">
      <formula>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Lists!$B$3:$B$21</xm:f>
          </x14:formula1>
          <xm:sqref>C28:C29 C46:C47 C64:C65 C82:C83 C100:C101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Y66"/>
  <sheetViews>
    <sheetView showGridLines="0" tabSelected="1" zoomScale="85" zoomScaleNormal="85" workbookViewId="0">
      <selection activeCell="Z33" sqref="Z33"/>
    </sheetView>
  </sheetViews>
  <sheetFormatPr defaultColWidth="9.1640625" defaultRowHeight="14.25" x14ac:dyDescent="0.2"/>
  <cols>
    <col min="1" max="1" width="9.1640625" style="1"/>
    <col min="2" max="2" width="49.5" style="1" customWidth="1"/>
    <col min="3" max="3" width="27.33203125" style="1" customWidth="1"/>
    <col min="4" max="5" width="9.1640625" style="1"/>
    <col min="6" max="24" width="10.33203125" style="1" customWidth="1"/>
    <col min="25" max="16384" width="9.1640625" style="1"/>
  </cols>
  <sheetData>
    <row r="1" spans="1:25" x14ac:dyDescent="0.2">
      <c r="A1" s="77" t="str">
        <f>Guidance!A1</f>
        <v>Three Waters Stimulus Funding - Cash Flow Profile</v>
      </c>
    </row>
    <row r="2" spans="1:25" x14ac:dyDescent="0.2">
      <c r="B2" s="2"/>
    </row>
    <row r="3" spans="1:25" x14ac:dyDescent="0.2">
      <c r="B3" s="12" t="s">
        <v>21</v>
      </c>
      <c r="C3" s="72" t="str">
        <f ca="1">IF(SUM(Y13:Y33,Input!D15:E15)=0,"OK","ERROR")</f>
        <v>OK</v>
      </c>
    </row>
    <row r="4" spans="1:25" x14ac:dyDescent="0.2">
      <c r="B4" s="12" t="s">
        <v>22</v>
      </c>
      <c r="C4" s="72" t="str">
        <f ca="1">IF(SUM(F35:W35)=0,"OK","ERROR")</f>
        <v>OK</v>
      </c>
    </row>
    <row r="5" spans="1:25" x14ac:dyDescent="0.2">
      <c r="B5" s="12" t="s">
        <v>69</v>
      </c>
      <c r="C5" s="73">
        <f ca="1">IF(SUM(F35:W35)&gt;0,MIN(F33:W33),0)</f>
        <v>0</v>
      </c>
    </row>
    <row r="6" spans="1:25" x14ac:dyDescent="0.2">
      <c r="B6" s="2"/>
    </row>
    <row r="7" spans="1:25" s="74" customFormat="1" x14ac:dyDescent="0.2">
      <c r="A7" s="94">
        <v>1</v>
      </c>
      <c r="B7" s="79" t="s">
        <v>61</v>
      </c>
    </row>
    <row r="8" spans="1:25" s="75" customFormat="1" x14ac:dyDescent="0.2">
      <c r="B8" s="76"/>
    </row>
    <row r="9" spans="1:25" s="2" customFormat="1" ht="12.75" x14ac:dyDescent="0.2">
      <c r="B9" s="77" t="s">
        <v>36</v>
      </c>
    </row>
    <row r="10" spans="1:25" s="2" customFormat="1" ht="11.25" customHeight="1" x14ac:dyDescent="0.2">
      <c r="B10" s="15" t="s">
        <v>5</v>
      </c>
      <c r="C10" s="40" t="s">
        <v>11</v>
      </c>
      <c r="D10" s="14"/>
      <c r="E10" s="14"/>
      <c r="F10" s="21">
        <f>EOMONTH(MIN(Input!C28,Input!C46,Input!C64,Input!C82,Input!C100),0)</f>
        <v>44135</v>
      </c>
      <c r="G10" s="21">
        <f t="shared" ref="G10:W10" si="0">EOMONTH(F10,1)</f>
        <v>44165</v>
      </c>
      <c r="H10" s="21">
        <f t="shared" si="0"/>
        <v>44196</v>
      </c>
      <c r="I10" s="21">
        <f t="shared" si="0"/>
        <v>44227</v>
      </c>
      <c r="J10" s="21">
        <f t="shared" si="0"/>
        <v>44255</v>
      </c>
      <c r="K10" s="21">
        <f t="shared" si="0"/>
        <v>44286</v>
      </c>
      <c r="L10" s="21">
        <f t="shared" si="0"/>
        <v>44316</v>
      </c>
      <c r="M10" s="21">
        <f t="shared" si="0"/>
        <v>44347</v>
      </c>
      <c r="N10" s="21">
        <f t="shared" si="0"/>
        <v>44377</v>
      </c>
      <c r="O10" s="21">
        <f t="shared" si="0"/>
        <v>44408</v>
      </c>
      <c r="P10" s="21">
        <f t="shared" si="0"/>
        <v>44439</v>
      </c>
      <c r="Q10" s="21">
        <f t="shared" si="0"/>
        <v>44469</v>
      </c>
      <c r="R10" s="21">
        <f t="shared" si="0"/>
        <v>44500</v>
      </c>
      <c r="S10" s="21">
        <f t="shared" si="0"/>
        <v>44530</v>
      </c>
      <c r="T10" s="21">
        <f t="shared" si="0"/>
        <v>44561</v>
      </c>
      <c r="U10" s="21">
        <f t="shared" si="0"/>
        <v>44592</v>
      </c>
      <c r="V10" s="21">
        <f t="shared" si="0"/>
        <v>44620</v>
      </c>
      <c r="W10" s="21">
        <f t="shared" si="0"/>
        <v>44651</v>
      </c>
      <c r="X10" s="22" t="s">
        <v>6</v>
      </c>
      <c r="Y10" s="38" t="s">
        <v>16</v>
      </c>
    </row>
    <row r="11" spans="1:25" s="2" customFormat="1" ht="11.25" customHeight="1" x14ac:dyDescent="0.2">
      <c r="B11" s="15"/>
      <c r="C11" s="40" t="s">
        <v>72</v>
      </c>
      <c r="D11" s="14"/>
      <c r="E11" s="14"/>
      <c r="F11" s="113">
        <f>INDEX(Lists!$C$3:$C$20,MATCH(EOMONTH(F10,-1)+1,Lists!$B$3:$B$20,0))</f>
        <v>0</v>
      </c>
      <c r="G11" s="113">
        <f>INDEX(Lists!$C$3:$C$20,MATCH(EOMONTH(G10,-1)+1,Lists!$B$3:$B$20,0))</f>
        <v>0</v>
      </c>
      <c r="H11" s="113">
        <f>INDEX(Lists!$C$3:$C$20,MATCH(EOMONTH(H10,-1)+1,Lists!$B$3:$B$20,0))</f>
        <v>1</v>
      </c>
      <c r="I11" s="113">
        <f>INDEX(Lists!$C$3:$C$20,MATCH(EOMONTH(I10,-1)+1,Lists!$B$3:$B$20,0))</f>
        <v>0</v>
      </c>
      <c r="J11" s="113">
        <f>INDEX(Lists!$C$3:$C$20,MATCH(EOMONTH(J10,-1)+1,Lists!$B$3:$B$20,0))</f>
        <v>0</v>
      </c>
      <c r="K11" s="113">
        <f>INDEX(Lists!$C$3:$C$20,MATCH(EOMONTH(K10,-1)+1,Lists!$B$3:$B$20,0))</f>
        <v>1</v>
      </c>
      <c r="L11" s="113">
        <f>INDEX(Lists!$C$3:$C$20,MATCH(EOMONTH(L10,-1)+1,Lists!$B$3:$B$20,0))</f>
        <v>0</v>
      </c>
      <c r="M11" s="113">
        <f>INDEX(Lists!$C$3:$C$20,MATCH(EOMONTH(M10,-1)+1,Lists!$B$3:$B$20,0))</f>
        <v>0</v>
      </c>
      <c r="N11" s="113">
        <f>INDEX(Lists!$C$3:$C$20,MATCH(EOMONTH(N10,-1)+1,Lists!$B$3:$B$20,0))</f>
        <v>1</v>
      </c>
      <c r="O11" s="113">
        <f>INDEX(Lists!$C$3:$C$20,MATCH(EOMONTH(O10,-1)+1,Lists!$B$3:$B$20,0))</f>
        <v>0</v>
      </c>
      <c r="P11" s="113">
        <f>INDEX(Lists!$C$3:$C$20,MATCH(EOMONTH(P10,-1)+1,Lists!$B$3:$B$20,0))</f>
        <v>0</v>
      </c>
      <c r="Q11" s="113">
        <f>INDEX(Lists!$C$3:$C$20,MATCH(EOMONTH(Q10,-1)+1,Lists!$B$3:$B$20,0))</f>
        <v>1</v>
      </c>
      <c r="R11" s="113">
        <f>INDEX(Lists!$C$3:$C$20,MATCH(EOMONTH(R10,-1)+1,Lists!$B$3:$B$20,0))</f>
        <v>0</v>
      </c>
      <c r="S11" s="113">
        <f>INDEX(Lists!$C$3:$C$20,MATCH(EOMONTH(S10,-1)+1,Lists!$B$3:$B$20,0))</f>
        <v>0</v>
      </c>
      <c r="T11" s="113">
        <f>INDEX(Lists!$C$3:$C$20,MATCH(EOMONTH(T10,-1)+1,Lists!$B$3:$B$20,0))</f>
        <v>1</v>
      </c>
      <c r="U11" s="113">
        <f>INDEX(Lists!$C$3:$C$20,MATCH(EOMONTH(U10,-1)+1,Lists!$B$3:$B$20,0))</f>
        <v>0</v>
      </c>
      <c r="V11" s="113">
        <f>INDEX(Lists!$C$3:$C$20,MATCH(EOMONTH(V10,-1)+1,Lists!$B$3:$B$20,0))</f>
        <v>0</v>
      </c>
      <c r="W11" s="113">
        <f>INDEX(Lists!$C$3:$C$20,MATCH(EOMONTH(W10,-1)+1,Lists!$B$3:$B$20,0))</f>
        <v>1</v>
      </c>
      <c r="X11" s="22"/>
      <c r="Y11" s="38"/>
    </row>
    <row r="12" spans="1:25" s="2" customFormat="1" ht="3.75" customHeight="1" x14ac:dyDescent="0.2">
      <c r="C12" s="26"/>
      <c r="X12" s="23"/>
    </row>
    <row r="13" spans="1:25" s="2" customFormat="1" ht="12" x14ac:dyDescent="0.2">
      <c r="B13" s="3" t="s">
        <v>7</v>
      </c>
      <c r="C13" s="26"/>
      <c r="F13" s="18">
        <v>0</v>
      </c>
      <c r="G13" s="19">
        <f t="shared" ref="G13:W13" si="1">F33</f>
        <v>9.7083333333333339</v>
      </c>
      <c r="H13" s="19">
        <f t="shared" ca="1" si="1"/>
        <v>8.8284313725490193</v>
      </c>
      <c r="I13" s="19">
        <f t="shared" ca="1" si="1"/>
        <v>7.5651960784313719</v>
      </c>
      <c r="J13" s="19">
        <f t="shared" ca="1" si="1"/>
        <v>6.3019607843137244</v>
      </c>
      <c r="K13" s="19">
        <f t="shared" ca="1" si="1"/>
        <v>5.038725490196077</v>
      </c>
      <c r="L13" s="19">
        <f t="shared" ca="1" si="1"/>
        <v>3.7754901960784299</v>
      </c>
      <c r="M13" s="19">
        <f t="shared" ca="1" si="1"/>
        <v>4.4722549019607829</v>
      </c>
      <c r="N13" s="19">
        <f t="shared" ca="1" si="1"/>
        <v>3.2090196078431359</v>
      </c>
      <c r="O13" s="19">
        <f t="shared" ca="1" si="1"/>
        <v>2.0707843137254889</v>
      </c>
      <c r="P13" s="19">
        <f t="shared" ca="1" si="1"/>
        <v>4.9325490196078423</v>
      </c>
      <c r="Q13" s="19">
        <f t="shared" ca="1" si="1"/>
        <v>3.7943137254901953</v>
      </c>
      <c r="R13" s="19">
        <f t="shared" ca="1" si="1"/>
        <v>2.6560784313725483</v>
      </c>
      <c r="S13" s="19">
        <f t="shared" ca="1" si="1"/>
        <v>5.3578431372549016</v>
      </c>
      <c r="T13" s="19">
        <f t="shared" ca="1" si="1"/>
        <v>4.2196078431372541</v>
      </c>
      <c r="U13" s="19">
        <f t="shared" ca="1" si="1"/>
        <v>3.0813725490196071</v>
      </c>
      <c r="V13" s="19">
        <f t="shared" ca="1" si="1"/>
        <v>1.9431372549019601</v>
      </c>
      <c r="W13" s="19">
        <f t="shared" ca="1" si="1"/>
        <v>0.80490196078431309</v>
      </c>
      <c r="X13" s="25">
        <v>0</v>
      </c>
      <c r="Y13" s="37">
        <f>X13-0</f>
        <v>0</v>
      </c>
    </row>
    <row r="14" spans="1:25" s="2" customFormat="1" ht="3.75" customHeight="1" x14ac:dyDescent="0.2">
      <c r="C14" s="26"/>
      <c r="X14" s="23"/>
    </row>
    <row r="15" spans="1:25" s="2" customFormat="1" ht="12" customHeight="1" x14ac:dyDescent="0.2">
      <c r="B15" s="20" t="s">
        <v>19</v>
      </c>
      <c r="C15" s="26"/>
      <c r="X15" s="23"/>
    </row>
    <row r="16" spans="1:25" s="2" customFormat="1" ht="12" customHeight="1" x14ac:dyDescent="0.2">
      <c r="B16" s="2" t="str">
        <f>Input!B26</f>
        <v>[Enter project name]</v>
      </c>
      <c r="C16" s="53"/>
      <c r="F16" s="27">
        <f>Input!H32</f>
        <v>0</v>
      </c>
      <c r="G16" s="27">
        <f>Input!I32</f>
        <v>0.58823529411764708</v>
      </c>
      <c r="H16" s="27">
        <f>Input!J32</f>
        <v>0.58823529411764708</v>
      </c>
      <c r="I16" s="27">
        <f>Input!K32</f>
        <v>0.58823529411764708</v>
      </c>
      <c r="J16" s="27">
        <f>Input!L32</f>
        <v>0.58823529411764708</v>
      </c>
      <c r="K16" s="27">
        <f>Input!M32</f>
        <v>0.58823529411764708</v>
      </c>
      <c r="L16" s="27">
        <f>Input!N32</f>
        <v>0.58823529411764708</v>
      </c>
      <c r="M16" s="27">
        <f>Input!O32</f>
        <v>0.58823529411764708</v>
      </c>
      <c r="N16" s="27">
        <f>Input!P32</f>
        <v>0.58823529411764708</v>
      </c>
      <c r="O16" s="27">
        <f>Input!Q32</f>
        <v>0.58823529411764708</v>
      </c>
      <c r="P16" s="27">
        <f>Input!R32</f>
        <v>0.58823529411764708</v>
      </c>
      <c r="Q16" s="27">
        <f>Input!S32</f>
        <v>0.58823529411764708</v>
      </c>
      <c r="R16" s="27">
        <f>Input!T32</f>
        <v>0.58823529411764708</v>
      </c>
      <c r="S16" s="27">
        <f>Input!U32</f>
        <v>0.58823529411764708</v>
      </c>
      <c r="T16" s="27">
        <f>Input!V32</f>
        <v>0.58823529411764708</v>
      </c>
      <c r="U16" s="27">
        <f>Input!W32</f>
        <v>0.58823529411764708</v>
      </c>
      <c r="V16" s="27">
        <f>Input!X32</f>
        <v>0.58823529411764708</v>
      </c>
      <c r="W16" s="27">
        <f>Input!Y32</f>
        <v>0.58823529411764708</v>
      </c>
      <c r="X16" s="24">
        <f t="shared" ref="X16:X20" si="2">SUM(F16:W16)</f>
        <v>9.9999999999999982</v>
      </c>
      <c r="Y16" s="37">
        <f>X16-Input!C30</f>
        <v>0</v>
      </c>
    </row>
    <row r="17" spans="2:25" s="2" customFormat="1" ht="12" customHeight="1" x14ac:dyDescent="0.2">
      <c r="B17" s="2" t="str">
        <f>Input!B44</f>
        <v>[Enter project name]</v>
      </c>
      <c r="C17" s="53"/>
      <c r="F17" s="27">
        <f>Input!H50</f>
        <v>0</v>
      </c>
      <c r="G17" s="27">
        <f>Input!I50</f>
        <v>0</v>
      </c>
      <c r="H17" s="27">
        <f>Input!J50</f>
        <v>0.25</v>
      </c>
      <c r="I17" s="27">
        <f>Input!K50</f>
        <v>0.25</v>
      </c>
      <c r="J17" s="27">
        <f>Input!L50</f>
        <v>0.25</v>
      </c>
      <c r="K17" s="27">
        <f>Input!M50</f>
        <v>0.25</v>
      </c>
      <c r="L17" s="27">
        <f>Input!N50</f>
        <v>0.25</v>
      </c>
      <c r="M17" s="27">
        <f>Input!O50</f>
        <v>0.25</v>
      </c>
      <c r="N17" s="27">
        <f>Input!P50</f>
        <v>0.25</v>
      </c>
      <c r="O17" s="27">
        <f>Input!Q50</f>
        <v>0.25</v>
      </c>
      <c r="P17" s="27">
        <f>Input!R50</f>
        <v>0.25</v>
      </c>
      <c r="Q17" s="27">
        <f>Input!S50</f>
        <v>0.25</v>
      </c>
      <c r="R17" s="27">
        <f>Input!T50</f>
        <v>0.25</v>
      </c>
      <c r="S17" s="27">
        <f>Input!U50</f>
        <v>0.25</v>
      </c>
      <c r="T17" s="27">
        <f>Input!V50</f>
        <v>0.25</v>
      </c>
      <c r="U17" s="27">
        <f>Input!W50</f>
        <v>0.25</v>
      </c>
      <c r="V17" s="27">
        <f>Input!X50</f>
        <v>0.25</v>
      </c>
      <c r="W17" s="27">
        <f>Input!Y50</f>
        <v>0.25</v>
      </c>
      <c r="X17" s="24">
        <f t="shared" si="2"/>
        <v>4</v>
      </c>
      <c r="Y17" s="37">
        <f>X17-Input!C48</f>
        <v>0</v>
      </c>
    </row>
    <row r="18" spans="2:25" s="2" customFormat="1" ht="12" customHeight="1" x14ac:dyDescent="0.2">
      <c r="B18" s="2" t="str">
        <f>Input!B62</f>
        <v>[Enter project name]</v>
      </c>
      <c r="C18" s="53"/>
      <c r="F18" s="27">
        <f>Input!H68</f>
        <v>0.16666666666666666</v>
      </c>
      <c r="G18" s="27">
        <f>Input!I68</f>
        <v>0.16666666666666666</v>
      </c>
      <c r="H18" s="27">
        <f>Input!J68</f>
        <v>0.16666666666666666</v>
      </c>
      <c r="I18" s="27">
        <f>Input!K68</f>
        <v>0.16666666666666666</v>
      </c>
      <c r="J18" s="27">
        <f>Input!L68</f>
        <v>0.16666666666666666</v>
      </c>
      <c r="K18" s="27">
        <f>Input!M68</f>
        <v>0.16666666666666666</v>
      </c>
      <c r="L18" s="27">
        <f>Input!N68</f>
        <v>0.16666666666666666</v>
      </c>
      <c r="M18" s="27">
        <f>Input!O68</f>
        <v>0.16666666666666666</v>
      </c>
      <c r="N18" s="27">
        <f>Input!P68</f>
        <v>0.16666666666666666</v>
      </c>
      <c r="O18" s="27">
        <f>Input!Q68</f>
        <v>0.16666666666666666</v>
      </c>
      <c r="P18" s="27">
        <f>Input!R68</f>
        <v>0.16666666666666666</v>
      </c>
      <c r="Q18" s="27">
        <f>Input!S68</f>
        <v>0.16666666666666666</v>
      </c>
      <c r="R18" s="27">
        <f>Input!T68</f>
        <v>0.16666666666666666</v>
      </c>
      <c r="S18" s="27">
        <f>Input!U68</f>
        <v>0.16666666666666666</v>
      </c>
      <c r="T18" s="27">
        <f>Input!V68</f>
        <v>0.16666666666666666</v>
      </c>
      <c r="U18" s="27">
        <f>Input!W68</f>
        <v>0.16666666666666666</v>
      </c>
      <c r="V18" s="27">
        <f>Input!X68</f>
        <v>0.16666666666666666</v>
      </c>
      <c r="W18" s="27">
        <f>Input!Y68</f>
        <v>0.16666666666666666</v>
      </c>
      <c r="X18" s="24">
        <f t="shared" si="2"/>
        <v>2.9999999999999991</v>
      </c>
      <c r="Y18" s="37">
        <f>X18-Input!C66</f>
        <v>0</v>
      </c>
    </row>
    <row r="19" spans="2:25" s="2" customFormat="1" ht="12" customHeight="1" x14ac:dyDescent="0.2">
      <c r="B19" s="2" t="str">
        <f>Input!B80</f>
        <v>[Enter project name]</v>
      </c>
      <c r="C19" s="53"/>
      <c r="F19" s="27">
        <f>Input!H86</f>
        <v>0</v>
      </c>
      <c r="G19" s="27">
        <f>Input!I86</f>
        <v>0</v>
      </c>
      <c r="H19" s="27">
        <f>Input!J86</f>
        <v>0.13333333333333333</v>
      </c>
      <c r="I19" s="27">
        <f>Input!K86</f>
        <v>0.13333333333333333</v>
      </c>
      <c r="J19" s="27">
        <f>Input!L86</f>
        <v>0.13333333333333333</v>
      </c>
      <c r="K19" s="27">
        <f>Input!M86</f>
        <v>0.13333333333333333</v>
      </c>
      <c r="L19" s="27">
        <f>Input!N86</f>
        <v>0.13333333333333333</v>
      </c>
      <c r="M19" s="27">
        <f>Input!O86</f>
        <v>0.13333333333333333</v>
      </c>
      <c r="N19" s="27">
        <f>Input!P86</f>
        <v>0.13333333333333333</v>
      </c>
      <c r="O19" s="27">
        <f>Input!Q86</f>
        <v>0.13333333333333333</v>
      </c>
      <c r="P19" s="27">
        <f>Input!R86</f>
        <v>0.13333333333333333</v>
      </c>
      <c r="Q19" s="27">
        <f>Input!S86</f>
        <v>0.13333333333333333</v>
      </c>
      <c r="R19" s="27">
        <f>Input!T86</f>
        <v>0.13333333333333333</v>
      </c>
      <c r="S19" s="27">
        <f>Input!U86</f>
        <v>0.13333333333333333</v>
      </c>
      <c r="T19" s="27">
        <f>Input!V86</f>
        <v>0.13333333333333333</v>
      </c>
      <c r="U19" s="27">
        <f>Input!W86</f>
        <v>0.13333333333333333</v>
      </c>
      <c r="V19" s="27">
        <f>Input!X86</f>
        <v>0.13333333333333333</v>
      </c>
      <c r="W19" s="27">
        <f>Input!Y86</f>
        <v>0</v>
      </c>
      <c r="X19" s="24">
        <f t="shared" si="2"/>
        <v>1.9999999999999998</v>
      </c>
      <c r="Y19" s="37">
        <f>X19-Input!C84</f>
        <v>0</v>
      </c>
    </row>
    <row r="20" spans="2:25" s="2" customFormat="1" ht="12" customHeight="1" x14ac:dyDescent="0.2">
      <c r="B20" s="2" t="str">
        <f>Input!B98</f>
        <v>[Enter project name]</v>
      </c>
      <c r="C20" s="53"/>
      <c r="F20" s="27">
        <f>Input!H104</f>
        <v>0.125</v>
      </c>
      <c r="G20" s="27">
        <f>Input!I104</f>
        <v>0.125</v>
      </c>
      <c r="H20" s="27">
        <f>Input!J104</f>
        <v>0.125</v>
      </c>
      <c r="I20" s="27">
        <f>Input!K104</f>
        <v>0.125</v>
      </c>
      <c r="J20" s="27">
        <f>Input!L104</f>
        <v>0.125</v>
      </c>
      <c r="K20" s="27">
        <f>Input!M104</f>
        <v>0.125</v>
      </c>
      <c r="L20" s="27">
        <f>Input!N104</f>
        <v>0.125</v>
      </c>
      <c r="M20" s="27">
        <f>Input!O104</f>
        <v>0.125</v>
      </c>
      <c r="N20" s="27">
        <f>Input!P104</f>
        <v>0</v>
      </c>
      <c r="O20" s="27">
        <f>Input!Q104</f>
        <v>0</v>
      </c>
      <c r="P20" s="27">
        <f>Input!R104</f>
        <v>0</v>
      </c>
      <c r="Q20" s="27">
        <f>Input!S104</f>
        <v>0</v>
      </c>
      <c r="R20" s="27">
        <f>Input!T104</f>
        <v>0</v>
      </c>
      <c r="S20" s="27">
        <f>Input!U104</f>
        <v>0</v>
      </c>
      <c r="T20" s="27">
        <f>Input!V104</f>
        <v>0</v>
      </c>
      <c r="U20" s="27">
        <f>Input!W104</f>
        <v>0</v>
      </c>
      <c r="V20" s="27">
        <f>Input!X104</f>
        <v>0</v>
      </c>
      <c r="W20" s="27">
        <f>Input!Y104</f>
        <v>0</v>
      </c>
      <c r="X20" s="24">
        <f t="shared" si="2"/>
        <v>1</v>
      </c>
      <c r="Y20" s="37">
        <f>X20-Input!C102</f>
        <v>0</v>
      </c>
    </row>
    <row r="21" spans="2:25" s="2" customFormat="1" ht="12" customHeight="1" x14ac:dyDescent="0.2">
      <c r="B21" s="10" t="s">
        <v>6</v>
      </c>
      <c r="C21" s="35"/>
      <c r="D21" s="10"/>
      <c r="E21" s="10"/>
      <c r="F21" s="28">
        <f t="shared" ref="F21:X21" si="3">-SUM(F16:F20)</f>
        <v>-0.29166666666666663</v>
      </c>
      <c r="G21" s="28">
        <f t="shared" si="3"/>
        <v>-0.87990196078431371</v>
      </c>
      <c r="H21" s="28">
        <f t="shared" si="3"/>
        <v>-1.263235294117647</v>
      </c>
      <c r="I21" s="28">
        <f t="shared" si="3"/>
        <v>-1.263235294117647</v>
      </c>
      <c r="J21" s="28">
        <f t="shared" si="3"/>
        <v>-1.263235294117647</v>
      </c>
      <c r="K21" s="28">
        <f t="shared" si="3"/>
        <v>-1.263235294117647</v>
      </c>
      <c r="L21" s="28">
        <f t="shared" si="3"/>
        <v>-1.263235294117647</v>
      </c>
      <c r="M21" s="28">
        <f t="shared" si="3"/>
        <v>-1.263235294117647</v>
      </c>
      <c r="N21" s="28">
        <f t="shared" si="3"/>
        <v>-1.138235294117647</v>
      </c>
      <c r="O21" s="28">
        <f t="shared" si="3"/>
        <v>-1.138235294117647</v>
      </c>
      <c r="P21" s="28">
        <f t="shared" si="3"/>
        <v>-1.138235294117647</v>
      </c>
      <c r="Q21" s="28">
        <f t="shared" si="3"/>
        <v>-1.138235294117647</v>
      </c>
      <c r="R21" s="28">
        <f t="shared" si="3"/>
        <v>-1.138235294117647</v>
      </c>
      <c r="S21" s="28">
        <f t="shared" si="3"/>
        <v>-1.138235294117647</v>
      </c>
      <c r="T21" s="28">
        <f t="shared" si="3"/>
        <v>-1.138235294117647</v>
      </c>
      <c r="U21" s="28">
        <f t="shared" si="3"/>
        <v>-1.138235294117647</v>
      </c>
      <c r="V21" s="28">
        <f t="shared" si="3"/>
        <v>-1.138235294117647</v>
      </c>
      <c r="W21" s="28">
        <f t="shared" si="3"/>
        <v>-1.0049019607843137</v>
      </c>
      <c r="X21" s="29">
        <f t="shared" si="3"/>
        <v>-19.999999999999996</v>
      </c>
      <c r="Y21" s="37">
        <f>X21-SUM(F21:W21)</f>
        <v>0</v>
      </c>
    </row>
    <row r="22" spans="2:25" s="2" customFormat="1" ht="3.75" customHeight="1" x14ac:dyDescent="0.2">
      <c r="C22" s="34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3"/>
      <c r="Y22" s="37"/>
    </row>
    <row r="23" spans="2:25" s="2" customFormat="1" ht="12" customHeight="1" x14ac:dyDescent="0.2">
      <c r="B23" s="20" t="s">
        <v>10</v>
      </c>
      <c r="C23" s="34"/>
      <c r="F23" s="10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3"/>
      <c r="Y23" s="37"/>
    </row>
    <row r="24" spans="2:25" s="2" customFormat="1" ht="12" customHeight="1" x14ac:dyDescent="0.2">
      <c r="B24" s="8" t="str">
        <f>Input!B10</f>
        <v>Upfront payment</v>
      </c>
      <c r="C24" s="108"/>
      <c r="D24" s="8"/>
      <c r="E24" s="8"/>
      <c r="F24" s="109">
        <f>Input!E10</f>
        <v>10</v>
      </c>
      <c r="G24" s="115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6"/>
      <c r="X24" s="114">
        <f t="shared" ref="X24:X30" si="4">SUM(F24:W24)</f>
        <v>10</v>
      </c>
      <c r="Y24" s="37">
        <f>X24-Input!E10</f>
        <v>0</v>
      </c>
    </row>
    <row r="25" spans="2:25" s="2" customFormat="1" ht="12" customHeight="1" x14ac:dyDescent="0.2">
      <c r="B25" s="2" t="str">
        <f>"Milestones: "&amp;Input!B26</f>
        <v>Milestones: [Enter project name]</v>
      </c>
      <c r="C25" s="39"/>
      <c r="F25" s="27">
        <f>Input!H38*Input!$E$12+Input!H42*Input!$E$13</f>
        <v>0</v>
      </c>
      <c r="G25" s="27">
        <f ca="1">Input!I38*Input!$E$12+Input!I42*Input!$E$13</f>
        <v>0</v>
      </c>
      <c r="H25" s="27">
        <f ca="1">Input!J38*Input!$E$12+Input!J42*Input!$E$13</f>
        <v>0</v>
      </c>
      <c r="I25" s="27">
        <f ca="1">Input!K38*Input!$E$12+Input!K42*Input!$E$13</f>
        <v>0</v>
      </c>
      <c r="J25" s="27">
        <f ca="1">Input!L38*Input!$E$12+Input!L42*Input!$E$13</f>
        <v>0</v>
      </c>
      <c r="K25" s="27">
        <f ca="1">Input!M38*Input!$E$12+Input!M42*Input!$E$13</f>
        <v>0</v>
      </c>
      <c r="L25" s="27">
        <f ca="1">Input!N38*Input!$E$12+Input!N42*Input!$E$13</f>
        <v>0</v>
      </c>
      <c r="M25" s="27">
        <f ca="1">Input!O38*Input!$E$12+Input!O42*Input!$E$13</f>
        <v>0</v>
      </c>
      <c r="N25" s="27">
        <f ca="1">Input!P38*Input!$E$12+Input!P42*Input!$E$13</f>
        <v>0</v>
      </c>
      <c r="O25" s="27">
        <f ca="1">Input!Q38*Input!$E$12+Input!Q42*Input!$E$13</f>
        <v>1</v>
      </c>
      <c r="P25" s="27">
        <f ca="1">Input!R38*Input!$E$12+Input!R42*Input!$E$13</f>
        <v>0</v>
      </c>
      <c r="Q25" s="27">
        <f ca="1">Input!S38*Input!$E$12+Input!S42*Input!$E$13</f>
        <v>0</v>
      </c>
      <c r="R25" s="27">
        <f ca="1">Input!T38*Input!$E$12+Input!T42*Input!$E$13</f>
        <v>0.96</v>
      </c>
      <c r="S25" s="27">
        <f ca="1">Input!U38*Input!$E$12+Input!U42*Input!$E$13</f>
        <v>0</v>
      </c>
      <c r="T25" s="27">
        <f ca="1">Input!V38*Input!$E$12+Input!V42*Input!$E$13</f>
        <v>0</v>
      </c>
      <c r="U25" s="27">
        <f ca="1">Input!W38*Input!$E$12+Input!W42*Input!$E$13</f>
        <v>0</v>
      </c>
      <c r="V25" s="27">
        <f ca="1">Input!X38*Input!$E$12+Input!X42*Input!$E$13</f>
        <v>0</v>
      </c>
      <c r="W25" s="27">
        <f ca="1">Input!Y38*Input!$E$12+Input!Y42*Input!$E$13</f>
        <v>0</v>
      </c>
      <c r="X25" s="24">
        <f t="shared" ca="1" si="4"/>
        <v>1.96</v>
      </c>
      <c r="Y25" s="37">
        <f ca="1">X25-Input!$E$12-Input!$E$13</f>
        <v>0</v>
      </c>
    </row>
    <row r="26" spans="2:25" s="2" customFormat="1" ht="12" customHeight="1" x14ac:dyDescent="0.2">
      <c r="B26" s="2" t="str">
        <f>"Milestones: "&amp;Input!B44</f>
        <v>Milestones: [Enter project name]</v>
      </c>
      <c r="C26" s="39"/>
      <c r="F26" s="27">
        <f>Input!H56*Input!$E$12+Input!H60*Input!$E$13</f>
        <v>0</v>
      </c>
      <c r="G26" s="27">
        <f ca="1">Input!I56*Input!$E$12+Input!I60*Input!$E$13</f>
        <v>0</v>
      </c>
      <c r="H26" s="27">
        <f ca="1">Input!J56*Input!$E$12+Input!J60*Input!$E$13</f>
        <v>0</v>
      </c>
      <c r="I26" s="27">
        <f ca="1">Input!K56*Input!$E$12+Input!K60*Input!$E$13</f>
        <v>0</v>
      </c>
      <c r="J26" s="27">
        <f ca="1">Input!L56*Input!$E$12+Input!L60*Input!$E$13</f>
        <v>0</v>
      </c>
      <c r="K26" s="27">
        <f ca="1">Input!M56*Input!$E$12+Input!M60*Input!$E$13</f>
        <v>0</v>
      </c>
      <c r="L26" s="27">
        <f ca="1">Input!N56*Input!$E$12+Input!N60*Input!$E$13</f>
        <v>0</v>
      </c>
      <c r="M26" s="27">
        <f ca="1">Input!O56*Input!$E$12+Input!O60*Input!$E$13</f>
        <v>0</v>
      </c>
      <c r="N26" s="27">
        <f ca="1">Input!P56*Input!$E$12+Input!P60*Input!$E$13</f>
        <v>0</v>
      </c>
      <c r="O26" s="27">
        <f ca="1">Input!Q56*Input!$E$12+Input!Q60*Input!$E$13</f>
        <v>1</v>
      </c>
      <c r="P26" s="27">
        <f ca="1">Input!R56*Input!$E$12+Input!R60*Input!$E$13</f>
        <v>0</v>
      </c>
      <c r="Q26" s="27">
        <f ca="1">Input!S56*Input!$E$12+Input!S60*Input!$E$13</f>
        <v>0</v>
      </c>
      <c r="R26" s="27">
        <f ca="1">Input!T56*Input!$E$12+Input!T60*Input!$E$13</f>
        <v>0.96</v>
      </c>
      <c r="S26" s="27">
        <f ca="1">Input!U56*Input!$E$12+Input!U60*Input!$E$13</f>
        <v>0</v>
      </c>
      <c r="T26" s="27">
        <f ca="1">Input!V56*Input!$E$12+Input!V60*Input!$E$13</f>
        <v>0</v>
      </c>
      <c r="U26" s="27">
        <f ca="1">Input!W56*Input!$E$12+Input!W60*Input!$E$13</f>
        <v>0</v>
      </c>
      <c r="V26" s="27">
        <f ca="1">Input!X56*Input!$E$12+Input!X60*Input!$E$13</f>
        <v>0</v>
      </c>
      <c r="W26" s="27">
        <f ca="1">Input!Y56*Input!$E$12+Input!Y60*Input!$E$13</f>
        <v>0</v>
      </c>
      <c r="X26" s="24">
        <f t="shared" ca="1" si="4"/>
        <v>1.96</v>
      </c>
      <c r="Y26" s="37">
        <f ca="1">X26-Input!$E$12-Input!$E$13</f>
        <v>0</v>
      </c>
    </row>
    <row r="27" spans="2:25" s="2" customFormat="1" ht="12" customHeight="1" x14ac:dyDescent="0.2">
      <c r="B27" s="2" t="str">
        <f>"Milestones: "&amp;Input!B62</f>
        <v>Milestones: [Enter project name]</v>
      </c>
      <c r="C27" s="39"/>
      <c r="F27" s="27">
        <f>Input!H74*Input!$E$12+Input!H78*Input!$E$13</f>
        <v>0</v>
      </c>
      <c r="G27" s="27">
        <f ca="1">Input!I74*Input!$E$12+Input!I78*Input!$E$13</f>
        <v>0</v>
      </c>
      <c r="H27" s="27">
        <f ca="1">Input!J74*Input!$E$12+Input!J78*Input!$E$13</f>
        <v>0</v>
      </c>
      <c r="I27" s="27">
        <f ca="1">Input!K74*Input!$E$12+Input!K78*Input!$E$13</f>
        <v>0</v>
      </c>
      <c r="J27" s="27">
        <f ca="1">Input!L74*Input!$E$12+Input!L78*Input!$E$13</f>
        <v>0</v>
      </c>
      <c r="K27" s="27">
        <f ca="1">Input!M74*Input!$E$12+Input!M78*Input!$E$13</f>
        <v>0</v>
      </c>
      <c r="L27" s="27">
        <f ca="1">Input!N74*Input!$E$12+Input!N78*Input!$E$13</f>
        <v>0</v>
      </c>
      <c r="M27" s="27">
        <f ca="1">Input!O74*Input!$E$12+Input!O78*Input!$E$13</f>
        <v>0</v>
      </c>
      <c r="N27" s="27">
        <f ca="1">Input!P74*Input!$E$12+Input!P78*Input!$E$13</f>
        <v>0</v>
      </c>
      <c r="O27" s="27">
        <f ca="1">Input!Q74*Input!$E$12+Input!Q78*Input!$E$13</f>
        <v>1</v>
      </c>
      <c r="P27" s="27">
        <f ca="1">Input!R74*Input!$E$12+Input!R78*Input!$E$13</f>
        <v>0</v>
      </c>
      <c r="Q27" s="27">
        <f ca="1">Input!S74*Input!$E$12+Input!S78*Input!$E$13</f>
        <v>0</v>
      </c>
      <c r="R27" s="27">
        <f ca="1">Input!T74*Input!$E$12+Input!T78*Input!$E$13</f>
        <v>0.96</v>
      </c>
      <c r="S27" s="27">
        <f ca="1">Input!U74*Input!$E$12+Input!U78*Input!$E$13</f>
        <v>0</v>
      </c>
      <c r="T27" s="27">
        <f ca="1">Input!V74*Input!$E$12+Input!V78*Input!$E$13</f>
        <v>0</v>
      </c>
      <c r="U27" s="27">
        <f ca="1">Input!W74*Input!$E$12+Input!W78*Input!$E$13</f>
        <v>0</v>
      </c>
      <c r="V27" s="27">
        <f ca="1">Input!X74*Input!$E$12+Input!X78*Input!$E$13</f>
        <v>0</v>
      </c>
      <c r="W27" s="27">
        <f ca="1">Input!Y74*Input!$E$12+Input!Y78*Input!$E$13</f>
        <v>0</v>
      </c>
      <c r="X27" s="24">
        <f t="shared" ca="1" si="4"/>
        <v>1.96</v>
      </c>
      <c r="Y27" s="37">
        <f ca="1">X27-Input!$E$12-Input!$E$13</f>
        <v>0</v>
      </c>
    </row>
    <row r="28" spans="2:25" s="2" customFormat="1" ht="12" customHeight="1" x14ac:dyDescent="0.2">
      <c r="B28" s="2" t="str">
        <f>"Milestones: "&amp;Input!B80</f>
        <v>Milestones: [Enter project name]</v>
      </c>
      <c r="C28" s="39"/>
      <c r="F28" s="27">
        <f>Input!H92*Input!$E$12+Input!H96*Input!$E$13</f>
        <v>0</v>
      </c>
      <c r="G28" s="27">
        <f ca="1">Input!I92*Input!$E$12+Input!I96*Input!$E$13</f>
        <v>0</v>
      </c>
      <c r="H28" s="27">
        <f ca="1">Input!J92*Input!$E$12+Input!J96*Input!$E$13</f>
        <v>0</v>
      </c>
      <c r="I28" s="27">
        <f ca="1">Input!K92*Input!$E$12+Input!K96*Input!$E$13</f>
        <v>0</v>
      </c>
      <c r="J28" s="27">
        <f ca="1">Input!L92*Input!$E$12+Input!L96*Input!$E$13</f>
        <v>0</v>
      </c>
      <c r="K28" s="27">
        <f ca="1">Input!M92*Input!$E$12+Input!M96*Input!$E$13</f>
        <v>0</v>
      </c>
      <c r="L28" s="27">
        <f ca="1">Input!N92*Input!$E$12+Input!N96*Input!$E$13</f>
        <v>0</v>
      </c>
      <c r="M28" s="27">
        <f ca="1">Input!O92*Input!$E$12+Input!O96*Input!$E$13</f>
        <v>0</v>
      </c>
      <c r="N28" s="27">
        <f ca="1">Input!P92*Input!$E$12+Input!P96*Input!$E$13</f>
        <v>0</v>
      </c>
      <c r="O28" s="27">
        <f ca="1">Input!Q92*Input!$E$12+Input!Q96*Input!$E$13</f>
        <v>1</v>
      </c>
      <c r="P28" s="27">
        <f ca="1">Input!R92*Input!$E$12+Input!R96*Input!$E$13</f>
        <v>0</v>
      </c>
      <c r="Q28" s="27">
        <f ca="1">Input!S92*Input!$E$12+Input!S96*Input!$E$13</f>
        <v>0</v>
      </c>
      <c r="R28" s="27">
        <f ca="1">Input!T92*Input!$E$12+Input!T96*Input!$E$13</f>
        <v>0.96</v>
      </c>
      <c r="S28" s="27">
        <f ca="1">Input!U92*Input!$E$12+Input!U96*Input!$E$13</f>
        <v>0</v>
      </c>
      <c r="T28" s="27">
        <f ca="1">Input!V92*Input!$E$12+Input!V96*Input!$E$13</f>
        <v>0</v>
      </c>
      <c r="U28" s="27">
        <f ca="1">Input!W92*Input!$E$12+Input!W96*Input!$E$13</f>
        <v>0</v>
      </c>
      <c r="V28" s="27">
        <f ca="1">Input!X92*Input!$E$12+Input!X96*Input!$E$13</f>
        <v>0</v>
      </c>
      <c r="W28" s="27">
        <f ca="1">Input!Y92*Input!$E$12+Input!Y96*Input!$E$13</f>
        <v>0</v>
      </c>
      <c r="X28" s="24">
        <f t="shared" ca="1" si="4"/>
        <v>1.96</v>
      </c>
      <c r="Y28" s="37">
        <f ca="1">X28-Input!$E$12-Input!$E$13</f>
        <v>0</v>
      </c>
    </row>
    <row r="29" spans="2:25" s="2" customFormat="1" ht="12" customHeight="1" x14ac:dyDescent="0.2">
      <c r="B29" s="2" t="str">
        <f>"Milestones: "&amp;Input!B98</f>
        <v>Milestones: [Enter project name]</v>
      </c>
      <c r="C29" s="39"/>
      <c r="F29" s="27">
        <f>Input!H110*Input!$E$12+Input!H114*Input!$E$13</f>
        <v>0</v>
      </c>
      <c r="G29" s="27">
        <f ca="1">Input!I110*Input!$E$12+Input!I114*Input!$E$13</f>
        <v>0</v>
      </c>
      <c r="H29" s="27">
        <f ca="1">Input!J110*Input!$E$12+Input!J114*Input!$E$13</f>
        <v>0</v>
      </c>
      <c r="I29" s="27">
        <f ca="1">Input!K110*Input!$E$12+Input!K114*Input!$E$13</f>
        <v>0</v>
      </c>
      <c r="J29" s="27">
        <f ca="1">Input!L110*Input!$E$12+Input!L114*Input!$E$13</f>
        <v>0</v>
      </c>
      <c r="K29" s="27">
        <f ca="1">Input!M110*Input!$E$12+Input!M114*Input!$E$13</f>
        <v>0</v>
      </c>
      <c r="L29" s="27">
        <f ca="1">Input!N110*Input!$E$12+Input!N114*Input!$E$13</f>
        <v>1.96</v>
      </c>
      <c r="M29" s="27">
        <f ca="1">Input!O110*Input!$E$12+Input!O114*Input!$E$13</f>
        <v>0</v>
      </c>
      <c r="N29" s="27">
        <f ca="1">Input!P110*Input!$E$12+Input!P114*Input!$E$13</f>
        <v>0</v>
      </c>
      <c r="O29" s="27">
        <f ca="1">Input!Q110*Input!$E$12+Input!Q114*Input!$E$13</f>
        <v>0</v>
      </c>
      <c r="P29" s="27">
        <f ca="1">Input!R110*Input!$E$12+Input!R114*Input!$E$13</f>
        <v>0</v>
      </c>
      <c r="Q29" s="27">
        <f ca="1">Input!S110*Input!$E$12+Input!S114*Input!$E$13</f>
        <v>0</v>
      </c>
      <c r="R29" s="27">
        <f ca="1">Input!T110*Input!$E$12+Input!T114*Input!$E$13</f>
        <v>0</v>
      </c>
      <c r="S29" s="27">
        <f ca="1">Input!U110*Input!$E$12+Input!U114*Input!$E$13</f>
        <v>0</v>
      </c>
      <c r="T29" s="27">
        <f ca="1">Input!V110*Input!$E$12+Input!V114*Input!$E$13</f>
        <v>0</v>
      </c>
      <c r="U29" s="27">
        <f ca="1">Input!W110*Input!$E$12+Input!W114*Input!$E$13</f>
        <v>0</v>
      </c>
      <c r="V29" s="27">
        <f ca="1">Input!X110*Input!$E$12+Input!X114*Input!$E$13</f>
        <v>0</v>
      </c>
      <c r="W29" s="27">
        <f ca="1">Input!Y110*Input!$E$12+Input!Y114*Input!$E$13</f>
        <v>0</v>
      </c>
      <c r="X29" s="24">
        <f t="shared" ca="1" si="4"/>
        <v>1.96</v>
      </c>
      <c r="Y29" s="37">
        <f ca="1">X29-Input!$E$12-Input!$E$13</f>
        <v>0</v>
      </c>
    </row>
    <row r="30" spans="2:25" s="2" customFormat="1" ht="12" customHeight="1" x14ac:dyDescent="0.2">
      <c r="B30" s="2" t="str">
        <f>Input!B11</f>
        <v>Final payment</v>
      </c>
      <c r="C30" s="34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55">
        <f>Input!E11</f>
        <v>0.2</v>
      </c>
      <c r="X30" s="24">
        <f t="shared" si="4"/>
        <v>0.2</v>
      </c>
      <c r="Y30" s="37">
        <f>X30-Input!E11</f>
        <v>0</v>
      </c>
    </row>
    <row r="31" spans="2:25" s="2" customFormat="1" ht="12" customHeight="1" x14ac:dyDescent="0.2">
      <c r="B31" s="10" t="s">
        <v>6</v>
      </c>
      <c r="C31" s="13"/>
      <c r="D31" s="13"/>
      <c r="E31" s="13"/>
      <c r="F31" s="30">
        <f t="shared" ref="F31:X31" si="5">SUM(F24:F30)</f>
        <v>10</v>
      </c>
      <c r="G31" s="30">
        <f t="shared" ca="1" si="5"/>
        <v>0</v>
      </c>
      <c r="H31" s="30">
        <f t="shared" ca="1" si="5"/>
        <v>0</v>
      </c>
      <c r="I31" s="30">
        <f t="shared" ca="1" si="5"/>
        <v>0</v>
      </c>
      <c r="J31" s="30">
        <f t="shared" ca="1" si="5"/>
        <v>0</v>
      </c>
      <c r="K31" s="30">
        <f t="shared" ca="1" si="5"/>
        <v>0</v>
      </c>
      <c r="L31" s="30">
        <f t="shared" ca="1" si="5"/>
        <v>1.96</v>
      </c>
      <c r="M31" s="30">
        <f t="shared" ca="1" si="5"/>
        <v>0</v>
      </c>
      <c r="N31" s="30">
        <f t="shared" ca="1" si="5"/>
        <v>0</v>
      </c>
      <c r="O31" s="30">
        <f t="shared" ca="1" si="5"/>
        <v>4</v>
      </c>
      <c r="P31" s="30">
        <f t="shared" ca="1" si="5"/>
        <v>0</v>
      </c>
      <c r="Q31" s="30">
        <f t="shared" ca="1" si="5"/>
        <v>0</v>
      </c>
      <c r="R31" s="30">
        <f t="shared" ca="1" si="5"/>
        <v>3.84</v>
      </c>
      <c r="S31" s="30">
        <f t="shared" ca="1" si="5"/>
        <v>0</v>
      </c>
      <c r="T31" s="30">
        <f t="shared" ca="1" si="5"/>
        <v>0</v>
      </c>
      <c r="U31" s="30">
        <f t="shared" ca="1" si="5"/>
        <v>0</v>
      </c>
      <c r="V31" s="30">
        <f t="shared" ca="1" si="5"/>
        <v>0</v>
      </c>
      <c r="W31" s="30">
        <f ca="1">SUM(W24:W30)</f>
        <v>0.2</v>
      </c>
      <c r="X31" s="31">
        <f t="shared" ca="1" si="5"/>
        <v>20.000000000000004</v>
      </c>
      <c r="Y31" s="37">
        <f ca="1">X31-SUM(F31:W31)</f>
        <v>0</v>
      </c>
    </row>
    <row r="32" spans="2:25" s="2" customFormat="1" ht="12" customHeight="1" x14ac:dyDescent="0.2">
      <c r="B32" s="13" t="s">
        <v>9</v>
      </c>
      <c r="C32" s="13"/>
      <c r="D32" s="13"/>
      <c r="E32" s="13"/>
      <c r="F32" s="36">
        <f t="shared" ref="F32:W32" si="6">F21+F31</f>
        <v>9.7083333333333339</v>
      </c>
      <c r="G32" s="36">
        <f t="shared" ca="1" si="6"/>
        <v>-0.87990196078431371</v>
      </c>
      <c r="H32" s="36">
        <f t="shared" ca="1" si="6"/>
        <v>-1.263235294117647</v>
      </c>
      <c r="I32" s="36">
        <f t="shared" ca="1" si="6"/>
        <v>-1.263235294117647</v>
      </c>
      <c r="J32" s="36">
        <f t="shared" ca="1" si="6"/>
        <v>-1.263235294117647</v>
      </c>
      <c r="K32" s="36">
        <f t="shared" ca="1" si="6"/>
        <v>-1.263235294117647</v>
      </c>
      <c r="L32" s="36">
        <f t="shared" ca="1" si="6"/>
        <v>0.69676470588235295</v>
      </c>
      <c r="M32" s="36">
        <f t="shared" ca="1" si="6"/>
        <v>-1.263235294117647</v>
      </c>
      <c r="N32" s="36">
        <f t="shared" ca="1" si="6"/>
        <v>-1.138235294117647</v>
      </c>
      <c r="O32" s="36">
        <f t="shared" ca="1" si="6"/>
        <v>2.861764705882353</v>
      </c>
      <c r="P32" s="36">
        <f t="shared" ca="1" si="6"/>
        <v>-1.138235294117647</v>
      </c>
      <c r="Q32" s="36">
        <f t="shared" ca="1" si="6"/>
        <v>-1.138235294117647</v>
      </c>
      <c r="R32" s="36">
        <f t="shared" ca="1" si="6"/>
        <v>2.7017647058823528</v>
      </c>
      <c r="S32" s="36">
        <f t="shared" ca="1" si="6"/>
        <v>-1.138235294117647</v>
      </c>
      <c r="T32" s="36">
        <f t="shared" ca="1" si="6"/>
        <v>-1.138235294117647</v>
      </c>
      <c r="U32" s="36">
        <f t="shared" ca="1" si="6"/>
        <v>-1.138235294117647</v>
      </c>
      <c r="V32" s="36">
        <f t="shared" ca="1" si="6"/>
        <v>-1.138235294117647</v>
      </c>
      <c r="W32" s="36">
        <f t="shared" ca="1" si="6"/>
        <v>-0.80490196078431375</v>
      </c>
      <c r="X32" s="24">
        <f ca="1">SUM(F32:W32)</f>
        <v>0</v>
      </c>
      <c r="Y32" s="37">
        <f ca="1">ROUND(X32-0,1)</f>
        <v>0</v>
      </c>
    </row>
    <row r="33" spans="2:25" s="2" customFormat="1" ht="12" customHeight="1" thickBot="1" x14ac:dyDescent="0.25">
      <c r="B33" s="16" t="s">
        <v>8</v>
      </c>
      <c r="C33" s="17"/>
      <c r="D33" s="17"/>
      <c r="E33" s="17"/>
      <c r="F33" s="32">
        <f t="shared" ref="F33:W33" si="7">F13+F32</f>
        <v>9.7083333333333339</v>
      </c>
      <c r="G33" s="32">
        <f t="shared" ca="1" si="7"/>
        <v>8.8284313725490193</v>
      </c>
      <c r="H33" s="32">
        <f t="shared" ca="1" si="7"/>
        <v>7.5651960784313719</v>
      </c>
      <c r="I33" s="32">
        <f t="shared" ca="1" si="7"/>
        <v>6.3019607843137244</v>
      </c>
      <c r="J33" s="32">
        <f t="shared" ca="1" si="7"/>
        <v>5.038725490196077</v>
      </c>
      <c r="K33" s="32">
        <f t="shared" ca="1" si="7"/>
        <v>3.7754901960784299</v>
      </c>
      <c r="L33" s="32">
        <f t="shared" ca="1" si="7"/>
        <v>4.4722549019607829</v>
      </c>
      <c r="M33" s="32">
        <f t="shared" ca="1" si="7"/>
        <v>3.2090196078431359</v>
      </c>
      <c r="N33" s="32">
        <f t="shared" ca="1" si="7"/>
        <v>2.0707843137254889</v>
      </c>
      <c r="O33" s="32">
        <f t="shared" ca="1" si="7"/>
        <v>4.9325490196078423</v>
      </c>
      <c r="P33" s="32">
        <f t="shared" ca="1" si="7"/>
        <v>3.7943137254901953</v>
      </c>
      <c r="Q33" s="32">
        <f t="shared" ca="1" si="7"/>
        <v>2.6560784313725483</v>
      </c>
      <c r="R33" s="32">
        <f t="shared" ca="1" si="7"/>
        <v>5.3578431372549016</v>
      </c>
      <c r="S33" s="32">
        <f t="shared" ca="1" si="7"/>
        <v>4.2196078431372541</v>
      </c>
      <c r="T33" s="32">
        <f t="shared" ca="1" si="7"/>
        <v>3.0813725490196071</v>
      </c>
      <c r="U33" s="32">
        <f t="shared" ca="1" si="7"/>
        <v>1.9431372549019601</v>
      </c>
      <c r="V33" s="32">
        <f t="shared" ca="1" si="7"/>
        <v>0.80490196078431309</v>
      </c>
      <c r="W33" s="32">
        <f t="shared" ca="1" si="7"/>
        <v>0</v>
      </c>
      <c r="X33" s="33">
        <f ca="1">X13+X21+X31</f>
        <v>0</v>
      </c>
      <c r="Y33" s="37">
        <f ca="1">ROUND(X33-0,1)</f>
        <v>0</v>
      </c>
    </row>
    <row r="34" spans="2:25" s="2" customFormat="1" ht="12" x14ac:dyDescent="0.2">
      <c r="Y34" s="37"/>
    </row>
    <row r="35" spans="2:25" s="2" customFormat="1" ht="11.45" customHeight="1" x14ac:dyDescent="0.2">
      <c r="B35" s="12" t="s">
        <v>20</v>
      </c>
      <c r="F35" s="106">
        <f>IF(F33&lt;0,1,0)</f>
        <v>0</v>
      </c>
      <c r="G35" s="106">
        <f t="shared" ref="G35:W35" ca="1" si="8">IF(G33&lt;0,1,0)</f>
        <v>0</v>
      </c>
      <c r="H35" s="106">
        <f t="shared" ca="1" si="8"/>
        <v>0</v>
      </c>
      <c r="I35" s="106">
        <f t="shared" ca="1" si="8"/>
        <v>0</v>
      </c>
      <c r="J35" s="106">
        <f t="shared" ca="1" si="8"/>
        <v>0</v>
      </c>
      <c r="K35" s="106">
        <f t="shared" ca="1" si="8"/>
        <v>0</v>
      </c>
      <c r="L35" s="106">
        <f t="shared" ca="1" si="8"/>
        <v>0</v>
      </c>
      <c r="M35" s="106">
        <f t="shared" ca="1" si="8"/>
        <v>0</v>
      </c>
      <c r="N35" s="106">
        <f t="shared" ca="1" si="8"/>
        <v>0</v>
      </c>
      <c r="O35" s="106">
        <f t="shared" ca="1" si="8"/>
        <v>0</v>
      </c>
      <c r="P35" s="106">
        <f t="shared" ca="1" si="8"/>
        <v>0</v>
      </c>
      <c r="Q35" s="106">
        <f t="shared" ca="1" si="8"/>
        <v>0</v>
      </c>
      <c r="R35" s="106">
        <f t="shared" ca="1" si="8"/>
        <v>0</v>
      </c>
      <c r="S35" s="106">
        <f t="shared" ca="1" si="8"/>
        <v>0</v>
      </c>
      <c r="T35" s="106">
        <f t="shared" ca="1" si="8"/>
        <v>0</v>
      </c>
      <c r="U35" s="106">
        <f t="shared" ca="1" si="8"/>
        <v>0</v>
      </c>
      <c r="V35" s="106">
        <f t="shared" ca="1" si="8"/>
        <v>0</v>
      </c>
      <c r="W35" s="106">
        <f t="shared" ca="1" si="8"/>
        <v>0</v>
      </c>
      <c r="X35" s="106">
        <f ca="1">SUM(F35:W35)</f>
        <v>0</v>
      </c>
      <c r="Y35" s="37"/>
    </row>
    <row r="36" spans="2:25" x14ac:dyDescent="0.2">
      <c r="Y36" s="37"/>
    </row>
    <row r="37" spans="2:25" x14ac:dyDescent="0.2">
      <c r="B37" s="63" t="s">
        <v>31</v>
      </c>
      <c r="C37" s="64"/>
      <c r="D37" s="64"/>
      <c r="E37" s="64"/>
      <c r="F37" s="65">
        <f>SUM($F$21:F21)/$X$21</f>
        <v>1.4583333333333334E-2</v>
      </c>
      <c r="G37" s="65">
        <f>SUM($F$21:G21)/$X$21</f>
        <v>5.857843137254902E-2</v>
      </c>
      <c r="H37" s="65">
        <f>SUM($F$21:H21)/$X$21</f>
        <v>0.12174019607843138</v>
      </c>
      <c r="I37" s="65">
        <f>SUM($F$21:I21)/$X$21</f>
        <v>0.18490196078431376</v>
      </c>
      <c r="J37" s="65">
        <f>SUM($F$21:J21)/$X$21</f>
        <v>0.24806372549019612</v>
      </c>
      <c r="K37" s="65">
        <f>SUM($F$21:K21)/$X$21</f>
        <v>0.31122549019607848</v>
      </c>
      <c r="L37" s="65">
        <f>SUM($F$21:L21)/$X$21</f>
        <v>0.3743872549019609</v>
      </c>
      <c r="M37" s="65">
        <f>SUM($F$21:M21)/$X$21</f>
        <v>0.43754901960784326</v>
      </c>
      <c r="N37" s="65">
        <f>SUM($F$21:N21)/$X$21</f>
        <v>0.49446078431372564</v>
      </c>
      <c r="O37" s="65">
        <f>SUM($F$21:O21)/$X$21</f>
        <v>0.55137254901960797</v>
      </c>
      <c r="P37" s="65">
        <f>SUM($F$21:P21)/$X$21</f>
        <v>0.60828431372549041</v>
      </c>
      <c r="Q37" s="65">
        <f>SUM($F$21:Q21)/$X$21</f>
        <v>0.66519607843137274</v>
      </c>
      <c r="R37" s="65">
        <f>SUM($F$21:R21)/$X$21</f>
        <v>0.72210784313725518</v>
      </c>
      <c r="S37" s="65">
        <f>SUM($F$21:S21)/$X$21</f>
        <v>0.77901960784313751</v>
      </c>
      <c r="T37" s="65">
        <f>SUM($F$21:T21)/$X$21</f>
        <v>0.83593137254901995</v>
      </c>
      <c r="U37" s="65">
        <f>SUM($F$21:U21)/$X$21</f>
        <v>0.89284313725490227</v>
      </c>
      <c r="V37" s="65">
        <f>SUM($F$21:V21)/$X$21</f>
        <v>0.94975490196078449</v>
      </c>
      <c r="W37" s="69">
        <f>SUM($F$21:W21)/$X$21</f>
        <v>1.0000000000000002</v>
      </c>
      <c r="Y37" s="37"/>
    </row>
    <row r="38" spans="2:25" x14ac:dyDescent="0.2">
      <c r="B38" s="66" t="s">
        <v>32</v>
      </c>
      <c r="C38" s="67"/>
      <c r="D38" s="67"/>
      <c r="E38" s="67"/>
      <c r="F38" s="68">
        <f ca="1">SUM($F$31:F31)/$X$31</f>
        <v>0.49999999999999989</v>
      </c>
      <c r="G38" s="68">
        <f ca="1">SUM($F$31:G31)/$X$31</f>
        <v>0.49999999999999989</v>
      </c>
      <c r="H38" s="68">
        <f ca="1">SUM($F$31:H31)/$X$31</f>
        <v>0.49999999999999989</v>
      </c>
      <c r="I38" s="68">
        <f ca="1">SUM($F$31:I31)/$X$31</f>
        <v>0.49999999999999989</v>
      </c>
      <c r="J38" s="68">
        <f ca="1">SUM($F$31:J31)/$X$31</f>
        <v>0.49999999999999989</v>
      </c>
      <c r="K38" s="68">
        <f ca="1">SUM($F$31:K31)/$X$31</f>
        <v>0.49999999999999989</v>
      </c>
      <c r="L38" s="68">
        <f ca="1">SUM($F$31:L31)/$X$31</f>
        <v>0.59799999999999998</v>
      </c>
      <c r="M38" s="68">
        <f ca="1">SUM($F$31:M31)/$X$31</f>
        <v>0.59799999999999998</v>
      </c>
      <c r="N38" s="68">
        <f ca="1">SUM($F$31:N31)/$X$31</f>
        <v>0.59799999999999998</v>
      </c>
      <c r="O38" s="68">
        <f ca="1">SUM($F$31:O31)/$X$31</f>
        <v>0.79799999999999993</v>
      </c>
      <c r="P38" s="68">
        <f ca="1">SUM($F$31:P31)/$X$31</f>
        <v>0.79799999999999993</v>
      </c>
      <c r="Q38" s="68">
        <f ca="1">SUM($F$31:Q31)/$X$31</f>
        <v>0.79799999999999993</v>
      </c>
      <c r="R38" s="68">
        <f ca="1">SUM($F$31:R31)/$X$31</f>
        <v>0.98999999999999988</v>
      </c>
      <c r="S38" s="68">
        <f ca="1">SUM($F$31:S31)/$X$31</f>
        <v>0.98999999999999988</v>
      </c>
      <c r="T38" s="68">
        <f ca="1">SUM($F$31:T31)/$X$31</f>
        <v>0.98999999999999988</v>
      </c>
      <c r="U38" s="68">
        <f ca="1">SUM($F$31:U31)/$X$31</f>
        <v>0.98999999999999988</v>
      </c>
      <c r="V38" s="68">
        <f ca="1">SUM($F$31:V31)/$X$31</f>
        <v>0.98999999999999988</v>
      </c>
      <c r="W38" s="70">
        <f ca="1">SUM($F$31:W31)/$X$31</f>
        <v>0.99999999999999978</v>
      </c>
    </row>
    <row r="66" spans="1:2" s="74" customFormat="1" x14ac:dyDescent="0.2">
      <c r="A66" s="94"/>
      <c r="B66" s="79" t="s">
        <v>35</v>
      </c>
    </row>
  </sheetData>
  <conditionalFormatting sqref="F35:W35">
    <cfRule type="cellIs" dxfId="3" priority="6" operator="equal">
      <formula>1</formula>
    </cfRule>
  </conditionalFormatting>
  <conditionalFormatting sqref="C3">
    <cfRule type="cellIs" dxfId="2" priority="5" operator="equal">
      <formula>1</formula>
    </cfRule>
  </conditionalFormatting>
  <conditionalFormatting sqref="C4:C5">
    <cfRule type="cellIs" dxfId="1" priority="4" operator="equal">
      <formula>1</formula>
    </cfRule>
  </conditionalFormatting>
  <conditionalFormatting sqref="X35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ignoredErrors>
    <ignoredError sqref="X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3"/>
  <sheetViews>
    <sheetView workbookViewId="0">
      <selection activeCell="F12" sqref="F12"/>
    </sheetView>
  </sheetViews>
  <sheetFormatPr defaultColWidth="9.1640625" defaultRowHeight="14.25" x14ac:dyDescent="0.2"/>
  <cols>
    <col min="1" max="1" width="9.1640625" style="1"/>
    <col min="2" max="2" width="15" style="1" bestFit="1" customWidth="1"/>
    <col min="3" max="3" width="9.1640625" style="1" bestFit="1" customWidth="1"/>
    <col min="4" max="16384" width="9.1640625" style="1"/>
  </cols>
  <sheetData>
    <row r="2" spans="2:3" ht="15" x14ac:dyDescent="0.25">
      <c r="B2" s="111" t="s">
        <v>68</v>
      </c>
      <c r="C2" s="111" t="s">
        <v>72</v>
      </c>
    </row>
    <row r="3" spans="2:3" ht="15" x14ac:dyDescent="0.25">
      <c r="B3" s="105">
        <v>44105</v>
      </c>
      <c r="C3" s="112"/>
    </row>
    <row r="4" spans="2:3" ht="15" x14ac:dyDescent="0.25">
      <c r="B4" s="105">
        <v>44136</v>
      </c>
      <c r="C4" s="112"/>
    </row>
    <row r="5" spans="2:3" ht="15" x14ac:dyDescent="0.25">
      <c r="B5" s="105">
        <v>44166</v>
      </c>
      <c r="C5" s="112">
        <v>1</v>
      </c>
    </row>
    <row r="6" spans="2:3" ht="15" x14ac:dyDescent="0.25">
      <c r="B6" s="105">
        <v>44197</v>
      </c>
      <c r="C6" s="112"/>
    </row>
    <row r="7" spans="2:3" ht="15" x14ac:dyDescent="0.25">
      <c r="B7" s="105">
        <v>44228</v>
      </c>
      <c r="C7" s="112"/>
    </row>
    <row r="8" spans="2:3" ht="15" x14ac:dyDescent="0.25">
      <c r="B8" s="105">
        <v>44256</v>
      </c>
      <c r="C8" s="112">
        <v>1</v>
      </c>
    </row>
    <row r="9" spans="2:3" ht="15" x14ac:dyDescent="0.25">
      <c r="B9" s="105">
        <v>44287</v>
      </c>
      <c r="C9" s="112"/>
    </row>
    <row r="10" spans="2:3" ht="15" x14ac:dyDescent="0.25">
      <c r="B10" s="105">
        <v>44317</v>
      </c>
      <c r="C10" s="112"/>
    </row>
    <row r="11" spans="2:3" ht="15" x14ac:dyDescent="0.25">
      <c r="B11" s="105">
        <v>44348</v>
      </c>
      <c r="C11" s="112">
        <v>1</v>
      </c>
    </row>
    <row r="12" spans="2:3" ht="15" x14ac:dyDescent="0.25">
      <c r="B12" s="105">
        <v>44378</v>
      </c>
      <c r="C12" s="112"/>
    </row>
    <row r="13" spans="2:3" ht="15" x14ac:dyDescent="0.25">
      <c r="B13" s="105">
        <v>44409</v>
      </c>
      <c r="C13" s="112"/>
    </row>
    <row r="14" spans="2:3" ht="15" x14ac:dyDescent="0.25">
      <c r="B14" s="105">
        <v>44440</v>
      </c>
      <c r="C14" s="112">
        <v>1</v>
      </c>
    </row>
    <row r="15" spans="2:3" ht="15" x14ac:dyDescent="0.25">
      <c r="B15" s="105">
        <v>44470</v>
      </c>
      <c r="C15" s="112"/>
    </row>
    <row r="16" spans="2:3" ht="15" x14ac:dyDescent="0.25">
      <c r="B16" s="105">
        <v>44501</v>
      </c>
      <c r="C16" s="112"/>
    </row>
    <row r="17" spans="2:3" ht="15" x14ac:dyDescent="0.25">
      <c r="B17" s="105">
        <v>44531</v>
      </c>
      <c r="C17" s="112">
        <v>1</v>
      </c>
    </row>
    <row r="18" spans="2:3" ht="15" x14ac:dyDescent="0.25">
      <c r="B18" s="105">
        <v>44562</v>
      </c>
      <c r="C18" s="112"/>
    </row>
    <row r="19" spans="2:3" ht="15" x14ac:dyDescent="0.25">
      <c r="B19" s="105">
        <v>44593</v>
      </c>
      <c r="C19" s="112"/>
    </row>
    <row r="20" spans="2:3" ht="15" x14ac:dyDescent="0.25">
      <c r="B20" s="105">
        <v>44621</v>
      </c>
      <c r="C20" s="112">
        <v>1</v>
      </c>
    </row>
    <row r="21" spans="2:3" x14ac:dyDescent="0.2">
      <c r="B21" s="104"/>
    </row>
    <row r="22" spans="2:3" x14ac:dyDescent="0.2">
      <c r="B22" s="104"/>
    </row>
    <row r="23" spans="2:3" x14ac:dyDescent="0.2">
      <c r="B23" s="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</vt:lpstr>
      <vt:lpstr>Input</vt:lpstr>
      <vt:lpstr>Output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Rountree</dc:creator>
  <cp:lastModifiedBy>Teo McArthur (Crown Infrastructure)</cp:lastModifiedBy>
  <dcterms:created xsi:type="dcterms:W3CDTF">2016-02-10T02:15:17Z</dcterms:created>
  <dcterms:modified xsi:type="dcterms:W3CDTF">2020-09-24T00:04:11Z</dcterms:modified>
</cp:coreProperties>
</file>