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207" documentId="8_{FF64ECD2-0EF2-4B6A-9FE2-EE344652C568}" xr6:coauthVersionLast="47" xr6:coauthVersionMax="47" xr10:uidLastSave="{60A104D1-2951-46B2-874A-934DF3D2AD6B}"/>
  <bookViews>
    <workbookView xWindow="1290" yWindow="-110" windowWidth="37220" windowHeight="21820" tabRatio="796"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<sst xmlns="http://schemas.openxmlformats.org/spreadsheetml/2006/main" count="277" uniqueCount="204">
  <si>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</si>
  <si>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</si>
  <si>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</si>
  <si>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</si>
  <si>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</si>
  <si>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</si>
  <si>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</si>
  <si>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</si>
  <si>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</si>
  <si>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</si>
  <si>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</si>
  <si>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</si>
  <si>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</si>
  <si>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</si>
  <si>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</si>
  <si>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</si>
  <si>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</si>
  <si>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</si>
  <si>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</si>
  <si>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</si>
  <si>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</si>
  <si>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</si>
  <si>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</si>
  <si>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</si>
  <si>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</si>
  <si>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</si>
  <si>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</si>
  <si>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</si>
  <si>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</si>
  <si>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</si>
  <si>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</si>
  <si>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</si>
  <si>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</si>
  <si>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</si>
  <si>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</si>
  <si>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</si>
  <si>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</si>
  <si>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</si>
  <si>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</si>
  <si>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</si>
  <si>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</si>
  <si>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</si>
  <si>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</si>
  <si>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</si>
  <si>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</si>
  <si>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</si>
  <si>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</si>
  <si>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</si>
  <si>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</si>
  <si>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</si>
  <si>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</si>
  <si>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</si>
  <si>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</si>
  <si>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</si>
  <si>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</si>
  <si>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</si>
  <si>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</si>
  <si>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</si>
  <si>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</si>
  <si>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</si>
  <si>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</si>
  <si>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</si>
  <si>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</si>
  <si>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</si>
  <si>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</si>
  <si>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</si>
  <si>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</si>
  <si>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</si>
  <si>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</si>
  <si>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</si>
  <si>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</si>
  <si>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</si>
  <si>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</si>
  <si>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</si>
  <si>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</si>
  <si>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</si>
  <si>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</si>
  <si>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</si>
  <si>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</si>
  <si>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</si>
  <si>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</si>
  <si>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</si>
  <si>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</si>
  <si>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</si>
  <si>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</si>
  <si>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</si>
  <si>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</si>
  <si>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</si>
  <si>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</si>
  <si>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</si>
  <si>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</si>
  <si>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</si>
  <si>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</si>
  <si>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</si>
  <si>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</si>
  <si>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</si>
  <si>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</si>
  <si>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</si>
  <si>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</si>
  <si>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</si>
  <si>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</si>
  <si>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</si>
  <si>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</si>
  <si>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</si>
  <si>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</si>
  <si>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</si>
  <si>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</si>
  <si>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</si>
  <si>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</si>
  <si>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</si>
  <si>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</si>
  <si>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</si>
  <si>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</si>
  <si>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</si>
  <si>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</si>
  <si>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</si>
  <si>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</si>
  <si>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</si>
  <si>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</si>
  <si>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</si>
  <si>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</si>
  <si>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</si>
  <si>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</si>
  <si>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</si>
  <si>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</si>
  <si>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</si>
  <si>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</si>
  <si>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</si>
  <si>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</si>
  <si>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</si>
  <si>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</si>
  <si>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</si>
  <si>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</si>
  <si>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</si>
  <si>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</si>
  <si>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</si>
  <si>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F10; Lines F10.62 + F10.70</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</si>
  <si>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</si>
  <si>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</si>
  <si>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</si>
  <si>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</si>
  <si>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</si>
  <si>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</si>
  <si>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</si>
  <si>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</si>
  <si>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</si>
  <si>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</si>
  <si>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</si>
  <si>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</si>
  <si>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</si>
  <si>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</si>
  <si>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</si>
  <si>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</si>
  <si>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</si>
  <si>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</si>
  <si>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</si>
  <si>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</si>
  <si>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</si>
  <si>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</si>
  <si>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</si>
  <si>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</si>
  <si>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</si>
  <si>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</si>
  <si>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</si>
  <si>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</si>
  <si>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</si>
  <si>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</si>
  <si>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</si>
  <si>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</si>
  <si>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</si>
  <si>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</si>
  <si>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</si>
  <si>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</si>
  <si>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</si>
  <si>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</si>
  <si>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</si>
  <si>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</si>
  <si>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</si>
  <si>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</si>
  <si>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</si>
  <si>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</si>
  <si>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</si>
  <si>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</si>
  <si>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</si>
  <si>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</si>
  <si>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</si>
  <si>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</si>
  <si>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</si>
  <si>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</si>
  <si>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</si>
  <si>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</si>
  <si>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</si>
  <si>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</si>
  <si>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</si>
  <si>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</si>
  <si>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</si>
  <si>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</si>
  <si>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RFI Table G1; Line G1.3 (adjusted for projected inflation in RFI Table G5)</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</si>
  <si>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</si>
  <si>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</si>
  <si>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</si>
  <si>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</si>
  <si>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</si>
  <si>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Ōtorohanga Stand-alone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</si>
</sst>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10" fillId="0" borderId="0" xfId="0" applyNumberFormat="1" applyFont="1" applyFill="1" applyAlignment="1">
      <alignment vertical="top" wrapText="1"/>
    </xf>
    <xf numFmtId="0" fontId="18" fillId="0" borderId="0" xfId="0" applyFont="1" applyAlignment="1">
      <alignment horizontal="left" vertical="center" wrapText="1"/>
    </xf>
    <xf numFmtId="0" fontId="0" fillId="0" borderId="0" xfId="0" applyAlignment="1">
      <alignment horizontal="right"/>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203</v>
      </c>
      <c r="C2" s="171"/>
      <c r="D2" s="60"/>
      <c r="E2" s="14"/>
      <c r="F2" s="60"/>
    </row>
    <row r="3" spans="1:6" x14ac:dyDescent="0.35">
      <c r="C3" s="14"/>
      <c r="D3" s="14"/>
    </row>
    <row r="4" spans="1:6" x14ac:dyDescent="0.35">
      <c r="A4" s="14" t="s">
        <v>158</v>
      </c>
      <c r="B4" s="14"/>
      <c r="D4" s="14"/>
    </row>
    <row r="6" spans="1:6" ht="21" x14ac:dyDescent="0.5">
      <c r="A6" s="15" t="s">
        <v>167</v>
      </c>
    </row>
    <row r="7" spans="1:6" ht="241" customHeight="1" x14ac:dyDescent="0.35">
      <c r="A7" s="107">
        <v>1</v>
      </c>
      <c r="B7" s="104" t="s">
        <v>168</v>
      </c>
    </row>
    <row r="8" spans="1:6" ht="408" customHeight="1" x14ac:dyDescent="0.35">
      <c r="A8" s="107">
        <v>2</v>
      </c>
      <c r="B8" s="104" t="s">
        <v>188</v>
      </c>
    </row>
    <row r="9" spans="1:6" ht="195.5" customHeight="1" x14ac:dyDescent="0.35">
      <c r="A9" s="107">
        <f>A8+1</f>
        <v>3</v>
      </c>
      <c r="B9" s="105" t="s">
        <v>172</v>
      </c>
    </row>
    <row r="10" spans="1:6" ht="236" customHeight="1" x14ac:dyDescent="0.35">
      <c r="A10" s="107">
        <v>4</v>
      </c>
      <c r="B10" s="105" t="s">
        <v>173</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164</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70216000.000000015</v>
      </c>
      <c r="C6" s="12">
        <f ca="1">B6+Depreciation!C18+'Cash Flow'!C13</f>
        <v>71630054.621687472</v>
      </c>
      <c r="D6" s="1">
        <f ca="1">C6+Depreciation!D18</f>
        <v>82228305.431728393</v>
      </c>
      <c r="E6" s="1">
        <f ca="1">D6+Depreciation!E18</f>
        <v>93390942.006006405</v>
      </c>
      <c r="F6" s="1">
        <f ca="1">E6+Depreciation!F18</f>
        <v>105143232.42460319</v>
      </c>
      <c r="G6" s="1">
        <f ca="1">F6+Depreciation!G18</f>
        <v>117511483.9937031</v>
      </c>
      <c r="H6" s="1">
        <f ca="1">G6+Depreciation!H18</f>
        <v>130523083.88154967</v>
      </c>
      <c r="I6" s="1">
        <f ca="1">H6+Depreciation!I18</f>
        <v>144206541.29093596</v>
      </c>
      <c r="J6" s="1">
        <f ca="1">I6+Depreciation!J18</f>
        <v>158591531.22495532</v>
      </c>
      <c r="K6" s="1">
        <f ca="1">J6+Depreciation!K18</f>
        <v>173708939.90479708</v>
      </c>
      <c r="L6" s="1">
        <f ca="1">K6+Depreciation!L18</f>
        <v>189590911.90050143</v>
      </c>
      <c r="M6" s="1">
        <f ca="1">L6+Depreciation!M18</f>
        <v>206270899.03779542</v>
      </c>
      <c r="N6" s="1">
        <f ca="1">M6+Depreciation!N18</f>
        <v>223783711.1464172</v>
      </c>
      <c r="O6" s="1">
        <f ca="1">N6+Depreciation!O18</f>
        <v>242165568.71770313</v>
      </c>
      <c r="P6" s="1">
        <f ca="1">O6+Depreciation!P18</f>
        <v>261454157.54166451</v>
      </c>
      <c r="Q6" s="1">
        <f ca="1">P6+Depreciation!Q18</f>
        <v>281688685.39631957</v>
      </c>
      <c r="R6" s="1">
        <f ca="1">Q6+Depreciation!R18</f>
        <v>302909940.86467695</v>
      </c>
      <c r="S6" s="1">
        <f ca="1">R6+Depreciation!S18</f>
        <v>325160354.35749048</v>
      </c>
      <c r="T6" s="1">
        <f ca="1">S6+Depreciation!T18</f>
        <v>348484061.42272568</v>
      </c>
      <c r="U6" s="1">
        <f ca="1">T6+Depreciation!U18</f>
        <v>372926968.42560095</v>
      </c>
      <c r="V6" s="1">
        <f ca="1">U6+Depreciation!V18</f>
        <v>398536820.68609047</v>
      </c>
      <c r="W6" s="1">
        <f ca="1">V6+Depreciation!W18</f>
        <v>425363273.16391057</v>
      </c>
      <c r="X6" s="1">
        <f ca="1">W6+Depreciation!X18</f>
        <v>453457963.78425568</v>
      </c>
      <c r="Y6" s="1">
        <f ca="1">X6+Depreciation!Y18</f>
        <v>482874589.5009101</v>
      </c>
      <c r="Z6" s="1">
        <f ca="1">Y6+Depreciation!Z18</f>
        <v>513668985.19684237</v>
      </c>
      <c r="AA6" s="1">
        <f ca="1">Z6+Depreciation!AA18</f>
        <v>545899205.52599251</v>
      </c>
      <c r="AB6" s="1">
        <f ca="1">AA6+Depreciation!AB18</f>
        <v>579625609.80369377</v>
      </c>
      <c r="AC6" s="1">
        <f ca="1">AB6+Depreciation!AC18</f>
        <v>614910950.05703628</v>
      </c>
      <c r="AD6" s="1">
        <f ca="1">AC6+Depreciation!AD18</f>
        <v>651820462.35048079</v>
      </c>
      <c r="AE6" s="1">
        <f ca="1">AD6+Depreciation!AE18</f>
        <v>690421961.50617445</v>
      </c>
      <c r="AF6" s="1"/>
      <c r="AG6" s="1"/>
      <c r="AH6" s="1"/>
      <c r="AI6" s="1"/>
      <c r="AJ6" s="1"/>
      <c r="AK6" s="1"/>
      <c r="AL6" s="1"/>
      <c r="AM6" s="1"/>
      <c r="AN6" s="1"/>
      <c r="AO6" s="1"/>
      <c r="AP6" s="1"/>
    </row>
    <row r="7" spans="1:42" x14ac:dyDescent="0.35">
      <c r="A7" t="s">
        <v>12</v>
      </c>
      <c r="B7" s="1">
        <f>Depreciation!C12</f>
        <v>36354057.053946644</v>
      </c>
      <c r="C7" s="1">
        <f>Depreciation!D12</f>
        <v>37858245.431987569</v>
      </c>
      <c r="D7" s="1">
        <f>Depreciation!E12</f>
        <v>39635809.576441579</v>
      </c>
      <c r="E7" s="1">
        <f>Depreciation!F12</f>
        <v>41702705.24746</v>
      </c>
      <c r="F7" s="1">
        <f>Depreciation!G12</f>
        <v>44075629.43705903</v>
      </c>
      <c r="G7" s="1">
        <f>Depreciation!H12</f>
        <v>46772051.469260707</v>
      </c>
      <c r="H7" s="1">
        <f>Depreciation!I12</f>
        <v>49810245.331621446</v>
      </c>
      <c r="I7" s="1">
        <f>Depreciation!J12</f>
        <v>53209323.285110459</v>
      </c>
      <c r="J7" s="1">
        <f>Depreciation!K12</f>
        <v>56989270.801044896</v>
      </c>
      <c r="K7" s="1">
        <f>Depreciation!L12</f>
        <v>61170982.875596896</v>
      </c>
      <c r="L7" s="1">
        <f>Depreciation!M12</f>
        <v>65776301.774261661</v>
      </c>
      <c r="M7" s="1">
        <f>Depreciation!N12</f>
        <v>70828056.260618061</v>
      </c>
      <c r="N7" s="1">
        <f>Depreciation!O12</f>
        <v>76350102.365726143</v>
      </c>
      <c r="O7" s="1">
        <f>Depreciation!P12</f>
        <v>82367365.756591976</v>
      </c>
      <c r="P7" s="1">
        <f>Depreciation!Q12</f>
        <v>88905885.764292419</v>
      </c>
      <c r="Q7" s="1">
        <f>Depreciation!R12</f>
        <v>95992861.134592652</v>
      </c>
      <c r="R7" s="1">
        <f>Depreciation!S12</f>
        <v>103656697.56621118</v>
      </c>
      <c r="S7" s="1">
        <f>Depreciation!T12</f>
        <v>111927057.10429317</v>
      </c>
      <c r="T7" s="1">
        <f>Depreciation!U12</f>
        <v>120834909.45914631</v>
      </c>
      <c r="U7" s="1">
        <f>Depreciation!V12</f>
        <v>130412585.32287697</v>
      </c>
      <c r="V7" s="1">
        <f>Depreciation!W12</f>
        <v>140693831.75924194</v>
      </c>
      <c r="W7" s="1">
        <f>Depreciation!X12</f>
        <v>151713869.74480534</v>
      </c>
      <c r="X7" s="1">
        <f>Depreciation!Y12</f>
        <v>163509453.94236502</v>
      </c>
      <c r="Y7" s="1">
        <f>Depreciation!Z12</f>
        <v>176118934.79059157</v>
      </c>
      <c r="Z7" s="1">
        <f>Depreciation!AA12</f>
        <v>189582322.99690935</v>
      </c>
      <c r="AA7" s="1">
        <f>Depreciation!AB12</f>
        <v>203941356.52384761</v>
      </c>
      <c r="AB7" s="1">
        <f>Depreciation!AC12</f>
        <v>219239570.16240278</v>
      </c>
      <c r="AC7" s="1">
        <f>Depreciation!AD12</f>
        <v>235522367.78938678</v>
      </c>
      <c r="AD7" s="1">
        <f>Depreciation!AE12</f>
        <v>252837097.40929317</v>
      </c>
      <c r="AE7" s="1">
        <f>Depreciation!AF12</f>
        <v>271233129.08489895</v>
      </c>
      <c r="AF7" s="1"/>
      <c r="AG7" s="1"/>
      <c r="AH7" s="1"/>
      <c r="AI7" s="1"/>
      <c r="AJ7" s="1"/>
      <c r="AK7" s="1"/>
      <c r="AL7" s="1"/>
      <c r="AM7" s="1"/>
      <c r="AN7" s="1"/>
      <c r="AO7" s="1"/>
      <c r="AP7" s="1"/>
    </row>
    <row r="8" spans="1:42" x14ac:dyDescent="0.35">
      <c r="A8" t="s">
        <v>190</v>
      </c>
      <c r="B8" s="1">
        <f t="shared" ref="B8:AE8" si="1">B6-B7</f>
        <v>33861942.946053371</v>
      </c>
      <c r="C8" s="1">
        <f t="shared" ca="1" si="1"/>
        <v>33771809.189699903</v>
      </c>
      <c r="D8" s="1">
        <f ca="1">D6-D7</f>
        <v>42592495.855286814</v>
      </c>
      <c r="E8" s="1">
        <f t="shared" ca="1" si="1"/>
        <v>51688236.758546405</v>
      </c>
      <c r="F8" s="1">
        <f t="shared" ca="1" si="1"/>
        <v>61067602.987544164</v>
      </c>
      <c r="G8" s="1">
        <f t="shared" ca="1" si="1"/>
        <v>70739432.52444239</v>
      </c>
      <c r="H8" s="1">
        <f t="shared" ca="1" si="1"/>
        <v>80712838.549928218</v>
      </c>
      <c r="I8" s="1">
        <f t="shared" ca="1" si="1"/>
        <v>90997218.005825505</v>
      </c>
      <c r="J8" s="1">
        <f t="shared" ca="1" si="1"/>
        <v>101602260.42391042</v>
      </c>
      <c r="K8" s="1">
        <f t="shared" ca="1" si="1"/>
        <v>112537957.02920018</v>
      </c>
      <c r="L8" s="1">
        <f t="shared" ca="1" si="1"/>
        <v>123814610.12623978</v>
      </c>
      <c r="M8" s="1">
        <f t="shared" ca="1" si="1"/>
        <v>135442842.77717736</v>
      </c>
      <c r="N8" s="1">
        <f t="shared" ca="1" si="1"/>
        <v>147433608.78069106</v>
      </c>
      <c r="O8" s="1">
        <f t="shared" ca="1" si="1"/>
        <v>159798202.96111116</v>
      </c>
      <c r="P8" s="1">
        <f t="shared" ca="1" si="1"/>
        <v>172548271.77737209</v>
      </c>
      <c r="Q8" s="1">
        <f t="shared" ca="1" si="1"/>
        <v>185695824.26172692</v>
      </c>
      <c r="R8" s="1">
        <f t="shared" ca="1" si="1"/>
        <v>199253243.29846579</v>
      </c>
      <c r="S8" s="1">
        <f t="shared" ca="1" si="1"/>
        <v>213233297.25319731</v>
      </c>
      <c r="T8" s="1">
        <f t="shared" ca="1" si="1"/>
        <v>227649151.96357936</v>
      </c>
      <c r="U8" s="1">
        <f t="shared" ca="1" si="1"/>
        <v>242514383.10272396</v>
      </c>
      <c r="V8" s="1">
        <f t="shared" ca="1" si="1"/>
        <v>257842988.92684853</v>
      </c>
      <c r="W8" s="1">
        <f t="shared" ca="1" si="1"/>
        <v>273649403.41910523</v>
      </c>
      <c r="X8" s="1">
        <f t="shared" ca="1" si="1"/>
        <v>289948509.84189069</v>
      </c>
      <c r="Y8" s="1">
        <f t="shared" ca="1" si="1"/>
        <v>306755654.71031857</v>
      </c>
      <c r="Z8" s="1">
        <f t="shared" ca="1" si="1"/>
        <v>324086662.19993305</v>
      </c>
      <c r="AA8" s="1">
        <f t="shared" ca="1" si="1"/>
        <v>341957849.00214493</v>
      </c>
      <c r="AB8" s="1">
        <f t="shared" ca="1" si="1"/>
        <v>360386039.64129102</v>
      </c>
      <c r="AC8" s="1">
        <f t="shared" ca="1" si="1"/>
        <v>379388582.26764953</v>
      </c>
      <c r="AD8" s="1">
        <f t="shared" ca="1" si="1"/>
        <v>398983364.94118762</v>
      </c>
      <c r="AE8" s="1">
        <f t="shared" ca="1" si="1"/>
        <v>419188832.4212755</v>
      </c>
      <c r="AF8" s="1"/>
      <c r="AG8" s="1"/>
      <c r="AH8" s="1"/>
      <c r="AI8" s="1"/>
      <c r="AJ8" s="1"/>
      <c r="AK8" s="1"/>
      <c r="AL8" s="1"/>
      <c r="AM8" s="1"/>
      <c r="AN8" s="1"/>
      <c r="AO8" s="1"/>
      <c r="AP8" s="1"/>
    </row>
    <row r="10" spans="1:42" x14ac:dyDescent="0.35">
      <c r="A10" t="s">
        <v>17</v>
      </c>
      <c r="B10" s="1">
        <f>B8-B11</f>
        <v>31002942.946053371</v>
      </c>
      <c r="C10" s="1">
        <f ca="1">C8-C11</f>
        <v>22268730.757440735</v>
      </c>
      <c r="D10" s="1">
        <f ca="1">D8-D11</f>
        <v>22988379.511906996</v>
      </c>
      <c r="E10" s="1">
        <f t="shared" ref="E10:AE10" ca="1" si="2">E8-E11</f>
        <v>25266801.70160228</v>
      </c>
      <c r="F10" s="1">
        <f t="shared" ca="1" si="2"/>
        <v>29163360.26458209</v>
      </c>
      <c r="G10" s="1">
        <f ca="1">G8-G11</f>
        <v>34349837.396459304</v>
      </c>
      <c r="H10" s="1">
        <f t="shared" ca="1" si="2"/>
        <v>40465711.996947713</v>
      </c>
      <c r="I10" s="1">
        <f t="shared" ca="1" si="2"/>
        <v>47141929.173653826</v>
      </c>
      <c r="J10" s="1">
        <f t="shared" ca="1" si="2"/>
        <v>54331830.999471575</v>
      </c>
      <c r="K10" s="1">
        <f t="shared" ca="1" si="2"/>
        <v>61952476.1468447</v>
      </c>
      <c r="L10" s="1">
        <f t="shared" ca="1" si="2"/>
        <v>69881440.686629534</v>
      </c>
      <c r="M10" s="1">
        <f t="shared" ca="1" si="2"/>
        <v>78170517.123158947</v>
      </c>
      <c r="N10" s="1">
        <f t="shared" ca="1" si="2"/>
        <v>86647108.565999389</v>
      </c>
      <c r="O10" s="1">
        <f t="shared" ca="1" si="2"/>
        <v>95338304.146538034</v>
      </c>
      <c r="P10" s="1">
        <f t="shared" ca="1" si="2"/>
        <v>104274765.90967631</v>
      </c>
      <c r="Q10" s="1">
        <f t="shared" ca="1" si="2"/>
        <v>113491069.45541514</v>
      </c>
      <c r="R10" s="1">
        <f t="shared" ca="1" si="2"/>
        <v>123026071.69233339</v>
      </c>
      <c r="S10" s="1">
        <f t="shared" ca="1" si="2"/>
        <v>132768656.3093988</v>
      </c>
      <c r="T10" s="1">
        <f t="shared" ca="1" si="2"/>
        <v>142744041.18300658</v>
      </c>
      <c r="U10" s="1">
        <f t="shared" ca="1" si="2"/>
        <v>152980622.01071608</v>
      </c>
      <c r="V10" s="1">
        <f t="shared" ca="1" si="2"/>
        <v>163510264.24138749</v>
      </c>
      <c r="W10" s="1">
        <f t="shared" ca="1" si="2"/>
        <v>174368617.26437896</v>
      </c>
      <c r="X10" s="1">
        <f t="shared" ca="1" si="2"/>
        <v>185595452.37804428</v>
      </c>
      <c r="Y10" s="1">
        <f t="shared" ca="1" si="2"/>
        <v>197235026.15467143</v>
      </c>
      <c r="Z10" s="1">
        <f t="shared" ca="1" si="2"/>
        <v>209336470.92181483</v>
      </c>
      <c r="AA10" s="1">
        <f t="shared" ca="1" si="2"/>
        <v>221954214.18903068</v>
      </c>
      <c r="AB10" s="1">
        <f t="shared" ca="1" si="2"/>
        <v>234647442.32342565</v>
      </c>
      <c r="AC10" s="1">
        <f t="shared" ca="1" si="2"/>
        <v>247414338.90831086</v>
      </c>
      <c r="AD10" s="1">
        <f t="shared" ca="1" si="2"/>
        <v>260089517.13375506</v>
      </c>
      <c r="AE10" s="1">
        <f t="shared" ca="1" si="2"/>
        <v>272652090.23277563</v>
      </c>
      <c r="AF10" s="1"/>
      <c r="AG10" s="1"/>
      <c r="AH10" s="1"/>
      <c r="AI10" s="1"/>
      <c r="AJ10" s="1"/>
      <c r="AK10" s="1"/>
      <c r="AL10" s="1"/>
      <c r="AM10" s="1"/>
      <c r="AN10" s="1"/>
      <c r="AO10" s="1"/>
    </row>
    <row r="11" spans="1:42" x14ac:dyDescent="0.35">
      <c r="A11" t="s">
        <v>9</v>
      </c>
      <c r="B11" s="1">
        <f>Assumptions!$C$20</f>
        <v>2859000</v>
      </c>
      <c r="C11" s="1">
        <f ca="1">'Debt worksheet'!D5</f>
        <v>11503078.432259168</v>
      </c>
      <c r="D11" s="1">
        <f ca="1">'Debt worksheet'!E5</f>
        <v>19604116.343379818</v>
      </c>
      <c r="E11" s="1">
        <f ca="1">'Debt worksheet'!F5</f>
        <v>26421435.056944124</v>
      </c>
      <c r="F11" s="1">
        <f ca="1">'Debt worksheet'!G5</f>
        <v>31904242.722962074</v>
      </c>
      <c r="G11" s="1">
        <f ca="1">'Debt worksheet'!H5</f>
        <v>36389595.127983086</v>
      </c>
      <c r="H11" s="1">
        <f ca="1">'Debt worksheet'!I5</f>
        <v>40247126.552980505</v>
      </c>
      <c r="I11" s="1">
        <f ca="1">'Debt worksheet'!J5</f>
        <v>43855288.832171679</v>
      </c>
      <c r="J11" s="1">
        <f ca="1">'Debt worksheet'!K5</f>
        <v>47270429.424438849</v>
      </c>
      <c r="K11" s="1">
        <f ca="1">'Debt worksheet'!L5</f>
        <v>50585480.882355481</v>
      </c>
      <c r="L11" s="1">
        <f ca="1">'Debt worksheet'!M5</f>
        <v>53933169.439610235</v>
      </c>
      <c r="M11" s="1">
        <f ca="1">'Debt worksheet'!N5</f>
        <v>57272325.654018417</v>
      </c>
      <c r="N11" s="1">
        <f ca="1">'Debt worksheet'!O5</f>
        <v>60786500.214691676</v>
      </c>
      <c r="O11" s="1">
        <f ca="1">'Debt worksheet'!P5</f>
        <v>64459898.814573124</v>
      </c>
      <c r="P11" s="1">
        <f ca="1">'Debt worksheet'!Q5</f>
        <v>68273505.867695779</v>
      </c>
      <c r="Q11" s="1">
        <f ca="1">'Debt worksheet'!R5</f>
        <v>72204754.806311771</v>
      </c>
      <c r="R11" s="1">
        <f ca="1">'Debt worksheet'!S5</f>
        <v>76227171.606132403</v>
      </c>
      <c r="S11" s="1">
        <f ca="1">'Debt worksheet'!T5</f>
        <v>80464640.943798512</v>
      </c>
      <c r="T11" s="1">
        <f ca="1">'Debt worksheet'!U5</f>
        <v>84905110.780572787</v>
      </c>
      <c r="U11" s="1">
        <f ca="1">'Debt worksheet'!V5</f>
        <v>89533761.092007875</v>
      </c>
      <c r="V11" s="1">
        <f ca="1">'Debt worksheet'!W5</f>
        <v>94332724.685461059</v>
      </c>
      <c r="W11" s="1">
        <f ca="1">'Debt worksheet'!X5</f>
        <v>99280786.154726267</v>
      </c>
      <c r="X11" s="1">
        <f ca="1">'Debt worksheet'!Y5</f>
        <v>104353057.46384642</v>
      </c>
      <c r="Y11" s="1">
        <f ca="1">'Debt worksheet'!Z5</f>
        <v>109520628.55564715</v>
      </c>
      <c r="Z11" s="1">
        <f ca="1">'Debt worksheet'!AA5</f>
        <v>114750191.27811822</v>
      </c>
      <c r="AA11" s="1">
        <f ca="1">'Debt worksheet'!AB5</f>
        <v>120003634.81311426</v>
      </c>
      <c r="AB11" s="1">
        <f ca="1">'Debt worksheet'!AC5</f>
        <v>125738597.31786539</v>
      </c>
      <c r="AC11" s="1">
        <f ca="1">'Debt worksheet'!AD5</f>
        <v>131974243.35933867</v>
      </c>
      <c r="AD11" s="1">
        <f ca="1">'Debt worksheet'!AE5</f>
        <v>138893847.80743256</v>
      </c>
      <c r="AE11" s="1">
        <f ca="1">'Debt worksheet'!AF5</f>
        <v>146536742.18849987</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165</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167997.56774083036</v>
      </c>
      <c r="D5" s="4">
        <f ca="1">'Profit and Loss'!D9</f>
        <v>993024.5208793506</v>
      </c>
      <c r="E5" s="4">
        <f ca="1">'Profit and Loss'!E9</f>
        <v>2567753.7162596933</v>
      </c>
      <c r="F5" s="4">
        <f ca="1">'Profit and Loss'!F9</f>
        <v>4202587.0815604161</v>
      </c>
      <c r="G5" s="4">
        <f ca="1">'Profit and Loss'!G9</f>
        <v>5509974.9744798681</v>
      </c>
      <c r="H5" s="4">
        <f ca="1">'Profit and Loss'!H9</f>
        <v>6457646.4306474868</v>
      </c>
      <c r="I5" s="4">
        <f ca="1">'Profit and Loss'!I9</f>
        <v>7037101.2678343691</v>
      </c>
      <c r="J5" s="4">
        <f ca="1">'Profit and Loss'!J9</f>
        <v>7570771.3882631864</v>
      </c>
      <c r="K5" s="4">
        <f ca="1">'Profit and Loss'!K9</f>
        <v>8022409.7059906991</v>
      </c>
      <c r="L5" s="4">
        <f ca="1">'Profit and Loss'!L9</f>
        <v>8352571.3638976105</v>
      </c>
      <c r="M5" s="4">
        <f ca="1">'Profit and Loss'!M9</f>
        <v>8735512.0242210571</v>
      </c>
      <c r="N5" s="4">
        <f ca="1">'Profit and Loss'!N9</f>
        <v>8946883.061592117</v>
      </c>
      <c r="O5" s="4">
        <f ca="1">'Profit and Loss'!O9</f>
        <v>9186412.866296418</v>
      </c>
      <c r="P5" s="4">
        <f ca="1">'Profit and Loss'!P9</f>
        <v>9457718.3799729049</v>
      </c>
      <c r="Q5" s="4">
        <f ca="1">'Profit and Loss'!Q9</f>
        <v>9764758.9083386213</v>
      </c>
      <c r="R5" s="4">
        <f ca="1">'Profit and Loss'!R9</f>
        <v>10111863.298236527</v>
      </c>
      <c r="S5" s="4">
        <f ca="1">'Profit and Loss'!S9</f>
        <v>10349107.723528886</v>
      </c>
      <c r="T5" s="4">
        <f ca="1">'Profit and Loss'!T9</f>
        <v>10612877.690378958</v>
      </c>
      <c r="U5" s="4">
        <f ca="1">'Profit and Loss'!U9</f>
        <v>10906404.336587053</v>
      </c>
      <c r="V5" s="4">
        <f ca="1">'Profit and Loss'!V9</f>
        <v>11233212.803305659</v>
      </c>
      <c r="W5" s="4">
        <f ca="1">'Profit and Loss'!W9</f>
        <v>11597144.572189927</v>
      </c>
      <c r="X5" s="4">
        <f ca="1">'Profit and Loss'!X9</f>
        <v>12002381.325661549</v>
      </c>
      <c r="Y5" s="4">
        <f ca="1">'Profit and Loss'!Y9</f>
        <v>12453470.427293964</v>
      </c>
      <c r="Z5" s="4">
        <f ca="1">'Profit and Loss'!Z9</f>
        <v>12955352.12523466</v>
      </c>
      <c r="AA5" s="4">
        <f ca="1">'Profit and Loss'!AA9</f>
        <v>13513388.587836292</v>
      </c>
      <c r="AB5" s="4">
        <f ca="1">'Profit and Loss'!AB9</f>
        <v>13632408.246011823</v>
      </c>
      <c r="AC5" s="4">
        <f ca="1">'Profit and Loss'!AC9</f>
        <v>13751480.573314086</v>
      </c>
      <c r="AD5" s="4">
        <f ca="1">'Profit and Loss'!AD9</f>
        <v>13707110.218366668</v>
      </c>
      <c r="AE5" s="4">
        <f ca="1">'Profit and Loss'!AE9</f>
        <v>13643875.154719997</v>
      </c>
      <c r="AF5" s="4">
        <f ca="1">'Profit and Loss'!AF9</f>
        <v>13560872.196688628</v>
      </c>
      <c r="AG5" s="4"/>
      <c r="AH5" s="4"/>
      <c r="AI5" s="4"/>
      <c r="AJ5" s="4"/>
      <c r="AK5" s="4"/>
      <c r="AL5" s="4"/>
      <c r="AM5" s="4"/>
      <c r="AN5" s="4"/>
      <c r="AO5" s="4"/>
      <c r="AP5" s="4"/>
    </row>
    <row r="6" spans="1:42" x14ac:dyDescent="0.35">
      <c r="A6" t="s">
        <v>21</v>
      </c>
      <c r="C6" s="4">
        <f>Depreciation!C8+Depreciation!C9</f>
        <v>1246057.053946632</v>
      </c>
      <c r="D6" s="4">
        <f>Depreciation!D8+Depreciation!D9</f>
        <v>1504188.3780409242</v>
      </c>
      <c r="E6" s="4">
        <f>Depreciation!E8+Depreciation!E9</f>
        <v>1777564.1444540096</v>
      </c>
      <c r="F6" s="4">
        <f>Depreciation!F8+Depreciation!F9</f>
        <v>2066895.6710184186</v>
      </c>
      <c r="G6" s="4">
        <f>Depreciation!G8+Depreciation!G9</f>
        <v>2372924.1895990297</v>
      </c>
      <c r="H6" s="4">
        <f>Depreciation!H8+Depreciation!H9</f>
        <v>2696422.0322016757</v>
      </c>
      <c r="I6" s="4">
        <f>Depreciation!I8+Depreciation!I9</f>
        <v>3038193.8623607424</v>
      </c>
      <c r="J6" s="4">
        <f>Depreciation!J8+Depreciation!J9</f>
        <v>3399077.9534890144</v>
      </c>
      <c r="K6" s="4">
        <f>Depreciation!K8+Depreciation!K9</f>
        <v>3779947.5159344394</v>
      </c>
      <c r="L6" s="4">
        <f>Depreciation!L8+Depreciation!L9</f>
        <v>4181712.0745519977</v>
      </c>
      <c r="M6" s="4">
        <f>Depreciation!M8+Depreciation!M9</f>
        <v>4605318.8986647623</v>
      </c>
      <c r="N6" s="4">
        <f>Depreciation!N8+Depreciation!N9</f>
        <v>5051754.4863564037</v>
      </c>
      <c r="O6" s="4">
        <f>Depreciation!O8+Depreciation!O9</f>
        <v>5522046.1051080776</v>
      </c>
      <c r="P6" s="4">
        <f>Depreciation!P8+Depreciation!P9</f>
        <v>6017263.3908658288</v>
      </c>
      <c r="Q6" s="4">
        <f>Depreciation!Q8+Depreciation!Q9</f>
        <v>6538520.0077004451</v>
      </c>
      <c r="R6" s="4">
        <f>Depreciation!R8+Depreciation!R9</f>
        <v>7086975.3703002315</v>
      </c>
      <c r="S6" s="4">
        <f>Depreciation!S8+Depreciation!S9</f>
        <v>7663836.431618521</v>
      </c>
      <c r="T6" s="4">
        <f>Depreciation!T8+Depreciation!T9</f>
        <v>8270359.5380819906</v>
      </c>
      <c r="U6" s="4">
        <f>Depreciation!U8+Depreciation!U9</f>
        <v>8907852.3548531458</v>
      </c>
      <c r="V6" s="4">
        <f>Depreciation!V8+Depreciation!V9</f>
        <v>9577675.8637306616</v>
      </c>
      <c r="W6" s="4">
        <f>Depreciation!W8+Depreciation!W9</f>
        <v>10281246.436364966</v>
      </c>
      <c r="X6" s="4">
        <f>Depreciation!X8+Depreciation!X9</f>
        <v>11020037.985563405</v>
      </c>
      <c r="Y6" s="4">
        <f>Depreciation!Y8+Depreciation!Y9</f>
        <v>11795584.197559703</v>
      </c>
      <c r="Z6" s="4">
        <f>Depreciation!Z8+Depreciation!Z9</f>
        <v>12609480.848226553</v>
      </c>
      <c r="AA6" s="4">
        <f>Depreciation!AA8+Depreciation!AA9</f>
        <v>13463388.206317784</v>
      </c>
      <c r="AB6" s="4">
        <f>Depreciation!AB8+Depreciation!AB9</f>
        <v>14359033.52693826</v>
      </c>
      <c r="AC6" s="4">
        <f>Depreciation!AC8+Depreciation!AC9</f>
        <v>15298213.63855518</v>
      </c>
      <c r="AD6" s="4">
        <f>Depreciation!AD8+Depreciation!AD9</f>
        <v>16282797.626984004</v>
      </c>
      <c r="AE6" s="4">
        <f>Depreciation!AE8+Depreciation!AE9</f>
        <v>17314729.619906384</v>
      </c>
      <c r="AF6" s="4">
        <f>Depreciation!AF8+Depreciation!AF9</f>
        <v>18396031.67560577</v>
      </c>
      <c r="AG6" s="4"/>
      <c r="AH6" s="4"/>
      <c r="AI6" s="4"/>
      <c r="AJ6" s="4"/>
      <c r="AK6" s="4"/>
      <c r="AL6" s="4"/>
      <c r="AM6" s="4"/>
      <c r="AN6" s="4"/>
      <c r="AO6" s="4"/>
      <c r="AP6" s="4"/>
    </row>
    <row r="7" spans="1:42" x14ac:dyDescent="0.35">
      <c r="A7" t="s">
        <v>23</v>
      </c>
      <c r="C7" s="4">
        <f ca="1">C6+C5</f>
        <v>1414054.6216874623</v>
      </c>
      <c r="D7" s="4">
        <f ca="1">D6+D5</f>
        <v>2497212.8989202748</v>
      </c>
      <c r="E7" s="4">
        <f t="shared" ref="E7:AF7" ca="1" si="1">E6+E5</f>
        <v>4345317.8607137026</v>
      </c>
      <c r="F7" s="4">
        <f t="shared" ca="1" si="1"/>
        <v>6269482.752578835</v>
      </c>
      <c r="G7" s="4">
        <f ca="1">G6+G5</f>
        <v>7882899.1640788978</v>
      </c>
      <c r="H7" s="4">
        <f t="shared" ca="1" si="1"/>
        <v>9154068.4628491625</v>
      </c>
      <c r="I7" s="4">
        <f t="shared" ca="1" si="1"/>
        <v>10075295.130195111</v>
      </c>
      <c r="J7" s="4">
        <f t="shared" ca="1" si="1"/>
        <v>10969849.341752201</v>
      </c>
      <c r="K7" s="4">
        <f t="shared" ca="1" si="1"/>
        <v>11802357.221925139</v>
      </c>
      <c r="L7" s="4">
        <f t="shared" ca="1" si="1"/>
        <v>12534283.438449608</v>
      </c>
      <c r="M7" s="4">
        <f t="shared" ca="1" si="1"/>
        <v>13340830.92288582</v>
      </c>
      <c r="N7" s="4">
        <f t="shared" ca="1" si="1"/>
        <v>13998637.547948521</v>
      </c>
      <c r="O7" s="4">
        <f t="shared" ca="1" si="1"/>
        <v>14708458.971404497</v>
      </c>
      <c r="P7" s="4">
        <f t="shared" ca="1" si="1"/>
        <v>15474981.770838734</v>
      </c>
      <c r="Q7" s="4">
        <f t="shared" ca="1" si="1"/>
        <v>16303278.916039066</v>
      </c>
      <c r="R7" s="4">
        <f t="shared" ca="1" si="1"/>
        <v>17198838.66853676</v>
      </c>
      <c r="S7" s="4">
        <f t="shared" ca="1" si="1"/>
        <v>18012944.155147407</v>
      </c>
      <c r="T7" s="4">
        <f t="shared" ca="1" si="1"/>
        <v>18883237.228460949</v>
      </c>
      <c r="U7" s="4">
        <f t="shared" ca="1" si="1"/>
        <v>19814256.691440199</v>
      </c>
      <c r="V7" s="4">
        <f t="shared" ca="1" si="1"/>
        <v>20810888.667036321</v>
      </c>
      <c r="W7" s="4">
        <f t="shared" ca="1" si="1"/>
        <v>21878391.008554891</v>
      </c>
      <c r="X7" s="4">
        <f t="shared" ca="1" si="1"/>
        <v>23022419.311224952</v>
      </c>
      <c r="Y7" s="4">
        <f t="shared" ca="1" si="1"/>
        <v>24249054.624853667</v>
      </c>
      <c r="Z7" s="4">
        <f t="shared" ca="1" si="1"/>
        <v>25564832.973461211</v>
      </c>
      <c r="AA7" s="4">
        <f t="shared" ca="1" si="1"/>
        <v>26976776.794154078</v>
      </c>
      <c r="AB7" s="4">
        <f t="shared" ca="1" si="1"/>
        <v>27991441.772950083</v>
      </c>
      <c r="AC7" s="4">
        <f t="shared" ca="1" si="1"/>
        <v>29049694.211869266</v>
      </c>
      <c r="AD7" s="4">
        <f t="shared" ca="1" si="1"/>
        <v>29989907.845350672</v>
      </c>
      <c r="AE7" s="4">
        <f t="shared" ca="1" si="1"/>
        <v>30958604.774626382</v>
      </c>
      <c r="AF7" s="4">
        <f t="shared" ca="1" si="1"/>
        <v>31956903.872294396</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10058133.053946631</v>
      </c>
      <c r="D10" s="9">
        <f>Investment!D25</f>
        <v>10598250.810040923</v>
      </c>
      <c r="E10" s="9">
        <f>Investment!E25</f>
        <v>11162636.57427801</v>
      </c>
      <c r="F10" s="9">
        <f>Investment!F25</f>
        <v>11752290.418596786</v>
      </c>
      <c r="G10" s="9">
        <f>Investment!G25</f>
        <v>12368251.569099907</v>
      </c>
      <c r="H10" s="9">
        <f>Investment!H25</f>
        <v>13011599.88784658</v>
      </c>
      <c r="I10" s="9">
        <f>Investment!I25</f>
        <v>13683457.409386281</v>
      </c>
      <c r="J10" s="9">
        <f>Investment!J25</f>
        <v>14384989.93401937</v>
      </c>
      <c r="K10" s="9">
        <f>Investment!K25</f>
        <v>15117408.67984177</v>
      </c>
      <c r="L10" s="9">
        <f>Investment!L25</f>
        <v>15881971.99570436</v>
      </c>
      <c r="M10" s="9">
        <f>Investment!M25</f>
        <v>16679987.137294</v>
      </c>
      <c r="N10" s="9">
        <f>Investment!N25</f>
        <v>17512812.10862178</v>
      </c>
      <c r="O10" s="9">
        <f>Investment!O25</f>
        <v>18381857.571285944</v>
      </c>
      <c r="P10" s="9">
        <f>Investment!P25</f>
        <v>19288588.823961388</v>
      </c>
      <c r="Q10" s="9">
        <f>Investment!Q25</f>
        <v>20234527.854655057</v>
      </c>
      <c r="R10" s="9">
        <f>Investment!R25</f>
        <v>21221255.468357395</v>
      </c>
      <c r="S10" s="9">
        <f>Investment!S25</f>
        <v>22250413.492813513</v>
      </c>
      <c r="T10" s="9">
        <f>Investment!T25</f>
        <v>23323707.065235224</v>
      </c>
      <c r="U10" s="9">
        <f>Investment!U25</f>
        <v>24442907.00287528</v>
      </c>
      <c r="V10" s="9">
        <f>Investment!V25</f>
        <v>25609852.260489505</v>
      </c>
      <c r="W10" s="9">
        <f>Investment!W25</f>
        <v>26826452.477820098</v>
      </c>
      <c r="X10" s="9">
        <f>Investment!X25</f>
        <v>28094690.620345097</v>
      </c>
      <c r="Y10" s="9">
        <f>Investment!Y25</f>
        <v>29416625.716654405</v>
      </c>
      <c r="Z10" s="9">
        <f>Investment!Z25</f>
        <v>30794395.695932284</v>
      </c>
      <c r="AA10" s="9">
        <f>Investment!AA25</f>
        <v>32230220.329150103</v>
      </c>
      <c r="AB10" s="9">
        <f>Investment!AB25</f>
        <v>33726404.277701214</v>
      </c>
      <c r="AC10" s="9">
        <f>Investment!AC25</f>
        <v>35285340.253342547</v>
      </c>
      <c r="AD10" s="9">
        <f>Investment!AD25</f>
        <v>36909512.293444566</v>
      </c>
      <c r="AE10" s="9">
        <f>Investment!AE25</f>
        <v>38601499.155693687</v>
      </c>
      <c r="AF10" s="9">
        <f>Investment!AF25</f>
        <v>40363977.836538263</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-8644078.4322591685</v>
      </c>
      <c r="D12" s="1">
        <f t="shared" ref="D12:AF12" ca="1" si="2">D7-D9-D10</f>
        <v>-8101037.9111206476</v>
      </c>
      <c r="E12" s="1">
        <f ca="1">E7-E9-E10</f>
        <v>-6817318.7135643074</v>
      </c>
      <c r="F12" s="1">
        <f t="shared" ca="1" si="2"/>
        <v>-5482807.6660179505</v>
      </c>
      <c r="G12" s="1">
        <f ca="1">G7-G9-G10</f>
        <v>-4485352.405021009</v>
      </c>
      <c r="H12" s="1">
        <f t="shared" ca="1" si="2"/>
        <v>-3857531.4249974173</v>
      </c>
      <c r="I12" s="1">
        <f t="shared" ca="1" si="2"/>
        <v>-3608162.2791911699</v>
      </c>
      <c r="J12" s="1">
        <f t="shared" ca="1" si="2"/>
        <v>-3415140.5922671687</v>
      </c>
      <c r="K12" s="1">
        <f t="shared" ca="1" si="2"/>
        <v>-3315051.4579166304</v>
      </c>
      <c r="L12" s="1">
        <f t="shared" ca="1" si="2"/>
        <v>-3347688.5572547521</v>
      </c>
      <c r="M12" s="1">
        <f t="shared" ca="1" si="2"/>
        <v>-3339156.2144081797</v>
      </c>
      <c r="N12" s="1">
        <f t="shared" ca="1" si="2"/>
        <v>-3514174.5606732592</v>
      </c>
      <c r="O12" s="1">
        <f t="shared" ca="1" si="2"/>
        <v>-3673398.5998814479</v>
      </c>
      <c r="P12" s="1">
        <f t="shared" ca="1" si="2"/>
        <v>-3813607.0531226546</v>
      </c>
      <c r="Q12" s="1">
        <f t="shared" ca="1" si="2"/>
        <v>-3931248.9386159908</v>
      </c>
      <c r="R12" s="1">
        <f t="shared" ca="1" si="2"/>
        <v>-4022416.7998206355</v>
      </c>
      <c r="S12" s="1">
        <f t="shared" ca="1" si="2"/>
        <v>-4237469.3376661055</v>
      </c>
      <c r="T12" s="1">
        <f t="shared" ca="1" si="2"/>
        <v>-4440469.8367742747</v>
      </c>
      <c r="U12" s="1">
        <f t="shared" ca="1" si="2"/>
        <v>-4628650.3114350811</v>
      </c>
      <c r="V12" s="1">
        <f t="shared" ca="1" si="2"/>
        <v>-4798963.5934531838</v>
      </c>
      <c r="W12" s="1">
        <f t="shared" ca="1" si="2"/>
        <v>-4948061.4692652076</v>
      </c>
      <c r="X12" s="1">
        <f t="shared" ca="1" si="2"/>
        <v>-5072271.3091201447</v>
      </c>
      <c r="Y12" s="1">
        <f t="shared" ca="1" si="2"/>
        <v>-5167571.0918007381</v>
      </c>
      <c r="Z12" s="1">
        <f t="shared" ca="1" si="2"/>
        <v>-5229562.7224710733</v>
      </c>
      <c r="AA12" s="1">
        <f t="shared" ca="1" si="2"/>
        <v>-5253443.5349960253</v>
      </c>
      <c r="AB12" s="1">
        <f t="shared" ca="1" si="2"/>
        <v>-5734962.5047511309</v>
      </c>
      <c r="AC12" s="1">
        <f t="shared" ca="1" si="2"/>
        <v>-6235646.0414732806</v>
      </c>
      <c r="AD12" s="1">
        <f t="shared" ca="1" si="2"/>
        <v>-6919604.4480938949</v>
      </c>
      <c r="AE12" s="1">
        <f t="shared" ca="1" si="2"/>
        <v>-7642894.3810673058</v>
      </c>
      <c r="AF12" s="1">
        <f t="shared" ca="1" si="2"/>
        <v>-8407073.9642438665</v>
      </c>
      <c r="AG12" s="1"/>
      <c r="AH12" s="1"/>
      <c r="AI12" s="1"/>
      <c r="AJ12" s="1"/>
      <c r="AK12" s="1"/>
      <c r="AL12" s="1"/>
      <c r="AM12" s="1"/>
      <c r="AN12" s="1"/>
      <c r="AO12" s="1"/>
      <c r="AP12" s="1"/>
    </row>
    <row r="13" spans="1:42" x14ac:dyDescent="0.35">
      <c r="A13" t="s">
        <v>19</v>
      </c>
      <c r="C13" s="1">
        <f ca="1">C12</f>
        <v>-8644078.4322591685</v>
      </c>
      <c r="D13" s="1">
        <f ca="1">D12</f>
        <v>-8101037.9111206476</v>
      </c>
      <c r="E13" s="1">
        <f ca="1">E12</f>
        <v>-6817318.7135643074</v>
      </c>
      <c r="F13" s="1">
        <f t="shared" ref="F13:AF13" ca="1" si="3">F12</f>
        <v>-5482807.6660179505</v>
      </c>
      <c r="G13" s="1">
        <f ca="1">G12</f>
        <v>-4485352.405021009</v>
      </c>
      <c r="H13" s="1">
        <f t="shared" ca="1" si="3"/>
        <v>-3857531.4249974173</v>
      </c>
      <c r="I13" s="1">
        <f t="shared" ca="1" si="3"/>
        <v>-3608162.2791911699</v>
      </c>
      <c r="J13" s="1">
        <f t="shared" ca="1" si="3"/>
        <v>-3415140.5922671687</v>
      </c>
      <c r="K13" s="1">
        <f t="shared" ca="1" si="3"/>
        <v>-3315051.4579166304</v>
      </c>
      <c r="L13" s="1">
        <f t="shared" ca="1" si="3"/>
        <v>-3347688.5572547521</v>
      </c>
      <c r="M13" s="1">
        <f t="shared" ca="1" si="3"/>
        <v>-3339156.2144081797</v>
      </c>
      <c r="N13" s="1">
        <f t="shared" ca="1" si="3"/>
        <v>-3514174.5606732592</v>
      </c>
      <c r="O13" s="1">
        <f t="shared" ca="1" si="3"/>
        <v>-3673398.5998814479</v>
      </c>
      <c r="P13" s="1">
        <f t="shared" ca="1" si="3"/>
        <v>-3813607.0531226546</v>
      </c>
      <c r="Q13" s="1">
        <f t="shared" ca="1" si="3"/>
        <v>-3931248.9386159908</v>
      </c>
      <c r="R13" s="1">
        <f t="shared" ca="1" si="3"/>
        <v>-4022416.7998206355</v>
      </c>
      <c r="S13" s="1">
        <f t="shared" ca="1" si="3"/>
        <v>-4237469.3376661055</v>
      </c>
      <c r="T13" s="1">
        <f t="shared" ca="1" si="3"/>
        <v>-4440469.8367742747</v>
      </c>
      <c r="U13" s="1">
        <f t="shared" ca="1" si="3"/>
        <v>-4628650.3114350811</v>
      </c>
      <c r="V13" s="1">
        <f t="shared" ca="1" si="3"/>
        <v>-4798963.5934531838</v>
      </c>
      <c r="W13" s="1">
        <f t="shared" ca="1" si="3"/>
        <v>-4948061.4692652076</v>
      </c>
      <c r="X13" s="1">
        <f t="shared" ca="1" si="3"/>
        <v>-5072271.3091201447</v>
      </c>
      <c r="Y13" s="1">
        <f t="shared" ca="1" si="3"/>
        <v>-5167571.0918007381</v>
      </c>
      <c r="Z13" s="1">
        <f t="shared" ca="1" si="3"/>
        <v>-5229562.7224710733</v>
      </c>
      <c r="AA13" s="1">
        <f t="shared" ca="1" si="3"/>
        <v>-5253443.5349960253</v>
      </c>
      <c r="AB13" s="1">
        <f t="shared" ca="1" si="3"/>
        <v>-5734962.5047511309</v>
      </c>
      <c r="AC13" s="1">
        <f t="shared" ca="1" si="3"/>
        <v>-6235646.0414732806</v>
      </c>
      <c r="AD13" s="1">
        <f t="shared" ca="1" si="3"/>
        <v>-6919604.4480938949</v>
      </c>
      <c r="AE13" s="1">
        <f t="shared" ca="1" si="3"/>
        <v>-7642894.3810673058</v>
      </c>
      <c r="AF13" s="1">
        <f t="shared" ca="1" si="3"/>
        <v>-8407073.9642438665</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139</v>
      </c>
      <c r="C6" s="9">
        <f>Assumptions!C17</f>
        <v>70216000.000000015</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35108000.000000007</v>
      </c>
      <c r="D7" s="9">
        <f>C12</f>
        <v>36354057.053946644</v>
      </c>
      <c r="E7" s="9">
        <f>D12</f>
        <v>37858245.431987569</v>
      </c>
      <c r="F7" s="9">
        <f t="shared" ref="F7:H7" si="1">E12</f>
        <v>39635809.576441579</v>
      </c>
      <c r="G7" s="9">
        <f t="shared" si="1"/>
        <v>41702705.24746</v>
      </c>
      <c r="H7" s="9">
        <f t="shared" si="1"/>
        <v>44075629.43705903</v>
      </c>
      <c r="I7" s="9">
        <f t="shared" ref="I7" si="2">H12</f>
        <v>46772051.469260707</v>
      </c>
      <c r="J7" s="9">
        <f t="shared" ref="J7" si="3">I12</f>
        <v>49810245.331621446</v>
      </c>
      <c r="K7" s="9">
        <f t="shared" ref="K7" si="4">J12</f>
        <v>53209323.285110459</v>
      </c>
      <c r="L7" s="9">
        <f t="shared" ref="L7" si="5">K12</f>
        <v>56989270.801044896</v>
      </c>
      <c r="M7" s="9">
        <f t="shared" ref="M7" si="6">L12</f>
        <v>61170982.875596896</v>
      </c>
      <c r="N7" s="9">
        <f t="shared" ref="N7" si="7">M12</f>
        <v>65776301.774261661</v>
      </c>
      <c r="O7" s="9">
        <f t="shared" ref="O7" si="8">N12</f>
        <v>70828056.260618061</v>
      </c>
      <c r="P7" s="9">
        <f t="shared" ref="P7" si="9">O12</f>
        <v>76350102.365726143</v>
      </c>
      <c r="Q7" s="9">
        <f t="shared" ref="Q7" si="10">P12</f>
        <v>82367365.756591976</v>
      </c>
      <c r="R7" s="9">
        <f t="shared" ref="R7" si="11">Q12</f>
        <v>88905885.764292419</v>
      </c>
      <c r="S7" s="9">
        <f t="shared" ref="S7" si="12">R12</f>
        <v>95992861.134592652</v>
      </c>
      <c r="T7" s="9">
        <f t="shared" ref="T7" si="13">S12</f>
        <v>103656697.56621118</v>
      </c>
      <c r="U7" s="9">
        <f t="shared" ref="U7" si="14">T12</f>
        <v>111927057.10429317</v>
      </c>
      <c r="V7" s="9">
        <f t="shared" ref="V7" si="15">U12</f>
        <v>120834909.45914631</v>
      </c>
      <c r="W7" s="9">
        <f t="shared" ref="W7" si="16">V12</f>
        <v>130412585.32287697</v>
      </c>
      <c r="X7" s="9">
        <f t="shared" ref="X7" si="17">W12</f>
        <v>140693831.75924194</v>
      </c>
      <c r="Y7" s="9">
        <f t="shared" ref="Y7" si="18">X12</f>
        <v>151713869.74480534</v>
      </c>
      <c r="Z7" s="9">
        <f t="shared" ref="Z7" si="19">Y12</f>
        <v>163509453.94236502</v>
      </c>
      <c r="AA7" s="9">
        <f t="shared" ref="AA7" si="20">Z12</f>
        <v>176118934.79059157</v>
      </c>
      <c r="AB7" s="9">
        <f t="shared" ref="AB7" si="21">AA12</f>
        <v>189582322.99690935</v>
      </c>
      <c r="AC7" s="9">
        <f t="shared" ref="AC7" si="22">AB12</f>
        <v>203941356.52384761</v>
      </c>
      <c r="AD7" s="9">
        <f t="shared" ref="AD7" si="23">AC12</f>
        <v>219239570.16240278</v>
      </c>
      <c r="AE7" s="9">
        <f t="shared" ref="AE7" si="24">AD12</f>
        <v>235522367.78938678</v>
      </c>
      <c r="AF7" s="9">
        <f t="shared" ref="AF7" si="25">AE12</f>
        <v>252837097.40929317</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140</v>
      </c>
      <c r="C8" s="9">
        <f>Assumptions!D111*Assumptions!D11</f>
        <v>1034567.2299466321</v>
      </c>
      <c r="D8" s="9">
        <f>Assumptions!E111*Assumptions!E11</f>
        <v>1067673.3813049241</v>
      </c>
      <c r="E8" s="9">
        <f>Assumptions!F111*Assumptions!F11</f>
        <v>1101838.9295066816</v>
      </c>
      <c r="F8" s="9">
        <f>Assumptions!G111*Assumptions!G11</f>
        <v>1137097.7752508954</v>
      </c>
      <c r="G8" s="9">
        <f>Assumptions!H111*Assumptions!H11</f>
        <v>1173484.9040589242</v>
      </c>
      <c r="H8" s="9">
        <f>Assumptions!I111*Assumptions!I11</f>
        <v>1211036.4209888098</v>
      </c>
      <c r="I8" s="9">
        <f>Assumptions!J111*Assumptions!J11</f>
        <v>1249789.5864604514</v>
      </c>
      <c r="J8" s="9">
        <f>Assumptions!K111*Assumptions!K11</f>
        <v>1289782.853227186</v>
      </c>
      <c r="K8" s="9">
        <f>Assumptions!L111*Assumptions!L11</f>
        <v>1331055.9045304561</v>
      </c>
      <c r="L8" s="9">
        <f>Assumptions!M111*Assumptions!M11</f>
        <v>1373649.6934754306</v>
      </c>
      <c r="M8" s="9">
        <f>Assumptions!N111*Assumptions!N11</f>
        <v>1417606.4836666442</v>
      </c>
      <c r="N8" s="9">
        <f>Assumptions!O111*Assumptions!O11</f>
        <v>1462969.8911439769</v>
      </c>
      <c r="O8" s="9">
        <f>Assumptions!P111*Assumptions!P11</f>
        <v>1509784.9276605844</v>
      </c>
      <c r="P8" s="9">
        <f>Assumptions!Q111*Assumptions!Q11</f>
        <v>1558098.0453457229</v>
      </c>
      <c r="Q8" s="9">
        <f>Assumptions!R111*Assumptions!R11</f>
        <v>1607957.1827967856</v>
      </c>
      <c r="R8" s="9">
        <f>Assumptions!S111*Assumptions!S11</f>
        <v>1659411.8126462833</v>
      </c>
      <c r="S8" s="9">
        <f>Assumptions!T111*Assumptions!T11</f>
        <v>1712512.9906509644</v>
      </c>
      <c r="T8" s="9">
        <f>Assumptions!U111*Assumptions!U11</f>
        <v>1767313.406351795</v>
      </c>
      <c r="U8" s="9">
        <f>Assumptions!V111*Assumptions!V11</f>
        <v>1823867.4353550524</v>
      </c>
      <c r="V8" s="9">
        <f>Assumptions!W111*Assumptions!W11</f>
        <v>1882231.1932864143</v>
      </c>
      <c r="W8" s="9">
        <f>Assumptions!X111*Assumptions!X11</f>
        <v>1942462.5914715796</v>
      </c>
      <c r="X8" s="9">
        <f>Assumptions!Y111*Assumptions!Y11</f>
        <v>2004621.3943986699</v>
      </c>
      <c r="Y8" s="9">
        <f>Assumptions!Z111*Assumptions!Z11</f>
        <v>2068769.279019427</v>
      </c>
      <c r="Z8" s="9">
        <f>Assumptions!AA111*Assumptions!AA11</f>
        <v>2134969.8959480487</v>
      </c>
      <c r="AA8" s="9">
        <f>Assumptions!AB111*Assumptions!AB11</f>
        <v>2203288.932618387</v>
      </c>
      <c r="AB8" s="9">
        <f>Assumptions!AC111*Assumptions!AC11</f>
        <v>2273794.1784621747</v>
      </c>
      <c r="AC8" s="9">
        <f>Assumptions!AD111*Assumptions!AD11</f>
        <v>2346555.5921729645</v>
      </c>
      <c r="AD8" s="9">
        <f>Assumptions!AE111*Assumptions!AE11</f>
        <v>2421645.3711224995</v>
      </c>
      <c r="AE8" s="9">
        <f>Assumptions!AF111*Assumptions!AF11</f>
        <v>2499138.0229984196</v>
      </c>
      <c r="AF8" s="9">
        <f>Assumptions!AG111*Assumptions!AG11</f>
        <v>2579110.4397343686</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211489.82399999999</v>
      </c>
      <c r="D9" s="9">
        <f>Assumptions!E120*Assumptions!E11</f>
        <v>436514.996736</v>
      </c>
      <c r="E9" s="9">
        <f>Assumptions!F120*Assumptions!F11</f>
        <v>675725.21494732797</v>
      </c>
      <c r="F9" s="9">
        <f>Assumptions!G120*Assumptions!G11</f>
        <v>929797.89576752321</v>
      </c>
      <c r="G9" s="9">
        <f>Assumptions!H120*Assumptions!H11</f>
        <v>1199439.2855401053</v>
      </c>
      <c r="H9" s="9">
        <f>Assumptions!I120*Assumptions!I11</f>
        <v>1485385.6112128661</v>
      </c>
      <c r="I9" s="9">
        <f>Assumptions!J120*Assumptions!J11</f>
        <v>1788404.275900291</v>
      </c>
      <c r="J9" s="9">
        <f>Assumptions!K120*Assumptions!K11</f>
        <v>2109295.1002618284</v>
      </c>
      <c r="K9" s="9">
        <f>Assumptions!L120*Assumptions!L11</f>
        <v>2448891.6114039831</v>
      </c>
      <c r="L9" s="9">
        <f>Assumptions!M120*Assumptions!M11</f>
        <v>2808062.3810765669</v>
      </c>
      <c r="M9" s="9">
        <f>Assumptions!N120*Assumptions!N11</f>
        <v>3187712.4149981183</v>
      </c>
      <c r="N9" s="9">
        <f>Assumptions!O120*Assumptions!O11</f>
        <v>3588784.595212427</v>
      </c>
      <c r="O9" s="9">
        <f>Assumptions!P120*Assumptions!P11</f>
        <v>4012261.1774474932</v>
      </c>
      <c r="P9" s="9">
        <f>Assumptions!Q120*Assumptions!Q11</f>
        <v>4459165.3455201061</v>
      </c>
      <c r="Q9" s="9">
        <f>Assumptions!R120*Assumptions!R11</f>
        <v>4930562.8249036595</v>
      </c>
      <c r="R9" s="9">
        <f>Assumptions!S120*Assumptions!S11</f>
        <v>5427563.5576539487</v>
      </c>
      <c r="S9" s="9">
        <f>Assumptions!T120*Assumptions!T11</f>
        <v>5951323.4409675561</v>
      </c>
      <c r="T9" s="9">
        <f>Assumptions!U120*Assumptions!U11</f>
        <v>6503046.1317301961</v>
      </c>
      <c r="U9" s="9">
        <f>Assumptions!V120*Assumptions!V11</f>
        <v>7083984.9194980925</v>
      </c>
      <c r="V9" s="9">
        <f>Assumptions!W120*Assumptions!W11</f>
        <v>7695444.6704442464</v>
      </c>
      <c r="W9" s="9">
        <f>Assumptions!X120*Assumptions!X11</f>
        <v>8338783.8448933866</v>
      </c>
      <c r="X9" s="9">
        <f>Assumptions!Y120*Assumptions!Y11</f>
        <v>9015416.5911647342</v>
      </c>
      <c r="Y9" s="9">
        <f>Assumptions!Z120*Assumptions!Z11</f>
        <v>9726814.9185402766</v>
      </c>
      <c r="Z9" s="9">
        <f>Assumptions!AA120*Assumptions!AA11</f>
        <v>10474510.952278504</v>
      </c>
      <c r="AA9" s="9">
        <f>Assumptions!AB120*Assumptions!AB11</f>
        <v>11260099.273699397</v>
      </c>
      <c r="AB9" s="9">
        <f>Assumptions!AC120*Assumptions!AC11</f>
        <v>12085239.348476086</v>
      </c>
      <c r="AC9" s="9">
        <f>Assumptions!AD120*Assumptions!AD11</f>
        <v>12951658.046382217</v>
      </c>
      <c r="AD9" s="9">
        <f>Assumptions!AE120*Assumptions!AE11</f>
        <v>13861152.255861504</v>
      </c>
      <c r="AE9" s="9">
        <f>Assumptions!AF120*Assumptions!AF11</f>
        <v>14815591.596907966</v>
      </c>
      <c r="AF9" s="9">
        <f>Assumptions!AG120*Assumptions!AG11</f>
        <v>15816921.235871401</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1246057.053946632</v>
      </c>
      <c r="D10" s="9">
        <f>SUM($C$8:D9)</f>
        <v>2750245.4319875562</v>
      </c>
      <c r="E10" s="9">
        <f>SUM($C$8:E9)</f>
        <v>4527809.5764415655</v>
      </c>
      <c r="F10" s="9">
        <f>SUM($C$8:F9)</f>
        <v>6594705.2474599853</v>
      </c>
      <c r="G10" s="9">
        <f>SUM($C$8:G9)</f>
        <v>8967629.437059015</v>
      </c>
      <c r="H10" s="9">
        <f>SUM($C$8:H9)</f>
        <v>11664051.469260691</v>
      </c>
      <c r="I10" s="9">
        <f>SUM($C$8:I9)</f>
        <v>14702245.331621433</v>
      </c>
      <c r="J10" s="9">
        <f>SUM($C$8:J9)</f>
        <v>18101323.285110448</v>
      </c>
      <c r="K10" s="9">
        <f>SUM($C$8:K9)</f>
        <v>21881270.801044885</v>
      </c>
      <c r="L10" s="9">
        <f>SUM($C$8:L9)</f>
        <v>26062982.875596881</v>
      </c>
      <c r="M10" s="9">
        <f>SUM($C$8:M9)</f>
        <v>30668301.774261642</v>
      </c>
      <c r="N10" s="9">
        <f>SUM($C$8:N9)</f>
        <v>35720056.260618046</v>
      </c>
      <c r="O10" s="9">
        <f>SUM($C$8:O9)</f>
        <v>41242102.365726128</v>
      </c>
      <c r="P10" s="9">
        <f>SUM($C$8:P9)</f>
        <v>47259365.756591961</v>
      </c>
      <c r="Q10" s="9">
        <f>SUM($C$8:Q9)</f>
        <v>53797885.764292412</v>
      </c>
      <c r="R10" s="9">
        <f>SUM($C$8:R9)</f>
        <v>60884861.134592645</v>
      </c>
      <c r="S10" s="9">
        <f>SUM($C$8:S9)</f>
        <v>68548697.566211164</v>
      </c>
      <c r="T10" s="9">
        <f>SUM($C$8:T9)</f>
        <v>76819057.104293153</v>
      </c>
      <c r="U10" s="9">
        <f>SUM($C$8:U9)</f>
        <v>85726909.459146291</v>
      </c>
      <c r="V10" s="9">
        <f>SUM($C$8:V9)</f>
        <v>95304585.32287696</v>
      </c>
      <c r="W10" s="9">
        <f>SUM($C$8:W9)</f>
        <v>105585831.75924192</v>
      </c>
      <c r="X10" s="9">
        <f>SUM($C$8:X9)</f>
        <v>116605869.74480534</v>
      </c>
      <c r="Y10" s="9">
        <f>SUM($C$8:Y9)</f>
        <v>128401453.94236502</v>
      </c>
      <c r="Z10" s="9">
        <f>SUM($C$8:Z9)</f>
        <v>141010934.79059157</v>
      </c>
      <c r="AA10" s="9">
        <f>SUM($C$8:AA9)</f>
        <v>154474322.99690935</v>
      </c>
      <c r="AB10" s="9">
        <f>SUM($C$8:AB9)</f>
        <v>168833356.52384761</v>
      </c>
      <c r="AC10" s="9">
        <f>SUM($C$8:AC9)</f>
        <v>184131570.16240281</v>
      </c>
      <c r="AD10" s="9">
        <f>SUM($C$8:AD9)</f>
        <v>200414367.78938681</v>
      </c>
      <c r="AE10" s="9">
        <f>SUM($C$8:AE9)</f>
        <v>217729097.4092932</v>
      </c>
      <c r="AF10" s="9">
        <f>SUM($C$8:AF9)</f>
        <v>236125129.08489898</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36354057.053946644</v>
      </c>
      <c r="D12" s="9">
        <f>D7+D8+D9</f>
        <v>37858245.431987569</v>
      </c>
      <c r="E12" s="9">
        <f>E7+E8+E9</f>
        <v>39635809.576441579</v>
      </c>
      <c r="F12" s="9">
        <f t="shared" ref="F12:H12" si="26">F7+F8+F9</f>
        <v>41702705.24746</v>
      </c>
      <c r="G12" s="9">
        <f t="shared" si="26"/>
        <v>44075629.43705903</v>
      </c>
      <c r="H12" s="9">
        <f t="shared" si="26"/>
        <v>46772051.469260707</v>
      </c>
      <c r="I12" s="9">
        <f t="shared" ref="I12:AF12" si="27">I7+I8+I9</f>
        <v>49810245.331621446</v>
      </c>
      <c r="J12" s="9">
        <f t="shared" si="27"/>
        <v>53209323.285110459</v>
      </c>
      <c r="K12" s="9">
        <f t="shared" si="27"/>
        <v>56989270.801044896</v>
      </c>
      <c r="L12" s="9">
        <f t="shared" si="27"/>
        <v>61170982.875596896</v>
      </c>
      <c r="M12" s="9">
        <f t="shared" si="27"/>
        <v>65776301.774261661</v>
      </c>
      <c r="N12" s="9">
        <f t="shared" si="27"/>
        <v>70828056.260618061</v>
      </c>
      <c r="O12" s="9">
        <f t="shared" si="27"/>
        <v>76350102.365726143</v>
      </c>
      <c r="P12" s="9">
        <f t="shared" si="27"/>
        <v>82367365.756591976</v>
      </c>
      <c r="Q12" s="9">
        <f t="shared" si="27"/>
        <v>88905885.764292419</v>
      </c>
      <c r="R12" s="9">
        <f t="shared" si="27"/>
        <v>95992861.134592652</v>
      </c>
      <c r="S12" s="9">
        <f t="shared" si="27"/>
        <v>103656697.56621118</v>
      </c>
      <c r="T12" s="9">
        <f t="shared" si="27"/>
        <v>111927057.10429317</v>
      </c>
      <c r="U12" s="9">
        <f t="shared" si="27"/>
        <v>120834909.45914631</v>
      </c>
      <c r="V12" s="9">
        <f t="shared" si="27"/>
        <v>130412585.32287697</v>
      </c>
      <c r="W12" s="9">
        <f t="shared" si="27"/>
        <v>140693831.75924194</v>
      </c>
      <c r="X12" s="9">
        <f t="shared" si="27"/>
        <v>151713869.74480534</v>
      </c>
      <c r="Y12" s="9">
        <f t="shared" si="27"/>
        <v>163509453.94236502</v>
      </c>
      <c r="Z12" s="9">
        <f t="shared" si="27"/>
        <v>176118934.79059157</v>
      </c>
      <c r="AA12" s="9">
        <f t="shared" si="27"/>
        <v>189582322.99690935</v>
      </c>
      <c r="AB12" s="9">
        <f t="shared" si="27"/>
        <v>203941356.52384761</v>
      </c>
      <c r="AC12" s="9">
        <f t="shared" si="27"/>
        <v>219239570.16240278</v>
      </c>
      <c r="AD12" s="9">
        <f t="shared" si="27"/>
        <v>235522367.78938678</v>
      </c>
      <c r="AE12" s="9">
        <f t="shared" si="27"/>
        <v>252837097.40929317</v>
      </c>
      <c r="AF12" s="9">
        <f t="shared" si="27"/>
        <v>271233129.08489895</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10058133.053946631</v>
      </c>
      <c r="D18" s="9">
        <f>Investment!D25</f>
        <v>10598250.810040923</v>
      </c>
      <c r="E18" s="9">
        <f>Investment!E25</f>
        <v>11162636.57427801</v>
      </c>
      <c r="F18" s="9">
        <f>Investment!F25</f>
        <v>11752290.418596786</v>
      </c>
      <c r="G18" s="9">
        <f>Investment!G25</f>
        <v>12368251.569099907</v>
      </c>
      <c r="H18" s="9">
        <f>Investment!H25</f>
        <v>13011599.88784658</v>
      </c>
      <c r="I18" s="9">
        <f>Investment!I25</f>
        <v>13683457.409386281</v>
      </c>
      <c r="J18" s="9">
        <f>Investment!J25</f>
        <v>14384989.93401937</v>
      </c>
      <c r="K18" s="9">
        <f>Investment!K25</f>
        <v>15117408.67984177</v>
      </c>
      <c r="L18" s="9">
        <f>Investment!L25</f>
        <v>15881971.99570436</v>
      </c>
      <c r="M18" s="9">
        <f>Investment!M25</f>
        <v>16679987.137294</v>
      </c>
      <c r="N18" s="9">
        <f>Investment!N25</f>
        <v>17512812.10862178</v>
      </c>
      <c r="O18" s="9">
        <f>Investment!O25</f>
        <v>18381857.571285944</v>
      </c>
      <c r="P18" s="9">
        <f>Investment!P25</f>
        <v>19288588.823961388</v>
      </c>
      <c r="Q18" s="9">
        <f>Investment!Q25</f>
        <v>20234527.854655057</v>
      </c>
      <c r="R18" s="9">
        <f>Investment!R25</f>
        <v>21221255.468357395</v>
      </c>
      <c r="S18" s="9">
        <f>Investment!S25</f>
        <v>22250413.492813513</v>
      </c>
      <c r="T18" s="9">
        <f>Investment!T25</f>
        <v>23323707.065235224</v>
      </c>
      <c r="U18" s="9">
        <f>Investment!U25</f>
        <v>24442907.00287528</v>
      </c>
      <c r="V18" s="9">
        <f>Investment!V25</f>
        <v>25609852.260489505</v>
      </c>
      <c r="W18" s="9">
        <f>Investment!W25</f>
        <v>26826452.477820098</v>
      </c>
      <c r="X18" s="9">
        <f>Investment!X25</f>
        <v>28094690.620345097</v>
      </c>
      <c r="Y18" s="9">
        <f>Investment!Y25</f>
        <v>29416625.716654405</v>
      </c>
      <c r="Z18" s="9">
        <f>Investment!Z25</f>
        <v>30794395.695932284</v>
      </c>
      <c r="AA18" s="9">
        <f>Investment!AA25</f>
        <v>32230220.329150103</v>
      </c>
      <c r="AB18" s="9">
        <f>Investment!AB25</f>
        <v>33726404.277701214</v>
      </c>
      <c r="AC18" s="9">
        <f>Investment!AC25</f>
        <v>35285340.253342547</v>
      </c>
      <c r="AD18" s="9">
        <f>Investment!AD25</f>
        <v>36909512.293444566</v>
      </c>
      <c r="AE18" s="9">
        <f>Investment!AE25</f>
        <v>38601499.155693687</v>
      </c>
      <c r="AF18" s="9">
        <f>Investment!AF25</f>
        <v>40363977.836538263</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45166133.053946637</v>
      </c>
      <c r="D19" s="9">
        <f>D18+C20</f>
        <v>54518326.810040921</v>
      </c>
      <c r="E19" s="9">
        <f>E18+D20</f>
        <v>64176775.006278008</v>
      </c>
      <c r="F19" s="9">
        <f t="shared" ref="F19:AF19" si="28">F18+E20</f>
        <v>74151501.28042078</v>
      </c>
      <c r="G19" s="9">
        <f t="shared" si="28"/>
        <v>84452857.178502262</v>
      </c>
      <c r="H19" s="9">
        <f t="shared" si="28"/>
        <v>95091532.876749814</v>
      </c>
      <c r="I19" s="9">
        <f t="shared" si="28"/>
        <v>106078568.25393441</v>
      </c>
      <c r="J19" s="9">
        <f t="shared" si="28"/>
        <v>117425364.32559304</v>
      </c>
      <c r="K19" s="9">
        <f t="shared" si="28"/>
        <v>129143695.05194581</v>
      </c>
      <c r="L19" s="9">
        <f t="shared" si="28"/>
        <v>141245719.53171572</v>
      </c>
      <c r="M19" s="9">
        <f t="shared" si="28"/>
        <v>153743994.59445772</v>
      </c>
      <c r="N19" s="9">
        <f t="shared" si="28"/>
        <v>166651487.80441472</v>
      </c>
      <c r="O19" s="9">
        <f t="shared" si="28"/>
        <v>179981590.88934425</v>
      </c>
      <c r="P19" s="9">
        <f t="shared" si="28"/>
        <v>193748133.60819754</v>
      </c>
      <c r="Q19" s="9">
        <f t="shared" si="28"/>
        <v>207965398.07198676</v>
      </c>
      <c r="R19" s="9">
        <f t="shared" si="28"/>
        <v>222648133.53264371</v>
      </c>
      <c r="S19" s="9">
        <f t="shared" si="28"/>
        <v>237811571.65515703</v>
      </c>
      <c r="T19" s="9">
        <f t="shared" si="28"/>
        <v>253471442.28877375</v>
      </c>
      <c r="U19" s="9">
        <f t="shared" si="28"/>
        <v>269643989.75356704</v>
      </c>
      <c r="V19" s="9">
        <f t="shared" si="28"/>
        <v>286345989.65920341</v>
      </c>
      <c r="W19" s="9">
        <f t="shared" si="28"/>
        <v>303594766.27329284</v>
      </c>
      <c r="X19" s="9">
        <f t="shared" si="28"/>
        <v>321408210.45727301</v>
      </c>
      <c r="Y19" s="9">
        <f t="shared" si="28"/>
        <v>339804798.18836403</v>
      </c>
      <c r="Z19" s="9">
        <f t="shared" si="28"/>
        <v>358803609.68673658</v>
      </c>
      <c r="AA19" s="9">
        <f t="shared" si="28"/>
        <v>378424349.16766012</v>
      </c>
      <c r="AB19" s="9">
        <f t="shared" si="28"/>
        <v>398687365.23904353</v>
      </c>
      <c r="AC19" s="9">
        <f t="shared" si="28"/>
        <v>419613671.96544784</v>
      </c>
      <c r="AD19" s="9">
        <f t="shared" si="28"/>
        <v>441224970.62033725</v>
      </c>
      <c r="AE19" s="9">
        <f t="shared" si="28"/>
        <v>463543672.14904696</v>
      </c>
      <c r="AF19" s="9">
        <f t="shared" si="28"/>
        <v>486592920.36567885</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43920076</v>
      </c>
      <c r="D20" s="9">
        <f>D19-D8-D9</f>
        <v>53014138.431999996</v>
      </c>
      <c r="E20" s="9">
        <f t="shared" ref="E20:AF20" si="29">E19-E8-E9</f>
        <v>62399210.861823998</v>
      </c>
      <c r="F20" s="9">
        <f t="shared" si="29"/>
        <v>72084605.609402359</v>
      </c>
      <c r="G20" s="9">
        <f t="shared" si="29"/>
        <v>82079932.988903239</v>
      </c>
      <c r="H20" s="9">
        <f t="shared" si="29"/>
        <v>92395110.844548136</v>
      </c>
      <c r="I20" s="9">
        <f t="shared" si="29"/>
        <v>103040374.39157367</v>
      </c>
      <c r="J20" s="9">
        <f t="shared" si="29"/>
        <v>114026286.37210403</v>
      </c>
      <c r="K20" s="9">
        <f t="shared" si="29"/>
        <v>125363747.53601137</v>
      </c>
      <c r="L20" s="9">
        <f t="shared" si="29"/>
        <v>137064007.45716372</v>
      </c>
      <c r="M20" s="9">
        <f t="shared" si="29"/>
        <v>149138675.69579294</v>
      </c>
      <c r="N20" s="9">
        <f t="shared" si="29"/>
        <v>161599733.31805831</v>
      </c>
      <c r="O20" s="9">
        <f t="shared" si="29"/>
        <v>174459544.78423616</v>
      </c>
      <c r="P20" s="9">
        <f t="shared" si="29"/>
        <v>187730870.21733171</v>
      </c>
      <c r="Q20" s="9">
        <f t="shared" si="29"/>
        <v>201426878.06428632</v>
      </c>
      <c r="R20" s="9">
        <f t="shared" si="29"/>
        <v>215561158.1623435</v>
      </c>
      <c r="S20" s="9">
        <f t="shared" si="29"/>
        <v>230147735.22353852</v>
      </c>
      <c r="T20" s="9">
        <f t="shared" si="29"/>
        <v>245201082.75069174</v>
      </c>
      <c r="U20" s="9">
        <f t="shared" si="29"/>
        <v>260736137.39871389</v>
      </c>
      <c r="V20" s="9">
        <f t="shared" si="29"/>
        <v>276768313.79547274</v>
      </c>
      <c r="W20" s="9">
        <f t="shared" si="29"/>
        <v>293313519.83692789</v>
      </c>
      <c r="X20" s="9">
        <f t="shared" si="29"/>
        <v>310388172.47170961</v>
      </c>
      <c r="Y20" s="9">
        <f t="shared" si="29"/>
        <v>328009213.99080431</v>
      </c>
      <c r="Z20" s="9">
        <f t="shared" si="29"/>
        <v>346194128.83851004</v>
      </c>
      <c r="AA20" s="9">
        <f t="shared" si="29"/>
        <v>364960960.96134233</v>
      </c>
      <c r="AB20" s="9">
        <f t="shared" si="29"/>
        <v>384328331.71210527</v>
      </c>
      <c r="AC20" s="9">
        <f t="shared" si="29"/>
        <v>404315458.32689267</v>
      </c>
      <c r="AD20" s="9">
        <f t="shared" si="29"/>
        <v>424942172.99335325</v>
      </c>
      <c r="AE20" s="9">
        <f t="shared" si="29"/>
        <v>446228942.52914059</v>
      </c>
      <c r="AF20" s="9">
        <f t="shared" si="29"/>
        <v>468196888.69007313</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2859000</v>
      </c>
      <c r="D22" s="9">
        <f ca="1">'Balance Sheet'!C11</f>
        <v>11503078.432259168</v>
      </c>
      <c r="E22" s="9">
        <f ca="1">'Balance Sheet'!D11</f>
        <v>19604116.343379818</v>
      </c>
      <c r="F22" s="9">
        <f ca="1">'Balance Sheet'!E11</f>
        <v>26421435.056944124</v>
      </c>
      <c r="G22" s="9">
        <f ca="1">'Balance Sheet'!F11</f>
        <v>31904242.722962074</v>
      </c>
      <c r="H22" s="9">
        <f ca="1">'Balance Sheet'!G11</f>
        <v>36389595.127983086</v>
      </c>
      <c r="I22" s="9">
        <f ca="1">'Balance Sheet'!H11</f>
        <v>40247126.552980505</v>
      </c>
      <c r="J22" s="9">
        <f ca="1">'Balance Sheet'!I11</f>
        <v>43855288.832171679</v>
      </c>
      <c r="K22" s="9">
        <f ca="1">'Balance Sheet'!J11</f>
        <v>47270429.424438849</v>
      </c>
      <c r="L22" s="9">
        <f ca="1">'Balance Sheet'!K11</f>
        <v>50585480.882355481</v>
      </c>
      <c r="M22" s="9">
        <f ca="1">'Balance Sheet'!L11</f>
        <v>53933169.439610235</v>
      </c>
      <c r="N22" s="9">
        <f ca="1">'Balance Sheet'!M11</f>
        <v>57272325.654018417</v>
      </c>
      <c r="O22" s="9">
        <f ca="1">'Balance Sheet'!N11</f>
        <v>60786500.214691676</v>
      </c>
      <c r="P22" s="9">
        <f ca="1">'Balance Sheet'!O11</f>
        <v>64459898.814573124</v>
      </c>
      <c r="Q22" s="9">
        <f ca="1">'Balance Sheet'!P11</f>
        <v>68273505.867695779</v>
      </c>
      <c r="R22" s="9">
        <f ca="1">'Balance Sheet'!Q11</f>
        <v>72204754.806311771</v>
      </c>
      <c r="S22" s="9">
        <f ca="1">'Balance Sheet'!R11</f>
        <v>76227171.606132403</v>
      </c>
      <c r="T22" s="9">
        <f ca="1">'Balance Sheet'!S11</f>
        <v>80464640.943798512</v>
      </c>
      <c r="U22" s="9">
        <f ca="1">'Balance Sheet'!T11</f>
        <v>84905110.780572787</v>
      </c>
      <c r="V22" s="9">
        <f ca="1">'Balance Sheet'!U11</f>
        <v>89533761.092007875</v>
      </c>
      <c r="W22" s="9">
        <f ca="1">'Balance Sheet'!V11</f>
        <v>94332724.685461059</v>
      </c>
      <c r="X22" s="9">
        <f ca="1">'Balance Sheet'!W11</f>
        <v>99280786.154726267</v>
      </c>
      <c r="Y22" s="9">
        <f ca="1">'Balance Sheet'!X11</f>
        <v>104353057.46384642</v>
      </c>
      <c r="Z22" s="9">
        <f ca="1">'Balance Sheet'!Y11</f>
        <v>109520628.55564715</v>
      </c>
      <c r="AA22" s="9">
        <f ca="1">'Balance Sheet'!Z11</f>
        <v>114750191.27811822</v>
      </c>
      <c r="AB22" s="9">
        <f ca="1">'Balance Sheet'!AA11</f>
        <v>120003634.81311426</v>
      </c>
      <c r="AC22" s="9">
        <f ca="1">'Balance Sheet'!AB11</f>
        <v>125738597.31786539</v>
      </c>
      <c r="AD22" s="9">
        <f ca="1">'Balance Sheet'!AC11</f>
        <v>131974243.35933867</v>
      </c>
      <c r="AE22" s="9">
        <f ca="1">'Balance Sheet'!AD11</f>
        <v>138893847.80743256</v>
      </c>
      <c r="AF22" s="9">
        <f ca="1">'Balance Sheet'!AE11</f>
        <v>146536742.18849987</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41061076</v>
      </c>
      <c r="D23" s="9">
        <f t="shared" ref="D23:AF23" ca="1" si="30">D20-D22</f>
        <v>41511059.999740824</v>
      </c>
      <c r="E23" s="9">
        <f t="shared" ca="1" si="30"/>
        <v>42795094.51844418</v>
      </c>
      <c r="F23" s="9">
        <f t="shared" ca="1" si="30"/>
        <v>45663170.552458234</v>
      </c>
      <c r="G23" s="9">
        <f t="shared" ca="1" si="30"/>
        <v>50175690.265941165</v>
      </c>
      <c r="H23" s="9">
        <f t="shared" ca="1" si="30"/>
        <v>56005515.71656505</v>
      </c>
      <c r="I23" s="9">
        <f t="shared" ca="1" si="30"/>
        <v>62793247.838593163</v>
      </c>
      <c r="J23" s="9">
        <f ca="1">J20-J22</f>
        <v>70170997.539932355</v>
      </c>
      <c r="K23" s="9">
        <f t="shared" ca="1" si="30"/>
        <v>78093318.111572519</v>
      </c>
      <c r="L23" s="9">
        <f t="shared" ca="1" si="30"/>
        <v>86478526.57480824</v>
      </c>
      <c r="M23" s="9">
        <f t="shared" ca="1" si="30"/>
        <v>95205506.2561827</v>
      </c>
      <c r="N23" s="9">
        <f t="shared" ca="1" si="30"/>
        <v>104327407.66403989</v>
      </c>
      <c r="O23" s="9">
        <f t="shared" ca="1" si="30"/>
        <v>113673044.56954449</v>
      </c>
      <c r="P23" s="9">
        <f t="shared" ca="1" si="30"/>
        <v>123270971.40275858</v>
      </c>
      <c r="Q23" s="9">
        <f t="shared" ca="1" si="30"/>
        <v>133153372.19659054</v>
      </c>
      <c r="R23" s="9">
        <f t="shared" ca="1" si="30"/>
        <v>143356403.35603172</v>
      </c>
      <c r="S23" s="9">
        <f t="shared" ca="1" si="30"/>
        <v>153920563.61740613</v>
      </c>
      <c r="T23" s="9">
        <f t="shared" ca="1" si="30"/>
        <v>164736441.80689323</v>
      </c>
      <c r="U23" s="9">
        <f t="shared" ca="1" si="30"/>
        <v>175831026.61814111</v>
      </c>
      <c r="V23" s="9">
        <f t="shared" ca="1" si="30"/>
        <v>187234552.70346487</v>
      </c>
      <c r="W23" s="9">
        <f t="shared" ca="1" si="30"/>
        <v>198980795.15146685</v>
      </c>
      <c r="X23" s="9">
        <f t="shared" ca="1" si="30"/>
        <v>211107386.31698334</v>
      </c>
      <c r="Y23" s="9">
        <f t="shared" ca="1" si="30"/>
        <v>223656156.5269579</v>
      </c>
      <c r="Z23" s="9">
        <f t="shared" ca="1" si="30"/>
        <v>236673500.2828629</v>
      </c>
      <c r="AA23" s="9">
        <f t="shared" ca="1" si="30"/>
        <v>250210769.68322411</v>
      </c>
      <c r="AB23" s="9">
        <f t="shared" ca="1" si="30"/>
        <v>264324696.89899102</v>
      </c>
      <c r="AC23" s="9">
        <f t="shared" ca="1" si="30"/>
        <v>278576861.0090273</v>
      </c>
      <c r="AD23" s="9">
        <f t="shared" ca="1" si="30"/>
        <v>292967929.63401461</v>
      </c>
      <c r="AE23" s="9">
        <f t="shared" ca="1" si="30"/>
        <v>307335094.72170806</v>
      </c>
      <c r="AF23" s="9">
        <f t="shared" ca="1" si="30"/>
        <v>321660146.50157326</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166</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2859000</v>
      </c>
      <c r="D5" s="1">
        <f ca="1">C5+C6</f>
        <v>11503078.432259168</v>
      </c>
      <c r="E5" s="1">
        <f t="shared" ref="E5:AF5" ca="1" si="1">D5+D6</f>
        <v>19604116.343379818</v>
      </c>
      <c r="F5" s="1">
        <f t="shared" ca="1" si="1"/>
        <v>26421435.056944124</v>
      </c>
      <c r="G5" s="1">
        <f t="shared" ca="1" si="1"/>
        <v>31904242.722962074</v>
      </c>
      <c r="H5" s="1">
        <f t="shared" ca="1" si="1"/>
        <v>36389595.127983086</v>
      </c>
      <c r="I5" s="1">
        <f t="shared" ca="1" si="1"/>
        <v>40247126.552980505</v>
      </c>
      <c r="J5" s="1">
        <f t="shared" ca="1" si="1"/>
        <v>43855288.832171679</v>
      </c>
      <c r="K5" s="1">
        <f t="shared" ca="1" si="1"/>
        <v>47270429.424438849</v>
      </c>
      <c r="L5" s="1">
        <f t="shared" ca="1" si="1"/>
        <v>50585480.882355481</v>
      </c>
      <c r="M5" s="1">
        <f t="shared" ca="1" si="1"/>
        <v>53933169.439610235</v>
      </c>
      <c r="N5" s="1">
        <f t="shared" ca="1" si="1"/>
        <v>57272325.654018417</v>
      </c>
      <c r="O5" s="1">
        <f t="shared" ca="1" si="1"/>
        <v>60786500.214691676</v>
      </c>
      <c r="P5" s="1">
        <f t="shared" ca="1" si="1"/>
        <v>64459898.814573124</v>
      </c>
      <c r="Q5" s="1">
        <f t="shared" ca="1" si="1"/>
        <v>68273505.867695779</v>
      </c>
      <c r="R5" s="1">
        <f t="shared" ca="1" si="1"/>
        <v>72204754.806311771</v>
      </c>
      <c r="S5" s="1">
        <f t="shared" ca="1" si="1"/>
        <v>76227171.606132403</v>
      </c>
      <c r="T5" s="1">
        <f t="shared" ca="1" si="1"/>
        <v>80464640.943798512</v>
      </c>
      <c r="U5" s="1">
        <f t="shared" ca="1" si="1"/>
        <v>84905110.780572787</v>
      </c>
      <c r="V5" s="1">
        <f t="shared" ca="1" si="1"/>
        <v>89533761.092007875</v>
      </c>
      <c r="W5" s="1">
        <f t="shared" ca="1" si="1"/>
        <v>94332724.685461059</v>
      </c>
      <c r="X5" s="1">
        <f t="shared" ca="1" si="1"/>
        <v>99280786.154726267</v>
      </c>
      <c r="Y5" s="1">
        <f t="shared" ca="1" si="1"/>
        <v>104353057.46384642</v>
      </c>
      <c r="Z5" s="1">
        <f t="shared" ca="1" si="1"/>
        <v>109520628.55564715</v>
      </c>
      <c r="AA5" s="1">
        <f t="shared" ca="1" si="1"/>
        <v>114750191.27811822</v>
      </c>
      <c r="AB5" s="1">
        <f t="shared" ca="1" si="1"/>
        <v>120003634.81311426</v>
      </c>
      <c r="AC5" s="1">
        <f t="shared" ca="1" si="1"/>
        <v>125738597.31786539</v>
      </c>
      <c r="AD5" s="1">
        <f t="shared" ca="1" si="1"/>
        <v>131974243.35933867</v>
      </c>
      <c r="AE5" s="1">
        <f t="shared" ca="1" si="1"/>
        <v>138893847.80743256</v>
      </c>
      <c r="AF5" s="1">
        <f t="shared" ca="1" si="1"/>
        <v>146536742.18849987</v>
      </c>
      <c r="AG5" s="1"/>
      <c r="AH5" s="1"/>
      <c r="AI5" s="1"/>
      <c r="AJ5" s="1"/>
      <c r="AK5" s="1"/>
      <c r="AL5" s="1"/>
      <c r="AM5" s="1"/>
      <c r="AN5" s="1"/>
      <c r="AO5" s="1"/>
      <c r="AP5" s="1"/>
    </row>
    <row r="6" spans="1:42" x14ac:dyDescent="0.35">
      <c r="A6" s="63" t="s">
        <v>3</v>
      </c>
      <c r="C6" s="1">
        <f ca="1">-'Cash Flow'!C13</f>
        <v>8644078.4322591685</v>
      </c>
      <c r="D6" s="1">
        <f ca="1">-'Cash Flow'!D13</f>
        <v>8101037.9111206476</v>
      </c>
      <c r="E6" s="1">
        <f ca="1">-'Cash Flow'!E13</f>
        <v>6817318.7135643074</v>
      </c>
      <c r="F6" s="1">
        <f ca="1">-'Cash Flow'!F13</f>
        <v>5482807.6660179505</v>
      </c>
      <c r="G6" s="1">
        <f ca="1">-'Cash Flow'!G13</f>
        <v>4485352.405021009</v>
      </c>
      <c r="H6" s="1">
        <f ca="1">-'Cash Flow'!H13</f>
        <v>3857531.4249974173</v>
      </c>
      <c r="I6" s="1">
        <f ca="1">-'Cash Flow'!I13</f>
        <v>3608162.2791911699</v>
      </c>
      <c r="J6" s="1">
        <f ca="1">-'Cash Flow'!J13</f>
        <v>3415140.5922671687</v>
      </c>
      <c r="K6" s="1">
        <f ca="1">-'Cash Flow'!K13</f>
        <v>3315051.4579166304</v>
      </c>
      <c r="L6" s="1">
        <f ca="1">-'Cash Flow'!L13</f>
        <v>3347688.5572547521</v>
      </c>
      <c r="M6" s="1">
        <f ca="1">-'Cash Flow'!M13</f>
        <v>3339156.2144081797</v>
      </c>
      <c r="N6" s="1">
        <f ca="1">-'Cash Flow'!N13</f>
        <v>3514174.5606732592</v>
      </c>
      <c r="O6" s="1">
        <f ca="1">-'Cash Flow'!O13</f>
        <v>3673398.5998814479</v>
      </c>
      <c r="P6" s="1">
        <f ca="1">-'Cash Flow'!P13</f>
        <v>3813607.0531226546</v>
      </c>
      <c r="Q6" s="1">
        <f ca="1">-'Cash Flow'!Q13</f>
        <v>3931248.9386159908</v>
      </c>
      <c r="R6" s="1">
        <f ca="1">-'Cash Flow'!R13</f>
        <v>4022416.7998206355</v>
      </c>
      <c r="S6" s="1">
        <f ca="1">-'Cash Flow'!S13</f>
        <v>4237469.3376661055</v>
      </c>
      <c r="T6" s="1">
        <f ca="1">-'Cash Flow'!T13</f>
        <v>4440469.8367742747</v>
      </c>
      <c r="U6" s="1">
        <f ca="1">-'Cash Flow'!U13</f>
        <v>4628650.3114350811</v>
      </c>
      <c r="V6" s="1">
        <f ca="1">-'Cash Flow'!V13</f>
        <v>4798963.5934531838</v>
      </c>
      <c r="W6" s="1">
        <f ca="1">-'Cash Flow'!W13</f>
        <v>4948061.4692652076</v>
      </c>
      <c r="X6" s="1">
        <f ca="1">-'Cash Flow'!X13</f>
        <v>5072271.3091201447</v>
      </c>
      <c r="Y6" s="1">
        <f ca="1">-'Cash Flow'!Y13</f>
        <v>5167571.0918007381</v>
      </c>
      <c r="Z6" s="1">
        <f ca="1">-'Cash Flow'!Z13</f>
        <v>5229562.7224710733</v>
      </c>
      <c r="AA6" s="1">
        <f ca="1">-'Cash Flow'!AA13</f>
        <v>5253443.5349960253</v>
      </c>
      <c r="AB6" s="1">
        <f ca="1">-'Cash Flow'!AB13</f>
        <v>5734962.5047511309</v>
      </c>
      <c r="AC6" s="1">
        <f ca="1">-'Cash Flow'!AC13</f>
        <v>6235646.0414732806</v>
      </c>
      <c r="AD6" s="1">
        <f ca="1">-'Cash Flow'!AD13</f>
        <v>6919604.4480938949</v>
      </c>
      <c r="AE6" s="1">
        <f ca="1">-'Cash Flow'!AE13</f>
        <v>7642894.3810673058</v>
      </c>
      <c r="AF6" s="1">
        <f ca="1">-'Cash Flow'!AF13</f>
        <v>8407073.9642438665</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402607.74512907094</v>
      </c>
      <c r="D8" s="1">
        <f ca="1">IF(SUM(D5:D6)&gt;0,Assumptions!$C$26*SUM(D5:D6),Assumptions!$C$27*(SUM(D5:D6)))</f>
        <v>686144.07201829366</v>
      </c>
      <c r="E8" s="1">
        <f ca="1">IF(SUM(E5:E6)&gt;0,Assumptions!$C$26*SUM(E5:E6),Assumptions!$C$27*(SUM(E5:E6)))</f>
        <v>924750.22699304449</v>
      </c>
      <c r="F8" s="1">
        <f ca="1">IF(SUM(F5:F6)&gt;0,Assumptions!$C$26*SUM(F5:F6),Assumptions!$C$27*(SUM(F5:F6)))</f>
        <v>1116648.4953036727</v>
      </c>
      <c r="G8" s="1">
        <f ca="1">IF(SUM(G5:G6)&gt;0,Assumptions!$C$26*SUM(G5:G6),Assumptions!$C$27*(SUM(G5:G6)))</f>
        <v>1273635.8294794082</v>
      </c>
      <c r="H8" s="1">
        <f ca="1">IF(SUM(H5:H6)&gt;0,Assumptions!$C$26*SUM(H5:H6),Assumptions!$C$27*(SUM(H5:H6)))</f>
        <v>1408649.4293543177</v>
      </c>
      <c r="I8" s="1">
        <f ca="1">IF(SUM(I5:I6)&gt;0,Assumptions!$C$26*SUM(I5:I6),Assumptions!$C$27*(SUM(I5:I6)))</f>
        <v>1534935.1091260088</v>
      </c>
      <c r="J8" s="1">
        <f ca="1">IF(SUM(J5:J6)&gt;0,Assumptions!$C$26*SUM(J5:J6),Assumptions!$C$27*(SUM(J5:J6)))</f>
        <v>1654465.0298553598</v>
      </c>
      <c r="K8" s="1">
        <f ca="1">IF(SUM(K5:K6)&gt;0,Assumptions!$C$26*SUM(K5:K6),Assumptions!$C$27*(SUM(K5:K6)))</f>
        <v>1770491.830882442</v>
      </c>
      <c r="L8" s="1">
        <f ca="1">IF(SUM(L5:L6)&gt;0,Assumptions!$C$26*SUM(L5:L6),Assumptions!$C$27*(SUM(L5:L6)))</f>
        <v>1887660.9303863584</v>
      </c>
      <c r="M8" s="1">
        <f ca="1">IF(SUM(M5:M6)&gt;0,Assumptions!$C$26*SUM(M5:M6),Assumptions!$C$27*(SUM(M5:M6)))</f>
        <v>2004531.3978906448</v>
      </c>
      <c r="N8" s="1">
        <f ca="1">IF(SUM(N5:N6)&gt;0,Assumptions!$C$26*SUM(N5:N6),Assumptions!$C$27*(SUM(N5:N6)))</f>
        <v>2127527.507514209</v>
      </c>
      <c r="O8" s="1">
        <f ca="1">IF(SUM(O5:O6)&gt;0,Assumptions!$C$26*SUM(O5:O6),Assumptions!$C$27*(SUM(O5:O6)))</f>
        <v>2256096.4585100594</v>
      </c>
      <c r="P8" s="1">
        <f ca="1">IF(SUM(P5:P6)&gt;0,Assumptions!$C$26*SUM(P5:P6),Assumptions!$C$27*(SUM(P5:P6)))</f>
        <v>2389572.7053693524</v>
      </c>
      <c r="Q8" s="1">
        <f ca="1">IF(SUM(Q5:Q6)&gt;0,Assumptions!$C$26*SUM(Q5:Q6),Assumptions!$C$27*(SUM(Q5:Q6)))</f>
        <v>2527166.4182209121</v>
      </c>
      <c r="R8" s="1">
        <f ca="1">IF(SUM(R5:R6)&gt;0,Assumptions!$C$26*SUM(R5:R6),Assumptions!$C$27*(SUM(R5:R6)))</f>
        <v>2667951.0062146345</v>
      </c>
      <c r="S8" s="1">
        <f ca="1">IF(SUM(S5:S6)&gt;0,Assumptions!$C$26*SUM(S5:S6),Assumptions!$C$27*(SUM(S5:S6)))</f>
        <v>2816262.4330329481</v>
      </c>
      <c r="T8" s="1">
        <f ca="1">IF(SUM(T5:T6)&gt;0,Assumptions!$C$26*SUM(T5:T6),Assumptions!$C$27*(SUM(T5:T6)))</f>
        <v>2971678.8773200479</v>
      </c>
      <c r="U8" s="1">
        <f ca="1">IF(SUM(U5:U6)&gt;0,Assumptions!$C$26*SUM(U5:U6),Assumptions!$C$27*(SUM(U5:U6)))</f>
        <v>3133681.6382202758</v>
      </c>
      <c r="V8" s="1">
        <f ca="1">IF(SUM(V5:V6)&gt;0,Assumptions!$C$26*SUM(V5:V6),Assumptions!$C$27*(SUM(V5:V6)))</f>
        <v>3301645.3639911376</v>
      </c>
      <c r="W8" s="1">
        <f ca="1">IF(SUM(W5:W6)&gt;0,Assumptions!$C$26*SUM(W5:W6),Assumptions!$C$27*(SUM(W5:W6)))</f>
        <v>3474827.5154154198</v>
      </c>
      <c r="X8" s="1">
        <f ca="1">IF(SUM(X5:X6)&gt;0,Assumptions!$C$26*SUM(X5:X6),Assumptions!$C$27*(SUM(X5:X6)))</f>
        <v>3652357.0112346248</v>
      </c>
      <c r="Y8" s="1">
        <f ca="1">IF(SUM(Y5:Y6)&gt;0,Assumptions!$C$26*SUM(Y5:Y6),Assumptions!$C$27*(SUM(Y5:Y6)))</f>
        <v>3833221.9994476507</v>
      </c>
      <c r="Z8" s="1">
        <f ca="1">IF(SUM(Z5:Z6)&gt;0,Assumptions!$C$26*SUM(Z5:Z6),Assumptions!$C$27*(SUM(Z5:Z6)))</f>
        <v>4016256.694734138</v>
      </c>
      <c r="AA8" s="1">
        <f ca="1">IF(SUM(AA5:AA6)&gt;0,Assumptions!$C$26*SUM(AA5:AA6),Assumptions!$C$27*(SUM(AA5:AA6)))</f>
        <v>4200127.2184589989</v>
      </c>
      <c r="AB8" s="1">
        <f ca="1">IF(SUM(AB5:AB6)&gt;0,Assumptions!$C$26*SUM(AB5:AB6),Assumptions!$C$27*(SUM(AB5:AB6)))</f>
        <v>4400850.9061252894</v>
      </c>
      <c r="AC8" s="1">
        <f ca="1">IF(SUM(AC5:AC6)&gt;0,Assumptions!$C$26*SUM(AC5:AC6),Assumptions!$C$27*(SUM(AC5:AC6)))</f>
        <v>4619098.5175768537</v>
      </c>
      <c r="AD8" s="1">
        <f ca="1">IF(SUM(AD5:AD6)&gt;0,Assumptions!$C$26*SUM(AD5:AD6),Assumptions!$C$27*(SUM(AD5:AD6)))</f>
        <v>4861284.6732601402</v>
      </c>
      <c r="AE8" s="1">
        <f ca="1">IF(SUM(AE5:AE6)&gt;0,Assumptions!$C$26*SUM(AE5:AE6),Assumptions!$C$27*(SUM(AE5:AE6)))</f>
        <v>5128785.9765974963</v>
      </c>
      <c r="AF8" s="1">
        <f ca="1">IF(SUM(AF5:AF6)&gt;0,Assumptions!$C$26*SUM(AF5:AF6),Assumptions!$C$27*(SUM(AF5:AF6)))</f>
        <v>5423033.5653460305</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topLeftCell="A4" zoomScaleNormal="100" workbookViewId="0">
      <selection sqref="A1:XFD1048576"/>
    </sheetView>
  </sheetViews>
  <sheetFormatPr defaultRowHeight="15.5" x14ac:dyDescent="0.35"/>
  <cols>
    <col min="1" max="1" width="107.9140625" style="63" customWidth="1"/>
    <col min="2" max="2" width="18.1640625" style="181" bestFit="1" customWidth="1"/>
    <col min="3" max="3" width="38.5"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row>
    <row r="5" spans="1:3" ht="18.5" x14ac:dyDescent="0.45">
      <c r="A5" s="89" t="s">
        <v>176</v>
      </c>
      <c r="B5" s="182"/>
    </row>
    <row r="6" spans="1:3" ht="18.5" x14ac:dyDescent="0.45">
      <c r="A6" s="90"/>
      <c r="B6" s="182"/>
    </row>
    <row r="7" spans="1:3" ht="18.5" x14ac:dyDescent="0.45">
      <c r="A7" s="90" t="s">
        <v>96</v>
      </c>
      <c r="B7" s="183">
        <f>Assumptions!C24</f>
        <v>2326000</v>
      </c>
      <c r="C7" s="180" t="s">
        <v>136</v>
      </c>
    </row>
    <row r="8" spans="1:3" ht="34" x14ac:dyDescent="0.45">
      <c r="A8" s="90" t="s">
        <v>174</v>
      </c>
      <c r="B8" s="184">
        <f>Assumptions!$C$133</f>
        <v>0.7</v>
      </c>
      <c r="C8" s="180" t="s">
        <v>198</v>
      </c>
    </row>
    <row r="9" spans="1:3" ht="18.5" x14ac:dyDescent="0.45">
      <c r="A9" s="90"/>
      <c r="B9" s="185"/>
      <c r="C9" s="180"/>
    </row>
    <row r="10" spans="1:3" ht="102" x14ac:dyDescent="0.45">
      <c r="A10" s="94" t="s">
        <v>102</v>
      </c>
      <c r="B10" s="186">
        <f>Assumptions!C135</f>
        <v>1355.3703703703702</v>
      </c>
      <c r="C10" s="180" t="s">
        <v>199</v>
      </c>
    </row>
    <row r="11" spans="1:3" ht="18.5" x14ac:dyDescent="0.45">
      <c r="A11" s="94"/>
      <c r="B11" s="187"/>
      <c r="C11" s="180"/>
    </row>
    <row r="12" spans="1:3" ht="18.5" x14ac:dyDescent="0.45">
      <c r="A12" s="94" t="s">
        <v>183</v>
      </c>
      <c r="B12" s="183">
        <f>(B7*B8)/B10</f>
        <v>1201.2952589151525</v>
      </c>
      <c r="C12" s="180"/>
    </row>
    <row r="13" spans="1:3" ht="18.5" x14ac:dyDescent="0.45">
      <c r="A13" s="96"/>
      <c r="B13" s="188"/>
      <c r="C13" s="180"/>
    </row>
    <row r="14" spans="1:3" ht="18.5" x14ac:dyDescent="0.45">
      <c r="A14" s="94" t="s">
        <v>103</v>
      </c>
      <c r="B14" s="103">
        <v>1</v>
      </c>
      <c r="C14" s="180"/>
    </row>
    <row r="15" spans="1:3" ht="18.5" x14ac:dyDescent="0.45">
      <c r="A15" s="96"/>
      <c r="B15" s="99"/>
      <c r="C15" s="180"/>
    </row>
    <row r="16" spans="1:3" ht="18.5" x14ac:dyDescent="0.45">
      <c r="A16" s="96" t="s">
        <v>178</v>
      </c>
      <c r="B16" s="189">
        <f>B12/B14</f>
        <v>1201.2952589151525</v>
      </c>
      <c r="C16" s="180"/>
    </row>
    <row r="17" spans="1:3" ht="18.5" x14ac:dyDescent="0.45">
      <c r="A17" s="94"/>
      <c r="B17" s="190"/>
      <c r="C17" s="180"/>
    </row>
    <row r="18" spans="1:3" ht="18.5" x14ac:dyDescent="0.45">
      <c r="A18" s="102" t="s">
        <v>177</v>
      </c>
      <c r="B18" s="190"/>
      <c r="C18" s="180"/>
    </row>
    <row r="19" spans="1:3" ht="18.5" x14ac:dyDescent="0.45">
      <c r="A19" s="94"/>
      <c r="B19" s="190"/>
      <c r="C19" s="180"/>
    </row>
    <row r="20" spans="1:3" ht="51" x14ac:dyDescent="0.45">
      <c r="A20" s="94" t="s">
        <v>65</v>
      </c>
      <c r="B20" s="183">
        <f>'Profit and Loss'!L5</f>
        <v>20428559.891884554</v>
      </c>
      <c r="C20" s="180" t="s">
        <v>200</v>
      </c>
    </row>
    <row r="21" spans="1:3" ht="34" x14ac:dyDescent="0.45">
      <c r="A21" s="94" t="str">
        <f>A8</f>
        <v>Assumed revenue from households</v>
      </c>
      <c r="B21" s="184">
        <f>B8</f>
        <v>0.7</v>
      </c>
      <c r="C21" s="180" t="s">
        <v>198</v>
      </c>
    </row>
    <row r="22" spans="1:3" ht="18.5" x14ac:dyDescent="0.45">
      <c r="A22" s="94"/>
      <c r="B22" s="187"/>
      <c r="C22" s="180"/>
    </row>
    <row r="23" spans="1:3" ht="34" x14ac:dyDescent="0.45">
      <c r="A23" s="94" t="s">
        <v>101</v>
      </c>
      <c r="B23" s="186">
        <f>Assumptions!M135</f>
        <v>1641.9818009439589</v>
      </c>
      <c r="C23" s="180" t="s">
        <v>201</v>
      </c>
    </row>
    <row r="24" spans="1:3" ht="18.5" x14ac:dyDescent="0.45">
      <c r="A24" s="94"/>
      <c r="B24" s="187"/>
      <c r="C24" s="180"/>
    </row>
    <row r="25" spans="1:3" ht="18.5" x14ac:dyDescent="0.45">
      <c r="A25" s="94" t="s">
        <v>182</v>
      </c>
      <c r="B25" s="183">
        <f>(B20*B21)/B23</f>
        <v>8708.9832031623409</v>
      </c>
      <c r="C25" s="180"/>
    </row>
    <row r="26" spans="1:3" ht="18.5" x14ac:dyDescent="0.45">
      <c r="A26" s="94"/>
      <c r="B26" s="183"/>
      <c r="C26" s="180"/>
    </row>
    <row r="27" spans="1:3" ht="51" x14ac:dyDescent="0.45">
      <c r="A27" s="94" t="s">
        <v>103</v>
      </c>
      <c r="B27" s="103">
        <f>1.022^11</f>
        <v>1.2704566586717592</v>
      </c>
      <c r="C27" s="180" t="s">
        <v>202</v>
      </c>
    </row>
    <row r="28" spans="1:3" ht="18.5" x14ac:dyDescent="0.45">
      <c r="A28" s="96"/>
      <c r="B28" s="188"/>
      <c r="C28" s="180"/>
    </row>
    <row r="29" spans="1:3" ht="18.5" x14ac:dyDescent="0.45">
      <c r="A29" s="96" t="s">
        <v>179</v>
      </c>
      <c r="B29" s="183">
        <f>B25/B27</f>
        <v>6855.0022102032472</v>
      </c>
      <c r="C29" s="180"/>
    </row>
    <row r="30" spans="1:3" ht="18.5" x14ac:dyDescent="0.45">
      <c r="A30" s="96"/>
      <c r="B30" s="188"/>
      <c r="C30" s="180"/>
    </row>
    <row r="31" spans="1:3" ht="18.5" x14ac:dyDescent="0.45">
      <c r="A31" s="102" t="s">
        <v>185</v>
      </c>
      <c r="B31" s="191"/>
      <c r="C31" s="180"/>
    </row>
    <row r="32" spans="1:3" ht="18.5" x14ac:dyDescent="0.45">
      <c r="A32" s="94"/>
      <c r="B32" s="183"/>
      <c r="C32" s="180"/>
    </row>
    <row r="33" spans="1:3" ht="51" x14ac:dyDescent="0.45">
      <c r="A33" s="94" t="s">
        <v>66</v>
      </c>
      <c r="B33" s="183">
        <f>'Profit and Loss'!AF5</f>
        <v>58543410.348606303</v>
      </c>
      <c r="C33" s="180" t="s">
        <v>200</v>
      </c>
    </row>
    <row r="34" spans="1:3" ht="34" x14ac:dyDescent="0.45">
      <c r="A34" s="94" t="str">
        <f>A21</f>
        <v>Assumed revenue from households</v>
      </c>
      <c r="B34" s="184">
        <f>B21</f>
        <v>0.7</v>
      </c>
      <c r="C34" s="180" t="s">
        <v>198</v>
      </c>
    </row>
    <row r="35" spans="1:3" ht="18.5" x14ac:dyDescent="0.45">
      <c r="A35" s="94"/>
      <c r="B35" s="187"/>
      <c r="C35" s="180"/>
    </row>
    <row r="36" spans="1:3" ht="34" x14ac:dyDescent="0.45">
      <c r="A36" s="94" t="s">
        <v>100</v>
      </c>
      <c r="B36" s="186">
        <f>Assumptions!AG135</f>
        <v>2409.8446296557222</v>
      </c>
      <c r="C36" s="180" t="s">
        <v>201</v>
      </c>
    </row>
    <row r="37" spans="1:3" ht="18.5" x14ac:dyDescent="0.45">
      <c r="A37" s="94"/>
      <c r="B37" s="187"/>
      <c r="C37" s="180"/>
    </row>
    <row r="38" spans="1:3" ht="18.5" x14ac:dyDescent="0.45">
      <c r="A38" s="94" t="s">
        <v>181</v>
      </c>
      <c r="B38" s="183">
        <f>(B33*B34)/B36</f>
        <v>17005.406381688183</v>
      </c>
      <c r="C38" s="180"/>
    </row>
    <row r="39" spans="1:3" ht="18.5" x14ac:dyDescent="0.45">
      <c r="A39" s="94"/>
      <c r="B39" s="187"/>
      <c r="C39" s="180"/>
    </row>
    <row r="40" spans="1:3" ht="51" x14ac:dyDescent="0.45">
      <c r="A40" s="94" t="s">
        <v>103</v>
      </c>
      <c r="B40" s="103">
        <f>1.022^31</f>
        <v>1.9632597808456462</v>
      </c>
      <c r="C40" s="180" t="s">
        <v>202</v>
      </c>
    </row>
    <row r="41" spans="1:3" ht="18.5" x14ac:dyDescent="0.45">
      <c r="A41" s="96"/>
      <c r="B41" s="188"/>
    </row>
    <row r="42" spans="1:3" ht="18.5" x14ac:dyDescent="0.45">
      <c r="A42" s="96" t="s">
        <v>180</v>
      </c>
      <c r="B42" s="183">
        <f>B38/B40</f>
        <v>8661.8218065687397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161</v>
      </c>
    </row>
    <row r="2" spans="1:33" ht="26.5" thickBot="1" x14ac:dyDescent="0.4">
      <c r="A2" s="111"/>
      <c r="B2" s="111"/>
      <c r="D2" s="112"/>
    </row>
    <row r="3" spans="1:33" s="114" customFormat="1" ht="21.5" thickBot="1" x14ac:dyDescent="0.4">
      <c r="A3" s="84"/>
      <c r="B3" s="84"/>
      <c r="C3" s="113"/>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20" customFormat="1" ht="16" thickBot="1" x14ac:dyDescent="0.4">
      <c r="A4" s="115" t="s">
        <v>25</v>
      </c>
      <c r="B4" s="115" t="s">
        <v>195</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138</v>
      </c>
      <c r="C13" s="127">
        <v>1.9368091771997609E-2</v>
      </c>
      <c r="D13" s="128">
        <f t="shared" ref="D13:AG13" si="3">(1+$C$13)^D8</f>
        <v>1.0193680917719976</v>
      </c>
      <c r="E13" s="128">
        <f t="shared" si="3"/>
        <v>1.0391113065228836</v>
      </c>
      <c r="F13" s="128">
        <f t="shared" si="3"/>
        <v>1.0592369096689391</v>
      </c>
      <c r="G13" s="128">
        <f t="shared" si="3"/>
        <v>1.0797523073436943</v>
      </c>
      <c r="H13" s="128">
        <f t="shared" si="3"/>
        <v>1.1006650491233532</v>
      </c>
      <c r="I13" s="128">
        <f t="shared" si="3"/>
        <v>1.1219828308050044</v>
      </c>
      <c r="J13" s="128">
        <f t="shared" si="3"/>
        <v>1.1437134972386414</v>
      </c>
      <c r="K13" s="128">
        <f t="shared" si="3"/>
        <v>1.1658650452140318</v>
      </c>
      <c r="L13" s="128">
        <f t="shared" si="3"/>
        <v>1.1884456264035013</v>
      </c>
      <c r="M13" s="128">
        <f t="shared" si="3"/>
        <v>1.2114635503617133</v>
      </c>
      <c r="N13" s="128">
        <f t="shared" si="3"/>
        <v>1.2349272875835491</v>
      </c>
      <c r="O13" s="128">
        <f t="shared" si="3"/>
        <v>1.2588454726212113</v>
      </c>
      <c r="P13" s="128">
        <f t="shared" si="3"/>
        <v>1.2832269072617026</v>
      </c>
      <c r="Q13" s="128">
        <f t="shared" si="3"/>
        <v>1.3080805637658437</v>
      </c>
      <c r="R13" s="128">
        <f t="shared" si="3"/>
        <v>1.3334155881700269</v>
      </c>
      <c r="S13" s="128">
        <f t="shared" si="3"/>
        <v>1.3592413036519164</v>
      </c>
      <c r="T13" s="128">
        <f t="shared" si="3"/>
        <v>1.3855672139613364</v>
      </c>
      <c r="U13" s="128">
        <f t="shared" si="3"/>
        <v>1.4124030069176106</v>
      </c>
      <c r="V13" s="128">
        <f t="shared" si="3"/>
        <v>1.4397585579746361</v>
      </c>
      <c r="W13" s="128">
        <f t="shared" si="3"/>
        <v>1.4676439338550078</v>
      </c>
      <c r="X13" s="128">
        <f t="shared" si="3"/>
        <v>1.4960693962545273</v>
      </c>
      <c r="Y13" s="128">
        <f t="shared" si="3"/>
        <v>1.5250454056184617</v>
      </c>
      <c r="Z13" s="128">
        <f t="shared" si="3"/>
        <v>1.5545826249909434</v>
      </c>
      <c r="AA13" s="128">
        <f t="shared" si="3"/>
        <v>1.584691923938921</v>
      </c>
      <c r="AB13" s="128">
        <f t="shared" si="3"/>
        <v>1.6153843825521135</v>
      </c>
      <c r="AC13" s="128">
        <f t="shared" si="3"/>
        <v>1.6466712955204343</v>
      </c>
      <c r="AD13" s="128">
        <f t="shared" si="3"/>
        <v>1.6785641762903885</v>
      </c>
      <c r="AE13" s="128">
        <f t="shared" si="3"/>
        <v>1.7110747613019681</v>
      </c>
      <c r="AF13" s="128">
        <f t="shared" si="3"/>
        <v>1.7442150143076136</v>
      </c>
      <c r="AG13" s="128">
        <f t="shared" si="3"/>
        <v>1.7779971307748192</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170</v>
      </c>
      <c r="C17" s="136">
        <f>AVERAGE(C49:C50)</f>
        <v>70216000.000000015</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35108000.000000007</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137</v>
      </c>
      <c r="C20" s="137">
        <v>2859000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159</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136</v>
      </c>
      <c r="C24" s="136">
        <v>2326000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6">
        <v>1874000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160</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61053000.000000007</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79379000.000000015</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171</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171</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180322.71633807858</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331579.08831860987</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255950.90232834424</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491509.39157118945</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850307.68362614897</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670908.53759866918</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1002487.625917279</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141</v>
      </c>
      <c r="B77" s="179" t="s">
        <v>197</v>
      </c>
      <c r="C77" s="87">
        <v>4154143.4144534441</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142</v>
      </c>
      <c r="B79" s="69" t="s">
        <v>155</v>
      </c>
      <c r="C79" s="87">
        <v>402033581.61075997</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143</v>
      </c>
      <c r="B80" s="69" t="s">
        <v>155</v>
      </c>
      <c r="C80" s="87">
        <v>459030728.31837416</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144</v>
      </c>
      <c r="B82" s="69" t="s">
        <v>86</v>
      </c>
      <c r="C82" s="87">
        <f>C79+$C$77</f>
        <v>406187725.02521342</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145</v>
      </c>
      <c r="B83" s="69" t="s">
        <v>86</v>
      </c>
      <c r="C83" s="87">
        <f>C80+$C$77</f>
        <v>463184871.7328276</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150</v>
      </c>
      <c r="B85" s="69" t="s">
        <v>196</v>
      </c>
      <c r="C85" s="150">
        <v>4200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151</v>
      </c>
      <c r="B86" s="69" t="s">
        <v>133</v>
      </c>
      <c r="C86" s="150">
        <v>3119</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3659.5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146</v>
      </c>
      <c r="B89" s="69" t="s">
        <v>86</v>
      </c>
      <c r="C89" s="150">
        <f>C82/$C$87</f>
        <v>110995.41604733253</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146</v>
      </c>
      <c r="B90" s="69" t="s">
        <v>86</v>
      </c>
      <c r="C90" s="150">
        <f>C83/$C$87</f>
        <v>126570.53469950201</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147</v>
      </c>
      <c r="B92" s="69" t="s">
        <v>154</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148</v>
      </c>
      <c r="B94" s="69" t="s">
        <v>86</v>
      </c>
      <c r="C94" s="87">
        <f>IF(C89&lt;$C$92,C89*$C$87,$C$92*$C$87)</f>
        <v>256165000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149</v>
      </c>
      <c r="B95" s="69" t="s">
        <v>86</v>
      </c>
      <c r="C95" s="87">
        <f>IF(C90&lt;$C$92,C90*$C$87,$C$92*$C$87)</f>
        <v>256165000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153</v>
      </c>
      <c r="B96" s="69" t="s">
        <v>86</v>
      </c>
      <c r="C96" s="87">
        <f>AVERAGE(C94:C95)</f>
        <v>256165000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256165000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8538833.333333334</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169</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169</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1002487.625917279</v>
      </c>
      <c r="E111" s="149">
        <f t="shared" si="9"/>
        <v>1002487.625917279</v>
      </c>
      <c r="F111" s="149">
        <f t="shared" si="9"/>
        <v>1002487.625917279</v>
      </c>
      <c r="G111" s="149">
        <f t="shared" si="9"/>
        <v>1002487.625917279</v>
      </c>
      <c r="H111" s="149">
        <f t="shared" si="9"/>
        <v>1002487.625917279</v>
      </c>
      <c r="I111" s="149">
        <f t="shared" si="9"/>
        <v>1002487.625917279</v>
      </c>
      <c r="J111" s="149">
        <f t="shared" si="9"/>
        <v>1002487.625917279</v>
      </c>
      <c r="K111" s="149">
        <f t="shared" si="9"/>
        <v>1002487.625917279</v>
      </c>
      <c r="L111" s="149">
        <f t="shared" si="9"/>
        <v>1002487.625917279</v>
      </c>
      <c r="M111" s="149">
        <f t="shared" si="9"/>
        <v>1002487.625917279</v>
      </c>
      <c r="N111" s="149">
        <f t="shared" si="9"/>
        <v>1002487.625917279</v>
      </c>
      <c r="O111" s="149">
        <f t="shared" si="9"/>
        <v>1002487.625917279</v>
      </c>
      <c r="P111" s="149">
        <f t="shared" si="9"/>
        <v>1002487.625917279</v>
      </c>
      <c r="Q111" s="149">
        <f t="shared" si="9"/>
        <v>1002487.625917279</v>
      </c>
      <c r="R111" s="149">
        <f t="shared" si="9"/>
        <v>1002487.625917279</v>
      </c>
      <c r="S111" s="149">
        <f t="shared" si="9"/>
        <v>1002487.625917279</v>
      </c>
      <c r="T111" s="149">
        <f t="shared" si="9"/>
        <v>1002487.625917279</v>
      </c>
      <c r="U111" s="149">
        <f t="shared" si="9"/>
        <v>1002487.625917279</v>
      </c>
      <c r="V111" s="149">
        <f t="shared" si="9"/>
        <v>1002487.625917279</v>
      </c>
      <c r="W111" s="149">
        <f t="shared" si="9"/>
        <v>1002487.625917279</v>
      </c>
      <c r="X111" s="149">
        <f t="shared" si="9"/>
        <v>1002487.625917279</v>
      </c>
      <c r="Y111" s="149">
        <f t="shared" si="9"/>
        <v>1002487.625917279</v>
      </c>
      <c r="Z111" s="149">
        <f t="shared" si="9"/>
        <v>1002487.625917279</v>
      </c>
      <c r="AA111" s="149">
        <f t="shared" si="9"/>
        <v>1002487.625917279</v>
      </c>
      <c r="AB111" s="149">
        <f t="shared" si="9"/>
        <v>1002487.625917279</v>
      </c>
      <c r="AC111" s="149">
        <f t="shared" si="9"/>
        <v>1002487.625917279</v>
      </c>
      <c r="AD111" s="149">
        <f t="shared" si="9"/>
        <v>1002487.625917279</v>
      </c>
      <c r="AE111" s="149">
        <f t="shared" si="9"/>
        <v>1002487.625917279</v>
      </c>
      <c r="AF111" s="149">
        <f t="shared" si="9"/>
        <v>1002487.625917279</v>
      </c>
      <c r="AG111" s="149">
        <f t="shared" si="9"/>
        <v>1002487.625917279</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256165000.00000012</v>
      </c>
      <c r="D113" s="149">
        <f t="shared" ref="D113:AG113" si="10">$C$102</f>
        <v>8538833.333333334</v>
      </c>
      <c r="E113" s="149">
        <f t="shared" si="10"/>
        <v>8538833.333333334</v>
      </c>
      <c r="F113" s="149">
        <f t="shared" si="10"/>
        <v>8538833.333333334</v>
      </c>
      <c r="G113" s="149">
        <f t="shared" si="10"/>
        <v>8538833.333333334</v>
      </c>
      <c r="H113" s="149">
        <f t="shared" si="10"/>
        <v>8538833.333333334</v>
      </c>
      <c r="I113" s="149">
        <f t="shared" si="10"/>
        <v>8538833.333333334</v>
      </c>
      <c r="J113" s="149">
        <f t="shared" si="10"/>
        <v>8538833.333333334</v>
      </c>
      <c r="K113" s="149">
        <f t="shared" si="10"/>
        <v>8538833.333333334</v>
      </c>
      <c r="L113" s="149">
        <f t="shared" si="10"/>
        <v>8538833.333333334</v>
      </c>
      <c r="M113" s="149">
        <f t="shared" si="10"/>
        <v>8538833.333333334</v>
      </c>
      <c r="N113" s="149">
        <f t="shared" si="10"/>
        <v>8538833.333333334</v>
      </c>
      <c r="O113" s="149">
        <f t="shared" si="10"/>
        <v>8538833.333333334</v>
      </c>
      <c r="P113" s="149">
        <f t="shared" si="10"/>
        <v>8538833.333333334</v>
      </c>
      <c r="Q113" s="149">
        <f t="shared" si="10"/>
        <v>8538833.333333334</v>
      </c>
      <c r="R113" s="149">
        <f t="shared" si="10"/>
        <v>8538833.333333334</v>
      </c>
      <c r="S113" s="149">
        <f t="shared" si="10"/>
        <v>8538833.333333334</v>
      </c>
      <c r="T113" s="149">
        <f t="shared" si="10"/>
        <v>8538833.333333334</v>
      </c>
      <c r="U113" s="149">
        <f t="shared" si="10"/>
        <v>8538833.333333334</v>
      </c>
      <c r="V113" s="149">
        <f t="shared" si="10"/>
        <v>8538833.333333334</v>
      </c>
      <c r="W113" s="149">
        <f t="shared" si="10"/>
        <v>8538833.333333334</v>
      </c>
      <c r="X113" s="149">
        <f t="shared" si="10"/>
        <v>8538833.333333334</v>
      </c>
      <c r="Y113" s="149">
        <f t="shared" si="10"/>
        <v>8538833.333333334</v>
      </c>
      <c r="Z113" s="149">
        <f t="shared" si="10"/>
        <v>8538833.333333334</v>
      </c>
      <c r="AA113" s="149">
        <f t="shared" si="10"/>
        <v>8538833.333333334</v>
      </c>
      <c r="AB113" s="149">
        <f t="shared" si="10"/>
        <v>8538833.333333334</v>
      </c>
      <c r="AC113" s="149">
        <f t="shared" si="10"/>
        <v>8538833.333333334</v>
      </c>
      <c r="AD113" s="149">
        <f t="shared" si="10"/>
        <v>8538833.333333334</v>
      </c>
      <c r="AE113" s="149">
        <f t="shared" si="10"/>
        <v>8538833.333333334</v>
      </c>
      <c r="AF113" s="149">
        <f t="shared" si="10"/>
        <v>8538833.333333334</v>
      </c>
      <c r="AG113" s="149">
        <f t="shared" si="10"/>
        <v>8538833.333333334</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8538833.333333334</v>
      </c>
      <c r="E118" s="149">
        <f t="shared" ref="E118:AG118" si="13">E113+E115+E116</f>
        <v>8538833.333333334</v>
      </c>
      <c r="F118" s="149">
        <f>F113+F115+F116</f>
        <v>8538833.333333334</v>
      </c>
      <c r="G118" s="149">
        <f t="shared" si="13"/>
        <v>8538833.333333334</v>
      </c>
      <c r="H118" s="149">
        <f t="shared" si="13"/>
        <v>8538833.333333334</v>
      </c>
      <c r="I118" s="149">
        <f t="shared" si="13"/>
        <v>8538833.333333334</v>
      </c>
      <c r="J118" s="149">
        <f t="shared" si="13"/>
        <v>8538833.333333334</v>
      </c>
      <c r="K118" s="149">
        <f t="shared" si="13"/>
        <v>8538833.333333334</v>
      </c>
      <c r="L118" s="149">
        <f t="shared" si="13"/>
        <v>8538833.333333334</v>
      </c>
      <c r="M118" s="149">
        <f t="shared" si="13"/>
        <v>8538833.333333334</v>
      </c>
      <c r="N118" s="149">
        <f t="shared" si="13"/>
        <v>8538833.333333334</v>
      </c>
      <c r="O118" s="149">
        <f t="shared" si="13"/>
        <v>8538833.333333334</v>
      </c>
      <c r="P118" s="149">
        <f t="shared" si="13"/>
        <v>8538833.333333334</v>
      </c>
      <c r="Q118" s="149">
        <f t="shared" si="13"/>
        <v>8538833.333333334</v>
      </c>
      <c r="R118" s="149">
        <f t="shared" si="13"/>
        <v>8538833.333333334</v>
      </c>
      <c r="S118" s="149">
        <f t="shared" si="13"/>
        <v>8538833.333333334</v>
      </c>
      <c r="T118" s="149">
        <f t="shared" si="13"/>
        <v>8538833.333333334</v>
      </c>
      <c r="U118" s="149">
        <f t="shared" si="13"/>
        <v>8538833.333333334</v>
      </c>
      <c r="V118" s="149">
        <f t="shared" si="13"/>
        <v>8538833.333333334</v>
      </c>
      <c r="W118" s="149">
        <f t="shared" si="13"/>
        <v>8538833.333333334</v>
      </c>
      <c r="X118" s="149">
        <f t="shared" si="13"/>
        <v>8538833.333333334</v>
      </c>
      <c r="Y118" s="149">
        <f t="shared" si="13"/>
        <v>8538833.333333334</v>
      </c>
      <c r="Z118" s="149">
        <f t="shared" si="13"/>
        <v>8538833.333333334</v>
      </c>
      <c r="AA118" s="149">
        <f t="shared" si="13"/>
        <v>8538833.333333334</v>
      </c>
      <c r="AB118" s="149">
        <f t="shared" si="13"/>
        <v>8538833.333333334</v>
      </c>
      <c r="AC118" s="149">
        <f t="shared" si="13"/>
        <v>8538833.333333334</v>
      </c>
      <c r="AD118" s="149">
        <f t="shared" si="13"/>
        <v>8538833.333333334</v>
      </c>
      <c r="AE118" s="149">
        <f t="shared" si="13"/>
        <v>8538833.333333334</v>
      </c>
      <c r="AF118" s="149">
        <f t="shared" si="13"/>
        <v>8538833.333333334</v>
      </c>
      <c r="AG118" s="149">
        <f t="shared" si="13"/>
        <v>8538833.333333334</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204932</v>
      </c>
      <c r="E120" s="149">
        <f>(SUM($D$118:E118)*$C$104/$C$106)+(SUM($D$118:E118)*$C$105/$C$107)</f>
        <v>409864</v>
      </c>
      <c r="F120" s="149">
        <f>(SUM($D$118:F118)*$C$104/$C$106)+(SUM($D$118:F118)*$C$105/$C$107)</f>
        <v>614796</v>
      </c>
      <c r="G120" s="149">
        <f>(SUM($D$118:G118)*$C$104/$C$106)+(SUM($D$118:G118)*$C$105/$C$107)</f>
        <v>819728</v>
      </c>
      <c r="H120" s="149">
        <f>(SUM($D$118:H118)*$C$104/$C$106)+(SUM($D$118:H118)*$C$105/$C$107)</f>
        <v>1024660.0000000002</v>
      </c>
      <c r="I120" s="149">
        <f>(SUM($D$118:I118)*$C$104/$C$106)+(SUM($D$118:I118)*$C$105/$C$107)</f>
        <v>1229592.0000000002</v>
      </c>
      <c r="J120" s="149">
        <f>(SUM($D$118:J118)*$C$104/$C$106)+(SUM($D$118:J118)*$C$105/$C$107)</f>
        <v>1434524.0000000005</v>
      </c>
      <c r="K120" s="149">
        <f>(SUM($D$118:K118)*$C$104/$C$106)+(SUM($D$118:K118)*$C$105/$C$107)</f>
        <v>1639456</v>
      </c>
      <c r="L120" s="149">
        <f>(SUM($D$118:L118)*$C$104/$C$106)+(SUM($D$118:L118)*$C$105/$C$107)</f>
        <v>1844388</v>
      </c>
      <c r="M120" s="149">
        <f>(SUM($D$118:M118)*$C$104/$C$106)+(SUM($D$118:M118)*$C$105/$C$107)</f>
        <v>2049320</v>
      </c>
      <c r="N120" s="149">
        <f>(SUM($D$118:N118)*$C$104/$C$106)+(SUM($D$118:N118)*$C$105/$C$107)</f>
        <v>2254251.9999999995</v>
      </c>
      <c r="O120" s="149">
        <f>(SUM($D$118:O118)*$C$104/$C$106)+(SUM($D$118:O118)*$C$105/$C$107)</f>
        <v>2459183.9999999995</v>
      </c>
      <c r="P120" s="149">
        <f>(SUM($D$118:P118)*$C$104/$C$106)+(SUM($D$118:P118)*$C$105/$C$107)</f>
        <v>2664115.9999999991</v>
      </c>
      <c r="Q120" s="149">
        <f>(SUM($D$118:Q118)*$C$104/$C$106)+(SUM($D$118:Q118)*$C$105/$C$107)</f>
        <v>2869047.9999999995</v>
      </c>
      <c r="R120" s="149">
        <f>(SUM($D$118:R118)*$C$104/$C$106)+(SUM($D$118:R118)*$C$105/$C$107)</f>
        <v>3073979.9999999995</v>
      </c>
      <c r="S120" s="149">
        <f>(SUM($D$118:S118)*$C$104/$C$106)+(SUM($D$118:S118)*$C$105/$C$107)</f>
        <v>3278911.9999999991</v>
      </c>
      <c r="T120" s="149">
        <f>(SUM($D$118:T118)*$C$104/$C$106)+(SUM($D$118:T118)*$C$105/$C$107)</f>
        <v>3483843.9999999995</v>
      </c>
      <c r="U120" s="149">
        <f>(SUM($D$118:U118)*$C$104/$C$106)+(SUM($D$118:U118)*$C$105/$C$107)</f>
        <v>3688776</v>
      </c>
      <c r="V120" s="149">
        <f>(SUM($D$118:V118)*$C$104/$C$106)+(SUM($D$118:V118)*$C$105/$C$107)</f>
        <v>3893708</v>
      </c>
      <c r="W120" s="149">
        <f>(SUM($D$118:W118)*$C$104/$C$106)+(SUM($D$118:W118)*$C$105/$C$107)</f>
        <v>4098640.0000000009</v>
      </c>
      <c r="X120" s="149">
        <f>(SUM($D$118:X118)*$C$104/$C$106)+(SUM($D$118:X118)*$C$105/$C$107)</f>
        <v>4303572.0000000009</v>
      </c>
      <c r="Y120" s="149">
        <f>(SUM($D$118:Y118)*$C$104/$C$106)+(SUM($D$118:Y118)*$C$105/$C$107)</f>
        <v>4508504.0000000009</v>
      </c>
      <c r="Z120" s="149">
        <f>(SUM($D$118:Z118)*$C$104/$C$106)+(SUM($D$118:Z118)*$C$105/$C$107)</f>
        <v>4713436.0000000009</v>
      </c>
      <c r="AA120" s="149">
        <f>(SUM($D$118:AA118)*$C$104/$C$106)+(SUM($D$118:AA118)*$C$105/$C$107)</f>
        <v>4918368.0000000009</v>
      </c>
      <c r="AB120" s="149">
        <f>(SUM($D$118:AB118)*$C$104/$C$106)+(SUM($D$118:AB118)*$C$105/$C$107)</f>
        <v>5123300.0000000019</v>
      </c>
      <c r="AC120" s="149">
        <f>(SUM($D$118:AC118)*$C$104/$C$106)+(SUM($D$118:AC118)*$C$105/$C$107)</f>
        <v>5328232.0000000019</v>
      </c>
      <c r="AD120" s="149">
        <f>(SUM($D$118:AD118)*$C$104/$C$106)+(SUM($D$118:AD118)*$C$105/$C$107)</f>
        <v>5533164.0000000019</v>
      </c>
      <c r="AE120" s="149">
        <f>(SUM($D$118:AE118)*$C$104/$C$106)+(SUM($D$118:AE118)*$C$105/$C$107)</f>
        <v>5738096.0000000028</v>
      </c>
      <c r="AF120" s="149">
        <f>(SUM($D$118:AF118)*$C$104/$C$106)+(SUM($D$118:AF118)*$C$105/$C$107)</f>
        <v>5943028.0000000019</v>
      </c>
      <c r="AG120" s="149">
        <f>(SUM($D$118:AG118)*$C$104/$C$106)+(SUM($D$118:AG118)*$C$105/$C$107)</f>
        <v>6147960.0000000028</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256165</v>
      </c>
      <c r="E122" s="72">
        <f>(SUM($D$118:E118)*$C$109)</f>
        <v>512330</v>
      </c>
      <c r="F122" s="72">
        <f>(SUM($D$118:F118)*$C$109)</f>
        <v>768495</v>
      </c>
      <c r="G122" s="72">
        <f>(SUM($D$118:G118)*$C$109)</f>
        <v>1024660</v>
      </c>
      <c r="H122" s="72">
        <f>(SUM($D$118:H118)*$C$109)</f>
        <v>1280825</v>
      </c>
      <c r="I122" s="72">
        <f>(SUM($D$118:I118)*$C$109)</f>
        <v>1536990.0000000002</v>
      </c>
      <c r="J122" s="72">
        <f>(SUM($D$118:J118)*$C$109)</f>
        <v>1793155.0000000002</v>
      </c>
      <c r="K122" s="72">
        <f>(SUM($D$118:K118)*$C$109)</f>
        <v>2049320</v>
      </c>
      <c r="L122" s="72">
        <f>(SUM($D$118:L118)*$C$109)</f>
        <v>2305485</v>
      </c>
      <c r="M122" s="72">
        <f>(SUM($D$118:M118)*$C$109)</f>
        <v>2561649.9999999995</v>
      </c>
      <c r="N122" s="72">
        <f>(SUM($D$118:N118)*$C$109)</f>
        <v>2817814.9999999995</v>
      </c>
      <c r="O122" s="72">
        <f>(SUM($D$118:O118)*$C$109)</f>
        <v>3073979.9999999995</v>
      </c>
      <c r="P122" s="72">
        <f>(SUM($D$118:P118)*$C$109)</f>
        <v>3330144.9999999991</v>
      </c>
      <c r="Q122" s="72">
        <f>(SUM($D$118:Q118)*$C$109)</f>
        <v>3586309.9999999991</v>
      </c>
      <c r="R122" s="72">
        <f>(SUM($D$118:R118)*$C$109)</f>
        <v>3842474.9999999991</v>
      </c>
      <c r="S122" s="72">
        <f>(SUM($D$118:S118)*$C$109)</f>
        <v>4098639.9999999991</v>
      </c>
      <c r="T122" s="72">
        <f>(SUM($D$118:T118)*$C$109)</f>
        <v>4354805</v>
      </c>
      <c r="U122" s="72">
        <f>(SUM($D$118:U118)*$C$109)</f>
        <v>4610970</v>
      </c>
      <c r="V122" s="72">
        <f>(SUM($D$118:V118)*$C$109)</f>
        <v>4867135</v>
      </c>
      <c r="W122" s="72">
        <f>(SUM($D$118:W118)*$C$109)</f>
        <v>5123300</v>
      </c>
      <c r="X122" s="72">
        <f>(SUM($D$118:X118)*$C$109)</f>
        <v>5379465.0000000009</v>
      </c>
      <c r="Y122" s="72">
        <f>(SUM($D$118:Y118)*$C$109)</f>
        <v>5635630.0000000009</v>
      </c>
      <c r="Z122" s="72">
        <f>(SUM($D$118:Z118)*$C$109)</f>
        <v>5891795.0000000009</v>
      </c>
      <c r="AA122" s="72">
        <f>(SUM($D$118:AA118)*$C$109)</f>
        <v>6147960.0000000019</v>
      </c>
      <c r="AB122" s="72">
        <f>(SUM($D$118:AB118)*$C$109)</f>
        <v>6404125.0000000019</v>
      </c>
      <c r="AC122" s="72">
        <f>(SUM($D$118:AC118)*$C$109)</f>
        <v>6660290.0000000019</v>
      </c>
      <c r="AD122" s="72">
        <f>(SUM($D$118:AD118)*$C$109)</f>
        <v>6916455.0000000028</v>
      </c>
      <c r="AE122" s="72">
        <f>(SUM($D$118:AE118)*$C$109)</f>
        <v>7172620.0000000028</v>
      </c>
      <c r="AF122" s="72">
        <f>(SUM($D$118:AF118)*$C$109)</f>
        <v>7428785.0000000028</v>
      </c>
      <c r="AG122" s="72">
        <f>(SUM($D$118:AG118)*$C$109)</f>
        <v>7684950.0000000037</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152</v>
      </c>
      <c r="B126" s="77" t="s">
        <v>196</v>
      </c>
      <c r="C126" s="126">
        <v>4200</v>
      </c>
      <c r="D126" s="140"/>
    </row>
    <row r="127" spans="1:33" x14ac:dyDescent="0.35">
      <c r="A127" s="77" t="s">
        <v>151</v>
      </c>
      <c r="B127" s="77" t="s">
        <v>133</v>
      </c>
      <c r="C127" s="126">
        <v>3119</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3659.5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156</v>
      </c>
      <c r="B133" s="77" t="s">
        <v>157</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1355.3703703703702</v>
      </c>
      <c r="D135" s="157">
        <f t="shared" ref="D135:AG135" si="14">$C$135*D13</f>
        <v>1381.6213080887499</v>
      </c>
      <c r="E135" s="157">
        <f t="shared" si="14"/>
        <v>1408.3806763779601</v>
      </c>
      <c r="F135" s="157">
        <f t="shared" si="14"/>
        <v>1435.6583225679565</v>
      </c>
      <c r="G135" s="157">
        <f t="shared" si="14"/>
        <v>1463.4642847126847</v>
      </c>
      <c r="H135" s="157">
        <f t="shared" si="14"/>
        <v>1491.8087952840408</v>
      </c>
      <c r="I135" s="157">
        <f t="shared" si="14"/>
        <v>1520.7022849373752</v>
      </c>
      <c r="J135" s="157">
        <f t="shared" si="14"/>
        <v>1550.1553863499287</v>
      </c>
      <c r="K135" s="157">
        <f t="shared" si="14"/>
        <v>1580.1789381336107</v>
      </c>
      <c r="L135" s="157">
        <f t="shared" si="14"/>
        <v>1610.7839888235601</v>
      </c>
      <c r="M135" s="157">
        <f t="shared" si="14"/>
        <v>1641.9818009439589</v>
      </c>
      <c r="N135" s="157">
        <f t="shared" si="14"/>
        <v>1673.7838551525915</v>
      </c>
      <c r="O135" s="157">
        <f t="shared" si="14"/>
        <v>1706.2018544656748</v>
      </c>
      <c r="P135" s="157">
        <f t="shared" si="14"/>
        <v>1739.2477285645186</v>
      </c>
      <c r="Q135" s="157">
        <f t="shared" si="14"/>
        <v>1772.9336381855942</v>
      </c>
      <c r="R135" s="157">
        <f t="shared" si="14"/>
        <v>1807.2719795956343</v>
      </c>
      <c r="S135" s="157">
        <f t="shared" si="14"/>
        <v>1842.2753891534028</v>
      </c>
      <c r="T135" s="157">
        <f t="shared" si="14"/>
        <v>1877.9567479598186</v>
      </c>
      <c r="U135" s="157">
        <f t="shared" si="14"/>
        <v>1914.3291865981464</v>
      </c>
      <c r="V135" s="157">
        <f t="shared" si="14"/>
        <v>1951.4060899659928</v>
      </c>
      <c r="W135" s="157">
        <f t="shared" si="14"/>
        <v>1989.201102200889</v>
      </c>
      <c r="X135" s="157">
        <f t="shared" si="14"/>
        <v>2027.7281317012748</v>
      </c>
      <c r="Y135" s="157">
        <f t="shared" si="14"/>
        <v>2067.0013562447257</v>
      </c>
      <c r="Z135" s="157">
        <f t="shared" si="14"/>
        <v>2107.0352282053173</v>
      </c>
      <c r="AA135" s="157">
        <f t="shared" si="14"/>
        <v>2147.8444798720298</v>
      </c>
      <c r="AB135" s="157">
        <f t="shared" si="14"/>
        <v>2189.4441288701701</v>
      </c>
      <c r="AC135" s="157">
        <f t="shared" si="14"/>
        <v>2231.8494836877885</v>
      </c>
      <c r="AD135" s="157">
        <f t="shared" si="14"/>
        <v>2275.0761493091391</v>
      </c>
      <c r="AE135" s="157">
        <f t="shared" si="14"/>
        <v>2319.1400329572411</v>
      </c>
      <c r="AF135" s="157">
        <f t="shared" si="14"/>
        <v>2364.0573499476709</v>
      </c>
      <c r="AG135" s="157">
        <f t="shared" si="14"/>
        <v>2409.8446296557222</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0.7</v>
      </c>
      <c r="F4" s="65">
        <v>0.4</v>
      </c>
      <c r="G4" s="65">
        <v>0.4</v>
      </c>
      <c r="H4" s="65">
        <v>0.28000000000000003</v>
      </c>
      <c r="I4" s="65">
        <v>0.18</v>
      </c>
      <c r="J4" s="65">
        <v>0.12</v>
      </c>
      <c r="K4" s="65">
        <v>0.08</v>
      </c>
      <c r="L4" s="65">
        <v>7.0000000000000007E-2</v>
      </c>
      <c r="M4" s="65">
        <v>0.06</v>
      </c>
      <c r="N4" s="65">
        <v>0.05</v>
      </c>
      <c r="O4" s="65">
        <v>0.05</v>
      </c>
      <c r="P4" s="65">
        <v>0.04</v>
      </c>
      <c r="Q4" s="65">
        <v>0.04</v>
      </c>
      <c r="R4" s="65">
        <v>0.04</v>
      </c>
      <c r="S4" s="65">
        <v>0.04</v>
      </c>
      <c r="T4" s="65">
        <v>0.04</v>
      </c>
      <c r="U4" s="65">
        <v>3.5000000000000003E-2</v>
      </c>
      <c r="V4" s="65">
        <v>3.5000000000000003E-2</v>
      </c>
      <c r="W4" s="65">
        <v>3.5000000000000003E-2</v>
      </c>
      <c r="X4" s="65">
        <v>3.5000000000000003E-2</v>
      </c>
      <c r="Y4" s="65">
        <v>3.5000000000000003E-2</v>
      </c>
      <c r="Z4" s="65">
        <v>3.5000000000000003E-2</v>
      </c>
      <c r="AA4" s="65">
        <v>3.5000000000000003E-2</v>
      </c>
      <c r="AB4" s="65">
        <v>3.5000000000000003E-2</v>
      </c>
      <c r="AC4" s="65">
        <v>3.5000000000000003E-2</v>
      </c>
      <c r="AD4" s="65">
        <v>2.5000000000000001E-2</v>
      </c>
      <c r="AE4" s="65">
        <v>2.5000000000000001E-2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2.5030441738177345</v>
      </c>
      <c r="C6" s="25"/>
      <c r="D6" s="25"/>
      <c r="E6" s="27">
        <f>'Debt worksheet'!C5/'Profit and Loss'!C5</f>
        <v>0.70929106394770869</v>
      </c>
      <c r="F6" s="28">
        <f ca="1">'Debt worksheet'!D5/'Profit and Loss'!D5</f>
        <v>1.9997022863172804</v>
      </c>
      <c r="G6" s="28">
        <f ca="1">'Debt worksheet'!E5/'Profit and Loss'!E5</f>
        <v>2.3880282631944802</v>
      </c>
      <c r="H6" s="28">
        <f ca="1">'Debt worksheet'!F5/'Profit and Loss'!F5</f>
        <v>2.4666503300672109</v>
      </c>
      <c r="I6" s="28">
        <f ca="1">'Debt worksheet'!G5/'Profit and Loss'!G5</f>
        <v>2.4762049341471148</v>
      </c>
      <c r="J6" s="28">
        <f ca="1">'Debt worksheet'!H5/'Profit and Loss'!H5</f>
        <v>2.473809823235539</v>
      </c>
      <c r="K6" s="28">
        <f ca="1">'Debt worksheet'!I5/'Profit and Loss'!I5</f>
        <v>2.4852448054576937</v>
      </c>
      <c r="L6" s="28">
        <f ca="1">'Debt worksheet'!J5/'Profit and Loss'!J5</f>
        <v>2.4827984075525253</v>
      </c>
      <c r="M6" s="28">
        <f ca="1">'Debt worksheet'!K5/'Profit and Loss'!K5</f>
        <v>2.4766927321056165</v>
      </c>
      <c r="N6" s="28">
        <f ca="1">'Debt worksheet'!L5/'Profit and Loss'!L5</f>
        <v>2.4762137492839651</v>
      </c>
      <c r="O6" s="28">
        <f ca="1">'Debt worksheet'!M5/'Profit and Loss'!M5</f>
        <v>2.4665950542136947</v>
      </c>
      <c r="P6" s="28">
        <f ca="1">'Debt worksheet'!N5/'Profit and Loss'!N5</f>
        <v>2.4707133274583768</v>
      </c>
      <c r="Q6" s="28">
        <f ca="1">'Debt worksheet'!O5/'Profit and Loss'!O5</f>
        <v>2.4735477820689451</v>
      </c>
      <c r="R6" s="28">
        <f ca="1">'Debt worksheet'!P5/'Profit and Loss'!P5</f>
        <v>2.4742205491043494</v>
      </c>
      <c r="S6" s="28">
        <f ca="1">'Debt worksheet'!Q5/'Profit and Loss'!Q5</f>
        <v>2.4719325722078</v>
      </c>
      <c r="T6" s="28">
        <f ca="1">'Debt worksheet'!R5/'Profit and Loss'!R5</f>
        <v>2.4659589265310746</v>
      </c>
      <c r="U6" s="28">
        <f ca="1">'Debt worksheet'!S5/'Profit and Loss'!S5</f>
        <v>2.4675073885051573</v>
      </c>
      <c r="V6" s="28">
        <f ca="1">'Debt worksheet'!T5/'Profit and Loss'!T5</f>
        <v>2.4687797632437682</v>
      </c>
      <c r="W6" s="28">
        <f ca="1">'Debt worksheet'!U5/'Profit and Loss'!U5</f>
        <v>2.4691059105900655</v>
      </c>
      <c r="X6" s="28">
        <f ca="1">'Debt worksheet'!V5/'Profit and Loss'!V5</f>
        <v>2.4678646074716304</v>
      </c>
      <c r="Y6" s="28">
        <f ca="1">'Debt worksheet'!W5/'Profit and Loss'!W5</f>
        <v>2.4644811165886593</v>
      </c>
      <c r="Z6" s="28">
        <f ca="1">'Debt worksheet'!X5/'Profit and Loss'!X5</f>
        <v>2.4584248583337303</v>
      </c>
      <c r="AA6" s="28">
        <f ca="1">'Debt worksheet'!Y5/'Profit and Loss'!Y5</f>
        <v>2.4492071819028594</v>
      </c>
      <c r="AB6" s="28">
        <f ca="1">'Debt worksheet'!Z5/'Profit and Loss'!Z5</f>
        <v>2.4363792317084068</v>
      </c>
      <c r="AC6" s="28">
        <f ca="1">'Debt worksheet'!AA5/'Profit and Loss'!AA5</f>
        <v>2.4195299053497714</v>
      </c>
      <c r="AD6" s="28">
        <f ca="1">'Debt worksheet'!AB5/'Profit and Loss'!AB5</f>
        <v>2.4216817912407294</v>
      </c>
      <c r="AE6" s="28">
        <f ca="1">'Debt worksheet'!AC5/'Profit and Loss'!AC5</f>
        <v>2.4284903735938457</v>
      </c>
      <c r="AF6" s="28">
        <f ca="1">'Debt worksheet'!AD5/'Profit and Loss'!AD5</f>
        <v>2.4466679039108303</v>
      </c>
      <c r="AG6" s="28">
        <f ca="1">'Debt worksheet'!AE5/'Profit and Loss'!AE5</f>
        <v>2.4716497173954073</v>
      </c>
      <c r="AH6" s="28">
        <f ca="1">'Debt worksheet'!AF5/'Profit and Loss'!AF5</f>
        <v>2.5030441738177345</v>
      </c>
      <c r="AI6" s="31"/>
    </row>
    <row r="7" spans="1:35" ht="21" x14ac:dyDescent="0.5">
      <c r="A7" s="19" t="s">
        <v>38</v>
      </c>
      <c r="B7" s="26">
        <f ca="1">MIN('Price and Financial ratios'!E7:AH7)</f>
        <v>0.21709083473838664</v>
      </c>
      <c r="C7" s="26"/>
      <c r="D7" s="26"/>
      <c r="E7" s="56">
        <f ca="1">'Cash Flow'!C7/'Debt worksheet'!C5</f>
        <v>0.49459762913167621</v>
      </c>
      <c r="F7" s="32">
        <f ca="1">'Cash Flow'!D7/'Debt worksheet'!D5</f>
        <v>0.21709083473838664</v>
      </c>
      <c r="G7" s="32">
        <f ca="1">'Cash Flow'!E7/'Debt worksheet'!E5</f>
        <v>0.22165333976815987</v>
      </c>
      <c r="H7" s="32">
        <f ca="1">'Cash Flow'!F7/'Debt worksheet'!F5</f>
        <v>0.23728774531234553</v>
      </c>
      <c r="I7" s="32">
        <f ca="1">'Cash Flow'!G7/'Debt worksheet'!G5</f>
        <v>0.2470799646470038</v>
      </c>
      <c r="J7" s="32">
        <f ca="1">'Cash Flow'!H7/'Debt worksheet'!H5</f>
        <v>0.25155730451669173</v>
      </c>
      <c r="K7" s="32">
        <f ca="1">'Cash Flow'!I7/'Debt worksheet'!I5</f>
        <v>0.25033576290054388</v>
      </c>
      <c r="L7" s="32">
        <f ca="1">'Cash Flow'!J7/'Debt worksheet'!J5</f>
        <v>0.25013743231135355</v>
      </c>
      <c r="M7" s="17">
        <f ca="1">'Cash Flow'!K7/'Debt worksheet'!K5</f>
        <v>0.24967738532587375</v>
      </c>
      <c r="N7" s="17">
        <f ca="1">'Cash Flow'!L7/'Debt worksheet'!L5</f>
        <v>0.24778421040614523</v>
      </c>
      <c r="O7" s="17">
        <f ca="1">'Cash Flow'!M7/'Debt worksheet'!M5</f>
        <v>0.24735855618171571</v>
      </c>
      <c r="P7" s="17">
        <f ca="1">'Cash Flow'!N7/'Debt worksheet'!N5</f>
        <v>0.2444223695841192</v>
      </c>
      <c r="Q7" s="17">
        <f ca="1">'Cash Flow'!O7/'Debt worksheet'!O5</f>
        <v>0.24196916946124106</v>
      </c>
      <c r="R7" s="17">
        <f ca="1">'Cash Flow'!P7/'Debt worksheet'!P5</f>
        <v>0.24007145613669723</v>
      </c>
      <c r="S7" s="17">
        <f ca="1">'Cash Flow'!Q7/'Debt worksheet'!Q5</f>
        <v>0.23879363903814274</v>
      </c>
      <c r="T7" s="17">
        <f ca="1">'Cash Flow'!R7/'Debt worksheet'!R5</f>
        <v>0.23819537528618995</v>
      </c>
      <c r="U7" s="17">
        <f ca="1">'Cash Flow'!S7/'Debt worksheet'!S5</f>
        <v>0.23630608056954697</v>
      </c>
      <c r="V7" s="17">
        <f ca="1">'Cash Flow'!T7/'Debt worksheet'!T5</f>
        <v>0.23467745592315725</v>
      </c>
      <c r="W7" s="17">
        <f ca="1">'Cash Flow'!U7/'Debt worksheet'!U5</f>
        <v>0.23336942275062569</v>
      </c>
      <c r="X7" s="17">
        <f ca="1">'Cash Flow'!V7/'Debt worksheet'!V5</f>
        <v>0.2324362163860218</v>
      </c>
      <c r="Y7" s="17">
        <f ca="1">'Cash Flow'!W7/'Debt worksheet'!W5</f>
        <v>0.23192790287257414</v>
      </c>
      <c r="Z7" s="17">
        <f ca="1">'Cash Flow'!X7/'Debt worksheet'!X5</f>
        <v>0.2318919924278719</v>
      </c>
      <c r="AA7" s="17">
        <f ca="1">'Cash Flow'!Y7/'Debt worksheet'!Y5</f>
        <v>0.23237512358710583</v>
      </c>
      <c r="AB7" s="17">
        <f ca="1">'Cash Flow'!Z7/'Debt worksheet'!Z5</f>
        <v>0.23342481969478274</v>
      </c>
      <c r="AC7" s="17">
        <f ca="1">'Cash Flow'!AA7/'Debt worksheet'!AA5</f>
        <v>0.23509134489171257</v>
      </c>
      <c r="AD7" s="17">
        <f ca="1">'Cash Flow'!AB7/'Debt worksheet'!AB5</f>
        <v>0.2332549494566736</v>
      </c>
      <c r="AE7" s="17">
        <f ca="1">'Cash Flow'!AC7/'Debt worksheet'!AC5</f>
        <v>0.2310324342050043</v>
      </c>
      <c r="AF7" s="17">
        <f ca="1">'Cash Flow'!AD7/'Debt worksheet'!AD5</f>
        <v>0.22724061212227853</v>
      </c>
      <c r="AG7" s="17">
        <f ca="1">'Cash Flow'!AE7/'Debt worksheet'!AE5</f>
        <v>0.22289399612248131</v>
      </c>
      <c r="AH7" s="17">
        <f ca="1">'Cash Flow'!AF7/'Debt worksheet'!AF5</f>
        <v>0.21808116786973553</v>
      </c>
      <c r="AI7" s="29"/>
    </row>
    <row r="8" spans="1:35" ht="21" x14ac:dyDescent="0.5">
      <c r="A8" s="19" t="s">
        <v>33</v>
      </c>
      <c r="B8" s="26">
        <f ca="1">MAX('Price and Financial ratios'!E8:AH8)</f>
        <v>0.52244137909702326</v>
      </c>
      <c r="C8" s="26"/>
      <c r="D8" s="176"/>
      <c r="E8" s="17">
        <f>'Balance Sheet'!B11/'Balance Sheet'!B8</f>
        <v>8.4431067778797317E-2</v>
      </c>
      <c r="F8" s="17">
        <f ca="1">'Balance Sheet'!C11/'Balance Sheet'!C8</f>
        <v>0.34061185077900724</v>
      </c>
      <c r="G8" s="17">
        <f ca="1">'Balance Sheet'!D11/'Balance Sheet'!D8</f>
        <v>0.46027160300695191</v>
      </c>
      <c r="H8" s="17">
        <f ca="1">'Balance Sheet'!E11/'Balance Sheet'!E8</f>
        <v>0.51116920819659162</v>
      </c>
      <c r="I8" s="17">
        <f ca="1">'Balance Sheet'!F11/'Balance Sheet'!F8</f>
        <v>0.52244137909702326</v>
      </c>
      <c r="J8" s="17">
        <f ca="1">'Balance Sheet'!G11/'Balance Sheet'!G8</f>
        <v>0.51441740242133682</v>
      </c>
      <c r="K8" s="17">
        <f ca="1">'Balance Sheet'!H11/'Balance Sheet'!H8</f>
        <v>0.49864590659990238</v>
      </c>
      <c r="L8" s="17">
        <f ca="1">'Balance Sheet'!I11/'Balance Sheet'!I8</f>
        <v>0.48194098449651646</v>
      </c>
      <c r="M8" s="17">
        <f ca="1">'Balance Sheet'!J11/'Balance Sheet'!J8</f>
        <v>0.46524978112902821</v>
      </c>
      <c r="N8" s="17">
        <f ca="1">'Balance Sheet'!K11/'Balance Sheet'!K8</f>
        <v>0.44949706052714361</v>
      </c>
      <c r="O8" s="17">
        <f ca="1">'Balance Sheet'!L11/'Balance Sheet'!L8</f>
        <v>0.43559616578867932</v>
      </c>
      <c r="P8" s="17">
        <f ca="1">'Balance Sheet'!M11/'Balance Sheet'!M8</f>
        <v>0.42285235956129108</v>
      </c>
      <c r="Q8" s="17">
        <f ca="1">'Balance Sheet'!N11/'Balance Sheet'!N8</f>
        <v>0.4122974450493998</v>
      </c>
      <c r="R8" s="17">
        <f ca="1">'Balance Sheet'!O11/'Balance Sheet'!O8</f>
        <v>0.403383127094741</v>
      </c>
      <c r="S8" s="17">
        <f ca="1">'Balance Sheet'!P11/'Balance Sheet'!P8</f>
        <v>0.39567771478919639</v>
      </c>
      <c r="T8" s="17">
        <f ca="1">'Balance Sheet'!Q11/'Balance Sheet'!Q8</f>
        <v>0.38883348666227185</v>
      </c>
      <c r="U8" s="17">
        <f ca="1">'Balance Sheet'!R11/'Balance Sheet'!R8</f>
        <v>0.38256427019333411</v>
      </c>
      <c r="V8" s="17">
        <f ca="1">'Balance Sheet'!S11/'Balance Sheet'!S8</f>
        <v>0.37735495337884895</v>
      </c>
      <c r="W8" s="17">
        <f ca="1">'Balance Sheet'!T11/'Balance Sheet'!T8</f>
        <v>0.37296475760277115</v>
      </c>
      <c r="X8" s="17">
        <f ca="1">'Balance Sheet'!U11/'Balance Sheet'!U8</f>
        <v>0.36918948866667123</v>
      </c>
      <c r="Y8" s="17">
        <f ca="1">'Balance Sheet'!V11/'Balance Sheet'!V8</f>
        <v>0.36585336323503359</v>
      </c>
      <c r="Z8" s="17">
        <f ca="1">'Balance Sheet'!W11/'Balance Sheet'!W8</f>
        <v>0.36280285984279559</v>
      </c>
      <c r="AA8" s="17">
        <f ca="1">'Balance Sheet'!X11/'Balance Sheet'!X8</f>
        <v>0.35990203060795267</v>
      </c>
      <c r="AB8" s="17">
        <f ca="1">'Balance Sheet'!Y11/'Balance Sheet'!Y8</f>
        <v>0.3570288823496075</v>
      </c>
      <c r="AC8" s="17">
        <f ca="1">'Balance Sheet'!Z11/'Balance Sheet'!Z8</f>
        <v>0.35407255114783903</v>
      </c>
      <c r="AD8" s="17">
        <f ca="1">'Balance Sheet'!AA11/'Balance Sheet'!AA8</f>
        <v>0.35093107283044561</v>
      </c>
      <c r="AE8" s="17">
        <f ca="1">'Balance Sheet'!AB11/'Balance Sheet'!AB8</f>
        <v>0.34889974495965176</v>
      </c>
      <c r="AF8" s="17">
        <f ca="1">'Balance Sheet'!AC11/'Balance Sheet'!AC8</f>
        <v>0.34786034563959023</v>
      </c>
      <c r="AG8" s="17">
        <f ca="1">'Balance Sheet'!AD11/'Balance Sheet'!AD8</f>
        <v>0.34811939547380955</v>
      </c>
      <c r="AH8" s="17">
        <f ca="1">'Balance Sheet'!AE11/'Balance Sheet'!AE8</f>
        <v>0.34957215186790491</v>
      </c>
      <c r="AI8" s="29"/>
    </row>
    <row r="9" spans="1:35" ht="21.5" thickBot="1" x14ac:dyDescent="0.55000000000000004">
      <c r="A9" s="20" t="s">
        <v>32</v>
      </c>
      <c r="B9" s="21">
        <f ca="1">MIN('Price and Financial ratios'!E9:AH9)</f>
        <v>4.5122389938974825</v>
      </c>
      <c r="C9" s="21"/>
      <c r="D9" s="177"/>
      <c r="E9" s="21">
        <f ca="1">('Cash Flow'!C7+'Profit and Loss'!C8)/('Profit and Loss'!C8)</f>
        <v>4.5122389938974825</v>
      </c>
      <c r="F9" s="21">
        <f ca="1">('Cash Flow'!D7+'Profit and Loss'!D8)/('Profit and Loss'!D8)</f>
        <v>4.6394876830673768</v>
      </c>
      <c r="G9" s="21">
        <f ca="1">('Cash Flow'!E7+'Profit and Loss'!E8)/('Profit and Loss'!E8)</f>
        <v>5.698909753007702</v>
      </c>
      <c r="H9" s="21">
        <f ca="1">('Cash Flow'!F7+'Profit and Loss'!F8)/('Profit and Loss'!F8)</f>
        <v>6.6145535313454644</v>
      </c>
      <c r="I9" s="21">
        <f ca="1">('Cash Flow'!G7+'Profit and Loss'!G8)/('Profit and Loss'!G8)</f>
        <v>7.1892881635569177</v>
      </c>
      <c r="J9" s="21">
        <f ca="1">('Cash Flow'!H7+'Profit and Loss'!H8)/('Profit and Loss'!H8)</f>
        <v>7.4984717077868766</v>
      </c>
      <c r="K9" s="21">
        <f ca="1">('Cash Flow'!I7+'Profit and Loss'!I8)/('Profit and Loss'!I8)</f>
        <v>7.5639876697666901</v>
      </c>
      <c r="L9" s="21">
        <f ca="1">('Cash Flow'!J7+'Profit and Loss'!J8)/('Profit and Loss'!J8)</f>
        <v>7.6304510181827361</v>
      </c>
      <c r="M9" s="21">
        <f ca="1">('Cash Flow'!K7+'Profit and Loss'!K8)/('Profit and Loss'!K8)</f>
        <v>7.6661461047479964</v>
      </c>
      <c r="N9" s="21">
        <f ca="1">('Cash Flow'!L7+'Profit and Loss'!L8)/('Profit and Loss'!L8)</f>
        <v>7.6401138237703234</v>
      </c>
      <c r="O9" s="21">
        <f ca="1">('Cash Flow'!M7+'Profit and Loss'!M8)/('Profit and Loss'!M8)</f>
        <v>7.6553364726161375</v>
      </c>
      <c r="P9" s="21">
        <f ca="1">('Cash Flow'!N7+'Profit and Loss'!N8)/('Profit and Loss'!N8)</f>
        <v>7.5797680634007163</v>
      </c>
      <c r="Q9" s="21">
        <f ca="1">('Cash Flow'!O7+'Profit and Loss'!O8)/('Profit and Loss'!O8)</f>
        <v>7.5194282433819595</v>
      </c>
      <c r="R9" s="21">
        <f ca="1">('Cash Flow'!P7+'Profit and Loss'!P8)/('Profit and Loss'!P8)</f>
        <v>7.4760455859185884</v>
      </c>
      <c r="S9" s="21">
        <f ca="1">('Cash Flow'!Q7+'Profit and Loss'!Q8)/('Profit and Loss'!Q8)</f>
        <v>7.4512090689762864</v>
      </c>
      <c r="T9" s="21">
        <f ca="1">('Cash Flow'!R7+'Profit and Loss'!R8)/('Profit and Loss'!R8)</f>
        <v>7.4464597095202905</v>
      </c>
      <c r="U9" s="21">
        <f ca="1">('Cash Flow'!S7+'Profit and Loss'!S8)/('Profit and Loss'!S8)</f>
        <v>7.3960460303227258</v>
      </c>
      <c r="V9" s="21">
        <f ca="1">('Cash Flow'!T7+'Profit and Loss'!T8)/('Profit and Loss'!T8)</f>
        <v>7.354400326555619</v>
      </c>
      <c r="W9" s="21">
        <f ca="1">('Cash Flow'!U7+'Profit and Loss'!U8)/('Profit and Loss'!U8)</f>
        <v>7.3229960726621188</v>
      </c>
      <c r="X9" s="21">
        <f ca="1">('Cash Flow'!V7+'Profit and Loss'!V8)/('Profit and Loss'!V8)</f>
        <v>7.3031871605614951</v>
      </c>
      <c r="Y9" s="21">
        <f ca="1">('Cash Flow'!W7+'Profit and Loss'!W8)/('Profit and Loss'!W8)</f>
        <v>7.2962523784261277</v>
      </c>
      <c r="Z9" s="21">
        <f ca="1">('Cash Flow'!X7+'Profit and Loss'!X8)/('Profit and Loss'!X8)</f>
        <v>7.3034416516261009</v>
      </c>
      <c r="AA9" s="21">
        <f ca="1">('Cash Flow'!Y7+'Profit and Loss'!Y8)/('Profit and Loss'!Y8)</f>
        <v>7.326024067572356</v>
      </c>
      <c r="AB9" s="21">
        <f ca="1">('Cash Flow'!Z7+'Profit and Loss'!Z8)/('Profit and Loss'!Z8)</f>
        <v>7.3653384025428963</v>
      </c>
      <c r="AC9" s="21">
        <f ca="1">('Cash Flow'!AA7+'Profit and Loss'!AA8)/('Profit and Loss'!AA8)</f>
        <v>7.4228475450921438</v>
      </c>
      <c r="AD9" s="21">
        <f ca="1">('Cash Flow'!AB7+'Profit and Loss'!AB8)/('Profit and Loss'!AB8)</f>
        <v>7.3604612767022886</v>
      </c>
      <c r="AE9" s="21">
        <f ca="1">('Cash Flow'!AC7+'Profit and Loss'!AC8)/('Profit and Loss'!AC8)</f>
        <v>7.2890397555557076</v>
      </c>
      <c r="AF9" s="21">
        <f ca="1">('Cash Flow'!AD7+'Profit and Loss'!AD8)/('Profit and Loss'!AD8)</f>
        <v>7.1691322070300476</v>
      </c>
      <c r="AG9" s="21">
        <f ca="1">('Cash Flow'!AE7+'Profit and Loss'!AE8)/('Profit and Loss'!AE8)</f>
        <v>7.0362442332141777</v>
      </c>
      <c r="AH9" s="21">
        <f ca="1">('Cash Flow'!AF7+'Profit and Loss'!AF8)/('Profit and Loss'!AF8)</f>
        <v>6.8928095294308411</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Normal="100" workbookViewId="0">
      <selection sqref="A1:XFD1048576"/>
    </sheetView>
  </sheetViews>
  <sheetFormatPr defaultRowHeight="15.5" x14ac:dyDescent="0.35"/>
  <cols>
    <col min="1" max="16384" width="8.6640625" style="174"/>
  </cols>
  <sheetData>
    <row r="1" spans="1:1" x14ac:dyDescent="0.35">
      <c r="A1" s="175" t="s">
        <v>175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1002487.625917279</v>
      </c>
      <c r="D5" s="1">
        <f>Assumptions!E111</f>
        <v>1002487.625917279</v>
      </c>
      <c r="E5" s="1">
        <f>Assumptions!F111</f>
        <v>1002487.625917279</v>
      </c>
      <c r="F5" s="1">
        <f>Assumptions!G111</f>
        <v>1002487.625917279</v>
      </c>
      <c r="G5" s="1">
        <f>Assumptions!H111</f>
        <v>1002487.625917279</v>
      </c>
      <c r="H5" s="1">
        <f>Assumptions!I111</f>
        <v>1002487.625917279</v>
      </c>
      <c r="I5" s="1">
        <f>Assumptions!J111</f>
        <v>1002487.625917279</v>
      </c>
      <c r="J5" s="1">
        <f>Assumptions!K111</f>
        <v>1002487.625917279</v>
      </c>
      <c r="K5" s="1">
        <f>Assumptions!L111</f>
        <v>1002487.625917279</v>
      </c>
      <c r="L5" s="1">
        <f>Assumptions!M111</f>
        <v>1002487.625917279</v>
      </c>
      <c r="M5" s="1">
        <f>Assumptions!N111</f>
        <v>1002487.625917279</v>
      </c>
      <c r="N5" s="1">
        <f>Assumptions!O111</f>
        <v>1002487.625917279</v>
      </c>
      <c r="O5" s="1">
        <f>Assumptions!P111</f>
        <v>1002487.625917279</v>
      </c>
      <c r="P5" s="1">
        <f>Assumptions!Q111</f>
        <v>1002487.625917279</v>
      </c>
      <c r="Q5" s="1">
        <f>Assumptions!R111</f>
        <v>1002487.625917279</v>
      </c>
      <c r="R5" s="1">
        <f>Assumptions!S111</f>
        <v>1002487.625917279</v>
      </c>
      <c r="S5" s="1">
        <f>Assumptions!T111</f>
        <v>1002487.625917279</v>
      </c>
      <c r="T5" s="1">
        <f>Assumptions!U111</f>
        <v>1002487.625917279</v>
      </c>
      <c r="U5" s="1">
        <f>Assumptions!V111</f>
        <v>1002487.625917279</v>
      </c>
      <c r="V5" s="1">
        <f>Assumptions!W111</f>
        <v>1002487.625917279</v>
      </c>
      <c r="W5" s="1">
        <f>Assumptions!X111</f>
        <v>1002487.625917279</v>
      </c>
      <c r="X5" s="1">
        <f>Assumptions!Y111</f>
        <v>1002487.625917279</v>
      </c>
      <c r="Y5" s="1">
        <f>Assumptions!Z111</f>
        <v>1002487.625917279</v>
      </c>
      <c r="Z5" s="1">
        <f>Assumptions!AA111</f>
        <v>1002487.625917279</v>
      </c>
      <c r="AA5" s="1">
        <f>Assumptions!AB111</f>
        <v>1002487.625917279</v>
      </c>
      <c r="AB5" s="1">
        <f>Assumptions!AC111</f>
        <v>1002487.625917279</v>
      </c>
      <c r="AC5" s="1">
        <f>Assumptions!AD111</f>
        <v>1002487.625917279</v>
      </c>
      <c r="AD5" s="1">
        <f>Assumptions!AE111</f>
        <v>1002487.625917279</v>
      </c>
      <c r="AE5" s="1">
        <f>Assumptions!AF111</f>
        <v>1002487.625917279</v>
      </c>
      <c r="AF5" s="1">
        <f>Assumptions!AG111</f>
        <v>1002487.625917279</v>
      </c>
    </row>
    <row r="6" spans="1:32" x14ac:dyDescent="0.35">
      <c r="A6" t="s">
        <v>68</v>
      </c>
      <c r="C6" s="1">
        <f>Assumptions!D113</f>
        <v>8538833.333333334</v>
      </c>
      <c r="D6" s="1">
        <f>Assumptions!E113</f>
        <v>8538833.333333334</v>
      </c>
      <c r="E6" s="1">
        <f>Assumptions!F113</f>
        <v>8538833.333333334</v>
      </c>
      <c r="F6" s="1">
        <f>Assumptions!G113</f>
        <v>8538833.333333334</v>
      </c>
      <c r="G6" s="1">
        <f>Assumptions!H113</f>
        <v>8538833.333333334</v>
      </c>
      <c r="H6" s="1">
        <f>Assumptions!I113</f>
        <v>8538833.333333334</v>
      </c>
      <c r="I6" s="1">
        <f>Assumptions!J113</f>
        <v>8538833.333333334</v>
      </c>
      <c r="J6" s="1">
        <f>Assumptions!K113</f>
        <v>8538833.333333334</v>
      </c>
      <c r="K6" s="1">
        <f>Assumptions!L113</f>
        <v>8538833.333333334</v>
      </c>
      <c r="L6" s="1">
        <f>Assumptions!M113</f>
        <v>8538833.333333334</v>
      </c>
      <c r="M6" s="1">
        <f>Assumptions!N113</f>
        <v>8538833.333333334</v>
      </c>
      <c r="N6" s="1">
        <f>Assumptions!O113</f>
        <v>8538833.333333334</v>
      </c>
      <c r="O6" s="1">
        <f>Assumptions!P113</f>
        <v>8538833.333333334</v>
      </c>
      <c r="P6" s="1">
        <f>Assumptions!Q113</f>
        <v>8538833.333333334</v>
      </c>
      <c r="Q6" s="1">
        <f>Assumptions!R113</f>
        <v>8538833.333333334</v>
      </c>
      <c r="R6" s="1">
        <f>Assumptions!S113</f>
        <v>8538833.333333334</v>
      </c>
      <c r="S6" s="1">
        <f>Assumptions!T113</f>
        <v>8538833.333333334</v>
      </c>
      <c r="T6" s="1">
        <f>Assumptions!U113</f>
        <v>8538833.333333334</v>
      </c>
      <c r="U6" s="1">
        <f>Assumptions!V113</f>
        <v>8538833.333333334</v>
      </c>
      <c r="V6" s="1">
        <f>Assumptions!W113</f>
        <v>8538833.333333334</v>
      </c>
      <c r="W6" s="1">
        <f>Assumptions!X113</f>
        <v>8538833.333333334</v>
      </c>
      <c r="X6" s="1">
        <f>Assumptions!Y113</f>
        <v>8538833.333333334</v>
      </c>
      <c r="Y6" s="1">
        <f>Assumptions!Z113</f>
        <v>8538833.333333334</v>
      </c>
      <c r="Z6" s="1">
        <f>Assumptions!AA113</f>
        <v>8538833.333333334</v>
      </c>
      <c r="AA6" s="1">
        <f>Assumptions!AB113</f>
        <v>8538833.333333334</v>
      </c>
      <c r="AB6" s="1">
        <f>Assumptions!AC113</f>
        <v>8538833.333333334</v>
      </c>
      <c r="AC6" s="1">
        <f>Assumptions!AD113</f>
        <v>8538833.333333334</v>
      </c>
      <c r="AD6" s="1">
        <f>Assumptions!AE113</f>
        <v>8538833.333333334</v>
      </c>
      <c r="AE6" s="1">
        <f>Assumptions!AF113</f>
        <v>8538833.333333334</v>
      </c>
      <c r="AF6" s="1">
        <f>Assumptions!AG113</f>
        <v>8538833.333333334</v>
      </c>
    </row>
    <row r="7" spans="1:32" x14ac:dyDescent="0.35">
      <c r="A7" t="s">
        <v>73</v>
      </c>
      <c r="C7" s="1">
        <f>Assumptions!D120</f>
        <v>204932</v>
      </c>
      <c r="D7" s="1">
        <f>Assumptions!E120</f>
        <v>409864</v>
      </c>
      <c r="E7" s="1">
        <f>Assumptions!F120</f>
        <v>614796</v>
      </c>
      <c r="F7" s="1">
        <f>Assumptions!G120</f>
        <v>819728</v>
      </c>
      <c r="G7" s="1">
        <f>Assumptions!H120</f>
        <v>1024660.0000000002</v>
      </c>
      <c r="H7" s="1">
        <f>Assumptions!I120</f>
        <v>1229592.0000000002</v>
      </c>
      <c r="I7" s="1">
        <f>Assumptions!J120</f>
        <v>1434524.0000000005</v>
      </c>
      <c r="J7" s="1">
        <f>Assumptions!K120</f>
        <v>1639456</v>
      </c>
      <c r="K7" s="1">
        <f>Assumptions!L120</f>
        <v>1844388</v>
      </c>
      <c r="L7" s="1">
        <f>Assumptions!M120</f>
        <v>2049320</v>
      </c>
      <c r="M7" s="1">
        <f>Assumptions!N120</f>
        <v>2254251.9999999995</v>
      </c>
      <c r="N7" s="1">
        <f>Assumptions!O120</f>
        <v>2459183.9999999995</v>
      </c>
      <c r="O7" s="1">
        <f>Assumptions!P120</f>
        <v>2664115.9999999991</v>
      </c>
      <c r="P7" s="1">
        <f>Assumptions!Q120</f>
        <v>2869047.9999999995</v>
      </c>
      <c r="Q7" s="1">
        <f>Assumptions!R120</f>
        <v>3073979.9999999995</v>
      </c>
      <c r="R7" s="1">
        <f>Assumptions!S120</f>
        <v>3278911.9999999991</v>
      </c>
      <c r="S7" s="1">
        <f>Assumptions!T120</f>
        <v>3483843.9999999995</v>
      </c>
      <c r="T7" s="1">
        <f>Assumptions!U120</f>
        <v>3688776</v>
      </c>
      <c r="U7" s="1">
        <f>Assumptions!V120</f>
        <v>3893708</v>
      </c>
      <c r="V7" s="1">
        <f>Assumptions!W120</f>
        <v>4098640.0000000009</v>
      </c>
      <c r="W7" s="1">
        <f>Assumptions!X120</f>
        <v>4303572.0000000009</v>
      </c>
      <c r="X7" s="1">
        <f>Assumptions!Y120</f>
        <v>4508504.0000000009</v>
      </c>
      <c r="Y7" s="1">
        <f>Assumptions!Z120</f>
        <v>4713436.0000000009</v>
      </c>
      <c r="Z7" s="1">
        <f>Assumptions!AA120</f>
        <v>4918368.0000000009</v>
      </c>
      <c r="AA7" s="1">
        <f>Assumptions!AB120</f>
        <v>5123300.0000000019</v>
      </c>
      <c r="AB7" s="1">
        <f>Assumptions!AC120</f>
        <v>5328232.0000000019</v>
      </c>
      <c r="AC7" s="1">
        <f>Assumptions!AD120</f>
        <v>5533164.0000000019</v>
      </c>
      <c r="AD7" s="1">
        <f>Assumptions!AE120</f>
        <v>5738096.0000000028</v>
      </c>
      <c r="AE7" s="1">
        <f>Assumptions!AF120</f>
        <v>5943028.0000000019</v>
      </c>
      <c r="AF7" s="1">
        <f>Assumptions!AG120</f>
        <v>6147960.0000000028</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1034567.2299466321</v>
      </c>
      <c r="D11" s="1">
        <f>D5*D$9</f>
        <v>1067673.3813049241</v>
      </c>
      <c r="E11" s="1">
        <f t="shared" ref="D11:AF13" si="1">E5*E$9</f>
        <v>1101838.9295066816</v>
      </c>
      <c r="F11" s="1">
        <f t="shared" si="1"/>
        <v>1137097.7752508954</v>
      </c>
      <c r="G11" s="1">
        <f t="shared" si="1"/>
        <v>1173484.9040589242</v>
      </c>
      <c r="H11" s="1">
        <f t="shared" si="1"/>
        <v>1211036.4209888098</v>
      </c>
      <c r="I11" s="1">
        <f t="shared" si="1"/>
        <v>1249789.5864604514</v>
      </c>
      <c r="J11" s="1">
        <f t="shared" si="1"/>
        <v>1289782.853227186</v>
      </c>
      <c r="K11" s="1">
        <f t="shared" si="1"/>
        <v>1331055.9045304561</v>
      </c>
      <c r="L11" s="1">
        <f t="shared" si="1"/>
        <v>1373649.6934754306</v>
      </c>
      <c r="M11" s="1">
        <f t="shared" si="1"/>
        <v>1417606.4836666442</v>
      </c>
      <c r="N11" s="1">
        <f t="shared" si="1"/>
        <v>1462969.8911439769</v>
      </c>
      <c r="O11" s="1">
        <f t="shared" si="1"/>
        <v>1509784.9276605844</v>
      </c>
      <c r="P11" s="1">
        <f t="shared" si="1"/>
        <v>1558098.0453457229</v>
      </c>
      <c r="Q11" s="1">
        <f t="shared" si="1"/>
        <v>1607957.1827967856</v>
      </c>
      <c r="R11" s="1">
        <f t="shared" si="1"/>
        <v>1659411.8126462833</v>
      </c>
      <c r="S11" s="1">
        <f t="shared" si="1"/>
        <v>1712512.9906509644</v>
      </c>
      <c r="T11" s="1">
        <f t="shared" si="1"/>
        <v>1767313.406351795</v>
      </c>
      <c r="U11" s="1">
        <f t="shared" si="1"/>
        <v>1823867.4353550524</v>
      </c>
      <c r="V11" s="1">
        <f t="shared" si="1"/>
        <v>1882231.1932864143</v>
      </c>
      <c r="W11" s="1">
        <f t="shared" si="1"/>
        <v>1942462.5914715796</v>
      </c>
      <c r="X11" s="1">
        <f t="shared" si="1"/>
        <v>2004621.3943986699</v>
      </c>
      <c r="Y11" s="1">
        <f t="shared" si="1"/>
        <v>2068769.279019427</v>
      </c>
      <c r="Z11" s="1">
        <f t="shared" si="1"/>
        <v>2134969.8959480487</v>
      </c>
      <c r="AA11" s="1">
        <f t="shared" si="1"/>
        <v>2203288.932618387</v>
      </c>
      <c r="AB11" s="1">
        <f t="shared" si="1"/>
        <v>2273794.1784621747</v>
      </c>
      <c r="AC11" s="1">
        <f t="shared" si="1"/>
        <v>2346555.5921729645</v>
      </c>
      <c r="AD11" s="1">
        <f t="shared" si="1"/>
        <v>2421645.3711224995</v>
      </c>
      <c r="AE11" s="1">
        <f t="shared" si="1"/>
        <v>2499138.0229984196</v>
      </c>
      <c r="AF11" s="1">
        <f t="shared" si="1"/>
        <v>2579110.4397343686</v>
      </c>
    </row>
    <row r="12" spans="1:32" x14ac:dyDescent="0.35">
      <c r="A12" t="s">
        <v>71</v>
      </c>
      <c r="C12" s="1">
        <f t="shared" ref="C12:R12" si="2">C6*C$9</f>
        <v>8812076</v>
      </c>
      <c r="D12" s="1">
        <f t="shared" si="2"/>
        <v>9094062.432</v>
      </c>
      <c r="E12" s="1">
        <f t="shared" si="2"/>
        <v>9385072.4298240002</v>
      </c>
      <c r="F12" s="1">
        <f t="shared" si="2"/>
        <v>9685394.7475783676</v>
      </c>
      <c r="G12" s="1">
        <f t="shared" si="2"/>
        <v>9995327.3795008771</v>
      </c>
      <c r="H12" s="1">
        <f t="shared" si="2"/>
        <v>10315177.855644904</v>
      </c>
      <c r="I12" s="1">
        <f t="shared" si="2"/>
        <v>10645263.547025539</v>
      </c>
      <c r="J12" s="1">
        <f t="shared" si="2"/>
        <v>10985911.980530357</v>
      </c>
      <c r="K12" s="1">
        <f t="shared" si="2"/>
        <v>11337461.16390733</v>
      </c>
      <c r="L12" s="1">
        <f t="shared" si="2"/>
        <v>11700259.921152363</v>
      </c>
      <c r="M12" s="1">
        <f t="shared" si="2"/>
        <v>12074668.238629239</v>
      </c>
      <c r="N12" s="1">
        <f t="shared" si="2"/>
        <v>12461057.622265374</v>
      </c>
      <c r="O12" s="1">
        <f t="shared" si="2"/>
        <v>12859811.466177868</v>
      </c>
      <c r="P12" s="1">
        <f t="shared" si="2"/>
        <v>13271325.433095558</v>
      </c>
      <c r="Q12" s="1">
        <f t="shared" si="2"/>
        <v>13696007.846954612</v>
      </c>
      <c r="R12" s="1">
        <f t="shared" si="2"/>
        <v>14134280.098057164</v>
      </c>
      <c r="S12" s="1">
        <f t="shared" si="1"/>
        <v>14586577.061194994</v>
      </c>
      <c r="T12" s="1">
        <f t="shared" si="1"/>
        <v>15053347.527153233</v>
      </c>
      <c r="U12" s="1">
        <f t="shared" si="1"/>
        <v>15535054.648022134</v>
      </c>
      <c r="V12" s="1">
        <f t="shared" si="1"/>
        <v>16032176.396758845</v>
      </c>
      <c r="W12" s="1">
        <f t="shared" si="1"/>
        <v>16545206.041455129</v>
      </c>
      <c r="X12" s="1">
        <f t="shared" si="1"/>
        <v>17074652.634781692</v>
      </c>
      <c r="Y12" s="1">
        <f t="shared" si="1"/>
        <v>17621041.519094702</v>
      </c>
      <c r="Z12" s="1">
        <f t="shared" si="1"/>
        <v>18184914.847705733</v>
      </c>
      <c r="AA12" s="1">
        <f t="shared" si="1"/>
        <v>18766832.122832321</v>
      </c>
      <c r="AB12" s="1">
        <f t="shared" si="1"/>
        <v>19367370.750762954</v>
      </c>
      <c r="AC12" s="1">
        <f t="shared" si="1"/>
        <v>19987126.614787366</v>
      </c>
      <c r="AD12" s="1">
        <f t="shared" si="1"/>
        <v>20626714.666460562</v>
      </c>
      <c r="AE12" s="1">
        <f t="shared" si="1"/>
        <v>21286769.535787303</v>
      </c>
      <c r="AF12" s="1">
        <f t="shared" si="1"/>
        <v>21967946.160932492</v>
      </c>
    </row>
    <row r="13" spans="1:32" x14ac:dyDescent="0.35">
      <c r="A13" t="s">
        <v>74</v>
      </c>
      <c r="C13" s="1">
        <f>C7*C$9</f>
        <v>211489.82399999999</v>
      </c>
      <c r="D13" s="1">
        <f t="shared" si="1"/>
        <v>436514.996736</v>
      </c>
      <c r="E13" s="1">
        <f t="shared" si="1"/>
        <v>675725.21494732797</v>
      </c>
      <c r="F13" s="1">
        <f t="shared" si="1"/>
        <v>929797.89576752321</v>
      </c>
      <c r="G13" s="1">
        <f t="shared" si="1"/>
        <v>1199439.2855401053</v>
      </c>
      <c r="H13" s="1">
        <f t="shared" si="1"/>
        <v>1485385.6112128661</v>
      </c>
      <c r="I13" s="1">
        <f t="shared" si="1"/>
        <v>1788404.275900291</v>
      </c>
      <c r="J13" s="1">
        <f t="shared" si="1"/>
        <v>2109295.1002618284</v>
      </c>
      <c r="K13" s="1">
        <f t="shared" si="1"/>
        <v>2448891.6114039831</v>
      </c>
      <c r="L13" s="1">
        <f t="shared" si="1"/>
        <v>2808062.3810765669</v>
      </c>
      <c r="M13" s="1">
        <f t="shared" si="1"/>
        <v>3187712.4149981183</v>
      </c>
      <c r="N13" s="1">
        <f t="shared" si="1"/>
        <v>3588784.595212427</v>
      </c>
      <c r="O13" s="1">
        <f t="shared" si="1"/>
        <v>4012261.1774474932</v>
      </c>
      <c r="P13" s="1">
        <f t="shared" si="1"/>
        <v>4459165.3455201061</v>
      </c>
      <c r="Q13" s="1">
        <f t="shared" si="1"/>
        <v>4930562.8249036595</v>
      </c>
      <c r="R13" s="1">
        <f t="shared" si="1"/>
        <v>5427563.5576539487</v>
      </c>
      <c r="S13" s="1">
        <f t="shared" si="1"/>
        <v>5951323.4409675561</v>
      </c>
      <c r="T13" s="1">
        <f t="shared" si="1"/>
        <v>6503046.1317301961</v>
      </c>
      <c r="U13" s="1">
        <f t="shared" si="1"/>
        <v>7083984.9194980925</v>
      </c>
      <c r="V13" s="1">
        <f t="shared" si="1"/>
        <v>7695444.6704442464</v>
      </c>
      <c r="W13" s="1">
        <f t="shared" si="1"/>
        <v>8338783.8448933866</v>
      </c>
      <c r="X13" s="1">
        <f t="shared" si="1"/>
        <v>9015416.5911647342</v>
      </c>
      <c r="Y13" s="1">
        <f t="shared" si="1"/>
        <v>9726814.9185402766</v>
      </c>
      <c r="Z13" s="1">
        <f t="shared" si="1"/>
        <v>10474510.952278504</v>
      </c>
      <c r="AA13" s="1">
        <f t="shared" si="1"/>
        <v>11260099.273699397</v>
      </c>
      <c r="AB13" s="1">
        <f t="shared" si="1"/>
        <v>12085239.348476086</v>
      </c>
      <c r="AC13" s="1">
        <f t="shared" si="1"/>
        <v>12951658.046382217</v>
      </c>
      <c r="AD13" s="1">
        <f t="shared" si="1"/>
        <v>13861152.255861504</v>
      </c>
      <c r="AE13" s="1">
        <f t="shared" si="1"/>
        <v>14815591.596907966</v>
      </c>
      <c r="AF13" s="1">
        <f t="shared" si="1"/>
        <v>15816921.235871401</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10058133.053946631</v>
      </c>
      <c r="D25" s="40">
        <f>SUM(D11:D13,D18:D23)</f>
        <v>10598250.810040923</v>
      </c>
      <c r="E25" s="40">
        <f t="shared" ref="E25:AF25" si="7">SUM(E11:E13,E18:E23)</f>
        <v>11162636.57427801</v>
      </c>
      <c r="F25" s="40">
        <f t="shared" si="7"/>
        <v>11752290.418596786</v>
      </c>
      <c r="G25" s="40">
        <f t="shared" si="7"/>
        <v>12368251.569099907</v>
      </c>
      <c r="H25" s="40">
        <f t="shared" si="7"/>
        <v>13011599.88784658</v>
      </c>
      <c r="I25" s="40">
        <f t="shared" si="7"/>
        <v>13683457.409386281</v>
      </c>
      <c r="J25" s="40">
        <f t="shared" si="7"/>
        <v>14384989.93401937</v>
      </c>
      <c r="K25" s="40">
        <f t="shared" si="7"/>
        <v>15117408.67984177</v>
      </c>
      <c r="L25" s="40">
        <f t="shared" si="7"/>
        <v>15881971.99570436</v>
      </c>
      <c r="M25" s="40">
        <f t="shared" si="7"/>
        <v>16679987.137294</v>
      </c>
      <c r="N25" s="40">
        <f t="shared" si="7"/>
        <v>17512812.10862178</v>
      </c>
      <c r="O25" s="40">
        <f t="shared" si="7"/>
        <v>18381857.571285944</v>
      </c>
      <c r="P25" s="40">
        <f t="shared" si="7"/>
        <v>19288588.823961388</v>
      </c>
      <c r="Q25" s="40">
        <f t="shared" si="7"/>
        <v>20234527.854655057</v>
      </c>
      <c r="R25" s="40">
        <f t="shared" si="7"/>
        <v>21221255.468357395</v>
      </c>
      <c r="S25" s="40">
        <f t="shared" si="7"/>
        <v>22250413.492813513</v>
      </c>
      <c r="T25" s="40">
        <f t="shared" si="7"/>
        <v>23323707.065235224</v>
      </c>
      <c r="U25" s="40">
        <f t="shared" si="7"/>
        <v>24442907.00287528</v>
      </c>
      <c r="V25" s="40">
        <f t="shared" si="7"/>
        <v>25609852.260489505</v>
      </c>
      <c r="W25" s="40">
        <f t="shared" si="7"/>
        <v>26826452.477820098</v>
      </c>
      <c r="X25" s="40">
        <f t="shared" si="7"/>
        <v>28094690.620345097</v>
      </c>
      <c r="Y25" s="40">
        <f t="shared" si="7"/>
        <v>29416625.716654405</v>
      </c>
      <c r="Z25" s="40">
        <f t="shared" si="7"/>
        <v>30794395.695932284</v>
      </c>
      <c r="AA25" s="40">
        <f t="shared" si="7"/>
        <v>32230220.329150103</v>
      </c>
      <c r="AB25" s="40">
        <f t="shared" si="7"/>
        <v>33726404.277701214</v>
      </c>
      <c r="AC25" s="40">
        <f t="shared" si="7"/>
        <v>35285340.253342547</v>
      </c>
      <c r="AD25" s="40">
        <f t="shared" si="7"/>
        <v>36909512.293444566</v>
      </c>
      <c r="AE25" s="40">
        <f t="shared" si="7"/>
        <v>38601499.155693687</v>
      </c>
      <c r="AF25" s="40">
        <f t="shared" si="7"/>
        <v>40363977.836538263</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163</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4030785.3084848328</v>
      </c>
      <c r="D5" s="59">
        <f>C5*('Price and Financial ratios'!F4+1)*(1+Assumptions!$C$13)</f>
        <v>5752395.4995539002</v>
      </c>
      <c r="E5" s="59">
        <f>D5*('Price and Financial ratios'!G4+1)*(1+Assumptions!$C$13)</f>
        <v>8209331.7928973204</v>
      </c>
      <c r="F5" s="59">
        <f>E5*('Price and Financial ratios'!H4+1)*(1+Assumptions!$C$13)</f>
        <v>10711463.532094635</v>
      </c>
      <c r="G5" s="59">
        <f>F5*('Price and Financial ratios'!I4+1)*(1+Assumptions!$C$13)</f>
        <v>12884330.486140044</v>
      </c>
      <c r="H5" s="59">
        <f>G5*('Price and Financial ratios'!J4+1)*(1+Assumptions!$C$13)</f>
        <v>14709940.427186316</v>
      </c>
      <c r="I5" s="59">
        <f>H5*('Price and Financial ratios'!K4+1)*(1+Assumptions!$C$13)</f>
        <v>16194431.415607935</v>
      </c>
      <c r="J5" s="59">
        <f>I5*('Price and Financial ratios'!L4+1)*(1+Assumptions!$C$13)</f>
        <v>17663652.714923006</v>
      </c>
      <c r="K5" s="59">
        <f>J5*('Price and Financial ratios'!M4+1)*(1+Assumptions!$C$13)</f>
        <v>19086109.799438391</v>
      </c>
      <c r="L5" s="59">
        <f>K5*('Price and Financial ratios'!N4+1)*(1+Assumptions!$C$13)</f>
        <v>20428559.891884554</v>
      </c>
      <c r="M5" s="59">
        <f>L5*('Price and Financial ratios'!O4+1)*(1+Assumptions!$C$13)</f>
        <v>21865433.220372342</v>
      </c>
      <c r="N5" s="59">
        <f>M5*('Price and Financial ratios'!P4+1)*(1+Assumptions!$C$13)</f>
        <v>23180481.93512376</v>
      </c>
      <c r="O5" s="59">
        <f>N5*('Price and Financial ratios'!Q4+1)*(1+Assumptions!$C$13)</f>
        <v>24574621.382024866</v>
      </c>
      <c r="P5" s="59">
        <f>O5*('Price and Financial ratios'!R4+1)*(1+Assumptions!$C$13)</f>
        <v>26052608.300382581</v>
      </c>
      <c r="Q5" s="59">
        <f>P5*('Price and Financial ratios'!S4+1)*(1+Assumptions!$C$13)</f>
        <v>27619485.51319807</v>
      </c>
      <c r="R5" s="59">
        <f>Q5*('Price and Financial ratios'!T4+1)*(1+Assumptions!$C$13)</f>
        <v>29280599.133045573</v>
      </c>
      <c r="S5" s="59">
        <f>R5*('Price and Financial ratios'!U4+1)*(1+Assumptions!$C$13)</f>
        <v>30892378.260440245</v>
      </c>
      <c r="T5" s="59">
        <f>S5*('Price and Financial ratios'!V4+1)*(1+Assumptions!$C$13)</f>
        <v>32592879.341361243</v>
      </c>
      <c r="U5" s="59">
        <f>T5*('Price and Financial ratios'!W4+1)*(1+Assumptions!$C$13)</f>
        <v>34386986.162242919</v>
      </c>
      <c r="V5" s="59">
        <f>U5*('Price and Financial ratios'!X4+1)*(1+Assumptions!$C$13)</f>
        <v>36279851.342305504</v>
      </c>
      <c r="W5" s="59">
        <f>V5*('Price and Financial ratios'!Y4+1)*(1+Assumptions!$C$13)</f>
        <v>38276911.13171792</v>
      </c>
      <c r="X5" s="59">
        <f>W5*('Price and Financial ratios'!Z4+1)*(1+Assumptions!$C$13)</f>
        <v>40383901.024339929</v>
      </c>
      <c r="Y5" s="59">
        <f>X5*('Price and Financial ratios'!AA4+1)*(1+Assumptions!$C$13)</f>
        <v>42606872.229882784</v>
      </c>
      <c r="Z5" s="59">
        <f>Y5*('Price and Financial ratios'!AB4+1)*(1+Assumptions!$C$13)</f>
        <v>44952209.05279614</v>
      </c>
      <c r="AA5" s="59">
        <f>Z5*('Price and Financial ratios'!AC4+1)*(1+Assumptions!$C$13)</f>
        <v>47426647.22779268</v>
      </c>
      <c r="AB5" s="59">
        <f>AA5*('Price and Financial ratios'!AD4+1)*(1+Assumptions!$C$13)</f>
        <v>49553841.155832186</v>
      </c>
      <c r="AC5" s="59">
        <f>AB5*('Price and Financial ratios'!AE4+1)*(1+Assumptions!$C$13)</f>
        <v>51776444.611468166</v>
      </c>
      <c r="AD5" s="59">
        <f>AC5*('Price and Financial ratios'!AF4+1)*(1+Assumptions!$C$13)</f>
        <v>53940399.164262109</v>
      </c>
      <c r="AE5" s="59">
        <f>AD5*('Price and Financial ratios'!AG4+1)*(1+Assumptions!$C$13)</f>
        <v>56194794.444334581</v>
      </c>
      <c r="AF5" s="59">
        <f>AE5*('Price and Financial ratios'!AH4+1)*(1+Assumptions!$C$13)</f>
        <v>58543410.348606303</v>
      </c>
    </row>
    <row r="6" spans="1:32" s="11" customFormat="1" x14ac:dyDescent="0.35">
      <c r="A6" s="11" t="s">
        <v>20</v>
      </c>
      <c r="C6" s="59">
        <f>C27</f>
        <v>2214122.9416682995</v>
      </c>
      <c r="D6" s="59">
        <f t="shared" ref="D6:AF6" si="1">D27</f>
        <v>2569038.5286153317</v>
      </c>
      <c r="E6" s="59">
        <f>E27</f>
        <v>2939263.7051905729</v>
      </c>
      <c r="F6" s="59">
        <f t="shared" si="1"/>
        <v>3325332.2842121273</v>
      </c>
      <c r="G6" s="59">
        <f t="shared" si="1"/>
        <v>3727795.4925817391</v>
      </c>
      <c r="H6" s="59">
        <f t="shared" si="1"/>
        <v>4147222.5349828359</v>
      </c>
      <c r="I6" s="59">
        <f t="shared" si="1"/>
        <v>4584201.1762868138</v>
      </c>
      <c r="J6" s="59">
        <f t="shared" si="1"/>
        <v>5039338.3433154458</v>
      </c>
      <c r="K6" s="59">
        <f t="shared" si="1"/>
        <v>5513260.7466308102</v>
      </c>
      <c r="L6" s="59">
        <f t="shared" si="1"/>
        <v>6006615.5230485881</v>
      </c>
      <c r="M6" s="59">
        <f t="shared" si="1"/>
        <v>6520070.899595879</v>
      </c>
      <c r="N6" s="59">
        <f t="shared" si="1"/>
        <v>7054316.8796610311</v>
      </c>
      <c r="O6" s="59">
        <f t="shared" si="1"/>
        <v>7610065.9521103073</v>
      </c>
      <c r="P6" s="59">
        <f t="shared" si="1"/>
        <v>8188053.8241744936</v>
      </c>
      <c r="Q6" s="59">
        <f t="shared" si="1"/>
        <v>8789040.1789380908</v>
      </c>
      <c r="R6" s="59">
        <f t="shared" si="1"/>
        <v>9413809.4582941812</v>
      </c>
      <c r="S6" s="59">
        <f t="shared" si="1"/>
        <v>10063171.672259891</v>
      </c>
      <c r="T6" s="59">
        <f t="shared" si="1"/>
        <v>10737963.235580249</v>
      </c>
      <c r="U6" s="59">
        <f t="shared" si="1"/>
        <v>11439047.832582442</v>
      </c>
      <c r="V6" s="59">
        <f t="shared" si="1"/>
        <v>12167317.311278045</v>
      </c>
      <c r="W6" s="59">
        <f t="shared" si="1"/>
        <v>12923692.607747607</v>
      </c>
      <c r="X6" s="59">
        <f t="shared" si="1"/>
        <v>13709124.701880351</v>
      </c>
      <c r="Y6" s="59">
        <f t="shared" si="1"/>
        <v>14524595.605581466</v>
      </c>
      <c r="Z6" s="59">
        <f t="shared" si="1"/>
        <v>15371119.384600792</v>
      </c>
      <c r="AA6" s="59">
        <f t="shared" si="1"/>
        <v>16249743.215179607</v>
      </c>
      <c r="AB6" s="59">
        <f t="shared" si="1"/>
        <v>17161548.476756815</v>
      </c>
      <c r="AC6" s="59">
        <f t="shared" si="1"/>
        <v>18107651.882022046</v>
      </c>
      <c r="AD6" s="59">
        <f t="shared" si="1"/>
        <v>19089206.645651296</v>
      </c>
      <c r="AE6" s="59">
        <f t="shared" si="1"/>
        <v>20107403.693110701</v>
      </c>
      <c r="AF6" s="59">
        <f t="shared" si="1"/>
        <v>21163472.910965871</v>
      </c>
    </row>
    <row r="7" spans="1:32" x14ac:dyDescent="0.35">
      <c r="A7" t="s">
        <v>21</v>
      </c>
      <c r="C7" s="4">
        <f>Depreciation!C8+Depreciation!C9</f>
        <v>1246057.053946632</v>
      </c>
      <c r="D7" s="4">
        <f>Depreciation!D8+Depreciation!D9</f>
        <v>1504188.3780409242</v>
      </c>
      <c r="E7" s="4">
        <f>Depreciation!E8+Depreciation!E9</f>
        <v>1777564.1444540096</v>
      </c>
      <c r="F7" s="4">
        <f>Depreciation!F8+Depreciation!F9</f>
        <v>2066895.6710184186</v>
      </c>
      <c r="G7" s="4">
        <f>Depreciation!G8+Depreciation!G9</f>
        <v>2372924.1895990297</v>
      </c>
      <c r="H7" s="4">
        <f>Depreciation!H8+Depreciation!H9</f>
        <v>2696422.0322016757</v>
      </c>
      <c r="I7" s="4">
        <f>Depreciation!I8+Depreciation!I9</f>
        <v>3038193.8623607424</v>
      </c>
      <c r="J7" s="4">
        <f>Depreciation!J8+Depreciation!J9</f>
        <v>3399077.9534890144</v>
      </c>
      <c r="K7" s="4">
        <f>Depreciation!K8+Depreciation!K9</f>
        <v>3779947.5159344394</v>
      </c>
      <c r="L7" s="4">
        <f>Depreciation!L8+Depreciation!L9</f>
        <v>4181712.0745519977</v>
      </c>
      <c r="M7" s="4">
        <f>Depreciation!M8+Depreciation!M9</f>
        <v>4605318.8986647623</v>
      </c>
      <c r="N7" s="4">
        <f>Depreciation!N8+Depreciation!N9</f>
        <v>5051754.4863564037</v>
      </c>
      <c r="O7" s="4">
        <f>Depreciation!O8+Depreciation!O9</f>
        <v>5522046.1051080776</v>
      </c>
      <c r="P7" s="4">
        <f>Depreciation!P8+Depreciation!P9</f>
        <v>6017263.3908658288</v>
      </c>
      <c r="Q7" s="4">
        <f>Depreciation!Q8+Depreciation!Q9</f>
        <v>6538520.0077004451</v>
      </c>
      <c r="R7" s="4">
        <f>Depreciation!R8+Depreciation!R9</f>
        <v>7086975.3703002315</v>
      </c>
      <c r="S7" s="4">
        <f>Depreciation!S8+Depreciation!S9</f>
        <v>7663836.431618521</v>
      </c>
      <c r="T7" s="4">
        <f>Depreciation!T8+Depreciation!T9</f>
        <v>8270359.5380819906</v>
      </c>
      <c r="U7" s="4">
        <f>Depreciation!U8+Depreciation!U9</f>
        <v>8907852.3548531458</v>
      </c>
      <c r="V7" s="4">
        <f>Depreciation!V8+Depreciation!V9</f>
        <v>9577675.8637306616</v>
      </c>
      <c r="W7" s="4">
        <f>Depreciation!W8+Depreciation!W9</f>
        <v>10281246.436364966</v>
      </c>
      <c r="X7" s="4">
        <f>Depreciation!X8+Depreciation!X9</f>
        <v>11020037.985563405</v>
      </c>
      <c r="Y7" s="4">
        <f>Depreciation!Y8+Depreciation!Y9</f>
        <v>11795584.197559703</v>
      </c>
      <c r="Z7" s="4">
        <f>Depreciation!Z8+Depreciation!Z9</f>
        <v>12609480.848226553</v>
      </c>
      <c r="AA7" s="4">
        <f>Depreciation!AA8+Depreciation!AA9</f>
        <v>13463388.206317784</v>
      </c>
      <c r="AB7" s="4">
        <f>Depreciation!AB8+Depreciation!AB9</f>
        <v>14359033.52693826</v>
      </c>
      <c r="AC7" s="4">
        <f>Depreciation!AC8+Depreciation!AC9</f>
        <v>15298213.63855518</v>
      </c>
      <c r="AD7" s="4">
        <f>Depreciation!AD8+Depreciation!AD9</f>
        <v>16282797.626984004</v>
      </c>
      <c r="AE7" s="4">
        <f>Depreciation!AE8+Depreciation!AE9</f>
        <v>17314729.619906384</v>
      </c>
      <c r="AF7" s="4">
        <f>Depreciation!AF8+Depreciation!AF9</f>
        <v>18396031.67560577</v>
      </c>
    </row>
    <row r="8" spans="1:32" x14ac:dyDescent="0.35">
      <c r="A8" t="s">
        <v>6</v>
      </c>
      <c r="C8" s="4">
        <f ca="1">'Debt worksheet'!C8</f>
        <v>402607.74512907094</v>
      </c>
      <c r="D8" s="4">
        <f ca="1">'Debt worksheet'!D8</f>
        <v>686144.07201829366</v>
      </c>
      <c r="E8" s="4">
        <f ca="1">'Debt worksheet'!E8</f>
        <v>924750.22699304449</v>
      </c>
      <c r="F8" s="4">
        <f ca="1">'Debt worksheet'!F8</f>
        <v>1116648.4953036727</v>
      </c>
      <c r="G8" s="4">
        <f ca="1">'Debt worksheet'!G8</f>
        <v>1273635.8294794082</v>
      </c>
      <c r="H8" s="4">
        <f ca="1">'Debt worksheet'!H8</f>
        <v>1408649.4293543177</v>
      </c>
      <c r="I8" s="4">
        <f ca="1">'Debt worksheet'!I8</f>
        <v>1534935.1091260088</v>
      </c>
      <c r="J8" s="4">
        <f ca="1">'Debt worksheet'!J8</f>
        <v>1654465.0298553598</v>
      </c>
      <c r="K8" s="4">
        <f ca="1">'Debt worksheet'!K8</f>
        <v>1770491.830882442</v>
      </c>
      <c r="L8" s="4">
        <f ca="1">'Debt worksheet'!L8</f>
        <v>1887660.9303863584</v>
      </c>
      <c r="M8" s="4">
        <f ca="1">'Debt worksheet'!M8</f>
        <v>2004531.3978906448</v>
      </c>
      <c r="N8" s="4">
        <f ca="1">'Debt worksheet'!N8</f>
        <v>2127527.507514209</v>
      </c>
      <c r="O8" s="4">
        <f ca="1">'Debt worksheet'!O8</f>
        <v>2256096.4585100594</v>
      </c>
      <c r="P8" s="4">
        <f ca="1">'Debt worksheet'!P8</f>
        <v>2389572.7053693524</v>
      </c>
      <c r="Q8" s="4">
        <f ca="1">'Debt worksheet'!Q8</f>
        <v>2527166.4182209121</v>
      </c>
      <c r="R8" s="4">
        <f ca="1">'Debt worksheet'!R8</f>
        <v>2667951.0062146345</v>
      </c>
      <c r="S8" s="4">
        <f ca="1">'Debt worksheet'!S8</f>
        <v>2816262.4330329481</v>
      </c>
      <c r="T8" s="4">
        <f ca="1">'Debt worksheet'!T8</f>
        <v>2971678.8773200479</v>
      </c>
      <c r="U8" s="4">
        <f ca="1">'Debt worksheet'!U8</f>
        <v>3133681.6382202758</v>
      </c>
      <c r="V8" s="4">
        <f ca="1">'Debt worksheet'!V8</f>
        <v>3301645.3639911376</v>
      </c>
      <c r="W8" s="4">
        <f ca="1">'Debt worksheet'!W8</f>
        <v>3474827.5154154198</v>
      </c>
      <c r="X8" s="4">
        <f ca="1">'Debt worksheet'!X8</f>
        <v>3652357.0112346248</v>
      </c>
      <c r="Y8" s="4">
        <f ca="1">'Debt worksheet'!Y8</f>
        <v>3833221.9994476507</v>
      </c>
      <c r="Z8" s="4">
        <f ca="1">'Debt worksheet'!Z8</f>
        <v>4016256.694734138</v>
      </c>
      <c r="AA8" s="4">
        <f ca="1">'Debt worksheet'!AA8</f>
        <v>4200127.2184589989</v>
      </c>
      <c r="AB8" s="4">
        <f ca="1">'Debt worksheet'!AB8</f>
        <v>4400850.9061252894</v>
      </c>
      <c r="AC8" s="4">
        <f ca="1">'Debt worksheet'!AC8</f>
        <v>4619098.5175768537</v>
      </c>
      <c r="AD8" s="4">
        <f ca="1">'Debt worksheet'!AD8</f>
        <v>4861284.6732601402</v>
      </c>
      <c r="AE8" s="4">
        <f ca="1">'Debt worksheet'!AE8</f>
        <v>5128785.9765974963</v>
      </c>
      <c r="AF8" s="4">
        <f ca="1">'Debt worksheet'!AF8</f>
        <v>5423033.5653460305</v>
      </c>
    </row>
    <row r="9" spans="1:32" x14ac:dyDescent="0.35">
      <c r="A9" t="s">
        <v>22</v>
      </c>
      <c r="C9" s="4">
        <f ca="1">C5-C6-C7-C8</f>
        <v>167997.56774083036</v>
      </c>
      <c r="D9" s="4">
        <f t="shared" ref="D9:AF9" ca="1" si="2">D5-D6-D7-D8</f>
        <v>993024.5208793506</v>
      </c>
      <c r="E9" s="4">
        <f t="shared" ca="1" si="2"/>
        <v>2567753.7162596933</v>
      </c>
      <c r="F9" s="4">
        <f t="shared" ca="1" si="2"/>
        <v>4202587.0815604161</v>
      </c>
      <c r="G9" s="4">
        <f t="shared" ca="1" si="2"/>
        <v>5509974.9744798681</v>
      </c>
      <c r="H9" s="4">
        <f t="shared" ca="1" si="2"/>
        <v>6457646.4306474868</v>
      </c>
      <c r="I9" s="4">
        <f t="shared" ca="1" si="2"/>
        <v>7037101.2678343691</v>
      </c>
      <c r="J9" s="4">
        <f t="shared" ca="1" si="2"/>
        <v>7570771.3882631864</v>
      </c>
      <c r="K9" s="4">
        <f t="shared" ca="1" si="2"/>
        <v>8022409.7059906991</v>
      </c>
      <c r="L9" s="4">
        <f t="shared" ca="1" si="2"/>
        <v>8352571.3638976105</v>
      </c>
      <c r="M9" s="4">
        <f t="shared" ca="1" si="2"/>
        <v>8735512.0242210571</v>
      </c>
      <c r="N9" s="4">
        <f t="shared" ca="1" si="2"/>
        <v>8946883.061592117</v>
      </c>
      <c r="O9" s="4">
        <f t="shared" ca="1" si="2"/>
        <v>9186412.866296418</v>
      </c>
      <c r="P9" s="4">
        <f t="shared" ca="1" si="2"/>
        <v>9457718.3799729049</v>
      </c>
      <c r="Q9" s="4">
        <f t="shared" ca="1" si="2"/>
        <v>9764758.9083386213</v>
      </c>
      <c r="R9" s="4">
        <f t="shared" ca="1" si="2"/>
        <v>10111863.298236527</v>
      </c>
      <c r="S9" s="4">
        <f t="shared" ca="1" si="2"/>
        <v>10349107.723528886</v>
      </c>
      <c r="T9" s="4">
        <f t="shared" ca="1" si="2"/>
        <v>10612877.690378958</v>
      </c>
      <c r="U9" s="4">
        <f t="shared" ca="1" si="2"/>
        <v>10906404.336587053</v>
      </c>
      <c r="V9" s="4">
        <f t="shared" ca="1" si="2"/>
        <v>11233212.803305659</v>
      </c>
      <c r="W9" s="4">
        <f t="shared" ca="1" si="2"/>
        <v>11597144.572189927</v>
      </c>
      <c r="X9" s="4">
        <f t="shared" ca="1" si="2"/>
        <v>12002381.325661549</v>
      </c>
      <c r="Y9" s="4">
        <f t="shared" ca="1" si="2"/>
        <v>12453470.427293964</v>
      </c>
      <c r="Z9" s="4">
        <f t="shared" ca="1" si="2"/>
        <v>12955352.12523466</v>
      </c>
      <c r="AA9" s="4">
        <f t="shared" ca="1" si="2"/>
        <v>13513388.587836292</v>
      </c>
      <c r="AB9" s="4">
        <f t="shared" ca="1" si="2"/>
        <v>13632408.246011823</v>
      </c>
      <c r="AC9" s="4">
        <f t="shared" ca="1" si="2"/>
        <v>13751480.573314086</v>
      </c>
      <c r="AD9" s="4">
        <f t="shared" ca="1" si="2"/>
        <v>13707110.218366668</v>
      </c>
      <c r="AE9" s="4">
        <f t="shared" ca="1" si="2"/>
        <v>13643875.154719997</v>
      </c>
      <c r="AF9" s="4">
        <f t="shared" ca="1" si="2"/>
        <v>13560872.196688628</v>
      </c>
    </row>
    <row r="12" spans="1:32" x14ac:dyDescent="0.35">
      <c r="A12" t="s">
        <v>79</v>
      </c>
      <c r="C12" s="2">
        <f>Assumptions!$C$25*Assumptions!D9*Assumptions!D13</f>
        <v>1952322.3116682994</v>
      </c>
      <c r="D12" s="2">
        <f>Assumptions!$C$25*Assumptions!E9*Assumptions!E13</f>
        <v>2033918.0408953319</v>
      </c>
      <c r="E12" s="2">
        <f>Assumptions!$C$25*Assumptions!F9*Assumptions!F13</f>
        <v>2118923.997515813</v>
      </c>
      <c r="F12" s="2">
        <f>Assumptions!$C$25*Assumptions!G9*Assumptions!G13</f>
        <v>2207482.7092206543</v>
      </c>
      <c r="G12" s="2">
        <f>Assumptions!$C$25*Assumptions!H9*Assumptions!H13</f>
        <v>2299742.6605301322</v>
      </c>
      <c r="H12" s="2">
        <f>Assumptions!$C$25*Assumptions!I9*Assumptions!I13</f>
        <v>2395858.5417547449</v>
      </c>
      <c r="I12" s="2">
        <f>Assumptions!$C$25*Assumptions!J9*Assumptions!J13</f>
        <v>2495991.5083611873</v>
      </c>
      <c r="J12" s="2">
        <f>Assumptions!$C$25*Assumptions!K9*Assumptions!K13</f>
        <v>2600309.4511783137</v>
      </c>
      <c r="K12" s="2">
        <f>Assumptions!$C$25*Assumptions!L9*Assumptions!L13</f>
        <v>2708987.2778961426</v>
      </c>
      <c r="L12" s="2">
        <f>Assumptions!$C$25*Assumptions!M9*Assumptions!M13</f>
        <v>2822207.2063298882</v>
      </c>
      <c r="M12" s="2">
        <f>Assumptions!$C$25*Assumptions!N9*Assumptions!N13</f>
        <v>2940159.069940716</v>
      </c>
      <c r="N12" s="2">
        <f>Assumptions!$C$25*Assumptions!O9*Assumptions!O13</f>
        <v>3063040.6361254938</v>
      </c>
      <c r="O12" s="2">
        <f>Assumptions!$C$25*Assumptions!P9*Assumptions!P13</f>
        <v>3191057.9378092121</v>
      </c>
      <c r="P12" s="2">
        <f>Assumptions!$C$25*Assumptions!Q9*Assumptions!Q13</f>
        <v>3324425.6188960271</v>
      </c>
      <c r="Q12" s="2">
        <f>Assumptions!$C$25*Assumptions!R9*Assumptions!R13</f>
        <v>3463367.2941581695</v>
      </c>
      <c r="R12" s="2">
        <f>Assumptions!$C$25*Assumptions!S9*Assumptions!S13</f>
        <v>3608115.924166095</v>
      </c>
      <c r="S12" s="2">
        <f>Assumptions!$C$25*Assumptions!T9*Assumptions!T13</f>
        <v>3758914.2058885559</v>
      </c>
      <c r="T12" s="2">
        <f>Assumptions!$C$25*Assumptions!U9*Assumptions!U13</f>
        <v>3916014.9796174779</v>
      </c>
      <c r="U12" s="2">
        <f>Assumptions!$C$25*Assumptions!V9*Assumptions!V13</f>
        <v>4079681.6528999377</v>
      </c>
      <c r="V12" s="2">
        <f>Assumptions!$C$25*Assumptions!W9*Assumptions!W13</f>
        <v>4250188.6421880228</v>
      </c>
      <c r="W12" s="2">
        <f>Assumptions!$C$25*Assumptions!X9*Assumptions!X13</f>
        <v>4427821.8329471042</v>
      </c>
      <c r="X12" s="2">
        <f>Assumptions!$C$25*Assumptions!Y9*Assumptions!Y13</f>
        <v>4612879.0589939458</v>
      </c>
      <c r="Y12" s="2">
        <f>Assumptions!$C$25*Assumptions!Z9*Assumptions!Z13</f>
        <v>4805670.6018683827</v>
      </c>
      <c r="Z12" s="2">
        <f>Assumptions!$C$25*Assumptions!AA9*Assumptions!AA13</f>
        <v>5006519.7110758116</v>
      </c>
      <c r="AA12" s="2">
        <f>Assumptions!$C$25*Assumptions!AB9*Assumptions!AB13</f>
        <v>5215763.146072804</v>
      </c>
      <c r="AB12" s="2">
        <f>Assumptions!$C$25*Assumptions!AC9*Assumptions!AC13</f>
        <v>5433751.740904578</v>
      </c>
      <c r="AC12" s="2">
        <f>Assumptions!$C$25*Assumptions!AD9*Assumptions!AD13</f>
        <v>5660850.9924410209</v>
      </c>
      <c r="AD12" s="2">
        <f>Assumptions!$C$25*Assumptions!AE9*Assumptions!AE13</f>
        <v>5897441.6731975665</v>
      </c>
      <c r="AE12" s="2">
        <f>Assumptions!$C$25*Assumptions!AF9*Assumptions!AF13</f>
        <v>6143920.4697684301</v>
      </c>
      <c r="AF12" s="2">
        <f>Assumptions!$C$25*Assumptions!AG9*Assumptions!AG13</f>
        <v>6400700.6479426259</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261800.63</v>
      </c>
      <c r="D14" s="5">
        <f>Assumptions!E122*Assumptions!E9</f>
        <v>535120.48771999998</v>
      </c>
      <c r="E14" s="5">
        <f>Assumptions!F122*Assumptions!F9</f>
        <v>820339.70767476002</v>
      </c>
      <c r="F14" s="5">
        <f>Assumptions!G122*Assumptions!G9</f>
        <v>1117849.574991473</v>
      </c>
      <c r="G14" s="5">
        <f>Assumptions!H122*Assumptions!H9</f>
        <v>1428052.8320516068</v>
      </c>
      <c r="H14" s="5">
        <f>Assumptions!I122*Assumptions!I9</f>
        <v>1751363.9932280907</v>
      </c>
      <c r="I14" s="5">
        <f>Assumptions!J122*Assumptions!J9</f>
        <v>2088209.6679256267</v>
      </c>
      <c r="J14" s="5">
        <f>Assumptions!K122*Assumptions!K9</f>
        <v>2439028.8921371321</v>
      </c>
      <c r="K14" s="5">
        <f>Assumptions!L122*Assumptions!L9</f>
        <v>2804273.4687346676</v>
      </c>
      <c r="L14" s="5">
        <f>Assumptions!M122*Assumptions!M9</f>
        <v>3184408.3167186999</v>
      </c>
      <c r="M14" s="5">
        <f>Assumptions!N122*Assumptions!N9</f>
        <v>3579911.8296551625</v>
      </c>
      <c r="N14" s="5">
        <f>Assumptions!O122*Assumptions!O9</f>
        <v>3991276.2435355377</v>
      </c>
      <c r="O14" s="5">
        <f>Assumptions!P122*Assumptions!P9</f>
        <v>4419008.0143010952</v>
      </c>
      <c r="P14" s="5">
        <f>Assumptions!Q122*Assumptions!Q9</f>
        <v>4863628.2052784665</v>
      </c>
      <c r="Q14" s="5">
        <f>Assumptions!R122*Assumptions!R9</f>
        <v>5325672.8847799217</v>
      </c>
      <c r="R14" s="5">
        <f>Assumptions!S122*Assumptions!S9</f>
        <v>5805693.5341280857</v>
      </c>
      <c r="S14" s="5">
        <f>Assumptions!T122*Assumptions!T9</f>
        <v>6304257.466371336</v>
      </c>
      <c r="T14" s="5">
        <f>Assumptions!U122*Assumptions!U9</f>
        <v>6821948.2559627704</v>
      </c>
      <c r="U14" s="5">
        <f>Assumptions!V122*Assumptions!V9</f>
        <v>7359366.1796825044</v>
      </c>
      <c r="V14" s="5">
        <f>Assumptions!W122*Assumptions!W9</f>
        <v>7917128.6690900214</v>
      </c>
      <c r="W14" s="5">
        <f>Assumptions!X122*Assumptions!X9</f>
        <v>8495870.7748005036</v>
      </c>
      <c r="X14" s="5">
        <f>Assumptions!Y122*Assumptions!Y9</f>
        <v>9096245.6428864039</v>
      </c>
      <c r="Y14" s="5">
        <f>Assumptions!Z122*Assumptions!Z9</f>
        <v>9718925.0037130825</v>
      </c>
      <c r="Z14" s="5">
        <f>Assumptions!AA122*Assumptions!AA9</f>
        <v>10364599.673524981</v>
      </c>
      <c r="AA14" s="5">
        <f>Assumptions!AB122*Assumptions!AB9</f>
        <v>11033980.069106802</v>
      </c>
      <c r="AB14" s="5">
        <f>Assumptions!AC122*Assumptions!AC9</f>
        <v>11727796.735852238</v>
      </c>
      <c r="AC14" s="5">
        <f>Assumptions!AD122*Assumptions!AD9</f>
        <v>12446800.889581027</v>
      </c>
      <c r="AD14" s="5">
        <f>Assumptions!AE122*Assumptions!AE9</f>
        <v>13191764.972453728</v>
      </c>
      <c r="AE14" s="5">
        <f>Assumptions!AF122*Assumptions!AF9</f>
        <v>13963483.223342272</v>
      </c>
      <c r="AF14" s="5">
        <f>Assumptions!AG122*Assumptions!AG9</f>
        <v>14762772.263023244</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2214122.9416682995</v>
      </c>
      <c r="D27" s="2">
        <f t="shared" ref="D27:AF27" si="8">D12+D13+D14+D19+D20+D22+D24+D25</f>
        <v>2569038.5286153317</v>
      </c>
      <c r="E27" s="2">
        <f t="shared" si="8"/>
        <v>2939263.7051905729</v>
      </c>
      <c r="F27" s="2">
        <f t="shared" si="8"/>
        <v>3325332.2842121273</v>
      </c>
      <c r="G27" s="2">
        <f t="shared" si="8"/>
        <v>3727795.4925817391</v>
      </c>
      <c r="H27" s="2">
        <f t="shared" si="8"/>
        <v>4147222.5349828359</v>
      </c>
      <c r="I27" s="2">
        <f t="shared" si="8"/>
        <v>4584201.1762868138</v>
      </c>
      <c r="J27" s="2">
        <f t="shared" si="8"/>
        <v>5039338.3433154458</v>
      </c>
      <c r="K27" s="2">
        <f t="shared" si="8"/>
        <v>5513260.7466308102</v>
      </c>
      <c r="L27" s="2">
        <f t="shared" si="8"/>
        <v>6006615.5230485881</v>
      </c>
      <c r="M27" s="2">
        <f t="shared" si="8"/>
        <v>6520070.899595879</v>
      </c>
      <c r="N27" s="2">
        <f t="shared" si="8"/>
        <v>7054316.8796610311</v>
      </c>
      <c r="O27" s="2">
        <f t="shared" si="8"/>
        <v>7610065.9521103073</v>
      </c>
      <c r="P27" s="2">
        <f t="shared" si="8"/>
        <v>8188053.8241744936</v>
      </c>
      <c r="Q27" s="2">
        <f t="shared" si="8"/>
        <v>8789040.1789380908</v>
      </c>
      <c r="R27" s="2">
        <f t="shared" si="8"/>
        <v>9413809.4582941812</v>
      </c>
      <c r="S27" s="2">
        <f t="shared" si="8"/>
        <v>10063171.672259891</v>
      </c>
      <c r="T27" s="2">
        <f t="shared" si="8"/>
        <v>10737963.235580249</v>
      </c>
      <c r="U27" s="2">
        <f t="shared" si="8"/>
        <v>11439047.832582442</v>
      </c>
      <c r="V27" s="2">
        <f t="shared" si="8"/>
        <v>12167317.311278045</v>
      </c>
      <c r="W27" s="2">
        <f t="shared" si="8"/>
        <v>12923692.607747607</v>
      </c>
      <c r="X27" s="2">
        <f t="shared" si="8"/>
        <v>13709124.701880351</v>
      </c>
      <c r="Y27" s="2">
        <f t="shared" si="8"/>
        <v>14524595.605581466</v>
      </c>
      <c r="Z27" s="2">
        <f t="shared" si="8"/>
        <v>15371119.384600792</v>
      </c>
      <c r="AA27" s="2">
        <f t="shared" si="8"/>
        <v>16249743.215179607</v>
      </c>
      <c r="AB27" s="2">
        <f t="shared" si="8"/>
        <v>17161548.476756815</v>
      </c>
      <c r="AC27" s="2">
        <f t="shared" si="8"/>
        <v>18107651.882022046</v>
      </c>
      <c r="AD27" s="2">
        <f t="shared" si="8"/>
        <v>19089206.645651296</v>
      </c>
      <c r="AE27" s="2">
        <f t="shared" si="8"/>
        <v>20107403.693110701</v>
      </c>
      <c r="AF27" s="2">
        <f t="shared" si="8"/>
        <v>21163472.910965871</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3W2DU3RAJ5R2-1900874439-822</_dlc_DocId>
    <_dlc_DocIdUrl xmlns="f54e2983-00ce-40fc-8108-18f351fc47bf">
      <Url>https://dia.cohesion.net.nz/Sites/LGV/TWRP/CAE/_layouts/15/DocIdRedir.aspx?ID=3W2DU3RAJ5R2-1900874439-822</Url>
      <Description>3W2DU3RAJ5R2-1900874439-822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http://purl.org/dc/elements/1.1/"/>
    <ds:schemaRef ds:uri="65b6d800-2dda-48d6-88d8-9e2b35e6f7ea"/>
    <ds:schemaRef ds:uri="08a23fc5-e034-477c-ac83-93bc1440f322"/>
    <ds:schemaRef ds:uri="http://schemas.microsoft.com/office/2006/metadata/properties"/>
    <ds:schemaRef ds:uri="http://schemas.openxmlformats.org/package/2006/metadata/core-properties"/>
    <ds:schemaRef ds:uri="http://purl.org/dc/term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BFCC68D9-FE39-44F5-A190-C565FF04DBDC}"/>
</file>

<file path=customXml/itemProps4.xml><?xml version="1.0" encoding="utf-8"?>
<ds:datastoreItem xmlns:ds="http://schemas.openxmlformats.org/officeDocument/2006/customXml" ds:itemID="{940A6456-9310-4A5D-91A4-6450486ED4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2021-07-06T14:44:26Z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757a4b42-4b2a-452f-b839-75530b4f1630</vt:lpwstr>
  </property>
</Properties>
</file>