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0" documentId="13_ncr:1_{8417D41B-844D-485C-AA9B-8BE7776FCD92}" xr6:coauthVersionLast="47" xr6:coauthVersionMax="47" xr10:uidLastSave="{00000000-0000-0000-0000-000000000000}"/>
  <bookViews>
    <workbookView xWindow="3040" yWindow="3040" windowWidth="28800" windowHeight="15460" tabRatio="847"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iterateCount="10000"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7" i="2"/>
  <c r="C58" i="2"/>
  <c r="C106" i="2"/>
  <c r="C63" i="2"/>
  <c r="C107" i="2"/>
  <c r="D11" i="2"/>
  <c r="C40" i="2"/>
  <c r="C41" i="2"/>
  <c r="C39" i="2"/>
  <c r="C36" i="2"/>
  <c r="C37" i="2"/>
  <c r="C35" i="2"/>
  <c r="F9" i="2"/>
  <c r="E9" i="2"/>
  <c r="D9" i="2"/>
  <c r="G11" i="2"/>
  <c r="V9" i="2"/>
  <c r="E11" i="2"/>
  <c r="F11" i="2"/>
  <c r="H11" i="2"/>
  <c r="I11" i="2"/>
  <c r="C72" i="2"/>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G22" i="8"/>
  <c r="F22" i="8"/>
  <c r="C22" i="8"/>
  <c r="E22" i="8"/>
  <c r="D22" i="8"/>
  <c r="H44" i="2"/>
  <c r="I44" i="2" s="1"/>
  <c r="H43" i="2"/>
  <c r="G16" i="8" s="1"/>
  <c r="H15" i="9" l="1"/>
  <c r="J44" i="2"/>
  <c r="I43" i="2"/>
  <c r="G15" i="9"/>
  <c r="C83" i="2"/>
  <c r="C90" i="2" s="1"/>
  <c r="C95" i="2" s="1"/>
  <c r="C82" i="2"/>
  <c r="C129" i="2"/>
  <c r="C135" i="2" s="1"/>
  <c r="B10" i="21" s="1"/>
  <c r="C22" i="6"/>
  <c r="C66" i="2"/>
  <c r="C17" i="2"/>
  <c r="B7" i="21"/>
  <c r="C71" i="2"/>
  <c r="C73" i="2" s="1"/>
  <c r="C5" i="3"/>
  <c r="C67" i="2"/>
  <c r="C89" i="2" l="1"/>
  <c r="C94" i="2" s="1"/>
  <c r="I15" i="9"/>
  <c r="K44" i="2"/>
  <c r="J43" i="2"/>
  <c r="H16" i="8"/>
  <c r="B12" i="21"/>
  <c r="B16" i="21" s="1"/>
  <c r="C75" i="2"/>
  <c r="B6" i="5"/>
  <c r="C18" i="2"/>
  <c r="C7" i="6" s="1"/>
  <c r="C6" i="6"/>
  <c r="C96" i="2"/>
  <c r="C68" i="2"/>
  <c r="J15" i="9" l="1"/>
  <c r="L44" i="2"/>
  <c r="K43" i="2"/>
  <c r="I16" i="8"/>
  <c r="C102" i="2"/>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L43" i="2" l="1"/>
  <c r="J16" i="8"/>
  <c r="K15" i="9"/>
  <c r="M44" i="2"/>
  <c r="AB12" i="8"/>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N44" i="2" l="1"/>
  <c r="L15" i="9"/>
  <c r="K16" i="8"/>
  <c r="M43" i="2"/>
  <c r="L18" i="9"/>
  <c r="F6" i="9"/>
  <c r="F12" i="9" s="1"/>
  <c r="G116" i="2"/>
  <c r="G115" i="2"/>
  <c r="Z18" i="9"/>
  <c r="M6" i="9"/>
  <c r="M12" i="9" s="1"/>
  <c r="N115" i="2"/>
  <c r="N116" i="2"/>
  <c r="T18" i="9"/>
  <c r="M20" i="8"/>
  <c r="P18" i="9"/>
  <c r="V20" i="8"/>
  <c r="J6" i="9"/>
  <c r="J12" i="9" s="1"/>
  <c r="K116" i="2"/>
  <c r="K118" i="2" s="1"/>
  <c r="K115" i="2"/>
  <c r="AG116" i="2"/>
  <c r="AF6" i="9"/>
  <c r="AF12" i="9" s="1"/>
  <c r="Z6" i="9"/>
  <c r="Z12" i="9" s="1"/>
  <c r="AA116" i="2"/>
  <c r="C18" i="9"/>
  <c r="X20" i="8"/>
  <c r="P20" i="8"/>
  <c r="F18" i="9"/>
  <c r="M18" i="9"/>
  <c r="L20" i="8"/>
  <c r="E6" i="9"/>
  <c r="E12" i="9" s="1"/>
  <c r="F116" i="2"/>
  <c r="F115" i="2"/>
  <c r="N20" i="8"/>
  <c r="L6" i="9"/>
  <c r="L12" i="9" s="1"/>
  <c r="M116" i="2"/>
  <c r="M115" i="2"/>
  <c r="M118" i="2" s="1"/>
  <c r="G18" i="9"/>
  <c r="C20" i="8"/>
  <c r="C19" i="8"/>
  <c r="I19" i="8"/>
  <c r="I20" i="8"/>
  <c r="U18" i="9"/>
  <c r="Q18" i="9"/>
  <c r="R18" i="9"/>
  <c r="K19" i="8"/>
  <c r="K20" i="8"/>
  <c r="Y18" i="9"/>
  <c r="P6" i="9"/>
  <c r="P12" i="9" s="1"/>
  <c r="Q116" i="2"/>
  <c r="O20" i="8"/>
  <c r="X18" i="9"/>
  <c r="X6" i="9"/>
  <c r="X12" i="9" s="1"/>
  <c r="Y116" i="2"/>
  <c r="AB18" i="9"/>
  <c r="J20" i="8"/>
  <c r="J19" i="8"/>
  <c r="Y6" i="9"/>
  <c r="Y12" i="9" s="1"/>
  <c r="Z116" i="2"/>
  <c r="AF116" i="2"/>
  <c r="AE6" i="9"/>
  <c r="AE12" i="9" s="1"/>
  <c r="D18" i="9"/>
  <c r="AA18" i="9"/>
  <c r="H116" i="2"/>
  <c r="G6" i="9"/>
  <c r="G12" i="9" s="1"/>
  <c r="H115" i="2"/>
  <c r="H19" i="8"/>
  <c r="H20" i="8"/>
  <c r="AC18" i="9"/>
  <c r="W20" i="8"/>
  <c r="W116" i="2"/>
  <c r="V6" i="9"/>
  <c r="V12" i="9" s="1"/>
  <c r="U6" i="9"/>
  <c r="U12" i="9" s="1"/>
  <c r="V116" i="2"/>
  <c r="D116" i="2"/>
  <c r="D115" i="2"/>
  <c r="C6" i="9"/>
  <c r="C12" i="9" s="1"/>
  <c r="C113" i="2"/>
  <c r="C114" i="2" s="1"/>
  <c r="AC116" i="2"/>
  <c r="AB6" i="9"/>
  <c r="AB12" i="9" s="1"/>
  <c r="D20" i="8"/>
  <c r="D19" i="8"/>
  <c r="S20" i="8"/>
  <c r="K18" i="9"/>
  <c r="J18" i="9"/>
  <c r="AA20" i="8"/>
  <c r="E18" i="9"/>
  <c r="AC20" i="8"/>
  <c r="AE116" i="2"/>
  <c r="AD6" i="9"/>
  <c r="AD12" i="9" s="1"/>
  <c r="R20" i="8"/>
  <c r="T6" i="9"/>
  <c r="T12" i="9" s="1"/>
  <c r="U116" i="2"/>
  <c r="H18" i="9"/>
  <c r="Y20" i="8"/>
  <c r="AF18" i="9"/>
  <c r="N6" i="9"/>
  <c r="N12" i="9" s="1"/>
  <c r="O116" i="2"/>
  <c r="U20" i="8"/>
  <c r="N18" i="9"/>
  <c r="T116" i="2"/>
  <c r="S6" i="9"/>
  <c r="S12" i="9" s="1"/>
  <c r="P116" i="2"/>
  <c r="O6" i="9"/>
  <c r="O12" i="9" s="1"/>
  <c r="E116" i="2"/>
  <c r="D6" i="9"/>
  <c r="D12" i="9" s="1"/>
  <c r="E115" i="2"/>
  <c r="K6" i="9"/>
  <c r="K12" i="9" s="1"/>
  <c r="L116" i="2"/>
  <c r="L115" i="2"/>
  <c r="L118" i="2" s="1"/>
  <c r="S116" i="2"/>
  <c r="R6" i="9"/>
  <c r="R12" i="9" s="1"/>
  <c r="I18" i="9"/>
  <c r="AD18" i="9"/>
  <c r="AD20"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W18" i="9"/>
  <c r="E19" i="8"/>
  <c r="E20" i="8"/>
  <c r="Z20" i="8"/>
  <c r="AD116" i="2"/>
  <c r="AC6" i="9"/>
  <c r="AC12" i="9" s="1"/>
  <c r="R116" i="2"/>
  <c r="Q6" i="9"/>
  <c r="Q12" i="9" s="1"/>
  <c r="I116" i="2"/>
  <c r="I115" i="2"/>
  <c r="I118" i="2" s="1"/>
  <c r="H6" i="9"/>
  <c r="H12" i="9" s="1"/>
  <c r="W6" i="9"/>
  <c r="W12" i="9" s="1"/>
  <c r="X116" i="2"/>
  <c r="G19" i="8"/>
  <c r="G20" i="8"/>
  <c r="T20" i="8"/>
  <c r="F19" i="8"/>
  <c r="F20" i="8"/>
  <c r="AF20" i="8"/>
  <c r="AE20" i="8"/>
  <c r="V18" i="9"/>
  <c r="AE18" i="9"/>
  <c r="Q20" i="8"/>
  <c r="AB20" i="8"/>
  <c r="F118" i="2" l="1"/>
  <c r="D118" i="2"/>
  <c r="G118" i="2"/>
  <c r="H118" i="2"/>
  <c r="N43" i="2"/>
  <c r="L16" i="8"/>
  <c r="L19" i="8" s="1"/>
  <c r="M15" i="9"/>
  <c r="O44" i="2"/>
  <c r="N118" i="2"/>
  <c r="J118" i="2"/>
  <c r="E118" i="2"/>
  <c r="E120" i="2" s="1"/>
  <c r="D120" i="2"/>
  <c r="E122" i="2"/>
  <c r="D14" i="8" s="1"/>
  <c r="I122" i="2"/>
  <c r="H14" i="8" s="1"/>
  <c r="G120" i="2"/>
  <c r="F120" i="2"/>
  <c r="H122" i="2"/>
  <c r="G14" i="8" s="1"/>
  <c r="I120" i="2"/>
  <c r="D122" i="2"/>
  <c r="C14" i="8" s="1"/>
  <c r="H120" i="2"/>
  <c r="D21" i="9"/>
  <c r="D20" i="9"/>
  <c r="AD21" i="9"/>
  <c r="U21" i="9"/>
  <c r="AF21" i="9"/>
  <c r="R21" i="9"/>
  <c r="S21" i="9"/>
  <c r="C21" i="9"/>
  <c r="C20" i="9"/>
  <c r="Y21" i="9"/>
  <c r="F20" i="9"/>
  <c r="F21" i="9"/>
  <c r="Q21" i="9"/>
  <c r="V21" i="9"/>
  <c r="X21" i="9"/>
  <c r="L20" i="9"/>
  <c r="L21" i="9"/>
  <c r="W21" i="9"/>
  <c r="AB21" i="9"/>
  <c r="E20" i="9"/>
  <c r="E21" i="9"/>
  <c r="T21" i="9"/>
  <c r="H21" i="9"/>
  <c r="H20" i="9"/>
  <c r="O21" i="9"/>
  <c r="N21" i="9"/>
  <c r="AE21" i="9"/>
  <c r="Z21" i="9"/>
  <c r="J20" i="9"/>
  <c r="J21" i="9"/>
  <c r="AA21" i="9"/>
  <c r="K21" i="9"/>
  <c r="K20" i="9"/>
  <c r="P21" i="9"/>
  <c r="G21" i="9"/>
  <c r="G20" i="9"/>
  <c r="AC21" i="9"/>
  <c r="I21" i="9"/>
  <c r="I20" i="9"/>
  <c r="M21" i="9"/>
  <c r="M20" i="9"/>
  <c r="N122" i="2" l="1"/>
  <c r="M14" i="8" s="1"/>
  <c r="F122" i="2"/>
  <c r="E14" i="8" s="1"/>
  <c r="K122" i="2"/>
  <c r="J14" i="8" s="1"/>
  <c r="M120" i="2"/>
  <c r="L122" i="2"/>
  <c r="K14" i="8" s="1"/>
  <c r="K25" i="8" s="1"/>
  <c r="L120" i="2"/>
  <c r="K9" i="6" s="1"/>
  <c r="N120" i="2"/>
  <c r="M9" i="6" s="1"/>
  <c r="K120" i="2"/>
  <c r="J7" i="9" s="1"/>
  <c r="J13" i="9" s="1"/>
  <c r="M122" i="2"/>
  <c r="L14" i="8" s="1"/>
  <c r="L24" i="8" s="1"/>
  <c r="N15" i="9"/>
  <c r="N20" i="9" s="1"/>
  <c r="P44" i="2"/>
  <c r="O115" i="2"/>
  <c r="O118" i="2" s="1"/>
  <c r="J122" i="2"/>
  <c r="I14" i="8" s="1"/>
  <c r="I24" i="8" s="1"/>
  <c r="O43" i="2"/>
  <c r="M16" i="8"/>
  <c r="M19" i="8" s="1"/>
  <c r="J120" i="2"/>
  <c r="I9" i="6" s="1"/>
  <c r="G122" i="2"/>
  <c r="F14" i="8" s="1"/>
  <c r="F9" i="6"/>
  <c r="F7" i="9"/>
  <c r="F13" i="9" s="1"/>
  <c r="D25" i="8"/>
  <c r="D24" i="8"/>
  <c r="J25" i="8"/>
  <c r="J24" i="8"/>
  <c r="K7" i="9"/>
  <c r="K13" i="9" s="1"/>
  <c r="G24" i="8"/>
  <c r="G25" i="8"/>
  <c r="C9" i="6"/>
  <c r="C7" i="9"/>
  <c r="C13" i="9" s="1"/>
  <c r="H24" i="8"/>
  <c r="H25" i="8"/>
  <c r="H9" i="6"/>
  <c r="H7" i="9"/>
  <c r="H13" i="9" s="1"/>
  <c r="M24" i="8"/>
  <c r="M25" i="8"/>
  <c r="G7" i="9"/>
  <c r="G13" i="9" s="1"/>
  <c r="G9" i="6"/>
  <c r="C24" i="8"/>
  <c r="C25" i="8"/>
  <c r="E24" i="8"/>
  <c r="E25" i="8"/>
  <c r="F24" i="8"/>
  <c r="F25" i="8"/>
  <c r="D9" i="6"/>
  <c r="D7" i="9"/>
  <c r="D13" i="9" s="1"/>
  <c r="L9" i="6"/>
  <c r="L7" i="9"/>
  <c r="L13" i="9" s="1"/>
  <c r="E9" i="6"/>
  <c r="E7" i="9"/>
  <c r="E13" i="9" s="1"/>
  <c r="J9" i="6" l="1"/>
  <c r="M7" i="9"/>
  <c r="M13" i="9" s="1"/>
  <c r="K24" i="8"/>
  <c r="K27" i="8" s="1"/>
  <c r="K6" i="8" s="1"/>
  <c r="G27" i="8"/>
  <c r="G6" i="8" s="1"/>
  <c r="I25" i="8"/>
  <c r="I27" i="8" s="1"/>
  <c r="I6" i="8" s="1"/>
  <c r="L27" i="8"/>
  <c r="L6" i="8" s="1"/>
  <c r="L25" i="8"/>
  <c r="J27" i="8"/>
  <c r="J6" i="8" s="1"/>
  <c r="P43" i="2"/>
  <c r="N16" i="8"/>
  <c r="N19" i="8" s="1"/>
  <c r="O120" i="2"/>
  <c r="O122" i="2"/>
  <c r="N14" i="8" s="1"/>
  <c r="O15" i="9"/>
  <c r="O20" i="9" s="1"/>
  <c r="Q44" i="2"/>
  <c r="P115" i="2"/>
  <c r="P118" i="2" s="1"/>
  <c r="I7" i="9"/>
  <c r="I13" i="9" s="1"/>
  <c r="H27" i="8"/>
  <c r="H6" i="8" s="1"/>
  <c r="F27" i="8"/>
  <c r="F6" i="8" s="1"/>
  <c r="M27" i="8"/>
  <c r="M6" i="8" s="1"/>
  <c r="E27" i="8"/>
  <c r="E6" i="8" s="1"/>
  <c r="C27" i="8"/>
  <c r="C6" i="8" s="1"/>
  <c r="D27" i="8"/>
  <c r="D6" i="8" s="1"/>
  <c r="C23" i="9"/>
  <c r="C25" i="9"/>
  <c r="H6" i="4"/>
  <c r="H7" i="8"/>
  <c r="E6" i="4"/>
  <c r="E7" i="8"/>
  <c r="G23" i="9"/>
  <c r="G25" i="9" s="1"/>
  <c r="G7" i="8"/>
  <c r="G6" i="4"/>
  <c r="F7" i="8"/>
  <c r="F6" i="4"/>
  <c r="J23" i="9"/>
  <c r="J25" i="9" s="1"/>
  <c r="M7" i="8"/>
  <c r="M6" i="4"/>
  <c r="E23" i="9"/>
  <c r="E25" i="9" s="1"/>
  <c r="M23" i="9"/>
  <c r="M25" i="9" s="1"/>
  <c r="F23" i="9"/>
  <c r="F25" i="9" s="1"/>
  <c r="I7" i="8"/>
  <c r="I6" i="4"/>
  <c r="J6" i="4"/>
  <c r="J7" i="8"/>
  <c r="D6" i="4"/>
  <c r="D7" i="8"/>
  <c r="K23" i="9"/>
  <c r="K25" i="9" s="1"/>
  <c r="I23" i="9"/>
  <c r="I25" i="9" s="1"/>
  <c r="J10" i="6"/>
  <c r="E10" i="6"/>
  <c r="H10" i="6"/>
  <c r="I10" i="6"/>
  <c r="K10" i="6"/>
  <c r="C12" i="6"/>
  <c r="D10" i="6"/>
  <c r="C10" i="6"/>
  <c r="C7" i="8"/>
  <c r="F10" i="6"/>
  <c r="G10" i="6"/>
  <c r="C6" i="4"/>
  <c r="L10" i="6"/>
  <c r="M10" i="6"/>
  <c r="L23" i="9"/>
  <c r="L25" i="9" s="1"/>
  <c r="D23" i="9"/>
  <c r="D25" i="9" s="1"/>
  <c r="L7" i="8"/>
  <c r="L6" i="4"/>
  <c r="H23" i="9"/>
  <c r="H25" i="9" s="1"/>
  <c r="K7" i="8"/>
  <c r="K6" i="4"/>
  <c r="N25" i="8" l="1"/>
  <c r="N24" i="8"/>
  <c r="N27" i="8"/>
  <c r="N6" i="8" s="1"/>
  <c r="N9" i="6"/>
  <c r="N7" i="9"/>
  <c r="N13" i="9" s="1"/>
  <c r="N23" i="9" s="1"/>
  <c r="N25" i="9" s="1"/>
  <c r="N10" i="4" s="1"/>
  <c r="P122" i="2"/>
  <c r="O14" i="8" s="1"/>
  <c r="P120" i="2"/>
  <c r="P15" i="9"/>
  <c r="P20" i="9" s="1"/>
  <c r="R44" i="2"/>
  <c r="Q115" i="2"/>
  <c r="Q118" i="2" s="1"/>
  <c r="Q43" i="2"/>
  <c r="O16" i="8"/>
  <c r="O19" i="8" s="1"/>
  <c r="M18" i="6"/>
  <c r="M10" i="4"/>
  <c r="D18" i="6"/>
  <c r="D10" i="4"/>
  <c r="K18" i="6"/>
  <c r="K10" i="4"/>
  <c r="H18" i="6"/>
  <c r="H10" i="4"/>
  <c r="L18" i="6"/>
  <c r="L10" i="4"/>
  <c r="E18" i="6"/>
  <c r="E10" i="4"/>
  <c r="F10" i="4"/>
  <c r="F18" i="6"/>
  <c r="C10" i="4"/>
  <c r="C18" i="6"/>
  <c r="C19" i="6" s="1"/>
  <c r="C20" i="6" s="1"/>
  <c r="C23" i="6" s="1"/>
  <c r="I10" i="4"/>
  <c r="I18" i="6"/>
  <c r="J18" i="6"/>
  <c r="J10" i="4"/>
  <c r="G18" i="6"/>
  <c r="G10" i="4"/>
  <c r="B7" i="5"/>
  <c r="B8" i="5" s="1"/>
  <c r="D7" i="6"/>
  <c r="D12" i="6" s="1"/>
  <c r="P16" i="8" l="1"/>
  <c r="P19" i="8" s="1"/>
  <c r="R43" i="2"/>
  <c r="O24" i="8"/>
  <c r="O25" i="8"/>
  <c r="Q122" i="2"/>
  <c r="P14" i="8" s="1"/>
  <c r="Q15" i="9"/>
  <c r="Q20" i="9" s="1"/>
  <c r="S44" i="2"/>
  <c r="R115" i="2"/>
  <c r="R118" i="2" s="1"/>
  <c r="R122" i="2" s="1"/>
  <c r="Q14" i="8" s="1"/>
  <c r="Q120" i="2"/>
  <c r="N6" i="4"/>
  <c r="N7" i="8"/>
  <c r="N10" i="6"/>
  <c r="N18" i="6"/>
  <c r="O7" i="9"/>
  <c r="O13" i="9" s="1"/>
  <c r="O23" i="9" s="1"/>
  <c r="O25" i="9" s="1"/>
  <c r="O9" i="6"/>
  <c r="O10" i="6" s="1"/>
  <c r="B10" i="5"/>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R120" i="2" l="1"/>
  <c r="Q25" i="8"/>
  <c r="P25" i="8"/>
  <c r="P24" i="8"/>
  <c r="P27" i="8" s="1"/>
  <c r="P6" i="8" s="1"/>
  <c r="Q7" i="9"/>
  <c r="Q13" i="9" s="1"/>
  <c r="Q23" i="9" s="1"/>
  <c r="Q25" i="9" s="1"/>
  <c r="Q9" i="6"/>
  <c r="P9" i="6"/>
  <c r="P7" i="9"/>
  <c r="P13" i="9" s="1"/>
  <c r="O27" i="8"/>
  <c r="O6" i="8" s="1"/>
  <c r="O10" i="4"/>
  <c r="O18" i="6"/>
  <c r="O19" i="6" s="1"/>
  <c r="O20" i="6" s="1"/>
  <c r="S43" i="2"/>
  <c r="Q16" i="8"/>
  <c r="Q19" i="8" s="1"/>
  <c r="O7" i="8"/>
  <c r="O6" i="4"/>
  <c r="R15" i="9"/>
  <c r="R20" i="9" s="1"/>
  <c r="T44" i="2"/>
  <c r="S115" i="2"/>
  <c r="S118" i="2" s="1"/>
  <c r="D7" i="5"/>
  <c r="F7" i="6"/>
  <c r="F12" i="6" s="1"/>
  <c r="P7" i="8" l="1"/>
  <c r="P6" i="4"/>
  <c r="Q10" i="6"/>
  <c r="Q6" i="4"/>
  <c r="Q7" i="8"/>
  <c r="Q18" i="6"/>
  <c r="Q10" i="4"/>
  <c r="S120" i="2"/>
  <c r="S122" i="2"/>
  <c r="R14" i="8" s="1"/>
  <c r="S15" i="9"/>
  <c r="S20" i="9" s="1"/>
  <c r="U44" i="2"/>
  <c r="T115" i="2"/>
  <c r="T118" i="2" s="1"/>
  <c r="T43" i="2"/>
  <c r="R16" i="8"/>
  <c r="R19" i="8" s="1"/>
  <c r="P10" i="6"/>
  <c r="Q24" i="8"/>
  <c r="Q27" i="8" s="1"/>
  <c r="Q6" i="8" s="1"/>
  <c r="P23" i="9"/>
  <c r="P25" i="9" s="1"/>
  <c r="E7" i="5"/>
  <c r="G7" i="6"/>
  <c r="G12" i="6" s="1"/>
  <c r="T120" i="2" l="1"/>
  <c r="T15" i="9"/>
  <c r="T20" i="9" s="1"/>
  <c r="V44" i="2"/>
  <c r="U115" i="2"/>
  <c r="U118" i="2" s="1"/>
  <c r="U43" i="2"/>
  <c r="S16" i="8"/>
  <c r="S19" i="8" s="1"/>
  <c r="R24" i="8"/>
  <c r="R25" i="8"/>
  <c r="R9" i="6"/>
  <c r="R7" i="9"/>
  <c r="R13" i="9" s="1"/>
  <c r="R23" i="9" s="1"/>
  <c r="R25" i="9" s="1"/>
  <c r="P18" i="6"/>
  <c r="P19" i="6" s="1"/>
  <c r="P20" i="6" s="1"/>
  <c r="Q19" i="6" s="1"/>
  <c r="Q20" i="6" s="1"/>
  <c r="P10" i="4"/>
  <c r="U120" i="2"/>
  <c r="T122" i="2"/>
  <c r="S14" i="8" s="1"/>
  <c r="H7" i="6"/>
  <c r="H12" i="6" s="1"/>
  <c r="F7" i="5"/>
  <c r="T7" i="9" l="1"/>
  <c r="T13" i="9" s="1"/>
  <c r="T9" i="6"/>
  <c r="T16" i="8"/>
  <c r="T19" i="8" s="1"/>
  <c r="V43" i="2"/>
  <c r="U15" i="9"/>
  <c r="U20" i="9" s="1"/>
  <c r="W44" i="2"/>
  <c r="V115" i="2"/>
  <c r="V118" i="2" s="1"/>
  <c r="V120" i="2" s="1"/>
  <c r="R27" i="8"/>
  <c r="R6" i="8" s="1"/>
  <c r="S9" i="6"/>
  <c r="S7" i="9"/>
  <c r="S13" i="9" s="1"/>
  <c r="S23" i="9" s="1"/>
  <c r="S25" i="9" s="1"/>
  <c r="R10" i="4"/>
  <c r="R18" i="6"/>
  <c r="R19" i="6" s="1"/>
  <c r="R20" i="6" s="1"/>
  <c r="S25" i="8"/>
  <c r="S24" i="8"/>
  <c r="R7" i="8"/>
  <c r="R6" i="4"/>
  <c r="S10" i="6"/>
  <c r="T10" i="6"/>
  <c r="R10" i="6"/>
  <c r="U122" i="2"/>
  <c r="T14" i="8" s="1"/>
  <c r="G7" i="5"/>
  <c r="I7" i="6"/>
  <c r="I12" i="6" s="1"/>
  <c r="S27" i="8" l="1"/>
  <c r="S6" i="8" s="1"/>
  <c r="V15" i="9"/>
  <c r="V20" i="9" s="1"/>
  <c r="X44" i="2"/>
  <c r="W115" i="2"/>
  <c r="W118" i="2" s="1"/>
  <c r="U7" i="9"/>
  <c r="U13" i="9" s="1"/>
  <c r="U23" i="9" s="1"/>
  <c r="U25" i="9" s="1"/>
  <c r="U9" i="6"/>
  <c r="S10" i="4"/>
  <c r="S18" i="6"/>
  <c r="S19" i="6" s="1"/>
  <c r="S20" i="6" s="1"/>
  <c r="W43" i="2"/>
  <c r="U16" i="8"/>
  <c r="U19" i="8" s="1"/>
  <c r="S6" i="4"/>
  <c r="S7" i="8"/>
  <c r="T25" i="8"/>
  <c r="T24" i="8"/>
  <c r="T6" i="4"/>
  <c r="T7" i="8"/>
  <c r="V122" i="2"/>
  <c r="U14" i="8" s="1"/>
  <c r="T23" i="9"/>
  <c r="T25" i="9"/>
  <c r="J7" i="6"/>
  <c r="J12" i="6" s="1"/>
  <c r="H7" i="5"/>
  <c r="U10" i="4" l="1"/>
  <c r="U18" i="6"/>
  <c r="U24" i="8"/>
  <c r="U25" i="8"/>
  <c r="X43" i="2"/>
  <c r="V16" i="8"/>
  <c r="V19" i="8" s="1"/>
  <c r="W122" i="2"/>
  <c r="V14" i="8" s="1"/>
  <c r="W120" i="2"/>
  <c r="W15" i="9"/>
  <c r="W20" i="9" s="1"/>
  <c r="Y44" i="2"/>
  <c r="X115" i="2"/>
  <c r="X118" i="2" s="1"/>
  <c r="T10" i="4"/>
  <c r="T18" i="6"/>
  <c r="T19" i="6" s="1"/>
  <c r="T20" i="6" s="1"/>
  <c r="U19" i="6" s="1"/>
  <c r="U20" i="6" s="1"/>
  <c r="U6" i="4"/>
  <c r="U7" i="8"/>
  <c r="U10" i="6"/>
  <c r="T27" i="8"/>
  <c r="T6" i="8" s="1"/>
  <c r="I7" i="5"/>
  <c r="K7" i="6"/>
  <c r="K12" i="6" s="1"/>
  <c r="X15" i="9" l="1"/>
  <c r="X20" i="9" s="1"/>
  <c r="Z44" i="2"/>
  <c r="Y115" i="2"/>
  <c r="Y118" i="2" s="1"/>
  <c r="Y43" i="2"/>
  <c r="W16" i="8"/>
  <c r="W19" i="8" s="1"/>
  <c r="V9" i="6"/>
  <c r="V7" i="9"/>
  <c r="V13" i="9" s="1"/>
  <c r="V23" i="9" s="1"/>
  <c r="V25" i="9" s="1"/>
  <c r="U27" i="8"/>
  <c r="U6" i="8" s="1"/>
  <c r="X120" i="2"/>
  <c r="X122" i="2"/>
  <c r="W14" i="8" s="1"/>
  <c r="V24" i="8"/>
  <c r="V25" i="8"/>
  <c r="J7" i="5"/>
  <c r="L7" i="6"/>
  <c r="L12" i="6" s="1"/>
  <c r="V27" i="8" l="1"/>
  <c r="V6" i="8" s="1"/>
  <c r="V7" i="8"/>
  <c r="V6" i="4"/>
  <c r="V10" i="6"/>
  <c r="Y120" i="2"/>
  <c r="Y122" i="2"/>
  <c r="X14" i="8" s="1"/>
  <c r="W24" i="8"/>
  <c r="W25" i="8"/>
  <c r="Y15" i="9"/>
  <c r="Y20" i="9" s="1"/>
  <c r="AA44" i="2"/>
  <c r="Z115" i="2"/>
  <c r="Z118" i="2" s="1"/>
  <c r="Z122" i="2" s="1"/>
  <c r="Y14" i="8" s="1"/>
  <c r="W7" i="9"/>
  <c r="W13" i="9" s="1"/>
  <c r="W23" i="9" s="1"/>
  <c r="W25" i="9" s="1"/>
  <c r="W9" i="6"/>
  <c r="W10" i="6" s="1"/>
  <c r="Z43" i="2"/>
  <c r="X16" i="8"/>
  <c r="X19" i="8" s="1"/>
  <c r="V10" i="4"/>
  <c r="V18" i="6"/>
  <c r="V19" i="6" s="1"/>
  <c r="V20" i="6" s="1"/>
  <c r="K7" i="5"/>
  <c r="M7" i="6"/>
  <c r="M12" i="6" s="1"/>
  <c r="W27" i="8" l="1"/>
  <c r="W6" i="8" s="1"/>
  <c r="W6" i="4"/>
  <c r="W7" i="8"/>
  <c r="X7" i="9"/>
  <c r="X13" i="9" s="1"/>
  <c r="X23" i="9" s="1"/>
  <c r="X25" i="9" s="1"/>
  <c r="X9" i="6"/>
  <c r="AA43" i="2"/>
  <c r="Y16" i="8"/>
  <c r="Y19" i="8" s="1"/>
  <c r="Y25" i="8"/>
  <c r="X24" i="8"/>
  <c r="X27" i="8" s="1"/>
  <c r="X6" i="8" s="1"/>
  <c r="X25" i="8"/>
  <c r="Z15" i="9"/>
  <c r="Z20" i="9" s="1"/>
  <c r="AB44" i="2"/>
  <c r="AA115" i="2"/>
  <c r="AA118" i="2" s="1"/>
  <c r="W18" i="6"/>
  <c r="W19" i="6" s="1"/>
  <c r="W20" i="6" s="1"/>
  <c r="W10" i="4"/>
  <c r="Z120" i="2"/>
  <c r="N7" i="6"/>
  <c r="N12" i="6" s="1"/>
  <c r="L7" i="5"/>
  <c r="Y24" i="8" l="1"/>
  <c r="Y27" i="8" s="1"/>
  <c r="Y6" i="8" s="1"/>
  <c r="AA15" i="9"/>
  <c r="AA20" i="9" s="1"/>
  <c r="AC44" i="2"/>
  <c r="AB115" i="2"/>
  <c r="AB118" i="2" s="1"/>
  <c r="Z16" i="8"/>
  <c r="Z19" i="8" s="1"/>
  <c r="AB43" i="2"/>
  <c r="X7" i="8"/>
  <c r="X6" i="4"/>
  <c r="X10" i="6"/>
  <c r="AA120" i="2"/>
  <c r="AA122" i="2"/>
  <c r="Z14" i="8" s="1"/>
  <c r="X18" i="6"/>
  <c r="X19" i="6" s="1"/>
  <c r="X20" i="6" s="1"/>
  <c r="X10" i="4"/>
  <c r="Y9" i="6"/>
  <c r="Y7" i="9"/>
  <c r="Y13" i="9" s="1"/>
  <c r="M7" i="5"/>
  <c r="O7" i="6"/>
  <c r="O12" i="6" s="1"/>
  <c r="Y23" i="9" l="1"/>
  <c r="Y25" i="9" s="1"/>
  <c r="Y7" i="8"/>
  <c r="Y6" i="4"/>
  <c r="Y10" i="6"/>
  <c r="AB120" i="2"/>
  <c r="AB122" i="2"/>
  <c r="AA14" i="8" s="1"/>
  <c r="AB15" i="9"/>
  <c r="AB20" i="9" s="1"/>
  <c r="AD44" i="2"/>
  <c r="AC115" i="2"/>
  <c r="AC118" i="2" s="1"/>
  <c r="Z25" i="8"/>
  <c r="Z24" i="8"/>
  <c r="AC43" i="2"/>
  <c r="AA16" i="8"/>
  <c r="AA19" i="8" s="1"/>
  <c r="Z7" i="9"/>
  <c r="Z13" i="9" s="1"/>
  <c r="Z23" i="9" s="1"/>
  <c r="Z25" i="9" s="1"/>
  <c r="Z9" i="6"/>
  <c r="P7" i="6"/>
  <c r="P12" i="6" s="1"/>
  <c r="N7" i="5"/>
  <c r="Z27" i="8" l="1"/>
  <c r="Z6" i="8" s="1"/>
  <c r="Z18" i="6"/>
  <c r="Z10" i="4"/>
  <c r="AA25" i="8"/>
  <c r="AA24" i="8"/>
  <c r="AA27" i="8" s="1"/>
  <c r="AA6" i="8" s="1"/>
  <c r="AD43" i="2"/>
  <c r="AB16" i="8"/>
  <c r="AB19" i="8" s="1"/>
  <c r="Y18" i="6"/>
  <c r="Y19" i="6" s="1"/>
  <c r="Y20" i="6" s="1"/>
  <c r="Z19" i="6" s="1"/>
  <c r="Z20" i="6" s="1"/>
  <c r="Y10" i="4"/>
  <c r="AA9" i="6"/>
  <c r="AA7" i="9"/>
  <c r="AA13" i="9" s="1"/>
  <c r="AA23" i="9" s="1"/>
  <c r="AA25" i="9" s="1"/>
  <c r="AC120" i="2"/>
  <c r="AC122" i="2"/>
  <c r="AB14" i="8" s="1"/>
  <c r="AC15" i="9"/>
  <c r="AC20" i="9" s="1"/>
  <c r="AE44" i="2"/>
  <c r="AD115" i="2"/>
  <c r="AD118" i="2" s="1"/>
  <c r="Z7" i="8"/>
  <c r="Z6" i="4"/>
  <c r="Z10" i="6"/>
  <c r="O7" i="5"/>
  <c r="Q7" i="6"/>
  <c r="Q12" i="6" s="1"/>
  <c r="AE43" i="2" l="1"/>
  <c r="AC16" i="8"/>
  <c r="AC19" i="8" s="1"/>
  <c r="AB24" i="8"/>
  <c r="AB25" i="8"/>
  <c r="AB9" i="6"/>
  <c r="AB7" i="9"/>
  <c r="AB13" i="9" s="1"/>
  <c r="AB23" i="9" s="1"/>
  <c r="AB25" i="9" s="1"/>
  <c r="AD122" i="2"/>
  <c r="AC14" i="8" s="1"/>
  <c r="AD120" i="2"/>
  <c r="AD15" i="9"/>
  <c r="AD20" i="9" s="1"/>
  <c r="AF44" i="2"/>
  <c r="AE115" i="2"/>
  <c r="AE118" i="2" s="1"/>
  <c r="AA10" i="4"/>
  <c r="AA18" i="6"/>
  <c r="AA19" i="6" s="1"/>
  <c r="AA20" i="6" s="1"/>
  <c r="AA6" i="4"/>
  <c r="AA7" i="8"/>
  <c r="AA10" i="6"/>
  <c r="P7" i="5"/>
  <c r="R7" i="6"/>
  <c r="R12" i="6" s="1"/>
  <c r="AB27" i="8" l="1"/>
  <c r="AB6" i="8" s="1"/>
  <c r="AC24" i="8"/>
  <c r="AC25" i="8"/>
  <c r="AC27" i="8" s="1"/>
  <c r="AC6" i="8" s="1"/>
  <c r="AB7" i="8"/>
  <c r="AB6" i="4"/>
  <c r="AB10" i="6"/>
  <c r="AE120" i="2"/>
  <c r="AE122" i="2"/>
  <c r="AD14" i="8" s="1"/>
  <c r="AE15" i="9"/>
  <c r="AE20" i="9" s="1"/>
  <c r="AG44" i="2"/>
  <c r="AF115" i="2"/>
  <c r="AF118" i="2" s="1"/>
  <c r="AB18" i="6"/>
  <c r="AB19" i="6" s="1"/>
  <c r="AB20" i="6" s="1"/>
  <c r="AB10" i="4"/>
  <c r="AC9" i="6"/>
  <c r="AC7" i="9"/>
  <c r="AC13" i="9" s="1"/>
  <c r="AD16" i="8"/>
  <c r="AD19" i="8" s="1"/>
  <c r="AF43" i="2"/>
  <c r="Q7" i="5"/>
  <c r="S7" i="6"/>
  <c r="S12" i="6" s="1"/>
  <c r="AC23" i="9" l="1"/>
  <c r="AC25" i="9" s="1"/>
  <c r="AC7" i="8"/>
  <c r="AC6" i="4"/>
  <c r="AC10" i="6"/>
  <c r="AD25" i="8"/>
  <c r="AD24" i="8"/>
  <c r="AD27" i="8" s="1"/>
  <c r="AD6" i="8" s="1"/>
  <c r="AF15" i="9"/>
  <c r="AF20" i="9" s="1"/>
  <c r="AG115" i="2"/>
  <c r="AG118" i="2" s="1"/>
  <c r="AD9" i="6"/>
  <c r="AD7" i="9"/>
  <c r="AD13" i="9" s="1"/>
  <c r="AD23" i="9" s="1"/>
  <c r="AD25" i="9" s="1"/>
  <c r="AF120" i="2"/>
  <c r="AF122" i="2"/>
  <c r="AE14" i="8" s="1"/>
  <c r="AE16" i="8"/>
  <c r="AE19" i="8" s="1"/>
  <c r="AG43" i="2"/>
  <c r="AF16" i="8" s="1"/>
  <c r="AF19" i="8" s="1"/>
  <c r="T7" i="6"/>
  <c r="T12" i="6" s="1"/>
  <c r="R7" i="5"/>
  <c r="AE7" i="9" l="1"/>
  <c r="AE13" i="9" s="1"/>
  <c r="AE23" i="9" s="1"/>
  <c r="AE25" i="9" s="1"/>
  <c r="AE9" i="6"/>
  <c r="AE24" i="8"/>
  <c r="AE25" i="8"/>
  <c r="AE27" i="8"/>
  <c r="AE6" i="8" s="1"/>
  <c r="AC18" i="6"/>
  <c r="AC19" i="6" s="1"/>
  <c r="AC20" i="6" s="1"/>
  <c r="AC10" i="4"/>
  <c r="AD18" i="6"/>
  <c r="AD10" i="4"/>
  <c r="AG120" i="2"/>
  <c r="AG122" i="2"/>
  <c r="AF14" i="8" s="1"/>
  <c r="AD6" i="4"/>
  <c r="AD7" i="8"/>
  <c r="AD10" i="6"/>
  <c r="U7" i="6"/>
  <c r="U12" i="6" s="1"/>
  <c r="S7" i="5"/>
  <c r="AD19" i="6" l="1"/>
  <c r="AD20" i="6" s="1"/>
  <c r="AF24" i="8"/>
  <c r="AF25" i="8"/>
  <c r="AF27" i="8" s="1"/>
  <c r="AF6" i="8" s="1"/>
  <c r="AF7" i="9"/>
  <c r="AF13" i="9" s="1"/>
  <c r="AF9" i="6"/>
  <c r="AE6" i="4"/>
  <c r="AE7" i="8"/>
  <c r="AE10" i="6"/>
  <c r="AE18" i="6"/>
  <c r="AE19" i="6" s="1"/>
  <c r="AE20" i="6" s="1"/>
  <c r="AE10" i="4"/>
  <c r="T7" i="5"/>
  <c r="V7" i="6"/>
  <c r="V12" i="6" s="1"/>
  <c r="AF6" i="4" l="1"/>
  <c r="AF7" i="8"/>
  <c r="AF10" i="6"/>
  <c r="AF23" i="9"/>
  <c r="AF25" i="9" s="1"/>
  <c r="U7" i="5"/>
  <c r="W7" i="6"/>
  <c r="W12" i="6" s="1"/>
  <c r="AF10" i="4" l="1"/>
  <c r="AF18" i="6"/>
  <c r="AF19" i="6" s="1"/>
  <c r="AF20" i="6" s="1"/>
  <c r="X7" i="6"/>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<sst xmlns="http://schemas.openxmlformats.org/spreadsheetml/2006/main" count="277" uniqueCount="205">
  <si>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</si>
  <si>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</si>
  <si>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</si>
  <si>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</si>
  <si>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</si>
  <si>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</si>
  <si>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</si>
  <si>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</si>
  <si>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</si>
  <si>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</si>
  <si>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</si>
  <si>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</si>
  <si>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</si>
  <si>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</si>
  <si>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</si>
  <si>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</si>
  <si>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</si>
  <si>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</si>
  <si>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</si>
  <si>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</si>
  <si>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</si>
  <si>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</si>
  <si>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</si>
  <si>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</si>
  <si>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</si>
  <si>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</si>
  <si>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</si>
  <si>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</si>
  <si>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</si>
  <si>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</si>
  <si>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</si>
  <si>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</si>
  <si>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</si>
  <si>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</si>
  <si>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</si>
  <si>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</si>
  <si>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</si>
  <si>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</si>
  <si>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</si>
  <si>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</si>
  <si>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</si>
  <si>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</si>
  <si>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</si>
  <si>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</si>
  <si>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</si>
  <si>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</si>
  <si>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</si>
  <si>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</si>
  <si>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</si>
  <si>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</si>
  <si>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</si>
  <si>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</si>
  <si>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</si>
  <si>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</si>
  <si>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</si>
  <si>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</si>
  <si>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</si>
  <si>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</si>
  <si>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</si>
  <si>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</si>
  <si>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</si>
  <si>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</si>
  <si>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</si>
  <si>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</si>
  <si>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</si>
  <si>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</si>
  <si>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</si>
  <si>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</si>
  <si>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</si>
  <si>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</si>
  <si>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</si>
  <si>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</si>
  <si>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</si>
  <si>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</si>
  <si>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</si>
  <si>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</si>
  <si>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</si>
  <si>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</si>
  <si>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</si>
  <si>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</si>
  <si>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</si>
  <si>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</si>
  <si>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</si>
  <si>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</si>
  <si>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</si>
  <si>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</si>
  <si>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</si>
  <si>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</si>
  <si>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</si>
  <si>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</si>
  <si>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</si>
  <si>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</si>
  <si>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</si>
  <si>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</si>
  <si>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</si>
  <si>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</si>
  <si>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</si>
  <si>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</si>
  <si>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</si>
  <si>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</si>
  <si>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</si>
  <si>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</si>
  <si>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</si>
  <si>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</si>
  <si>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</si>
  <si>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</si>
  <si>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</si>
  <si>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</si>
  <si>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</si>
  <si>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</si>
  <si>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</si>
  <si>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</si>
  <si>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</si>
  <si>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</si>
  <si>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</si>
  <si>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</si>
  <si>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</si>
  <si>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</si>
  <si>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</si>
  <si>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</si>
  <si>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</si>
  <si>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</si>
  <si>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</si>
  <si>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</si>
  <si>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</si>
  <si>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</si>
  <si>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</si>
  <si>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</si>
  <si>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</si>
  <si>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</si>
  <si>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</si>
  <si>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</si>
  <si>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</si>
  <si>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</si>
  <si>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</si>
  <si>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</si>
  <si>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</si>
  <si>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</si>
  <si>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</si>
  <si>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</si>
  <si>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</si>
  <si>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</si>
  <si>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</si>
  <si>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</si>
  <si>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</si>
  <si>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</si>
  <si>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</si>
  <si>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</si>
  <si>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</si>
  <si>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</si>
  <si>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</si>
  <si>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</si>
  <si>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</si>
  <si>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</si>
  <si>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</si>
  <si>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</si>
  <si>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</si>
  <si>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</si>
  <si>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</si>
  <si>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</si>
  <si>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</si>
  <si>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</si>
  <si>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</si>
  <si>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</si>
  <si>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</si>
  <si>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</si>
  <si>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</si>
  <si>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</si>
  <si>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</si>
  <si>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</si>
  <si>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</si>
  <si>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</si>
  <si>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</si>
  <si>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</si>
  <si>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</si>
  <si>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</si>
  <si>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</si>
  <si>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</si>
  <si>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</si>
  <si>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</si>
  <si>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</si>
  <si>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</si>
  <si>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</si>
  <si>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</si>
  <si>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</si>
  <si>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</si>
  <si>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</si>
  <si>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</si>
  <si>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</si>
  <si>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</si>
  <si>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</si>
  <si>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</si>
  <si>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</si>
  <si>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</si>
  <si>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</si>
  <si>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</si>
  <si>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</si>
  <si>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</si>
  <si>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</si>
  <si>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</si>
  <si>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</si>
  <si>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</si>
  <si>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</si>
  <si>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Ōpōtiki Stand-alone Council</t>
  </si>
  <si>
    <t>Council reported growth investment expenditure, but did not provide new properties connected. In this case, the average growth rate across the councils in New Zealand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</si>
</sst>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xf numFmtId="166" fontId="16" fillId="0" borderId="0" xfId="2" applyNumberFormat="1" applyFont="1" applyFill="1" applyAlignment="1"/>
    <xf numFmtId="9" fontId="16" fillId="0" borderId="0" xfId="3" applyFont="1" applyFill="1" applyAlignment="1"/>
    <xf numFmtId="167" fontId="16" fillId="0" borderId="0" xfId="0" applyNumberFormat="1" applyFont="1" applyAlignment="1"/>
    <xf numFmtId="3" fontId="16" fillId="0" borderId="0" xfId="1" applyNumberFormat="1" applyFont="1" applyFill="1" applyAlignment="1"/>
    <xf numFmtId="0" fontId="16" fillId="0" borderId="0" xfId="0" applyFont="1" applyFill="1" applyAlignment="1"/>
    <xf numFmtId="166" fontId="17" fillId="0" borderId="0" xfId="2" applyNumberFormat="1" applyFont="1" applyFill="1" applyAlignment="1"/>
    <xf numFmtId="1" fontId="17" fillId="0" borderId="0" xfId="2" applyNumberFormat="1" applyFont="1" applyFill="1" applyAlignment="1"/>
    <xf numFmtId="173" fontId="16" fillId="0" borderId="0" xfId="0" applyNumberFormat="1" applyFont="1" applyFill="1" applyAlignment="1"/>
    <xf numFmtId="167" fontId="16" fillId="0" borderId="0" xfId="0" applyNumberFormat="1" applyFont="1" applyFill="1" applyAlignment="1"/>
    <xf numFmtId="0" fontId="17" fillId="0" borderId="0" xfId="0" applyFont="1" applyFill="1" applyAlignment="1"/>
    <xf numFmtId="0" fontId="0" fillId="0" borderId="0" xfId="0" applyAlignment="1"/>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8.83203125" style="63"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203</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4"/>
  <sheetViews>
    <sheetView topLeftCell="A13" zoomScaleNormal="100" workbookViewId="0">
      <selection sqref="A1:XFD1048576"/>
    </sheetView>
  </sheetViews>
  <sheetFormatPr defaultRowHeight="15.5" x14ac:dyDescent="0.35"/>
  <cols>
    <col min="1" max="1" width="107.9140625" style="63" customWidth="1"/>
    <col min="2" max="2" width="18.1640625" style="181" bestFit="1" customWidth="1"/>
    <col min="3" max="3" width="45.08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2"/>
    </row>
    <row r="6" spans="1:3" ht="18.5" x14ac:dyDescent="0.45">
      <c r="A6" s="90"/>
      <c r="B6" s="182"/>
    </row>
    <row r="7" spans="1:3" ht="18.5" x14ac:dyDescent="0.45">
      <c r="A7" s="90" t="s">
        <v>96</v>
      </c>
      <c r="B7" s="183">
        <f>Assumptions!C24</f>
        <v>3165000</v>
      </c>
      <c r="C7" s="180" t="s">
        <v>137</v>
      </c>
    </row>
    <row r="8" spans="1:3" ht="34" x14ac:dyDescent="0.45">
      <c r="A8" s="90" t="s">
        <v>174</v>
      </c>
      <c r="B8" s="184">
        <f>Assumptions!$C$133</f>
        <v>0.7</v>
      </c>
      <c r="C8" s="180" t="s">
        <v>198</v>
      </c>
    </row>
    <row r="9" spans="1:3" ht="18.5" x14ac:dyDescent="0.45">
      <c r="A9" s="90"/>
      <c r="B9" s="185"/>
      <c r="C9" s="180"/>
    </row>
    <row r="10" spans="1:3" ht="85" x14ac:dyDescent="0.45">
      <c r="A10" s="94" t="s">
        <v>102</v>
      </c>
      <c r="B10" s="186">
        <f>Assumptions!C135</f>
        <v>1628.5185185185185</v>
      </c>
      <c r="C10" s="180" t="s">
        <v>199</v>
      </c>
    </row>
    <row r="11" spans="1:3" ht="18.5" x14ac:dyDescent="0.45">
      <c r="A11" s="94"/>
      <c r="B11" s="187"/>
      <c r="C11" s="180"/>
    </row>
    <row r="12" spans="1:3" ht="18.5" x14ac:dyDescent="0.45">
      <c r="A12" s="94" t="s">
        <v>184</v>
      </c>
      <c r="B12" s="183">
        <f>(B7*B8)/B10</f>
        <v>1360.4389356379349</v>
      </c>
      <c r="C12" s="180"/>
    </row>
    <row r="13" spans="1:3" ht="18.5" x14ac:dyDescent="0.45">
      <c r="A13" s="96"/>
      <c r="B13" s="188"/>
      <c r="C13" s="180"/>
    </row>
    <row r="14" spans="1:3" ht="18.5" x14ac:dyDescent="0.45">
      <c r="A14" s="94" t="s">
        <v>103</v>
      </c>
      <c r="B14" s="98">
        <v>1</v>
      </c>
      <c r="C14" s="180"/>
    </row>
    <row r="15" spans="1:3" ht="18.5" x14ac:dyDescent="0.45">
      <c r="A15" s="96"/>
      <c r="B15" s="189"/>
      <c r="C15" s="180"/>
    </row>
    <row r="16" spans="1:3" ht="18.5" x14ac:dyDescent="0.45">
      <c r="A16" s="96" t="s">
        <v>179</v>
      </c>
      <c r="B16" s="190">
        <f>B12/B14</f>
        <v>1360.4389356379349</v>
      </c>
      <c r="C16" s="180"/>
    </row>
    <row r="17" spans="1:3" ht="18.5" x14ac:dyDescent="0.45">
      <c r="A17" s="94"/>
      <c r="B17" s="191"/>
      <c r="C17" s="180"/>
    </row>
    <row r="18" spans="1:3" ht="18.5" x14ac:dyDescent="0.45">
      <c r="A18" s="102" t="s">
        <v>178</v>
      </c>
      <c r="B18" s="191"/>
      <c r="C18" s="180"/>
    </row>
    <row r="19" spans="1:3" ht="18.5" x14ac:dyDescent="0.45">
      <c r="A19" s="94"/>
      <c r="B19" s="191"/>
      <c r="C19" s="180"/>
    </row>
    <row r="20" spans="1:3" ht="34" x14ac:dyDescent="0.45">
      <c r="A20" s="94" t="s">
        <v>65</v>
      </c>
      <c r="B20" s="183">
        <f>'Profit and Loss'!L5</f>
        <v>24917047.854041714</v>
      </c>
      <c r="C20" s="180" t="s">
        <v>200</v>
      </c>
    </row>
    <row r="21" spans="1:3" ht="34" x14ac:dyDescent="0.45">
      <c r="A21" s="94" t="str">
        <f>A8</f>
        <v>Assumed revenue from households</v>
      </c>
      <c r="B21" s="184">
        <f>B8</f>
        <v>0.7</v>
      </c>
      <c r="C21" s="180" t="s">
        <v>198</v>
      </c>
    </row>
    <row r="22" spans="1:3" ht="18.5" x14ac:dyDescent="0.45">
      <c r="A22" s="94"/>
      <c r="B22" s="187"/>
      <c r="C22" s="180"/>
    </row>
    <row r="23" spans="1:3" ht="34" x14ac:dyDescent="0.45">
      <c r="A23" s="94" t="s">
        <v>101</v>
      </c>
      <c r="B23" s="186">
        <f>Assumptions!M135</f>
        <v>1894.5479788722971</v>
      </c>
      <c r="C23" s="180" t="s">
        <v>201</v>
      </c>
    </row>
    <row r="24" spans="1:3" ht="18.5" x14ac:dyDescent="0.45">
      <c r="A24" s="94"/>
      <c r="B24" s="187"/>
      <c r="C24" s="180"/>
    </row>
    <row r="25" spans="1:3" ht="18.5" x14ac:dyDescent="0.45">
      <c r="A25" s="94" t="s">
        <v>183</v>
      </c>
      <c r="B25" s="183">
        <f>(B20*B21)/B23</f>
        <v>9206.3825737531661</v>
      </c>
      <c r="C25" s="180"/>
    </row>
    <row r="26" spans="1:3" ht="18.5" x14ac:dyDescent="0.45">
      <c r="A26" s="94"/>
      <c r="B26" s="183"/>
      <c r="C26" s="180"/>
    </row>
    <row r="27" spans="1:3" ht="34" x14ac:dyDescent="0.45">
      <c r="A27" s="94" t="s">
        <v>103</v>
      </c>
      <c r="B27" s="98">
        <f>1.022^11</f>
        <v>1.2704566586717592</v>
      </c>
      <c r="C27" s="180" t="s">
        <v>202</v>
      </c>
    </row>
    <row r="28" spans="1:3" ht="18.5" x14ac:dyDescent="0.45">
      <c r="A28" s="96"/>
      <c r="B28" s="188"/>
      <c r="C28" s="180"/>
    </row>
    <row r="29" spans="1:3" ht="18.5" x14ac:dyDescent="0.45">
      <c r="A29" s="96" t="s">
        <v>180</v>
      </c>
      <c r="B29" s="183">
        <f>B25/B27</f>
        <v>7246.514480374547</v>
      </c>
      <c r="C29" s="180"/>
    </row>
    <row r="30" spans="1:3" ht="18.5" x14ac:dyDescent="0.45">
      <c r="A30" s="96"/>
      <c r="B30" s="188"/>
      <c r="C30" s="180"/>
    </row>
    <row r="31" spans="1:3" ht="18.5" x14ac:dyDescent="0.45">
      <c r="A31" s="102" t="s">
        <v>186</v>
      </c>
      <c r="B31" s="192"/>
      <c r="C31" s="180"/>
    </row>
    <row r="32" spans="1:3" ht="18.5" x14ac:dyDescent="0.45">
      <c r="A32" s="94"/>
      <c r="B32" s="183"/>
      <c r="C32" s="180"/>
    </row>
    <row r="33" spans="1:3" ht="34" x14ac:dyDescent="0.45">
      <c r="A33" s="94" t="s">
        <v>66</v>
      </c>
      <c r="B33" s="183">
        <f>'Profit and Loss'!AF5</f>
        <v>69679446.563395694</v>
      </c>
      <c r="C33" s="180" t="s">
        <v>200</v>
      </c>
    </row>
    <row r="34" spans="1:3" ht="34" x14ac:dyDescent="0.45">
      <c r="A34" s="94" t="str">
        <f>A21</f>
        <v>Assumed revenue from households</v>
      </c>
      <c r="B34" s="184">
        <f>B21</f>
        <v>0.7</v>
      </c>
      <c r="C34" s="180" t="s">
        <v>198</v>
      </c>
    </row>
    <row r="35" spans="1:3" ht="18.5" x14ac:dyDescent="0.45">
      <c r="A35" s="94"/>
      <c r="B35" s="187"/>
      <c r="C35" s="180"/>
    </row>
    <row r="36" spans="1:3" ht="34" x14ac:dyDescent="0.45">
      <c r="A36" s="94" t="s">
        <v>100</v>
      </c>
      <c r="B36" s="186">
        <f>Assumptions!AG135</f>
        <v>2564.0791162023338</v>
      </c>
      <c r="C36" s="180" t="s">
        <v>201</v>
      </c>
    </row>
    <row r="37" spans="1:3" ht="18.5" x14ac:dyDescent="0.45">
      <c r="A37" s="94"/>
      <c r="B37" s="187"/>
      <c r="C37" s="180"/>
    </row>
    <row r="38" spans="1:3" ht="18.5" x14ac:dyDescent="0.45">
      <c r="A38" s="94" t="s">
        <v>182</v>
      </c>
      <c r="B38" s="183">
        <f>(B33*B34)/B36</f>
        <v>19022.662867992429</v>
      </c>
      <c r="C38" s="180"/>
    </row>
    <row r="39" spans="1:3" ht="18.5" x14ac:dyDescent="0.45">
      <c r="A39" s="94"/>
      <c r="B39" s="187"/>
      <c r="C39" s="180"/>
    </row>
    <row r="40" spans="1:3" ht="34" x14ac:dyDescent="0.45">
      <c r="A40" s="94" t="s">
        <v>103</v>
      </c>
      <c r="B40" s="98">
        <f>1.022^31</f>
        <v>1.9632597808456462</v>
      </c>
      <c r="C40" s="180" t="s">
        <v>202</v>
      </c>
    </row>
    <row r="41" spans="1:3" ht="18.5" x14ac:dyDescent="0.45">
      <c r="A41" s="96"/>
      <c r="B41" s="188"/>
    </row>
    <row r="42" spans="1:3" ht="18.5" x14ac:dyDescent="0.45">
      <c r="A42" s="96" t="s">
        <v>181</v>
      </c>
      <c r="B42" s="183">
        <f>B38/B40</f>
        <v>9689.3254033853264</v>
      </c>
    </row>
    <row r="43" spans="1:3" x14ac:dyDescent="0.35">
      <c r="B43" s="193"/>
    </row>
    <row r="44" spans="1:3" x14ac:dyDescent="0.35">
      <c r="B44" s="19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4" t="s">
        <v>27</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204</v>
      </c>
      <c r="C13" s="127">
        <v>1.5246008397444832E-2</v>
      </c>
      <c r="D13" s="128">
        <f t="shared" ref="D13:AG13" si="3">(1+$C$13)^D8</f>
        <v>1.0152460083974448</v>
      </c>
      <c r="E13" s="128">
        <f t="shared" si="3"/>
        <v>1.0307244575669445</v>
      </c>
      <c r="F13" s="128">
        <f t="shared" si="3"/>
        <v>1.046438891302462</v>
      </c>
      <c r="G13" s="128">
        <f t="shared" si="3"/>
        <v>1.062392907426672</v>
      </c>
      <c r="H13" s="128">
        <f t="shared" si="3"/>
        <v>1.0785901586146849</v>
      </c>
      <c r="I13" s="128">
        <f t="shared" si="3"/>
        <v>1.0950343532303257</v>
      </c>
      <c r="J13" s="128">
        <f t="shared" si="3"/>
        <v>1.1117292561751659</v>
      </c>
      <c r="K13" s="128">
        <f t="shared" si="3"/>
        <v>1.1286786897504972</v>
      </c>
      <c r="L13" s="128">
        <f t="shared" si="3"/>
        <v>1.1458865345324503</v>
      </c>
      <c r="M13" s="128">
        <f t="shared" si="3"/>
        <v>1.1633567302604508</v>
      </c>
      <c r="N13" s="128">
        <f t="shared" si="3"/>
        <v>1.1810932767392259</v>
      </c>
      <c r="O13" s="128">
        <f t="shared" si="3"/>
        <v>1.1991002347545574</v>
      </c>
      <c r="P13" s="128">
        <f t="shared" si="3"/>
        <v>1.2173817270030036</v>
      </c>
      <c r="Q13" s="128">
        <f t="shared" si="3"/>
        <v>1.2359419390357873</v>
      </c>
      <c r="R13" s="128">
        <f t="shared" si="3"/>
        <v>1.2547851202170812</v>
      </c>
      <c r="S13" s="128">
        <f t="shared" si="3"/>
        <v>1.2739155846968993</v>
      </c>
      <c r="T13" s="128">
        <f t="shared" si="3"/>
        <v>1.2933377123988241</v>
      </c>
      <c r="U13" s="128">
        <f t="shared" si="3"/>
        <v>1.3130559500227885</v>
      </c>
      <c r="V13" s="128">
        <f t="shared" si="3"/>
        <v>1.3330748120631508</v>
      </c>
      <c r="W13" s="128">
        <f t="shared" si="3"/>
        <v>1.3533988818422877</v>
      </c>
      <c r="X13" s="128">
        <f t="shared" si="3"/>
        <v>1.3740328125599477</v>
      </c>
      <c r="Y13" s="128">
        <f t="shared" si="3"/>
        <v>1.3949813283586012</v>
      </c>
      <c r="Z13" s="128">
        <f t="shared" si="3"/>
        <v>1.4162492254050354</v>
      </c>
      <c r="AA13" s="128">
        <f t="shared" si="3"/>
        <v>1.4378413729884347</v>
      </c>
      <c r="AB13" s="128">
        <f t="shared" si="3"/>
        <v>1.4597627146352099</v>
      </c>
      <c r="AC13" s="128">
        <f t="shared" si="3"/>
        <v>1.482018269240815</v>
      </c>
      <c r="AD13" s="128">
        <f t="shared" si="3"/>
        <v>1.5046131322188276</v>
      </c>
      <c r="AE13" s="128">
        <f t="shared" si="3"/>
        <v>1.5275524766675412</v>
      </c>
      <c r="AF13" s="128">
        <f t="shared" si="3"/>
        <v>1.5508415545543524</v>
      </c>
      <c r="AG13" s="128">
        <f t="shared" si="3"/>
        <v>1.5744856979181945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39329170.834999993</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19664585.417499997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138</v>
      </c>
      <c r="C20" s="137">
        <v>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3165000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3313855.0300000003</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37456353.899999991</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41201987.770000003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110628.98595267032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172107.45337798554</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141368.21966532792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301543.73603040213</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441355.60767333442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371449.67185186828</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543557.12522985379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79" t="s">
        <v>176</v>
      </c>
      <c r="C77" s="87">
        <v>36900360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596296832.37587368</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678543352.20890737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633197192.37587368</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715443712.20890737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5153</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3641</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4397</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144006.63915757873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162711.78353625367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307790000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307790000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307790000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307790000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10259666.666666666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543557.12522985379</v>
      </c>
      <c r="E111" s="149">
        <f t="shared" si="9"/>
        <v>543557.12522985379</v>
      </c>
      <c r="F111" s="149">
        <f t="shared" si="9"/>
        <v>543557.12522985379</v>
      </c>
      <c r="G111" s="149">
        <f t="shared" si="9"/>
        <v>543557.12522985379</v>
      </c>
      <c r="H111" s="149">
        <f t="shared" si="9"/>
        <v>543557.12522985379</v>
      </c>
      <c r="I111" s="149">
        <f t="shared" si="9"/>
        <v>543557.12522985379</v>
      </c>
      <c r="J111" s="149">
        <f t="shared" si="9"/>
        <v>543557.12522985379</v>
      </c>
      <c r="K111" s="149">
        <f t="shared" si="9"/>
        <v>543557.12522985379</v>
      </c>
      <c r="L111" s="149">
        <f t="shared" si="9"/>
        <v>543557.12522985379</v>
      </c>
      <c r="M111" s="149">
        <f t="shared" si="9"/>
        <v>543557.12522985379</v>
      </c>
      <c r="N111" s="149">
        <f t="shared" si="9"/>
        <v>543557.12522985379</v>
      </c>
      <c r="O111" s="149">
        <f t="shared" si="9"/>
        <v>543557.12522985379</v>
      </c>
      <c r="P111" s="149">
        <f t="shared" si="9"/>
        <v>543557.12522985379</v>
      </c>
      <c r="Q111" s="149">
        <f t="shared" si="9"/>
        <v>543557.12522985379</v>
      </c>
      <c r="R111" s="149">
        <f t="shared" si="9"/>
        <v>543557.12522985379</v>
      </c>
      <c r="S111" s="149">
        <f t="shared" si="9"/>
        <v>543557.12522985379</v>
      </c>
      <c r="T111" s="149">
        <f t="shared" si="9"/>
        <v>543557.12522985379</v>
      </c>
      <c r="U111" s="149">
        <f t="shared" si="9"/>
        <v>543557.12522985379</v>
      </c>
      <c r="V111" s="149">
        <f t="shared" si="9"/>
        <v>543557.12522985379</v>
      </c>
      <c r="W111" s="149">
        <f t="shared" si="9"/>
        <v>543557.12522985379</v>
      </c>
      <c r="X111" s="149">
        <f t="shared" si="9"/>
        <v>543557.12522985379</v>
      </c>
      <c r="Y111" s="149">
        <f t="shared" si="9"/>
        <v>543557.12522985379</v>
      </c>
      <c r="Z111" s="149">
        <f t="shared" si="9"/>
        <v>543557.12522985379</v>
      </c>
      <c r="AA111" s="149">
        <f t="shared" si="9"/>
        <v>543557.12522985379</v>
      </c>
      <c r="AB111" s="149">
        <f t="shared" si="9"/>
        <v>543557.12522985379</v>
      </c>
      <c r="AC111" s="149">
        <f t="shared" si="9"/>
        <v>543557.12522985379</v>
      </c>
      <c r="AD111" s="149">
        <f t="shared" si="9"/>
        <v>543557.12522985379</v>
      </c>
      <c r="AE111" s="149">
        <f t="shared" si="9"/>
        <v>543557.12522985379</v>
      </c>
      <c r="AF111" s="149">
        <f t="shared" si="9"/>
        <v>543557.12522985379</v>
      </c>
      <c r="AG111" s="149">
        <f t="shared" si="9"/>
        <v>543557.12522985379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307789999.99999994</v>
      </c>
      <c r="D113" s="149">
        <f t="shared" ref="D113:AG113" si="10">$C$102</f>
        <v>10259666.666666666</v>
      </c>
      <c r="E113" s="149">
        <f t="shared" si="10"/>
        <v>10259666.666666666</v>
      </c>
      <c r="F113" s="149">
        <f t="shared" si="10"/>
        <v>10259666.666666666</v>
      </c>
      <c r="G113" s="149">
        <f t="shared" si="10"/>
        <v>10259666.666666666</v>
      </c>
      <c r="H113" s="149">
        <f t="shared" si="10"/>
        <v>10259666.666666666</v>
      </c>
      <c r="I113" s="149">
        <f t="shared" si="10"/>
        <v>10259666.666666666</v>
      </c>
      <c r="J113" s="149">
        <f t="shared" si="10"/>
        <v>10259666.666666666</v>
      </c>
      <c r="K113" s="149">
        <f t="shared" si="10"/>
        <v>10259666.666666666</v>
      </c>
      <c r="L113" s="149">
        <f t="shared" si="10"/>
        <v>10259666.666666666</v>
      </c>
      <c r="M113" s="149">
        <f t="shared" si="10"/>
        <v>10259666.666666666</v>
      </c>
      <c r="N113" s="149">
        <f t="shared" si="10"/>
        <v>10259666.666666666</v>
      </c>
      <c r="O113" s="149">
        <f t="shared" si="10"/>
        <v>10259666.666666666</v>
      </c>
      <c r="P113" s="149">
        <f t="shared" si="10"/>
        <v>10259666.666666666</v>
      </c>
      <c r="Q113" s="149">
        <f t="shared" si="10"/>
        <v>10259666.666666666</v>
      </c>
      <c r="R113" s="149">
        <f t="shared" si="10"/>
        <v>10259666.666666666</v>
      </c>
      <c r="S113" s="149">
        <f t="shared" si="10"/>
        <v>10259666.666666666</v>
      </c>
      <c r="T113" s="149">
        <f t="shared" si="10"/>
        <v>10259666.666666666</v>
      </c>
      <c r="U113" s="149">
        <f t="shared" si="10"/>
        <v>10259666.666666666</v>
      </c>
      <c r="V113" s="149">
        <f t="shared" si="10"/>
        <v>10259666.666666666</v>
      </c>
      <c r="W113" s="149">
        <f t="shared" si="10"/>
        <v>10259666.666666666</v>
      </c>
      <c r="X113" s="149">
        <f t="shared" si="10"/>
        <v>10259666.666666666</v>
      </c>
      <c r="Y113" s="149">
        <f t="shared" si="10"/>
        <v>10259666.666666666</v>
      </c>
      <c r="Z113" s="149">
        <f t="shared" si="10"/>
        <v>10259666.666666666</v>
      </c>
      <c r="AA113" s="149">
        <f t="shared" si="10"/>
        <v>10259666.666666666</v>
      </c>
      <c r="AB113" s="149">
        <f t="shared" si="10"/>
        <v>10259666.666666666</v>
      </c>
      <c r="AC113" s="149">
        <f t="shared" si="10"/>
        <v>10259666.666666666</v>
      </c>
      <c r="AD113" s="149">
        <f t="shared" si="10"/>
        <v>10259666.666666666</v>
      </c>
      <c r="AE113" s="149">
        <f t="shared" si="10"/>
        <v>10259666.666666666</v>
      </c>
      <c r="AF113" s="149">
        <f t="shared" si="10"/>
        <v>10259666.666666666</v>
      </c>
      <c r="AG113" s="149">
        <f t="shared" si="10"/>
        <v>10259666.666666666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10259666.666666666</v>
      </c>
      <c r="E118" s="149">
        <f t="shared" ref="E118:AG118" si="13">E113+E115+E116</f>
        <v>10259666.666666666</v>
      </c>
      <c r="F118" s="149">
        <f>F113+F115+F116</f>
        <v>10259666.666666666</v>
      </c>
      <c r="G118" s="149">
        <f t="shared" si="13"/>
        <v>10259666.666666666</v>
      </c>
      <c r="H118" s="149">
        <f t="shared" si="13"/>
        <v>10259666.666666666</v>
      </c>
      <c r="I118" s="149">
        <f t="shared" si="13"/>
        <v>10259666.666666666</v>
      </c>
      <c r="J118" s="149">
        <f t="shared" si="13"/>
        <v>10259666.666666666</v>
      </c>
      <c r="K118" s="149">
        <f t="shared" si="13"/>
        <v>10259666.666666666</v>
      </c>
      <c r="L118" s="149">
        <f t="shared" si="13"/>
        <v>10259666.666666666</v>
      </c>
      <c r="M118" s="149">
        <f t="shared" si="13"/>
        <v>10259666.666666666</v>
      </c>
      <c r="N118" s="149">
        <f t="shared" si="13"/>
        <v>10259666.666666666</v>
      </c>
      <c r="O118" s="149">
        <f t="shared" si="13"/>
        <v>10259666.666666666</v>
      </c>
      <c r="P118" s="149">
        <f t="shared" si="13"/>
        <v>10259666.666666666</v>
      </c>
      <c r="Q118" s="149">
        <f t="shared" si="13"/>
        <v>10259666.666666666</v>
      </c>
      <c r="R118" s="149">
        <f t="shared" si="13"/>
        <v>10259666.666666666</v>
      </c>
      <c r="S118" s="149">
        <f t="shared" si="13"/>
        <v>10259666.666666666</v>
      </c>
      <c r="T118" s="149">
        <f t="shared" si="13"/>
        <v>10259666.666666666</v>
      </c>
      <c r="U118" s="149">
        <f t="shared" si="13"/>
        <v>10259666.666666666</v>
      </c>
      <c r="V118" s="149">
        <f t="shared" si="13"/>
        <v>10259666.666666666</v>
      </c>
      <c r="W118" s="149">
        <f t="shared" si="13"/>
        <v>10259666.666666666</v>
      </c>
      <c r="X118" s="149">
        <f t="shared" si="13"/>
        <v>10259666.666666666</v>
      </c>
      <c r="Y118" s="149">
        <f t="shared" si="13"/>
        <v>10259666.666666666</v>
      </c>
      <c r="Z118" s="149">
        <f t="shared" si="13"/>
        <v>10259666.666666666</v>
      </c>
      <c r="AA118" s="149">
        <f t="shared" si="13"/>
        <v>10259666.666666666</v>
      </c>
      <c r="AB118" s="149">
        <f t="shared" si="13"/>
        <v>10259666.666666666</v>
      </c>
      <c r="AC118" s="149">
        <f t="shared" si="13"/>
        <v>10259666.666666666</v>
      </c>
      <c r="AD118" s="149">
        <f t="shared" si="13"/>
        <v>10259666.666666666</v>
      </c>
      <c r="AE118" s="149">
        <f t="shared" si="13"/>
        <v>10259666.666666666</v>
      </c>
      <c r="AF118" s="149">
        <f t="shared" si="13"/>
        <v>10259666.666666666</v>
      </c>
      <c r="AG118" s="149">
        <f t="shared" si="13"/>
        <v>10259666.666666666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246231.99999999997</v>
      </c>
      <c r="E120" s="149">
        <f>(SUM($D$118:E118)*$C$104/$C$106)+(SUM($D$118:E118)*$C$105/$C$107)</f>
        <v>492463.99999999994</v>
      </c>
      <c r="F120" s="149">
        <f>(SUM($D$118:F118)*$C$104/$C$106)+(SUM($D$118:F118)*$C$105/$C$107)</f>
        <v>738696</v>
      </c>
      <c r="G120" s="149">
        <f>(SUM($D$118:G118)*$C$104/$C$106)+(SUM($D$118:G118)*$C$105/$C$107)</f>
        <v>984927.99999999988</v>
      </c>
      <c r="H120" s="149">
        <f>(SUM($D$118:H118)*$C$104/$C$106)+(SUM($D$118:H118)*$C$105/$C$107)</f>
        <v>1231159.9999999998</v>
      </c>
      <c r="I120" s="149">
        <f>(SUM($D$118:I118)*$C$104/$C$106)+(SUM($D$118:I118)*$C$105/$C$107)</f>
        <v>1477391.9999999998</v>
      </c>
      <c r="J120" s="149">
        <f>(SUM($D$118:J118)*$C$104/$C$106)+(SUM($D$118:J118)*$C$105/$C$107)</f>
        <v>1723623.9999999995</v>
      </c>
      <c r="K120" s="149">
        <f>(SUM($D$118:K118)*$C$104/$C$106)+(SUM($D$118:K118)*$C$105/$C$107)</f>
        <v>1969855.9999999998</v>
      </c>
      <c r="L120" s="149">
        <f>(SUM($D$118:L118)*$C$104/$C$106)+(SUM($D$118:L118)*$C$105/$C$107)</f>
        <v>2216088</v>
      </c>
      <c r="M120" s="149">
        <f>(SUM($D$118:M118)*$C$104/$C$106)+(SUM($D$118:M118)*$C$105/$C$107)</f>
        <v>2462320</v>
      </c>
      <c r="N120" s="149">
        <f>(SUM($D$118:N118)*$C$104/$C$106)+(SUM($D$118:N118)*$C$105/$C$107)</f>
        <v>2708552</v>
      </c>
      <c r="O120" s="149">
        <f>(SUM($D$118:O118)*$C$104/$C$106)+(SUM($D$118:O118)*$C$105/$C$107)</f>
        <v>2954784</v>
      </c>
      <c r="P120" s="149">
        <f>(SUM($D$118:P118)*$C$104/$C$106)+(SUM($D$118:P118)*$C$105/$C$107)</f>
        <v>3201016.0000000009</v>
      </c>
      <c r="Q120" s="149">
        <f>(SUM($D$118:Q118)*$C$104/$C$106)+(SUM($D$118:Q118)*$C$105/$C$107)</f>
        <v>3447248</v>
      </c>
      <c r="R120" s="149">
        <f>(SUM($D$118:R118)*$C$104/$C$106)+(SUM($D$118:R118)*$C$105/$C$107)</f>
        <v>3693480</v>
      </c>
      <c r="S120" s="149">
        <f>(SUM($D$118:S118)*$C$104/$C$106)+(SUM($D$118:S118)*$C$105/$C$107)</f>
        <v>3939711.9999999995</v>
      </c>
      <c r="T120" s="149">
        <f>(SUM($D$118:T118)*$C$104/$C$106)+(SUM($D$118:T118)*$C$105/$C$107)</f>
        <v>4185943.9999999991</v>
      </c>
      <c r="U120" s="149">
        <f>(SUM($D$118:U118)*$C$104/$C$106)+(SUM($D$118:U118)*$C$105/$C$107)</f>
        <v>4432175.9999999991</v>
      </c>
      <c r="V120" s="149">
        <f>(SUM($D$118:V118)*$C$104/$C$106)+(SUM($D$118:V118)*$C$105/$C$107)</f>
        <v>4678407.9999999991</v>
      </c>
      <c r="W120" s="149">
        <f>(SUM($D$118:W118)*$C$104/$C$106)+(SUM($D$118:W118)*$C$105/$C$107)</f>
        <v>4924639.9999999991</v>
      </c>
      <c r="X120" s="149">
        <f>(SUM($D$118:X118)*$C$104/$C$106)+(SUM($D$118:X118)*$C$105/$C$107)</f>
        <v>5170871.9999999981</v>
      </c>
      <c r="Y120" s="149">
        <f>(SUM($D$118:Y118)*$C$104/$C$106)+(SUM($D$118:Y118)*$C$105/$C$107)</f>
        <v>5417103.9999999972</v>
      </c>
      <c r="Z120" s="149">
        <f>(SUM($D$118:Z118)*$C$104/$C$106)+(SUM($D$118:Z118)*$C$105/$C$107)</f>
        <v>5663335.9999999981</v>
      </c>
      <c r="AA120" s="149">
        <f>(SUM($D$118:AA118)*$C$104/$C$106)+(SUM($D$118:AA118)*$C$105/$C$107)</f>
        <v>5909567.9999999981</v>
      </c>
      <c r="AB120" s="149">
        <f>(SUM($D$118:AB118)*$C$104/$C$106)+(SUM($D$118:AB118)*$C$105/$C$107)</f>
        <v>6155799.9999999972</v>
      </c>
      <c r="AC120" s="149">
        <f>(SUM($D$118:AC118)*$C$104/$C$106)+(SUM($D$118:AC118)*$C$105/$C$107)</f>
        <v>6402031.9999999981</v>
      </c>
      <c r="AD120" s="149">
        <f>(SUM($D$118:AD118)*$C$104/$C$106)+(SUM($D$118:AD118)*$C$105/$C$107)</f>
        <v>6648263.9999999963</v>
      </c>
      <c r="AE120" s="149">
        <f>(SUM($D$118:AE118)*$C$104/$C$106)+(SUM($D$118:AE118)*$C$105/$C$107)</f>
        <v>6894495.9999999972</v>
      </c>
      <c r="AF120" s="149">
        <f>(SUM($D$118:AF118)*$C$104/$C$106)+(SUM($D$118:AF118)*$C$105/$C$107)</f>
        <v>7140727.9999999981</v>
      </c>
      <c r="AG120" s="149">
        <f>(SUM($D$118:AG118)*$C$104/$C$106)+(SUM($D$118:AG118)*$C$105/$C$107)</f>
        <v>7386959.9999999991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307789.99999999994</v>
      </c>
      <c r="E122" s="72">
        <f>(SUM($D$118:E118)*$C$109)</f>
        <v>615579.99999999988</v>
      </c>
      <c r="F122" s="72">
        <f>(SUM($D$118:F118)*$C$109)</f>
        <v>923370</v>
      </c>
      <c r="G122" s="72">
        <f>(SUM($D$118:G118)*$C$109)</f>
        <v>1231159.9999999998</v>
      </c>
      <c r="H122" s="72">
        <f>(SUM($D$118:H118)*$C$109)</f>
        <v>1538949.9999999998</v>
      </c>
      <c r="I122" s="72">
        <f>(SUM($D$118:I118)*$C$109)</f>
        <v>1846739.9999999998</v>
      </c>
      <c r="J122" s="72">
        <f>(SUM($D$118:J118)*$C$109)</f>
        <v>2154529.9999999995</v>
      </c>
      <c r="K122" s="72">
        <f>(SUM($D$118:K118)*$C$109)</f>
        <v>2462319.9999999995</v>
      </c>
      <c r="L122" s="72">
        <f>(SUM($D$118:L118)*$C$109)</f>
        <v>2770110</v>
      </c>
      <c r="M122" s="72">
        <f>(SUM($D$118:M118)*$C$109)</f>
        <v>3077900</v>
      </c>
      <c r="N122" s="72">
        <f>(SUM($D$118:N118)*$C$109)</f>
        <v>3385690</v>
      </c>
      <c r="O122" s="72">
        <f>(SUM($D$118:O118)*$C$109)</f>
        <v>3693480.0000000005</v>
      </c>
      <c r="P122" s="72">
        <f>(SUM($D$118:P118)*$C$109)</f>
        <v>4001270.0000000005</v>
      </c>
      <c r="Q122" s="72">
        <f>(SUM($D$118:Q118)*$C$109)</f>
        <v>4309060</v>
      </c>
      <c r="R122" s="72">
        <f>(SUM($D$118:R118)*$C$109)</f>
        <v>4616850</v>
      </c>
      <c r="S122" s="72">
        <f>(SUM($D$118:S118)*$C$109)</f>
        <v>4924639.9999999991</v>
      </c>
      <c r="T122" s="72">
        <f>(SUM($D$118:T118)*$C$109)</f>
        <v>5232429.9999999991</v>
      </c>
      <c r="U122" s="72">
        <f>(SUM($D$118:U118)*$C$109)</f>
        <v>5540219.9999999991</v>
      </c>
      <c r="V122" s="72">
        <f>(SUM($D$118:V118)*$C$109)</f>
        <v>5848009.9999999981</v>
      </c>
      <c r="W122" s="72">
        <f>(SUM($D$118:W118)*$C$109)</f>
        <v>6155799.9999999981</v>
      </c>
      <c r="X122" s="72">
        <f>(SUM($D$118:X118)*$C$109)</f>
        <v>6463589.9999999981</v>
      </c>
      <c r="Y122" s="72">
        <f>(SUM($D$118:Y118)*$C$109)</f>
        <v>6771379.9999999972</v>
      </c>
      <c r="Z122" s="72">
        <f>(SUM($D$118:Z118)*$C$109)</f>
        <v>7079169.9999999972</v>
      </c>
      <c r="AA122" s="72">
        <f>(SUM($D$118:AA118)*$C$109)</f>
        <v>7386959.9999999972</v>
      </c>
      <c r="AB122" s="72">
        <f>(SUM($D$118:AB118)*$C$109)</f>
        <v>7694749.9999999963</v>
      </c>
      <c r="AC122" s="72">
        <f>(SUM($D$118:AC118)*$C$109)</f>
        <v>8002539.9999999963</v>
      </c>
      <c r="AD122" s="72">
        <f>(SUM($D$118:AD118)*$C$109)</f>
        <v>8310329.9999999963</v>
      </c>
      <c r="AE122" s="72">
        <f>(SUM($D$118:AE118)*$C$109)</f>
        <v>8618119.9999999963</v>
      </c>
      <c r="AF122" s="72">
        <f>(SUM($D$118:AF118)*$C$109)</f>
        <v>8925909.9999999981</v>
      </c>
      <c r="AG122" s="72">
        <f>(SUM($D$118:AG118)*$C$109)</f>
        <v>9233699.9999999981</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133</v>
      </c>
      <c r="C126" s="126">
        <v>5153</v>
      </c>
      <c r="D126" s="140"/>
    </row>
    <row r="127" spans="1:33" x14ac:dyDescent="0.35">
      <c r="A127" s="77" t="s">
        <v>151</v>
      </c>
      <c r="B127" s="77" t="s">
        <v>134</v>
      </c>
      <c r="C127" s="126">
        <v>3641</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4397</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1628.5185185185185</v>
      </c>
      <c r="D135" s="157">
        <f t="shared" ref="D135:AG135" si="14">$C$135*D13</f>
        <v>1653.3469255272462</v>
      </c>
      <c r="E135" s="157">
        <f t="shared" si="14"/>
        <v>1678.553866637724</v>
      </c>
      <c r="F135" s="157">
        <f t="shared" si="14"/>
        <v>1704.1451129840464</v>
      </c>
      <c r="G135" s="157">
        <f t="shared" si="14"/>
        <v>1730.1265236870654</v>
      </c>
      <c r="H135" s="157">
        <f t="shared" si="14"/>
        <v>1756.5040471958405</v>
      </c>
      <c r="I135" s="157">
        <f t="shared" si="14"/>
        <v>1783.2837226495342</v>
      </c>
      <c r="J135" s="157">
        <f t="shared" si="14"/>
        <v>1810.4716812600757</v>
      </c>
      <c r="K135" s="157">
        <f t="shared" si="14"/>
        <v>1838.0741477159022</v>
      </c>
      <c r="L135" s="157">
        <f t="shared" si="14"/>
        <v>1866.0974416071051</v>
      </c>
      <c r="M135" s="157">
        <f t="shared" si="14"/>
        <v>1894.5479788722971</v>
      </c>
      <c r="N135" s="157">
        <f t="shared" si="14"/>
        <v>1923.4322732675469</v>
      </c>
      <c r="O135" s="157">
        <f t="shared" si="14"/>
        <v>1952.7569378576995</v>
      </c>
      <c r="P135" s="157">
        <f t="shared" si="14"/>
        <v>1982.528686530447</v>
      </c>
      <c r="Q135" s="157">
        <f t="shared" si="14"/>
        <v>2012.7543355334653</v>
      </c>
      <c r="R135" s="157">
        <f t="shared" si="14"/>
        <v>2043.4408050350023</v>
      </c>
      <c r="S135" s="157">
        <f t="shared" si="14"/>
        <v>2074.5951207082467</v>
      </c>
      <c r="T135" s="157">
        <f t="shared" si="14"/>
        <v>2106.2244153398628</v>
      </c>
      <c r="U135" s="157">
        <f t="shared" si="14"/>
        <v>2138.3359304630376</v>
      </c>
      <c r="V135" s="157">
        <f t="shared" si="14"/>
        <v>2170.9370180154347</v>
      </c>
      <c r="W135" s="157">
        <f t="shared" si="14"/>
        <v>2204.035142022422</v>
      </c>
      <c r="X135" s="157">
        <f t="shared" si="14"/>
        <v>2237.6378803059592</v>
      </c>
      <c r="Y135" s="157">
        <f t="shared" si="14"/>
        <v>2271.7529262195444</v>
      </c>
      <c r="Z135" s="157">
        <f t="shared" si="14"/>
        <v>2306.3880904096077</v>
      </c>
      <c r="AA135" s="157">
        <f t="shared" si="14"/>
        <v>2341.5513026037584</v>
      </c>
      <c r="AB135" s="157">
        <f t="shared" si="14"/>
        <v>2377.2506134263031</v>
      </c>
      <c r="AC135" s="157">
        <f t="shared" si="14"/>
        <v>2413.4941962414309</v>
      </c>
      <c r="AD135" s="157">
        <f t="shared" si="14"/>
        <v>2450.290349024513</v>
      </c>
      <c r="AE135" s="157">
        <f t="shared" si="14"/>
        <v>2487.6474962619181</v>
      </c>
      <c r="AF135" s="157">
        <f t="shared" si="14"/>
        <v>2525.57419087981</v>
      </c>
      <c r="AG135" s="157">
        <f t="shared" si="14"/>
        <v>2564.0791162023338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v>
      </c>
      <c r="F4" s="65">
        <v>0.4</v>
      </c>
      <c r="G4" s="65">
        <v>0.3</v>
      </c>
      <c r="H4" s="65">
        <v>0.25</v>
      </c>
      <c r="I4" s="65">
        <v>0.2</v>
      </c>
      <c r="J4" s="65">
        <v>0.15</v>
      </c>
      <c r="K4" s="65">
        <v>0.1</v>
      </c>
      <c r="L4" s="65">
        <v>0.08</v>
      </c>
      <c r="M4" s="65">
        <v>0.08</v>
      </c>
      <c r="N4" s="65">
        <v>0.05</v>
      </c>
      <c r="O4" s="65">
        <v>0.05</v>
      </c>
      <c r="P4" s="65">
        <v>0.05</v>
      </c>
      <c r="Q4" s="65">
        <v>0.05</v>
      </c>
      <c r="R4" s="65">
        <v>0.05</v>
      </c>
      <c r="S4" s="65">
        <v>0.04</v>
      </c>
      <c r="T4" s="65">
        <v>0.04</v>
      </c>
      <c r="U4" s="65">
        <v>0.04</v>
      </c>
      <c r="V4" s="65">
        <v>0.04</v>
      </c>
      <c r="W4" s="65">
        <v>0.04</v>
      </c>
      <c r="X4" s="65">
        <v>0.04</v>
      </c>
      <c r="Y4" s="65">
        <v>0.04</v>
      </c>
      <c r="Z4" s="65">
        <v>0.04</v>
      </c>
      <c r="AA4" s="65">
        <v>0.04</v>
      </c>
      <c r="AB4" s="65">
        <v>0.04</v>
      </c>
      <c r="AC4" s="65">
        <v>0.03</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2.4904296824237977</v>
      </c>
      <c r="C6" s="25"/>
      <c r="D6" s="25"/>
      <c r="E6" s="27">
        <f>'Debt worksheet'!C5/'Profit and Loss'!C5</f>
        <v>0</v>
      </c>
      <c r="F6" s="28">
        <f ca="1">'Debt worksheet'!D5/'Profit and Loss'!D5</f>
        <v>1.4202020964657667</v>
      </c>
      <c r="G6" s="28">
        <f ca="1">'Debt worksheet'!E5/'Profit and Loss'!E5</f>
        <v>2.0749440493112736</v>
      </c>
      <c r="H6" s="28">
        <f ca="1">'Debt worksheet'!F5/'Profit and Loss'!F5</f>
        <v>2.3486880180029051</v>
      </c>
      <c r="I6" s="28">
        <f ca="1">'Debt worksheet'!G5/'Profit and Loss'!G5</f>
        <v>2.4366755483399642</v>
      </c>
      <c r="J6" s="28">
        <f ca="1">'Debt worksheet'!H5/'Profit and Loss'!H5</f>
        <v>2.4530173185574515</v>
      </c>
      <c r="K6" s="28">
        <f ca="1">'Debt worksheet'!I5/'Profit and Loss'!I5</f>
        <v>2.4715532611380007</v>
      </c>
      <c r="L6" s="28">
        <f ca="1">'Debt worksheet'!J5/'Profit and Loss'!J5</f>
        <v>2.4804427434073095</v>
      </c>
      <c r="M6" s="28">
        <f ca="1">'Debt worksheet'!K5/'Profit and Loss'!K5</f>
        <v>2.4550121961696787</v>
      </c>
      <c r="N6" s="28">
        <f ca="1">'Debt worksheet'!L5/'Profit and Loss'!L5</f>
        <v>2.4655645215760629</v>
      </c>
      <c r="O6" s="28">
        <f ca="1">'Debt worksheet'!M5/'Profit and Loss'!M5</f>
        <v>2.4700698952530424</v>
      </c>
      <c r="P6" s="28">
        <f ca="1">'Debt worksheet'!N5/'Profit and Loss'!N5</f>
        <v>2.4677317726459189</v>
      </c>
      <c r="Q6" s="28">
        <f ca="1">'Debt worksheet'!O5/'Profit and Loss'!O5</f>
        <v>2.4578554983480903</v>
      </c>
      <c r="R6" s="28">
        <f ca="1">'Debt worksheet'!P5/'Profit and Loss'!P5</f>
        <v>2.4398408018549924</v>
      </c>
      <c r="S6" s="28">
        <f ca="1">'Debt worksheet'!Q5/'Profit and Loss'!Q5</f>
        <v>2.436378347795896</v>
      </c>
      <c r="T6" s="28">
        <f ca="1">'Debt worksheet'!R5/'Profit and Loss'!R5</f>
        <v>2.4328016292488286</v>
      </c>
      <c r="U6" s="28">
        <f ca="1">'Debt worksheet'!S5/'Profit and Loss'!S5</f>
        <v>2.4283857694142679</v>
      </c>
      <c r="V6" s="28">
        <f ca="1">'Debt worksheet'!T5/'Profit and Loss'!T5</f>
        <v>2.4224602764787604</v>
      </c>
      <c r="W6" s="28">
        <f ca="1">'Debt worksheet'!U5/'Profit and Loss'!U5</f>
        <v>2.4144062629262306</v>
      </c>
      <c r="X6" s="28">
        <f ca="1">'Debt worksheet'!V5/'Profit and Loss'!V5</f>
        <v>2.4036537861524132</v>
      </c>
      <c r="Y6" s="28">
        <f ca="1">'Debt worksheet'!W5/'Profit and Loss'!W5</f>
        <v>2.389679305510962</v>
      </c>
      <c r="Z6" s="28">
        <f ca="1">'Debt worksheet'!X5/'Profit and Loss'!X5</f>
        <v>2.3720032511062321</v>
      </c>
      <c r="AA6" s="28">
        <f ca="1">'Debt worksheet'!Y5/'Profit and Loss'!Y5</f>
        <v>2.3501876998272118</v>
      </c>
      <c r="AB6" s="28">
        <f ca="1">'Debt worksheet'!Z5/'Profit and Loss'!Z5</f>
        <v>2.3238341542899512</v>
      </c>
      <c r="AC6" s="28">
        <f ca="1">'Debt worksheet'!AA5/'Profit and Loss'!AA5</f>
        <v>2.3148394925661178</v>
      </c>
      <c r="AD6" s="28">
        <f ca="1">'Debt worksheet'!AB5/'Profit and Loss'!AB5</f>
        <v>2.3278254228912894</v>
      </c>
      <c r="AE6" s="28">
        <f ca="1">'Debt worksheet'!AC5/'Profit and Loss'!AC5</f>
        <v>2.3521887005090436</v>
      </c>
      <c r="AF6" s="28">
        <f ca="1">'Debt worksheet'!AD5/'Profit and Loss'!AD5</f>
        <v>2.3876148341247481</v>
      </c>
      <c r="AG6" s="28">
        <f ca="1">'Debt worksheet'!AE5/'Profit and Loss'!AE5</f>
        <v>2.4337957528338894</v>
      </c>
      <c r="AH6" s="28">
        <f ca="1">'Debt worksheet'!AF5/'Profit and Loss'!AF5</f>
        <v>2.4904296824237977</v>
      </c>
      <c r="AI6" s="31"/>
    </row>
    <row r="7" spans="1:35" ht="21" x14ac:dyDescent="0.5">
      <c r="A7" s="19" t="s">
        <v>38</v>
      </c>
      <c r="B7" s="26" t="e">
        <f ca="1">MIN('Price and Financial ratios'!E7:AH7)</f>
        <v>#DIV/0!</v>
      </c>
      <c r="C7" s="26"/>
      <c r="D7" s="26"/>
      <c r="E7" s="56" t="e">
        <f ca="1">'Cash Flow'!C7/'Debt worksheet'!C5</f>
        <v>#DIV/0!</v>
      </c>
      <c r="F7" s="32">
        <f ca="1">'Cash Flow'!D7/'Debt worksheet'!D5</f>
        <v>0.23091447290626022</v>
      </c>
      <c r="G7" s="32">
        <f ca="1">'Cash Flow'!E7/'Debt worksheet'!E5</f>
        <v>0.19743393239739335</v>
      </c>
      <c r="H7" s="32">
        <f ca="1">'Cash Flow'!F7/'Debt worksheet'!F5</f>
        <v>0.20119939479044235</v>
      </c>
      <c r="I7" s="32">
        <f ca="1">'Cash Flow'!G7/'Debt worksheet'!G5</f>
        <v>0.21235125207536812</v>
      </c>
      <c r="J7" s="32">
        <f ca="1">'Cash Flow'!H7/'Debt worksheet'!H5</f>
        <v>0.22217942069118762</v>
      </c>
      <c r="K7" s="32">
        <f ca="1">'Cash Flow'!I7/'Debt worksheet'!I5</f>
        <v>0.22459096328194855</v>
      </c>
      <c r="L7" s="32">
        <f ca="1">'Cash Flow'!J7/'Debt worksheet'!J5</f>
        <v>0.22556288528087376</v>
      </c>
      <c r="M7" s="17">
        <f ca="1">'Cash Flow'!K7/'Debt worksheet'!K5</f>
        <v>0.2306517814902149</v>
      </c>
      <c r="N7" s="17">
        <f ca="1">'Cash Flow'!L7/'Debt worksheet'!L5</f>
        <v>0.22791929946596456</v>
      </c>
      <c r="O7" s="17">
        <f ca="1">'Cash Flow'!M7/'Debt worksheet'!M5</f>
        <v>0.22622175022543267</v>
      </c>
      <c r="P7" s="17">
        <f ca="1">'Cash Flow'!N7/'Debt worksheet'!N5</f>
        <v>0.22559810881430192</v>
      </c>
      <c r="Q7" s="17">
        <f ca="1">'Cash Flow'!O7/'Debt worksheet'!O5</f>
        <v>0.22609448520887759</v>
      </c>
      <c r="R7" s="17">
        <f ca="1">'Cash Flow'!P7/'Debt worksheet'!P5</f>
        <v>0.22776949659258325</v>
      </c>
      <c r="S7" s="17">
        <f ca="1">'Cash Flow'!Q7/'Debt worksheet'!Q5</f>
        <v>0.22661016020297486</v>
      </c>
      <c r="T7" s="17">
        <f ca="1">'Cash Flow'!R7/'Debt worksheet'!R5</f>
        <v>0.2257038477394098</v>
      </c>
      <c r="U7" s="17">
        <f ca="1">'Cash Flow'!S7/'Debt worksheet'!S5</f>
        <v>0.2251158157782927</v>
      </c>
      <c r="V7" s="17">
        <f ca="1">'Cash Flow'!T7/'Debt worksheet'!T5</f>
        <v>0.22490631909937964</v>
      </c>
      <c r="W7" s="17">
        <f ca="1">'Cash Flow'!U7/'Debt worksheet'!U5</f>
        <v>0.22513215323212687</v>
      </c>
      <c r="X7" s="17">
        <f ca="1">'Cash Flow'!V7/'Debt worksheet'!V5</f>
        <v>0.22584836635559555</v>
      </c>
      <c r="Y7" s="17">
        <f ca="1">'Cash Flow'!W7/'Debt worksheet'!W5</f>
        <v>0.22711011500666814</v>
      </c>
      <c r="Z7" s="17">
        <f ca="1">'Cash Flow'!X7/'Debt worksheet'!X5</f>
        <v>0.22897467125767412</v>
      </c>
      <c r="AA7" s="17">
        <f ca="1">'Cash Flow'!Y7/'Debt worksheet'!Y5</f>
        <v>0.23150362173742856</v>
      </c>
      <c r="AB7" s="17">
        <f ca="1">'Cash Flow'!Z7/'Debt worksheet'!Z5</f>
        <v>0.23476533325393936</v>
      </c>
      <c r="AC7" s="17">
        <f ca="1">'Cash Flow'!AA7/'Debt worksheet'!AA5</f>
        <v>0.23449155055159374</v>
      </c>
      <c r="AD7" s="17">
        <f ca="1">'Cash Flow'!AB7/'Debt worksheet'!AB5</f>
        <v>0.2304067369790482</v>
      </c>
      <c r="AE7" s="17">
        <f ca="1">'Cash Flow'!AC7/'Debt worksheet'!AC5</f>
        <v>0.22519469732676761</v>
      </c>
      <c r="AF7" s="17">
        <f ca="1">'Cash Flow'!AD7/'Debt worksheet'!AD5</f>
        <v>0.21899572981069365</v>
      </c>
      <c r="AG7" s="17">
        <f ca="1">'Cash Flow'!AE7/'Debt worksheet'!AE5</f>
        <v>0.21196663554417269</v>
      </c>
      <c r="AH7" s="17">
        <f ca="1">'Cash Flow'!AF7/'Debt worksheet'!AF5</f>
        <v>0.20427165171541126</v>
      </c>
      <c r="AI7" s="29"/>
    </row>
    <row r="8" spans="1:35" ht="21" x14ac:dyDescent="0.5">
      <c r="A8" s="19" t="s">
        <v>33</v>
      </c>
      <c r="B8" s="26">
        <f ca="1">MAX('Price and Financial ratios'!E8:AH8)</f>
        <v>0.71253469107639056</v>
      </c>
      <c r="C8" s="26"/>
      <c r="D8" s="176"/>
      <c r="E8" s="17">
        <f>'Balance Sheet'!B11/'Balance Sheet'!B8</f>
        <v>0</v>
      </c>
      <c r="F8" s="17">
        <f ca="1">'Balance Sheet'!C11/'Balance Sheet'!C8</f>
        <v>0.55287056351975472</v>
      </c>
      <c r="G8" s="17">
        <f ca="1">'Balance Sheet'!D11/'Balance Sheet'!D8</f>
        <v>0.68085740159234232</v>
      </c>
      <c r="H8" s="17">
        <f ca="1">'Balance Sheet'!E11/'Balance Sheet'!E8</f>
        <v>0.71253469107639056</v>
      </c>
      <c r="I8" s="17">
        <f ca="1">'Balance Sheet'!F11/'Balance Sheet'!F8</f>
        <v>0.70362961022162651</v>
      </c>
      <c r="J8" s="17">
        <f ca="1">'Balance Sheet'!G11/'Balance Sheet'!G8</f>
        <v>0.67482749424454991</v>
      </c>
      <c r="K8" s="17">
        <f ca="1">'Balance Sheet'!H11/'Balance Sheet'!H8</f>
        <v>0.63821254903340363</v>
      </c>
      <c r="L8" s="17">
        <f ca="1">'Balance Sheet'!I11/'Balance Sheet'!I8</f>
        <v>0.60310249759149048</v>
      </c>
      <c r="M8" s="17">
        <f ca="1">'Balance Sheet'!J11/'Balance Sheet'!J8</f>
        <v>0.57129534300187124</v>
      </c>
      <c r="N8" s="17">
        <f ca="1">'Balance Sheet'!K11/'Balance Sheet'!K8</f>
        <v>0.5407365009297137</v>
      </c>
      <c r="O8" s="17">
        <f ca="1">'Balance Sheet'!L11/'Balance Sheet'!L8</f>
        <v>0.51583398906264821</v>
      </c>
      <c r="P8" s="17">
        <f ca="1">'Balance Sheet'!M11/'Balance Sheet'!M8</f>
        <v>0.49488439886422875</v>
      </c>
      <c r="Q8" s="17">
        <f ca="1">'Balance Sheet'!N11/'Balance Sheet'!N8</f>
        <v>0.4766935952802106</v>
      </c>
      <c r="R8" s="17">
        <f ca="1">'Balance Sheet'!O11/'Balance Sheet'!O8</f>
        <v>0.46039180478463609</v>
      </c>
      <c r="S8" s="17">
        <f ca="1">'Balance Sheet'!P11/'Balance Sheet'!P8</f>
        <v>0.4453233965303382</v>
      </c>
      <c r="T8" s="17">
        <f ca="1">'Balance Sheet'!Q11/'Balance Sheet'!Q8</f>
        <v>0.43265666684304632</v>
      </c>
      <c r="U8" s="17">
        <f ca="1">'Balance Sheet'!R11/'Balance Sheet'!R8</f>
        <v>0.42185161030353791</v>
      </c>
      <c r="V8" s="17">
        <f ca="1">'Balance Sheet'!S11/'Balance Sheet'!S8</f>
        <v>0.41248057119037657</v>
      </c>
      <c r="W8" s="17">
        <f ca="1">'Balance Sheet'!T11/'Balance Sheet'!T8</f>
        <v>0.40419808995487866</v>
      </c>
      <c r="X8" s="17">
        <f ca="1">'Balance Sheet'!U11/'Balance Sheet'!U8</f>
        <v>0.3967198565698879</v>
      </c>
      <c r="Y8" s="17">
        <f ca="1">'Balance Sheet'!V11/'Balance Sheet'!V8</f>
        <v>0.38980771252115398</v>
      </c>
      <c r="Z8" s="17">
        <f ca="1">'Balance Sheet'!W11/'Balance Sheet'!W8</f>
        <v>0.38325876311941076</v>
      </c>
      <c r="AA8" s="17">
        <f ca="1">'Balance Sheet'!X11/'Balance Sheet'!X8</f>
        <v>0.37689734054411372</v>
      </c>
      <c r="AB8" s="17">
        <f ca="1">'Balance Sheet'!Y11/'Balance Sheet'!Y8</f>
        <v>0.37056898059563365</v>
      </c>
      <c r="AC8" s="17">
        <f ca="1">'Balance Sheet'!Z11/'Balance Sheet'!Z8</f>
        <v>0.36413584563274631</v>
      </c>
      <c r="AD8" s="17">
        <f ca="1">'Balance Sheet'!AA11/'Balance Sheet'!AA8</f>
        <v>0.35896847028885265</v>
      </c>
      <c r="AE8" s="17">
        <f ca="1">'Balance Sheet'!AB11/'Balance Sheet'!AB8</f>
        <v>0.35608942386388048</v>
      </c>
      <c r="AF8" s="17">
        <f ca="1">'Balance Sheet'!AC11/'Balance Sheet'!AC8</f>
        <v>0.35530584872629789</v>
      </c>
      <c r="AG8" s="17">
        <f ca="1">'Balance Sheet'!AD11/'Balance Sheet'!AD8</f>
        <v>0.35645201128199461</v>
      </c>
      <c r="AH8" s="17">
        <f ca="1">'Balance Sheet'!AE11/'Balance Sheet'!AE8</f>
        <v>0.35938474516936558</v>
      </c>
      <c r="AI8" s="29"/>
    </row>
    <row r="9" spans="1:35" ht="21.5" thickBot="1" x14ac:dyDescent="0.55000000000000004">
      <c r="A9" s="20" t="s">
        <v>32</v>
      </c>
      <c r="B9" s="21">
        <f ca="1">MIN('Price and Financial ratios'!E9:AH9)</f>
        <v>3.8219515155977541</v>
      </c>
      <c r="C9" s="21"/>
      <c r="D9" s="177"/>
      <c r="E9" s="21">
        <f ca="1">('Cash Flow'!C7+'Profit and Loss'!C8)/('Profit and Loss'!C8)</f>
        <v>3.8219515155977541</v>
      </c>
      <c r="F9" s="21">
        <f ca="1">('Cash Flow'!D7+'Profit and Loss'!D8)/('Profit and Loss'!D8)</f>
        <v>4.4214659744290019</v>
      </c>
      <c r="G9" s="21">
        <f ca="1">('Cash Flow'!E7+'Profit and Loss'!E8)/('Profit and Loss'!E8)</f>
        <v>4.9269331301539232</v>
      </c>
      <c r="H9" s="21">
        <f ca="1">('Cash Flow'!F7+'Profit and Loss'!F8)/('Profit and Loss'!F8)</f>
        <v>5.5481388619472707</v>
      </c>
      <c r="I9" s="21">
        <f ca="1">('Cash Flow'!G7+'Profit and Loss'!G8)/('Profit and Loss'!G8)</f>
        <v>6.1619612677079925</v>
      </c>
      <c r="J9" s="21">
        <f ca="1">('Cash Flow'!H7+'Profit and Loss'!H8)/('Profit and Loss'!H8)</f>
        <v>6.6416020764723669</v>
      </c>
      <c r="K9" s="21">
        <f ca="1">('Cash Flow'!I7+'Profit and Loss'!I8)/('Profit and Loss'!I8)</f>
        <v>6.8313613572565801</v>
      </c>
      <c r="L9" s="21">
        <f ca="1">('Cash Flow'!J7+'Profit and Loss'!J8)/('Profit and Loss'!J8)</f>
        <v>6.938545705176141</v>
      </c>
      <c r="M9" s="21">
        <f ca="1">('Cash Flow'!K7+'Profit and Loss'!K8)/('Profit and Loss'!K8)</f>
        <v>7.1555301255260257</v>
      </c>
      <c r="N9" s="21">
        <f ca="1">('Cash Flow'!L7+'Profit and Loss'!L8)/('Profit and Loss'!L8)</f>
        <v>7.0976093419023476</v>
      </c>
      <c r="O9" s="21">
        <f ca="1">('Cash Flow'!M7+'Profit and Loss'!M8)/('Profit and Loss'!M8)</f>
        <v>7.0689982721936655</v>
      </c>
      <c r="P9" s="21">
        <f ca="1">('Cash Flow'!N7+'Profit and Loss'!N8)/('Profit and Loss'!N8)</f>
        <v>7.0708349674986888</v>
      </c>
      <c r="Q9" s="21">
        <f ca="1">('Cash Flow'!O7+'Profit and Loss'!O8)/('Profit and Loss'!O8)</f>
        <v>7.1045856553274067</v>
      </c>
      <c r="R9" s="21">
        <f ca="1">('Cash Flow'!P7+'Profit and Loss'!P8)/('Profit and Loss'!P8)</f>
        <v>7.1721951104829973</v>
      </c>
      <c r="S9" s="21">
        <f ca="1">('Cash Flow'!Q7+'Profit and Loss'!Q8)/('Profit and Loss'!Q8)</f>
        <v>7.1410797424613053</v>
      </c>
      <c r="T9" s="21">
        <f ca="1">('Cash Flow'!R7+'Profit and Loss'!R8)/('Profit and Loss'!R8)</f>
        <v>7.118645717346598</v>
      </c>
      <c r="U9" s="21">
        <f ca="1">('Cash Flow'!S7+'Profit and Loss'!S8)/('Profit and Loss'!S8)</f>
        <v>7.1065279412244635</v>
      </c>
      <c r="V9" s="21">
        <f ca="1">('Cash Flow'!T7+'Profit and Loss'!T8)/('Profit and Loss'!T8)</f>
        <v>7.1062600903079183</v>
      </c>
      <c r="W9" s="21">
        <f ca="1">('Cash Flow'!U7+'Profit and Loss'!U8)/('Profit and Loss'!U8)</f>
        <v>7.1193217141818366</v>
      </c>
      <c r="X9" s="21">
        <f ca="1">('Cash Flow'!V7+'Profit and Loss'!V8)/('Profit and Loss'!V8)</f>
        <v>7.1471890580219988</v>
      </c>
      <c r="Y9" s="21">
        <f ca="1">('Cash Flow'!W7+'Profit and Loss'!W8)/('Profit and Loss'!W8)</f>
        <v>7.191389774604346</v>
      </c>
      <c r="Z9" s="21">
        <f ca="1">('Cash Flow'!X7+'Profit and Loss'!X8)/('Profit and Loss'!X8)</f>
        <v>7.2535625885524988</v>
      </c>
      <c r="AA9" s="21">
        <f ca="1">('Cash Flow'!Y7+'Profit and Loss'!Y8)/('Profit and Loss'!Y8)</f>
        <v>7.3355239051449965</v>
      </c>
      <c r="AB9" s="21">
        <f ca="1">('Cash Flow'!Z7+'Profit and Loss'!Z8)/('Profit and Loss'!Z8)</f>
        <v>7.4393444178266535</v>
      </c>
      <c r="AC9" s="21">
        <f ca="1">('Cash Flow'!AA7+'Profit and Loss'!AA8)/('Profit and Loss'!AA8)</f>
        <v>7.4210705802721648</v>
      </c>
      <c r="AD9" s="21">
        <f ca="1">('Cash Flow'!AB7+'Profit and Loss'!AB8)/('Profit and Loss'!AB8)</f>
        <v>7.2788945619339591</v>
      </c>
      <c r="AE9" s="21">
        <f ca="1">('Cash Flow'!AC7+'Profit and Loss'!AC8)/('Profit and Loss'!AC8)</f>
        <v>7.1090801075944201</v>
      </c>
      <c r="AF9" s="21">
        <f ca="1">('Cash Flow'!AD7+'Profit and Loss'!AD8)/('Profit and Loss'!AD8)</f>
        <v>6.915964447489853</v>
      </c>
      <c r="AG9" s="21">
        <f ca="1">('Cash Flow'!AE7+'Profit and Loss'!AE8)/('Profit and Loss'!AE8)</f>
        <v>6.7040998693281768</v>
      </c>
      <c r="AH9" s="21">
        <f ca="1">('Cash Flow'!AF7+'Profit and Loss'!AF8)/('Profit and Loss'!AF8)</f>
        <v>6.4780234539905859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543557.12522985379</v>
      </c>
      <c r="D5" s="1">
        <f>Assumptions!E111</f>
        <v>543557.12522985379</v>
      </c>
      <c r="E5" s="1">
        <f>Assumptions!F111</f>
        <v>543557.12522985379</v>
      </c>
      <c r="F5" s="1">
        <f>Assumptions!G111</f>
        <v>543557.12522985379</v>
      </c>
      <c r="G5" s="1">
        <f>Assumptions!H111</f>
        <v>543557.12522985379</v>
      </c>
      <c r="H5" s="1">
        <f>Assumptions!I111</f>
        <v>543557.12522985379</v>
      </c>
      <c r="I5" s="1">
        <f>Assumptions!J111</f>
        <v>543557.12522985379</v>
      </c>
      <c r="J5" s="1">
        <f>Assumptions!K111</f>
        <v>543557.12522985379</v>
      </c>
      <c r="K5" s="1">
        <f>Assumptions!L111</f>
        <v>543557.12522985379</v>
      </c>
      <c r="L5" s="1">
        <f>Assumptions!M111</f>
        <v>543557.12522985379</v>
      </c>
      <c r="M5" s="1">
        <f>Assumptions!N111</f>
        <v>543557.12522985379</v>
      </c>
      <c r="N5" s="1">
        <f>Assumptions!O111</f>
        <v>543557.12522985379</v>
      </c>
      <c r="O5" s="1">
        <f>Assumptions!P111</f>
        <v>543557.12522985379</v>
      </c>
      <c r="P5" s="1">
        <f>Assumptions!Q111</f>
        <v>543557.12522985379</v>
      </c>
      <c r="Q5" s="1">
        <f>Assumptions!R111</f>
        <v>543557.12522985379</v>
      </c>
      <c r="R5" s="1">
        <f>Assumptions!S111</f>
        <v>543557.12522985379</v>
      </c>
      <c r="S5" s="1">
        <f>Assumptions!T111</f>
        <v>543557.12522985379</v>
      </c>
      <c r="T5" s="1">
        <f>Assumptions!U111</f>
        <v>543557.12522985379</v>
      </c>
      <c r="U5" s="1">
        <f>Assumptions!V111</f>
        <v>543557.12522985379</v>
      </c>
      <c r="V5" s="1">
        <f>Assumptions!W111</f>
        <v>543557.12522985379</v>
      </c>
      <c r="W5" s="1">
        <f>Assumptions!X111</f>
        <v>543557.12522985379</v>
      </c>
      <c r="X5" s="1">
        <f>Assumptions!Y111</f>
        <v>543557.12522985379</v>
      </c>
      <c r="Y5" s="1">
        <f>Assumptions!Z111</f>
        <v>543557.12522985379</v>
      </c>
      <c r="Z5" s="1">
        <f>Assumptions!AA111</f>
        <v>543557.12522985379</v>
      </c>
      <c r="AA5" s="1">
        <f>Assumptions!AB111</f>
        <v>543557.12522985379</v>
      </c>
      <c r="AB5" s="1">
        <f>Assumptions!AC111</f>
        <v>543557.12522985379</v>
      </c>
      <c r="AC5" s="1">
        <f>Assumptions!AD111</f>
        <v>543557.12522985379</v>
      </c>
      <c r="AD5" s="1">
        <f>Assumptions!AE111</f>
        <v>543557.12522985379</v>
      </c>
      <c r="AE5" s="1">
        <f>Assumptions!AF111</f>
        <v>543557.12522985379</v>
      </c>
      <c r="AF5" s="1">
        <f>Assumptions!AG111</f>
        <v>543557.12522985379</v>
      </c>
    </row>
    <row r="6" spans="1:32" x14ac:dyDescent="0.35">
      <c r="A6" t="s">
        <v>68</v>
      </c>
      <c r="C6" s="1">
        <f>Assumptions!D113</f>
        <v>10259666.666666666</v>
      </c>
      <c r="D6" s="1">
        <f>Assumptions!E113</f>
        <v>10259666.666666666</v>
      </c>
      <c r="E6" s="1">
        <f>Assumptions!F113</f>
        <v>10259666.666666666</v>
      </c>
      <c r="F6" s="1">
        <f>Assumptions!G113</f>
        <v>10259666.666666666</v>
      </c>
      <c r="G6" s="1">
        <f>Assumptions!H113</f>
        <v>10259666.666666666</v>
      </c>
      <c r="H6" s="1">
        <f>Assumptions!I113</f>
        <v>10259666.666666666</v>
      </c>
      <c r="I6" s="1">
        <f>Assumptions!J113</f>
        <v>10259666.666666666</v>
      </c>
      <c r="J6" s="1">
        <f>Assumptions!K113</f>
        <v>10259666.666666666</v>
      </c>
      <c r="K6" s="1">
        <f>Assumptions!L113</f>
        <v>10259666.666666666</v>
      </c>
      <c r="L6" s="1">
        <f>Assumptions!M113</f>
        <v>10259666.666666666</v>
      </c>
      <c r="M6" s="1">
        <f>Assumptions!N113</f>
        <v>10259666.666666666</v>
      </c>
      <c r="N6" s="1">
        <f>Assumptions!O113</f>
        <v>10259666.666666666</v>
      </c>
      <c r="O6" s="1">
        <f>Assumptions!P113</f>
        <v>10259666.666666666</v>
      </c>
      <c r="P6" s="1">
        <f>Assumptions!Q113</f>
        <v>10259666.666666666</v>
      </c>
      <c r="Q6" s="1">
        <f>Assumptions!R113</f>
        <v>10259666.666666666</v>
      </c>
      <c r="R6" s="1">
        <f>Assumptions!S113</f>
        <v>10259666.666666666</v>
      </c>
      <c r="S6" s="1">
        <f>Assumptions!T113</f>
        <v>10259666.666666666</v>
      </c>
      <c r="T6" s="1">
        <f>Assumptions!U113</f>
        <v>10259666.666666666</v>
      </c>
      <c r="U6" s="1">
        <f>Assumptions!V113</f>
        <v>10259666.666666666</v>
      </c>
      <c r="V6" s="1">
        <f>Assumptions!W113</f>
        <v>10259666.666666666</v>
      </c>
      <c r="W6" s="1">
        <f>Assumptions!X113</f>
        <v>10259666.666666666</v>
      </c>
      <c r="X6" s="1">
        <f>Assumptions!Y113</f>
        <v>10259666.666666666</v>
      </c>
      <c r="Y6" s="1">
        <f>Assumptions!Z113</f>
        <v>10259666.666666666</v>
      </c>
      <c r="Z6" s="1">
        <f>Assumptions!AA113</f>
        <v>10259666.666666666</v>
      </c>
      <c r="AA6" s="1">
        <f>Assumptions!AB113</f>
        <v>10259666.666666666</v>
      </c>
      <c r="AB6" s="1">
        <f>Assumptions!AC113</f>
        <v>10259666.666666666</v>
      </c>
      <c r="AC6" s="1">
        <f>Assumptions!AD113</f>
        <v>10259666.666666666</v>
      </c>
      <c r="AD6" s="1">
        <f>Assumptions!AE113</f>
        <v>10259666.666666666</v>
      </c>
      <c r="AE6" s="1">
        <f>Assumptions!AF113</f>
        <v>10259666.666666666</v>
      </c>
      <c r="AF6" s="1">
        <f>Assumptions!AG113</f>
        <v>10259666.666666666</v>
      </c>
    </row>
    <row r="7" spans="1:32" x14ac:dyDescent="0.35">
      <c r="A7" t="s">
        <v>73</v>
      </c>
      <c r="C7" s="1">
        <f>Assumptions!D120</f>
        <v>246231.99999999997</v>
      </c>
      <c r="D7" s="1">
        <f>Assumptions!E120</f>
        <v>492463.99999999994</v>
      </c>
      <c r="E7" s="1">
        <f>Assumptions!F120</f>
        <v>738696</v>
      </c>
      <c r="F7" s="1">
        <f>Assumptions!G120</f>
        <v>984927.99999999988</v>
      </c>
      <c r="G7" s="1">
        <f>Assumptions!H120</f>
        <v>1231159.9999999998</v>
      </c>
      <c r="H7" s="1">
        <f>Assumptions!I120</f>
        <v>1477391.9999999998</v>
      </c>
      <c r="I7" s="1">
        <f>Assumptions!J120</f>
        <v>1723623.9999999995</v>
      </c>
      <c r="J7" s="1">
        <f>Assumptions!K120</f>
        <v>1969855.9999999998</v>
      </c>
      <c r="K7" s="1">
        <f>Assumptions!L120</f>
        <v>2216088</v>
      </c>
      <c r="L7" s="1">
        <f>Assumptions!M120</f>
        <v>2462320</v>
      </c>
      <c r="M7" s="1">
        <f>Assumptions!N120</f>
        <v>2708552</v>
      </c>
      <c r="N7" s="1">
        <f>Assumptions!O120</f>
        <v>2954784</v>
      </c>
      <c r="O7" s="1">
        <f>Assumptions!P120</f>
        <v>3201016.0000000009</v>
      </c>
      <c r="P7" s="1">
        <f>Assumptions!Q120</f>
        <v>3447248</v>
      </c>
      <c r="Q7" s="1">
        <f>Assumptions!R120</f>
        <v>3693480</v>
      </c>
      <c r="R7" s="1">
        <f>Assumptions!S120</f>
        <v>3939711.9999999995</v>
      </c>
      <c r="S7" s="1">
        <f>Assumptions!T120</f>
        <v>4185943.9999999991</v>
      </c>
      <c r="T7" s="1">
        <f>Assumptions!U120</f>
        <v>4432175.9999999991</v>
      </c>
      <c r="U7" s="1">
        <f>Assumptions!V120</f>
        <v>4678407.9999999991</v>
      </c>
      <c r="V7" s="1">
        <f>Assumptions!W120</f>
        <v>4924639.9999999991</v>
      </c>
      <c r="W7" s="1">
        <f>Assumptions!X120</f>
        <v>5170871.9999999981</v>
      </c>
      <c r="X7" s="1">
        <f>Assumptions!Y120</f>
        <v>5417103.9999999972</v>
      </c>
      <c r="Y7" s="1">
        <f>Assumptions!Z120</f>
        <v>5663335.9999999981</v>
      </c>
      <c r="Z7" s="1">
        <f>Assumptions!AA120</f>
        <v>5909567.9999999981</v>
      </c>
      <c r="AA7" s="1">
        <f>Assumptions!AB120</f>
        <v>6155799.9999999972</v>
      </c>
      <c r="AB7" s="1">
        <f>Assumptions!AC120</f>
        <v>6402031.9999999981</v>
      </c>
      <c r="AC7" s="1">
        <f>Assumptions!AD120</f>
        <v>6648263.9999999963</v>
      </c>
      <c r="AD7" s="1">
        <f>Assumptions!AE120</f>
        <v>6894495.9999999972</v>
      </c>
      <c r="AE7" s="1">
        <f>Assumptions!AF120</f>
        <v>7140727.9999999981</v>
      </c>
      <c r="AF7" s="1">
        <f>Assumptions!AG120</f>
        <v>7386959.9999999991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560950.95323720912</v>
      </c>
      <c r="D11" s="1">
        <f>D5*D$9</f>
        <v>578901.38374079973</v>
      </c>
      <c r="E11" s="1">
        <f t="shared" ref="D11:AF13" si="1">E5*E$9</f>
        <v>597426.22802050528</v>
      </c>
      <c r="F11" s="1">
        <f t="shared" si="1"/>
        <v>616543.86731716152</v>
      </c>
      <c r="G11" s="1">
        <f t="shared" si="1"/>
        <v>636273.27107131074</v>
      </c>
      <c r="H11" s="1">
        <f t="shared" si="1"/>
        <v>656634.01574559265</v>
      </c>
      <c r="I11" s="1">
        <f t="shared" si="1"/>
        <v>677646.3042494515</v>
      </c>
      <c r="J11" s="1">
        <f t="shared" si="1"/>
        <v>699330.98598543403</v>
      </c>
      <c r="K11" s="1">
        <f t="shared" si="1"/>
        <v>721709.57753696793</v>
      </c>
      <c r="L11" s="1">
        <f t="shared" si="1"/>
        <v>744804.28401815088</v>
      </c>
      <c r="M11" s="1">
        <f t="shared" si="1"/>
        <v>768638.02110673173</v>
      </c>
      <c r="N11" s="1">
        <f t="shared" si="1"/>
        <v>793234.43778214708</v>
      </c>
      <c r="O11" s="1">
        <f t="shared" si="1"/>
        <v>818617.93979117589</v>
      </c>
      <c r="P11" s="1">
        <f t="shared" si="1"/>
        <v>844813.71386449342</v>
      </c>
      <c r="Q11" s="1">
        <f t="shared" si="1"/>
        <v>871847.75270815706</v>
      </c>
      <c r="R11" s="1">
        <f t="shared" si="1"/>
        <v>899746.88079481828</v>
      </c>
      <c r="S11" s="1">
        <f t="shared" si="1"/>
        <v>928538.78098025254</v>
      </c>
      <c r="T11" s="1">
        <f t="shared" si="1"/>
        <v>958252.0219716205</v>
      </c>
      <c r="U11" s="1">
        <f t="shared" si="1"/>
        <v>988916.08667471225</v>
      </c>
      <c r="V11" s="1">
        <f t="shared" si="1"/>
        <v>1020561.4014483031</v>
      </c>
      <c r="W11" s="1">
        <f t="shared" si="1"/>
        <v>1053219.366294649</v>
      </c>
      <c r="X11" s="1">
        <f t="shared" si="1"/>
        <v>1086922.3860160776</v>
      </c>
      <c r="Y11" s="1">
        <f t="shared" si="1"/>
        <v>1121703.9023685919</v>
      </c>
      <c r="Z11" s="1">
        <f t="shared" si="1"/>
        <v>1157598.4272443869</v>
      </c>
      <c r="AA11" s="1">
        <f t="shared" si="1"/>
        <v>1194641.5769162076</v>
      </c>
      <c r="AB11" s="1">
        <f t="shared" si="1"/>
        <v>1232870.1073775259</v>
      </c>
      <c r="AC11" s="1">
        <f t="shared" si="1"/>
        <v>1272321.9508136066</v>
      </c>
      <c r="AD11" s="1">
        <f t="shared" si="1"/>
        <v>1313036.2532396424</v>
      </c>
      <c r="AE11" s="1">
        <f t="shared" si="1"/>
        <v>1355053.4133433108</v>
      </c>
      <c r="AF11" s="1">
        <f t="shared" si="1"/>
        <v>1398415.1225702965</v>
      </c>
    </row>
    <row r="12" spans="1:32" x14ac:dyDescent="0.35">
      <c r="A12" t="s">
        <v>71</v>
      </c>
      <c r="C12" s="1">
        <f t="shared" ref="C12:R12" si="2">C6*C$9</f>
        <v>10587976</v>
      </c>
      <c r="D12" s="1">
        <f t="shared" si="2"/>
        <v>10926791.231999999</v>
      </c>
      <c r="E12" s="1">
        <f t="shared" si="2"/>
        <v>11276448.551423999</v>
      </c>
      <c r="F12" s="1">
        <f t="shared" si="2"/>
        <v>11637294.905069567</v>
      </c>
      <c r="G12" s="1">
        <f t="shared" si="2"/>
        <v>12009688.342031794</v>
      </c>
      <c r="H12" s="1">
        <f t="shared" si="2"/>
        <v>12393998.368976809</v>
      </c>
      <c r="I12" s="1">
        <f t="shared" si="2"/>
        <v>12790606.316784065</v>
      </c>
      <c r="J12" s="1">
        <f t="shared" si="2"/>
        <v>13199905.718921158</v>
      </c>
      <c r="K12" s="1">
        <f t="shared" si="2"/>
        <v>13622302.701926636</v>
      </c>
      <c r="L12" s="1">
        <f t="shared" si="2"/>
        <v>14058216.388388287</v>
      </c>
      <c r="M12" s="1">
        <f t="shared" si="2"/>
        <v>14508079.312816711</v>
      </c>
      <c r="N12" s="1">
        <f t="shared" si="2"/>
        <v>14972337.850826846</v>
      </c>
      <c r="O12" s="1">
        <f t="shared" si="2"/>
        <v>15451452.662053308</v>
      </c>
      <c r="P12" s="1">
        <f t="shared" si="2"/>
        <v>15945899.147239011</v>
      </c>
      <c r="Q12" s="1">
        <f t="shared" si="2"/>
        <v>16456167.919950657</v>
      </c>
      <c r="R12" s="1">
        <f t="shared" si="2"/>
        <v>16982765.293389082</v>
      </c>
      <c r="S12" s="1">
        <f t="shared" si="1"/>
        <v>17526213.782777533</v>
      </c>
      <c r="T12" s="1">
        <f t="shared" si="1"/>
        <v>18087052.623826411</v>
      </c>
      <c r="U12" s="1">
        <f t="shared" si="1"/>
        <v>18665838.307788856</v>
      </c>
      <c r="V12" s="1">
        <f t="shared" si="1"/>
        <v>19263145.133638099</v>
      </c>
      <c r="W12" s="1">
        <f t="shared" si="1"/>
        <v>19879565.77791452</v>
      </c>
      <c r="X12" s="1">
        <f t="shared" si="1"/>
        <v>20515711.882807784</v>
      </c>
      <c r="Y12" s="1">
        <f t="shared" si="1"/>
        <v>21172214.663057629</v>
      </c>
      <c r="Z12" s="1">
        <f t="shared" si="1"/>
        <v>21849725.532275476</v>
      </c>
      <c r="AA12" s="1">
        <f t="shared" si="1"/>
        <v>22548916.749308296</v>
      </c>
      <c r="AB12" s="1">
        <f t="shared" si="1"/>
        <v>23270482.085286155</v>
      </c>
      <c r="AC12" s="1">
        <f t="shared" si="1"/>
        <v>24015137.512015313</v>
      </c>
      <c r="AD12" s="1">
        <f t="shared" si="1"/>
        <v>24783621.912399806</v>
      </c>
      <c r="AE12" s="1">
        <f t="shared" si="1"/>
        <v>25576697.813596599</v>
      </c>
      <c r="AF12" s="1">
        <f t="shared" si="1"/>
        <v>26395152.143631686</v>
      </c>
    </row>
    <row r="13" spans="1:32" x14ac:dyDescent="0.35">
      <c r="A13" t="s">
        <v>74</v>
      </c>
      <c r="C13" s="1">
        <f>C7*C$9</f>
        <v>254111.42399999997</v>
      </c>
      <c r="D13" s="1">
        <f t="shared" si="1"/>
        <v>524485.97913599992</v>
      </c>
      <c r="E13" s="1">
        <f t="shared" si="1"/>
        <v>811904.29570252798</v>
      </c>
      <c r="F13" s="1">
        <f t="shared" si="1"/>
        <v>1117180.3108866783</v>
      </c>
      <c r="G13" s="1">
        <f t="shared" si="1"/>
        <v>1441162.601043815</v>
      </c>
      <c r="H13" s="1">
        <f t="shared" si="1"/>
        <v>1784735.7651326603</v>
      </c>
      <c r="I13" s="1">
        <f t="shared" si="1"/>
        <v>2148821.8612197228</v>
      </c>
      <c r="J13" s="1">
        <f t="shared" si="1"/>
        <v>2534381.8980328622</v>
      </c>
      <c r="K13" s="1">
        <f t="shared" si="1"/>
        <v>2942417.3836161536</v>
      </c>
      <c r="L13" s="1">
        <f t="shared" si="1"/>
        <v>3373971.9332131892</v>
      </c>
      <c r="M13" s="1">
        <f t="shared" si="1"/>
        <v>3830132.938583612</v>
      </c>
      <c r="N13" s="1">
        <f t="shared" si="1"/>
        <v>4312033.301038132</v>
      </c>
      <c r="O13" s="1">
        <f t="shared" si="1"/>
        <v>4820853.2305606334</v>
      </c>
      <c r="P13" s="1">
        <f t="shared" si="1"/>
        <v>5357822.113472308</v>
      </c>
      <c r="Q13" s="1">
        <f t="shared" si="1"/>
        <v>5924220.4511822369</v>
      </c>
      <c r="R13" s="1">
        <f t="shared" si="1"/>
        <v>6521381.8726614071</v>
      </c>
      <c r="S13" s="1">
        <f t="shared" si="1"/>
        <v>7150695.2233732324</v>
      </c>
      <c r="T13" s="1">
        <f t="shared" si="1"/>
        <v>7813606.7334930087</v>
      </c>
      <c r="U13" s="1">
        <f t="shared" si="1"/>
        <v>8511622.2683517169</v>
      </c>
      <c r="V13" s="1">
        <f t="shared" si="1"/>
        <v>9246309.6641462874</v>
      </c>
      <c r="W13" s="1">
        <f t="shared" si="1"/>
        <v>10019301.152068917</v>
      </c>
      <c r="X13" s="1">
        <f t="shared" si="1"/>
        <v>10832295.874122504</v>
      </c>
      <c r="Y13" s="1">
        <f t="shared" si="1"/>
        <v>11687062.494007809</v>
      </c>
      <c r="Z13" s="1">
        <f t="shared" si="1"/>
        <v>12585441.90659067</v>
      </c>
      <c r="AA13" s="1">
        <f t="shared" si="1"/>
        <v>13529350.049584972</v>
      </c>
      <c r="AB13" s="1">
        <f t="shared" si="1"/>
        <v>14520780.821218558</v>
      </c>
      <c r="AC13" s="1">
        <f t="shared" si="1"/>
        <v>15561809.107785914</v>
      </c>
      <c r="AD13" s="1">
        <f t="shared" si="1"/>
        <v>16654593.925132664</v>
      </c>
      <c r="AE13" s="1">
        <f t="shared" si="1"/>
        <v>17801381.678263228</v>
      </c>
      <c r="AF13" s="1">
        <f t="shared" si="1"/>
        <v>19004509.543414813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11403038.37723721</v>
      </c>
      <c r="D25" s="40">
        <f>SUM(D11:D13,D18:D23)</f>
        <v>12030178.594876798</v>
      </c>
      <c r="E25" s="40">
        <f t="shared" ref="E25:AF25" si="7">SUM(E11:E13,E18:E23)</f>
        <v>12685779.075147033</v>
      </c>
      <c r="F25" s="40">
        <f t="shared" si="7"/>
        <v>13371019.083273407</v>
      </c>
      <c r="G25" s="40">
        <f t="shared" si="7"/>
        <v>14087124.21414692</v>
      </c>
      <c r="H25" s="40">
        <f t="shared" si="7"/>
        <v>14835368.149855062</v>
      </c>
      <c r="I25" s="40">
        <f t="shared" si="7"/>
        <v>15617074.482253239</v>
      </c>
      <c r="J25" s="40">
        <f t="shared" si="7"/>
        <v>16433618.602939455</v>
      </c>
      <c r="K25" s="40">
        <f t="shared" si="7"/>
        <v>17286429.663079757</v>
      </c>
      <c r="L25" s="40">
        <f t="shared" si="7"/>
        <v>18176992.605619628</v>
      </c>
      <c r="M25" s="40">
        <f t="shared" si="7"/>
        <v>19106850.272507053</v>
      </c>
      <c r="N25" s="40">
        <f t="shared" si="7"/>
        <v>20077605.589647125</v>
      </c>
      <c r="O25" s="40">
        <f t="shared" si="7"/>
        <v>21090923.832405116</v>
      </c>
      <c r="P25" s="40">
        <f t="shared" si="7"/>
        <v>22148534.974575814</v>
      </c>
      <c r="Q25" s="40">
        <f t="shared" si="7"/>
        <v>23252236.123841047</v>
      </c>
      <c r="R25" s="40">
        <f t="shared" si="7"/>
        <v>24403894.046845309</v>
      </c>
      <c r="S25" s="40">
        <f t="shared" si="7"/>
        <v>25605447.787131019</v>
      </c>
      <c r="T25" s="40">
        <f t="shared" si="7"/>
        <v>26858911.379291039</v>
      </c>
      <c r="U25" s="40">
        <f t="shared" si="7"/>
        <v>28166376.662815288</v>
      </c>
      <c r="V25" s="40">
        <f t="shared" si="7"/>
        <v>29530016.19923269</v>
      </c>
      <c r="W25" s="40">
        <f t="shared" si="7"/>
        <v>30952086.296278086</v>
      </c>
      <c r="X25" s="40">
        <f t="shared" si="7"/>
        <v>32434930.142946366</v>
      </c>
      <c r="Y25" s="40">
        <f t="shared" si="7"/>
        <v>33980981.059434026</v>
      </c>
      <c r="Z25" s="40">
        <f t="shared" si="7"/>
        <v>35592765.866110533</v>
      </c>
      <c r="AA25" s="40">
        <f t="shared" si="7"/>
        <v>37272908.375809476</v>
      </c>
      <c r="AB25" s="40">
        <f t="shared" si="7"/>
        <v>39024133.013882235</v>
      </c>
      <c r="AC25" s="40">
        <f t="shared" si="7"/>
        <v>40849268.57061483</v>
      </c>
      <c r="AD25" s="40">
        <f t="shared" si="7"/>
        <v>42751252.090772115</v>
      </c>
      <c r="AE25" s="40">
        <f t="shared" si="7"/>
        <v>44733132.905203134</v>
      </c>
      <c r="AF25" s="40">
        <f t="shared" si="7"/>
        <v>46798076.809616789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5141205.7865246609</v>
      </c>
      <c r="D5" s="59">
        <f>C5*('Price and Financial ratios'!F4+1)*(1+Assumptions!$C$13)</f>
        <v>7307424.1143666105</v>
      </c>
      <c r="E5" s="59">
        <f>D5*('Price and Financial ratios'!G4+1)*(1+Assumptions!$C$13)</f>
        <v>9644483.1129113156</v>
      </c>
      <c r="F5" s="59">
        <f>E5*('Price and Financial ratios'!H4+1)*(1+Assumptions!$C$13)</f>
        <v>12239403.72929972</v>
      </c>
      <c r="G5" s="59">
        <f>F5*('Price and Financial ratios'!I4+1)*(1+Assumptions!$C$13)</f>
        <v>14911206.93760361</v>
      </c>
      <c r="H5" s="59">
        <f>G5*('Price and Financial ratios'!J4+1)*(1+Assumptions!$C$13)</f>
        <v>17409324.822358903</v>
      </c>
      <c r="I5" s="59">
        <f>H5*('Price and Financial ratios'!K4+1)*(1+Assumptions!$C$13)</f>
        <v>19442222.288273878</v>
      </c>
      <c r="J5" s="59">
        <f>I5*('Price and Financial ratios'!L4+1)*(1+Assumptions!$C$13)</f>
        <v>21317729.658349562</v>
      </c>
      <c r="K5" s="59">
        <f>J5*('Price and Financial ratios'!M4+1)*(1+Assumptions!$C$13)</f>
        <v>23374159.13923404</v>
      </c>
      <c r="L5" s="59">
        <f>K5*('Price and Financial ratios'!N4+1)*(1+Assumptions!$C$13)</f>
        <v>24917047.854041714</v>
      </c>
      <c r="M5" s="59">
        <f>L5*('Price and Financial ratios'!O4+1)*(1+Assumptions!$C$13)</f>
        <v>26561780.043607168</v>
      </c>
      <c r="N5" s="59">
        <f>M5*('Price and Financial ratios'!P4+1)*(1+Assumptions!$C$13)</f>
        <v>28315078.223463241</v>
      </c>
      <c r="O5" s="59">
        <f>N5*('Price and Financial ratios'!Q4+1)*(1+Assumptions!$C$13)</f>
        <v>30184108.651024096</v>
      </c>
      <c r="P5" s="59">
        <f>O5*('Price and Financial ratios'!R4+1)*(1+Assumptions!$C$13)</f>
        <v>32176510.616236348</v>
      </c>
      <c r="Q5" s="59">
        <f>P5*('Price and Financial ratios'!S4+1)*(1+Assumptions!$C$13)</f>
        <v>33973756.925983638</v>
      </c>
      <c r="R5" s="59">
        <f>Q5*('Price and Financial ratios'!T4+1)*(1+Assumptions!$C$13)</f>
        <v>35871389.953744732</v>
      </c>
      <c r="S5" s="59">
        <f>R5*('Price and Financial ratios'!U4+1)*(1+Assumptions!$C$13)</f>
        <v>37875016.884855844</v>
      </c>
      <c r="T5" s="59">
        <f>S5*('Price and Financial ratios'!V4+1)*(1+Assumptions!$C$13)</f>
        <v>39990558.098749153</v>
      </c>
      <c r="U5" s="59">
        <f>T5*('Price and Financial ratios'!W4+1)*(1+Assumptions!$C$13)</f>
        <v>42224264.662674837</v>
      </c>
      <c r="V5" s="59">
        <f>U5*('Price and Financial ratios'!X4+1)*(1+Assumptions!$C$13)</f>
        <v>44582736.802549824</v>
      </c>
      <c r="W5" s="59">
        <f>V5*('Price and Financial ratios'!Y4+1)*(1+Assumptions!$C$13)</f>
        <v>47072943.405511476</v>
      </c>
      <c r="X5" s="59">
        <f>W5*('Price and Financial ratios'!Z4+1)*(1+Assumptions!$C$13)</f>
        <v>49702242.611802928</v>
      </c>
      <c r="Y5" s="59">
        <f>X5*('Price and Financial ratios'!AA4+1)*(1+Assumptions!$C$13)</f>
        <v>52478403.556835689</v>
      </c>
      <c r="Z5" s="59">
        <f>Y5*('Price and Financial ratios'!AB4+1)*(1+Assumptions!$C$13)</f>
        <v>55409629.327673614</v>
      </c>
      <c r="AA5" s="59">
        <f>Z5*('Price and Financial ratios'!AC4+1)*(1+Assumptions!$C$13)</f>
        <v>57942037.151753716</v>
      </c>
      <c r="AB5" s="59">
        <f>AA5*('Price and Financial ratios'!AD4+1)*(1+Assumptions!$C$13)</f>
        <v>60119581.219342574</v>
      </c>
      <c r="AC5" s="59">
        <f>AB5*('Price and Financial ratios'!AE4+1)*(1+Assumptions!$C$13)</f>
        <v>62378960.486371733</v>
      </c>
      <c r="AD5" s="59">
        <f>AC5*('Price and Financial ratios'!AF4+1)*(1+Assumptions!$C$13)</f>
        <v>64723250.435889795</v>
      </c>
      <c r="AE5" s="59">
        <f>AD5*('Price and Financial ratios'!AG4+1)*(1+Assumptions!$C$13)</f>
        <v>67155642.131967291</v>
      </c>
      <c r="AF5" s="59">
        <f>AE5*('Price and Financial ratios'!AH4+1)*(1+Assumptions!$C$13)</f>
        <v>69679446.563395694</v>
      </c>
    </row>
    <row r="6" spans="1:32" s="11" customFormat="1" x14ac:dyDescent="0.35">
      <c r="A6" s="11" t="s">
        <v>20</v>
      </c>
      <c r="C6" s="59">
        <f>C27</f>
        <v>3752955.7896308312</v>
      </c>
      <c r="D6" s="59">
        <f t="shared" ref="D6:AF6" si="1">D27</f>
        <v>4210577.6167866131</v>
      </c>
      <c r="E6" s="59">
        <f>E27</f>
        <v>4687353.1494244831</v>
      </c>
      <c r="F6" s="59">
        <f t="shared" si="1"/>
        <v>5183935.0336775826</v>
      </c>
      <c r="G6" s="59">
        <f t="shared" si="1"/>
        <v>5700996.5407219045</v>
      </c>
      <c r="H6" s="59">
        <f t="shared" si="1"/>
        <v>6239232.2027061777</v>
      </c>
      <c r="I6" s="59">
        <f t="shared" si="1"/>
        <v>6799358.4683453497</v>
      </c>
      <c r="J6" s="59">
        <f t="shared" si="1"/>
        <v>7382114.3787976149</v>
      </c>
      <c r="K6" s="59">
        <f t="shared" si="1"/>
        <v>7988262.2644651411</v>
      </c>
      <c r="L6" s="59">
        <f t="shared" si="1"/>
        <v>8618588.4633793235</v>
      </c>
      <c r="M6" s="59">
        <f t="shared" si="1"/>
        <v>9273904.0618529916</v>
      </c>
      <c r="N6" s="59">
        <f t="shared" si="1"/>
        <v>9955045.6581041068</v>
      </c>
      <c r="O6" s="59">
        <f t="shared" si="1"/>
        <v>10662876.149578523</v>
      </c>
      <c r="P6" s="59">
        <f t="shared" si="1"/>
        <v>11398285.544723</v>
      </c>
      <c r="Q6" s="59">
        <f t="shared" si="1"/>
        <v>12162191.799984301</v>
      </c>
      <c r="R6" s="59">
        <f t="shared" si="1"/>
        <v>12955541.682835415</v>
      </c>
      <c r="S6" s="59">
        <f t="shared" si="1"/>
        <v>13779311.661656326</v>
      </c>
      <c r="T6" s="59">
        <f t="shared" si="1"/>
        <v>14634508.823323566</v>
      </c>
      <c r="U6" s="59">
        <f t="shared" si="1"/>
        <v>15522171.819391113</v>
      </c>
      <c r="V6" s="59">
        <f t="shared" si="1"/>
        <v>16443371.841773834</v>
      </c>
      <c r="W6" s="59">
        <f t="shared" si="1"/>
        <v>17399213.628874794</v>
      </c>
      <c r="X6" s="59">
        <f t="shared" si="1"/>
        <v>18390836.503128625</v>
      </c>
      <c r="Y6" s="59">
        <f t="shared" si="1"/>
        <v>19419415.440965127</v>
      </c>
      <c r="Z6" s="59">
        <f t="shared" si="1"/>
        <v>20486162.176230263</v>
      </c>
      <c r="AA6" s="59">
        <f t="shared" si="1"/>
        <v>21592326.338136148</v>
      </c>
      <c r="AB6" s="59">
        <f t="shared" si="1"/>
        <v>22739196.624846675</v>
      </c>
      <c r="AC6" s="59">
        <f t="shared" si="1"/>
        <v>23928102.013842165</v>
      </c>
      <c r="AD6" s="59">
        <f t="shared" si="1"/>
        <v>25160413.010244235</v>
      </c>
      <c r="AE6" s="59">
        <f t="shared" si="1"/>
        <v>26437542.934321038</v>
      </c>
      <c r="AF6" s="59">
        <f t="shared" si="1"/>
        <v>27760949.249433562</v>
      </c>
    </row>
    <row r="7" spans="1:32" x14ac:dyDescent="0.35">
      <c r="A7" t="s">
        <v>21</v>
      </c>
      <c r="C7" s="4">
        <f>Depreciation!C8+Depreciation!C9</f>
        <v>815062.37723720912</v>
      </c>
      <c r="D7" s="4">
        <f>Depreciation!D8+Depreciation!D9</f>
        <v>1103387.3628767997</v>
      </c>
      <c r="E7" s="4">
        <f>Depreciation!E8+Depreciation!E9</f>
        <v>1409330.5237230333</v>
      </c>
      <c r="F7" s="4">
        <f>Depreciation!F8+Depreciation!F9</f>
        <v>1733724.1782038398</v>
      </c>
      <c r="G7" s="4">
        <f>Depreciation!G8+Depreciation!G9</f>
        <v>2077435.8721151259</v>
      </c>
      <c r="H7" s="4">
        <f>Depreciation!H8+Depreciation!H9</f>
        <v>2441369.7808782528</v>
      </c>
      <c r="I7" s="4">
        <f>Depreciation!I8+Depreciation!I9</f>
        <v>2826468.1654691743</v>
      </c>
      <c r="J7" s="4">
        <f>Depreciation!J8+Depreciation!J9</f>
        <v>3233712.8840182964</v>
      </c>
      <c r="K7" s="4">
        <f>Depreciation!K8+Depreciation!K9</f>
        <v>3664126.9611531217</v>
      </c>
      <c r="L7" s="4">
        <f>Depreciation!L8+Depreciation!L9</f>
        <v>4118776.2172313402</v>
      </c>
      <c r="M7" s="4">
        <f>Depreciation!M8+Depreciation!M9</f>
        <v>4598770.9596903436</v>
      </c>
      <c r="N7" s="4">
        <f>Depreciation!N8+Depreciation!N9</f>
        <v>5105267.738820279</v>
      </c>
      <c r="O7" s="4">
        <f>Depreciation!O8+Depreciation!O9</f>
        <v>5639471.1703518089</v>
      </c>
      <c r="P7" s="4">
        <f>Depreciation!P8+Depreciation!P9</f>
        <v>6202635.8273368012</v>
      </c>
      <c r="Q7" s="4">
        <f>Depreciation!Q8+Depreciation!Q9</f>
        <v>6796068.2038903944</v>
      </c>
      <c r="R7" s="4">
        <f>Depreciation!R8+Depreciation!R9</f>
        <v>7421128.7534562256</v>
      </c>
      <c r="S7" s="4">
        <f>Depreciation!S8+Depreciation!S9</f>
        <v>8079234.0043534851</v>
      </c>
      <c r="T7" s="4">
        <f>Depreciation!T8+Depreciation!T9</f>
        <v>8771858.7554646283</v>
      </c>
      <c r="U7" s="4">
        <f>Depreciation!U8+Depreciation!U9</f>
        <v>9500538.3550264295</v>
      </c>
      <c r="V7" s="4">
        <f>Depreciation!V8+Depreciation!V9</f>
        <v>10266871.065594591</v>
      </c>
      <c r="W7" s="4">
        <f>Depreciation!W8+Depreciation!W9</f>
        <v>11072520.518363565</v>
      </c>
      <c r="X7" s="4">
        <f>Depreciation!X8+Depreciation!X9</f>
        <v>11919218.260138582</v>
      </c>
      <c r="Y7" s="4">
        <f>Depreciation!Y8+Depreciation!Y9</f>
        <v>12808766.396376401</v>
      </c>
      <c r="Z7" s="4">
        <f>Depreciation!Z8+Depreciation!Z9</f>
        <v>13743040.333835058</v>
      </c>
      <c r="AA7" s="4">
        <f>Depreciation!AA8+Depreciation!AA9</f>
        <v>14723991.62650118</v>
      </c>
      <c r="AB7" s="4">
        <f>Depreciation!AB8+Depreciation!AB9</f>
        <v>15753650.928596083</v>
      </c>
      <c r="AC7" s="4">
        <f>Depreciation!AC8+Depreciation!AC9</f>
        <v>16834131.05859952</v>
      </c>
      <c r="AD7" s="4">
        <f>Depreciation!AD8+Depreciation!AD9</f>
        <v>17967630.178372305</v>
      </c>
      <c r="AE7" s="4">
        <f>Depreciation!AE8+Depreciation!AE9</f>
        <v>19156435.091606539</v>
      </c>
      <c r="AF7" s="4">
        <f>Depreciation!AF8+Depreciation!AF9</f>
        <v>20402924.665985107</v>
      </c>
    </row>
    <row r="8" spans="1:32" x14ac:dyDescent="0.35">
      <c r="A8" t="s">
        <v>6</v>
      </c>
      <c r="C8" s="4">
        <f ca="1">'Debt worksheet'!C8</f>
        <v>363230.66664457857</v>
      </c>
      <c r="D8" s="4">
        <f ca="1">'Debt worksheet'!D8</f>
        <v>700411.69953364425</v>
      </c>
      <c r="E8" s="4">
        <f ca="1">'Debt worksheet'!E8</f>
        <v>1006128.9310277215</v>
      </c>
      <c r="F8" s="4">
        <f ca="1">'Debt worksheet'!F8</f>
        <v>1271682.0669383586</v>
      </c>
      <c r="G8" s="4">
        <f ca="1">'Debt worksheet'!G8</f>
        <v>1494688.1352773483</v>
      </c>
      <c r="H8" s="4">
        <f ca="1">'Debt worksheet'!H8</f>
        <v>1681837.076512363</v>
      </c>
      <c r="I8" s="4">
        <f ca="1">'Debt worksheet'!I8</f>
        <v>1850709.2742940185</v>
      </c>
      <c r="J8" s="4">
        <f ca="1">'Debt worksheet'!J8</f>
        <v>2008434.6016710687</v>
      </c>
      <c r="K8" s="4">
        <f ca="1">'Debt worksheet'!K8</f>
        <v>2150210.620996838</v>
      </c>
      <c r="L8" s="4">
        <f ca="1">'Debt worksheet'!L8</f>
        <v>2296330.8637516489</v>
      </c>
      <c r="M8" s="4">
        <f ca="1">'Debt worksheet'!M8</f>
        <v>2445590.6361948182</v>
      </c>
      <c r="N8" s="4">
        <f ca="1">'Debt worksheet'!N8</f>
        <v>2596586.2093729512</v>
      </c>
      <c r="O8" s="4">
        <f ca="1">'Debt worksheet'!O8</f>
        <v>2747694.721198482</v>
      </c>
      <c r="P8" s="4">
        <f ca="1">'Debt worksheet'!P8</f>
        <v>2897052.4018711587</v>
      </c>
      <c r="Q8" s="4">
        <f ca="1">'Debt worksheet'!Q8</f>
        <v>3054379.1573011591</v>
      </c>
      <c r="R8" s="4">
        <f ca="1">'Debt worksheet'!R8</f>
        <v>3219130.3206828171</v>
      </c>
      <c r="S8" s="4">
        <f ca="1">'Debt worksheet'!S8</f>
        <v>3390643.8449952533</v>
      </c>
      <c r="T8" s="4">
        <f ca="1">'Debt worksheet'!T8</f>
        <v>3568128.5167155899</v>
      </c>
      <c r="U8" s="4">
        <f ca="1">'Debt worksheet'!U8</f>
        <v>3750651.2439369895</v>
      </c>
      <c r="V8" s="4">
        <f ca="1">'Debt worksheet'!V8</f>
        <v>3937123.3546973821</v>
      </c>
      <c r="W8" s="4">
        <f ca="1">'Debt worksheet'!W8</f>
        <v>4126285.8371863542</v>
      </c>
      <c r="X8" s="4">
        <f ca="1">'Debt worksheet'!X8</f>
        <v>4316693.4491045345</v>
      </c>
      <c r="Y8" s="4">
        <f ca="1">'Debt worksheet'!Y8</f>
        <v>4506697.6187867941</v>
      </c>
      <c r="Z8" s="4">
        <f ca="1">'Debt worksheet'!Z8</f>
        <v>4694428.0557514457</v>
      </c>
      <c r="AA8" s="4">
        <f ca="1">'Debt worksheet'!AA8</f>
        <v>4898176.1351587176</v>
      </c>
      <c r="AB8" s="4">
        <f ca="1">'Debt worksheet'!AB8</f>
        <v>5135448.0101940306</v>
      </c>
      <c r="AC8" s="4">
        <f ca="1">'Debt worksheet'!AC8</f>
        <v>5408696.7498725541</v>
      </c>
      <c r="AD8" s="4">
        <f ca="1">'Debt worksheet'!AD8</f>
        <v>5720509.080986511</v>
      </c>
      <c r="AE8" s="4">
        <f ca="1">'Debt worksheet'!AE8</f>
        <v>6073611.6691720234</v>
      </c>
      <c r="AF8" s="4">
        <f ca="1">'Debt worksheet'!AF8</f>
        <v>6470877.6699688453</v>
      </c>
    </row>
    <row r="9" spans="1:32" x14ac:dyDescent="0.35">
      <c r="A9" t="s">
        <v>22</v>
      </c>
      <c r="C9" s="4">
        <f ca="1">C5-C6-C7-C8</f>
        <v>209956.95301204198</v>
      </c>
      <c r="D9" s="4">
        <f t="shared" ref="D9:AF9" ca="1" si="2">D5-D6-D7-D8</f>
        <v>1293047.4351695534</v>
      </c>
      <c r="E9" s="4">
        <f t="shared" ca="1" si="2"/>
        <v>2541670.5087360777</v>
      </c>
      <c r="F9" s="4">
        <f t="shared" ca="1" si="2"/>
        <v>4050062.4504799396</v>
      </c>
      <c r="G9" s="4">
        <f t="shared" ca="1" si="2"/>
        <v>5638086.3894892307</v>
      </c>
      <c r="H9" s="4">
        <f t="shared" ca="1" si="2"/>
        <v>7046885.7622621097</v>
      </c>
      <c r="I9" s="4">
        <f t="shared" ca="1" si="2"/>
        <v>7965686.3801653348</v>
      </c>
      <c r="J9" s="4">
        <f t="shared" ca="1" si="2"/>
        <v>8693467.7938625831</v>
      </c>
      <c r="K9" s="4">
        <f t="shared" ca="1" si="2"/>
        <v>9571559.2926189378</v>
      </c>
      <c r="L9" s="4">
        <f t="shared" ca="1" si="2"/>
        <v>9883352.3096794002</v>
      </c>
      <c r="M9" s="4">
        <f t="shared" ca="1" si="2"/>
        <v>10243514.385869015</v>
      </c>
      <c r="N9" s="4">
        <f t="shared" ca="1" si="2"/>
        <v>10658178.617165904</v>
      </c>
      <c r="O9" s="4">
        <f t="shared" ca="1" si="2"/>
        <v>11134066.609895281</v>
      </c>
      <c r="P9" s="4">
        <f t="shared" ca="1" si="2"/>
        <v>11678536.842305388</v>
      </c>
      <c r="Q9" s="4">
        <f t="shared" ca="1" si="2"/>
        <v>11961117.764807785</v>
      </c>
      <c r="R9" s="4">
        <f t="shared" ca="1" si="2"/>
        <v>12275589.196770273</v>
      </c>
      <c r="S9" s="4">
        <f t="shared" ca="1" si="2"/>
        <v>12625827.373850778</v>
      </c>
      <c r="T9" s="4">
        <f t="shared" ca="1" si="2"/>
        <v>13016062.003245369</v>
      </c>
      <c r="U9" s="4">
        <f t="shared" ca="1" si="2"/>
        <v>13450903.244320307</v>
      </c>
      <c r="V9" s="4">
        <f t="shared" ca="1" si="2"/>
        <v>13935370.540484017</v>
      </c>
      <c r="W9" s="4">
        <f t="shared" ca="1" si="2"/>
        <v>14474923.421086762</v>
      </c>
      <c r="X9" s="4">
        <f t="shared" ca="1" si="2"/>
        <v>15075494.399431186</v>
      </c>
      <c r="Y9" s="4">
        <f t="shared" ca="1" si="2"/>
        <v>15743524.100707367</v>
      </c>
      <c r="Z9" s="4">
        <f t="shared" ca="1" si="2"/>
        <v>16485998.761856843</v>
      </c>
      <c r="AA9" s="4">
        <f t="shared" ca="1" si="2"/>
        <v>16727543.051957674</v>
      </c>
      <c r="AB9" s="4">
        <f t="shared" ca="1" si="2"/>
        <v>16491285.655705787</v>
      </c>
      <c r="AC9" s="4">
        <f t="shared" ca="1" si="2"/>
        <v>16208030.664057493</v>
      </c>
      <c r="AD9" s="4">
        <f t="shared" ca="1" si="2"/>
        <v>15874698.166286744</v>
      </c>
      <c r="AE9" s="4">
        <f t="shared" ca="1" si="2"/>
        <v>15488052.436867692</v>
      </c>
      <c r="AF9" s="4">
        <f t="shared" ca="1" si="2"/>
        <v>15044694.978008179</v>
      </c>
    </row>
    <row r="12" spans="1:32" x14ac:dyDescent="0.35">
      <c r="A12" t="s">
        <v>79</v>
      </c>
      <c r="C12" s="2">
        <f>Assumptions!$C$25*Assumptions!D9*Assumptions!D13</f>
        <v>3438394.4096308313</v>
      </c>
      <c r="D12" s="2">
        <f>Assumptions!$C$25*Assumptions!E9*Assumptions!E13</f>
        <v>3567614.1560666133</v>
      </c>
      <c r="E12" s="2">
        <f>Assumptions!$C$25*Assumptions!F9*Assumptions!F13</f>
        <v>3701690.1641407232</v>
      </c>
      <c r="F12" s="2">
        <f>Assumptions!$C$25*Assumptions!G9*Assumptions!G13</f>
        <v>3840804.9390642461</v>
      </c>
      <c r="G12" s="2">
        <f>Assumptions!$C$25*Assumptions!H9*Assumptions!H13</f>
        <v>3985147.8448533667</v>
      </c>
      <c r="H12" s="2">
        <f>Assumptions!$C$25*Assumptions!I9*Assumptions!I13</f>
        <v>4134915.362093003</v>
      </c>
      <c r="I12" s="2">
        <f>Assumptions!$C$25*Assumptions!J9*Assumptions!J13</f>
        <v>4290311.3553875741</v>
      </c>
      <c r="J12" s="2">
        <f>Assumptions!$C$25*Assumptions!K9*Assumptions!K13</f>
        <v>4451547.3508629333</v>
      </c>
      <c r="K12" s="2">
        <f>Assumptions!$C$25*Assumptions!L9*Assumptions!L13</f>
        <v>4618842.8240972403</v>
      </c>
      <c r="L12" s="2">
        <f>Assumptions!$C$25*Assumptions!M9*Assumptions!M13</f>
        <v>4792425.498872662</v>
      </c>
      <c r="M12" s="2">
        <f>Assumptions!$C$25*Assumptions!N9*Assumptions!N13</f>
        <v>4972531.657154602</v>
      </c>
      <c r="N12" s="2">
        <f>Assumptions!$C$25*Assumptions!O9*Assumptions!O13</f>
        <v>5159406.4607203752</v>
      </c>
      <c r="O12" s="2">
        <f>Assumptions!$C$25*Assumptions!P9*Assumptions!P13</f>
        <v>5353304.2848751685</v>
      </c>
      <c r="P12" s="2">
        <f>Assumptions!$C$25*Assumptions!Q9*Assumptions!Q13</f>
        <v>5554489.0647094939</v>
      </c>
      <c r="Q12" s="2">
        <f>Assumptions!$C$25*Assumptions!R9*Assumptions!R13</f>
        <v>5763234.6543695107</v>
      </c>
      <c r="R12" s="2">
        <f>Assumptions!$C$25*Assumptions!S9*Assumptions!S13</f>
        <v>5979825.1998292143</v>
      </c>
      <c r="S12" s="2">
        <f>Assumptions!$C$25*Assumptions!T9*Assumptions!T13</f>
        <v>6204555.5256719664</v>
      </c>
      <c r="T12" s="2">
        <f>Assumptions!$C$25*Assumptions!U9*Assumptions!U13</f>
        <v>6437731.5364077855</v>
      </c>
      <c r="U12" s="2">
        <f>Assumptions!$C$25*Assumptions!V9*Assumptions!V13</f>
        <v>6679670.6328727454</v>
      </c>
      <c r="V12" s="2">
        <f>Assumptions!$C$25*Assumptions!W9*Assumptions!W13</f>
        <v>6930702.1442772308</v>
      </c>
      <c r="W12" s="2">
        <f>Assumptions!$C$25*Assumptions!X9*Assumptions!X13</f>
        <v>7191167.7764911894</v>
      </c>
      <c r="X12" s="2">
        <f>Assumptions!$C$25*Assumptions!Y9*Assumptions!Y13</f>
        <v>7461422.0771765858</v>
      </c>
      <c r="Y12" s="2">
        <f>Assumptions!$C$25*Assumptions!Z9*Assumptions!Z13</f>
        <v>7741832.918400187</v>
      </c>
      <c r="Z12" s="2">
        <f>Assumptions!$C$25*Assumptions!AA9*Assumptions!AA13</f>
        <v>8032781.997383615</v>
      </c>
      <c r="AA12" s="2">
        <f>Assumptions!$C$25*Assumptions!AB9*Assumptions!AB13</f>
        <v>8334665.3560723206</v>
      </c>
      <c r="AB12" s="2">
        <f>Assumptions!$C$25*Assumptions!AC9*Assumptions!AC13</f>
        <v>8647893.9202306718</v>
      </c>
      <c r="AC12" s="2">
        <f>Assumptions!$C$25*Assumptions!AD9*Assumptions!AD13</f>
        <v>8972894.0587970149</v>
      </c>
      <c r="AD12" s="2">
        <f>Assumptions!$C$25*Assumptions!AE9*Assumptions!AE13</f>
        <v>9310108.1642600838</v>
      </c>
      <c r="AE12" s="2">
        <f>Assumptions!$C$25*Assumptions!AF9*Assumptions!AF13</f>
        <v>9659995.2548468132</v>
      </c>
      <c r="AF12" s="2">
        <f>Assumptions!$C$25*Assumptions!AG9*Assumptions!AG13</f>
        <v>10023031.599341156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314561.37999999995</v>
      </c>
      <c r="D14" s="5">
        <f>Assumptions!E122*Assumptions!E9</f>
        <v>642963.46071999986</v>
      </c>
      <c r="E14" s="5">
        <f>Assumptions!F122*Assumptions!F9</f>
        <v>985662.98528376</v>
      </c>
      <c r="F14" s="5">
        <f>Assumptions!G122*Assumptions!G9</f>
        <v>1343130.0946133367</v>
      </c>
      <c r="G14" s="5">
        <f>Assumptions!H122*Assumptions!H9</f>
        <v>1715848.6958685378</v>
      </c>
      <c r="H14" s="5">
        <f>Assumptions!I122*Assumptions!I9</f>
        <v>2104316.8406131747</v>
      </c>
      <c r="I14" s="5">
        <f>Assumptions!J122*Assumptions!J9</f>
        <v>2509047.1129577751</v>
      </c>
      <c r="J14" s="5">
        <f>Assumptions!K122*Assumptions!K9</f>
        <v>2930567.0279346816</v>
      </c>
      <c r="K14" s="5">
        <f>Assumptions!L122*Assumptions!L9</f>
        <v>3369419.4403679008</v>
      </c>
      <c r="L14" s="5">
        <f>Assumptions!M122*Assumptions!M9</f>
        <v>3826162.9645066606</v>
      </c>
      <c r="M14" s="5">
        <f>Assumptions!N122*Assumptions!N9</f>
        <v>4301372.4046983887</v>
      </c>
      <c r="N14" s="5">
        <f>Assumptions!O122*Assumptions!O9</f>
        <v>4795639.1973837307</v>
      </c>
      <c r="O14" s="5">
        <f>Assumptions!P122*Assumptions!P9</f>
        <v>5309571.8647033544</v>
      </c>
      <c r="P14" s="5">
        <f>Assumptions!Q122*Assumptions!Q9</f>
        <v>5843796.4800135056</v>
      </c>
      <c r="Q14" s="5">
        <f>Assumptions!R122*Assumptions!R9</f>
        <v>6398957.1456147898</v>
      </c>
      <c r="R14" s="5">
        <f>Assumptions!S122*Assumptions!S9</f>
        <v>6975716.4830062008</v>
      </c>
      <c r="S14" s="5">
        <f>Assumptions!T122*Assumptions!T9</f>
        <v>7574756.1359843593</v>
      </c>
      <c r="T14" s="5">
        <f>Assumptions!U122*Assumptions!U9</f>
        <v>8196777.28691578</v>
      </c>
      <c r="U14" s="5">
        <f>Assumptions!V122*Assumptions!V9</f>
        <v>8842501.1865183674</v>
      </c>
      <c r="V14" s="5">
        <f>Assumptions!W122*Assumptions!W9</f>
        <v>9512669.6974966023</v>
      </c>
      <c r="W14" s="5">
        <f>Assumptions!X122*Assumptions!X9</f>
        <v>10208045.852383602</v>
      </c>
      <c r="X14" s="5">
        <f>Assumptions!Y122*Assumptions!Y9</f>
        <v>10929414.425952042</v>
      </c>
      <c r="Y14" s="5">
        <f>Assumptions!Z122*Assumptions!Z9</f>
        <v>11677582.52256494</v>
      </c>
      <c r="Z14" s="5">
        <f>Assumptions!AA122*Assumptions!AA9</f>
        <v>12453380.178846648</v>
      </c>
      <c r="AA14" s="5">
        <f>Assumptions!AB122*Assumptions!AB9</f>
        <v>13257660.982063826</v>
      </c>
      <c r="AB14" s="5">
        <f>Assumptions!AC122*Assumptions!AC9</f>
        <v>14091302.704616001</v>
      </c>
      <c r="AC14" s="5">
        <f>Assumptions!AD122*Assumptions!AD9</f>
        <v>14955207.955045151</v>
      </c>
      <c r="AD14" s="5">
        <f>Assumptions!AE122*Assumptions!AE9</f>
        <v>15850304.84598415</v>
      </c>
      <c r="AE14" s="5">
        <f>Assumptions!AF122*Assumptions!AF9</f>
        <v>16777547.679474227</v>
      </c>
      <c r="AF14" s="5">
        <f>Assumptions!AG122*Assumptions!AG9</f>
        <v>17737917.650092404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3752955.7896308312</v>
      </c>
      <c r="D27" s="2">
        <f t="shared" ref="D27:AF27" si="8">D12+D13+D14+D19+D20+D22+D24+D25</f>
        <v>4210577.6167866131</v>
      </c>
      <c r="E27" s="2">
        <f t="shared" si="8"/>
        <v>4687353.1494244831</v>
      </c>
      <c r="F27" s="2">
        <f t="shared" si="8"/>
        <v>5183935.0336775826</v>
      </c>
      <c r="G27" s="2">
        <f t="shared" si="8"/>
        <v>5700996.5407219045</v>
      </c>
      <c r="H27" s="2">
        <f t="shared" si="8"/>
        <v>6239232.2027061777</v>
      </c>
      <c r="I27" s="2">
        <f t="shared" si="8"/>
        <v>6799358.4683453497</v>
      </c>
      <c r="J27" s="2">
        <f t="shared" si="8"/>
        <v>7382114.3787976149</v>
      </c>
      <c r="K27" s="2">
        <f t="shared" si="8"/>
        <v>7988262.2644651411</v>
      </c>
      <c r="L27" s="2">
        <f t="shared" si="8"/>
        <v>8618588.4633793235</v>
      </c>
      <c r="M27" s="2">
        <f t="shared" si="8"/>
        <v>9273904.0618529916</v>
      </c>
      <c r="N27" s="2">
        <f t="shared" si="8"/>
        <v>9955045.6581041068</v>
      </c>
      <c r="O27" s="2">
        <f t="shared" si="8"/>
        <v>10662876.149578523</v>
      </c>
      <c r="P27" s="2">
        <f t="shared" si="8"/>
        <v>11398285.544723</v>
      </c>
      <c r="Q27" s="2">
        <f t="shared" si="8"/>
        <v>12162191.799984301</v>
      </c>
      <c r="R27" s="2">
        <f t="shared" si="8"/>
        <v>12955541.682835415</v>
      </c>
      <c r="S27" s="2">
        <f t="shared" si="8"/>
        <v>13779311.661656326</v>
      </c>
      <c r="T27" s="2">
        <f t="shared" si="8"/>
        <v>14634508.823323566</v>
      </c>
      <c r="U27" s="2">
        <f t="shared" si="8"/>
        <v>15522171.819391113</v>
      </c>
      <c r="V27" s="2">
        <f t="shared" si="8"/>
        <v>16443371.841773834</v>
      </c>
      <c r="W27" s="2">
        <f t="shared" si="8"/>
        <v>17399213.628874794</v>
      </c>
      <c r="X27" s="2">
        <f t="shared" si="8"/>
        <v>18390836.503128625</v>
      </c>
      <c r="Y27" s="2">
        <f t="shared" si="8"/>
        <v>19419415.440965127</v>
      </c>
      <c r="Z27" s="2">
        <f t="shared" si="8"/>
        <v>20486162.176230263</v>
      </c>
      <c r="AA27" s="2">
        <f t="shared" si="8"/>
        <v>21592326.338136148</v>
      </c>
      <c r="AB27" s="2">
        <f t="shared" si="8"/>
        <v>22739196.624846675</v>
      </c>
      <c r="AC27" s="2">
        <f t="shared" si="8"/>
        <v>23928102.013842165</v>
      </c>
      <c r="AD27" s="2">
        <f t="shared" si="8"/>
        <v>25160413.010244235</v>
      </c>
      <c r="AE27" s="2">
        <f t="shared" si="8"/>
        <v>26437542.934321038</v>
      </c>
      <c r="AF27" s="2">
        <f t="shared" si="8"/>
        <v>27760949.249433562</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39329170.834999993</v>
      </c>
      <c r="C6" s="12">
        <f ca="1">B6+Depreciation!C18+'Cash Flow'!C13</f>
        <v>40354190.165249243</v>
      </c>
      <c r="D6" s="1">
        <f ca="1">C6+Depreciation!D18</f>
        <v>52384368.760126039</v>
      </c>
      <c r="E6" s="1">
        <f ca="1">D6+Depreciation!E18</f>
        <v>65070147.835273072</v>
      </c>
      <c r="F6" s="1">
        <f ca="1">E6+Depreciation!F18</f>
        <v>78441166.918546483</v>
      </c>
      <c r="G6" s="1">
        <f ca="1">F6+Depreciation!G18</f>
        <v>92528291.13269341</v>
      </c>
      <c r="H6" s="1">
        <f ca="1">G6+Depreciation!H18</f>
        <v>107363659.28254847</v>
      </c>
      <c r="I6" s="1">
        <f ca="1">H6+Depreciation!I18</f>
        <v>122980733.76480171</v>
      </c>
      <c r="J6" s="1">
        <f ca="1">I6+Depreciation!J18</f>
        <v>139414352.36774117</v>
      </c>
      <c r="K6" s="1">
        <f ca="1">J6+Depreciation!K18</f>
        <v>156700782.03082094</v>
      </c>
      <c r="L6" s="1">
        <f ca="1">K6+Depreciation!L18</f>
        <v>174877774.63644058</v>
      </c>
      <c r="M6" s="1">
        <f ca="1">L6+Depreciation!M18</f>
        <v>193984624.90894762</v>
      </c>
      <c r="N6" s="1">
        <f ca="1">M6+Depreciation!N18</f>
        <v>214062230.49859473</v>
      </c>
      <c r="O6" s="1">
        <f ca="1">N6+Depreciation!O18</f>
        <v>235153154.33099985</v>
      </c>
      <c r="P6" s="1">
        <f ca="1">O6+Depreciation!P18</f>
        <v>257301689.30557567</v>
      </c>
      <c r="Q6" s="1">
        <f ca="1">P6+Depreciation!Q18</f>
        <v>280553925.42941672</v>
      </c>
      <c r="R6" s="1">
        <f ca="1">Q6+Depreciation!R18</f>
        <v>304957819.47626203</v>
      </c>
      <c r="S6" s="1">
        <f ca="1">R6+Depreciation!S18</f>
        <v>330563267.26339304</v>
      </c>
      <c r="T6" s="1">
        <f ca="1">S6+Depreciation!T18</f>
        <v>357422178.6426841</v>
      </c>
      <c r="U6" s="1">
        <f ca="1">T6+Depreciation!U18</f>
        <v>385588555.30549937</v>
      </c>
      <c r="V6" s="1">
        <f ca="1">U6+Depreciation!V18</f>
        <v>415118571.50473207</v>
      </c>
      <c r="W6" s="1">
        <f ca="1">V6+Depreciation!W18</f>
        <v>446070657.80101013</v>
      </c>
      <c r="X6" s="1">
        <f ca="1">W6+Depreciation!X18</f>
        <v>478505587.94395649</v>
      </c>
      <c r="Y6" s="1">
        <f ca="1">X6+Depreciation!Y18</f>
        <v>512486569.00339055</v>
      </c>
      <c r="Z6" s="1">
        <f ca="1">Y6+Depreciation!Z18</f>
        <v>548079334.86950111</v>
      </c>
      <c r="AA6" s="1">
        <f ca="1">Z6+Depreciation!AA18</f>
        <v>585352243.24531054</v>
      </c>
      <c r="AB6" s="1">
        <f ca="1">AA6+Depreciation!AB18</f>
        <v>624376376.25919282</v>
      </c>
      <c r="AC6" s="1">
        <f ca="1">AB6+Depreciation!AC18</f>
        <v>665225644.82980764</v>
      </c>
      <c r="AD6" s="1">
        <f ca="1">AC6+Depreciation!AD18</f>
        <v>707976896.92057979</v>
      </c>
      <c r="AE6" s="1">
        <f ca="1">AD6+Depreciation!AE18</f>
        <v>752710029.8257829</v>
      </c>
      <c r="AF6" s="1"/>
      <c r="AG6" s="1"/>
      <c r="AH6" s="1"/>
      <c r="AI6" s="1"/>
      <c r="AJ6" s="1"/>
      <c r="AK6" s="1"/>
      <c r="AL6" s="1"/>
      <c r="AM6" s="1"/>
      <c r="AN6" s="1"/>
      <c r="AO6" s="1"/>
      <c r="AP6" s="1"/>
    </row>
    <row r="7" spans="1:42" x14ac:dyDescent="0.35">
      <c r="A7" t="s">
        <v>12</v>
      </c>
      <c r="B7" s="1">
        <f>Depreciation!C12</f>
        <v>20479647.794737205</v>
      </c>
      <c r="C7" s="1">
        <f>Depreciation!D12</f>
        <v>21583035.157614008</v>
      </c>
      <c r="D7" s="1">
        <f>Depreciation!E12</f>
        <v>22992365.68133704</v>
      </c>
      <c r="E7" s="1">
        <f>Depreciation!F12</f>
        <v>24726089.85954088</v>
      </c>
      <c r="F7" s="1">
        <f>Depreciation!G12</f>
        <v>26803525.731656007</v>
      </c>
      <c r="G7" s="1">
        <f>Depreciation!H12</f>
        <v>29244895.512534261</v>
      </c>
      <c r="H7" s="1">
        <f>Depreciation!I12</f>
        <v>32071363.678003434</v>
      </c>
      <c r="I7" s="1">
        <f>Depreciation!J12</f>
        <v>35305076.562021732</v>
      </c>
      <c r="J7" s="1">
        <f>Depreciation!K12</f>
        <v>38969203.52317486</v>
      </c>
      <c r="K7" s="1">
        <f>Depreciation!L12</f>
        <v>43087979.7404062</v>
      </c>
      <c r="L7" s="1">
        <f>Depreciation!M12</f>
        <v>47686750.700096548</v>
      </c>
      <c r="M7" s="1">
        <f>Depreciation!N12</f>
        <v>52792018.438916825</v>
      </c>
      <c r="N7" s="1">
        <f>Depreciation!O12</f>
        <v>58431489.609268628</v>
      </c>
      <c r="O7" s="1">
        <f>Depreciation!P12</f>
        <v>64634125.436605424</v>
      </c>
      <c r="P7" s="1">
        <f>Depreciation!Q12</f>
        <v>71430193.640495822</v>
      </c>
      <c r="Q7" s="1">
        <f>Depreciation!R12</f>
        <v>78851322.393952057</v>
      </c>
      <c r="R7" s="1">
        <f>Depreciation!S12</f>
        <v>86930556.39830555</v>
      </c>
      <c r="S7" s="1">
        <f>Depreciation!T12</f>
        <v>95702415.153770179</v>
      </c>
      <c r="T7" s="1">
        <f>Depreciation!U12</f>
        <v>105202953.5087966</v>
      </c>
      <c r="U7" s="1">
        <f>Depreciation!V12</f>
        <v>115469824.5743912</v>
      </c>
      <c r="V7" s="1">
        <f>Depreciation!W12</f>
        <v>126542345.09275477</v>
      </c>
      <c r="W7" s="1">
        <f>Depreciation!X12</f>
        <v>138461563.35289335</v>
      </c>
      <c r="X7" s="1">
        <f>Depreciation!Y12</f>
        <v>151270329.74926975</v>
      </c>
      <c r="Y7" s="1">
        <f>Depreciation!Z12</f>
        <v>165013370.08310482</v>
      </c>
      <c r="Z7" s="1">
        <f>Depreciation!AA12</f>
        <v>179737361.70960602</v>
      </c>
      <c r="AA7" s="1">
        <f>Depreciation!AB12</f>
        <v>195491012.6382021</v>
      </c>
      <c r="AB7" s="1">
        <f>Depreciation!AC12</f>
        <v>212325143.69680163</v>
      </c>
      <c r="AC7" s="1">
        <f>Depreciation!AD12</f>
        <v>230292773.87517393</v>
      </c>
      <c r="AD7" s="1">
        <f>Depreciation!AE12</f>
        <v>249449208.96678045</v>
      </c>
      <c r="AE7" s="1">
        <f>Depreciation!AF12</f>
        <v>269852133.63276559</v>
      </c>
      <c r="AF7" s="1"/>
      <c r="AG7" s="1"/>
      <c r="AH7" s="1"/>
      <c r="AI7" s="1"/>
      <c r="AJ7" s="1"/>
      <c r="AK7" s="1"/>
      <c r="AL7" s="1"/>
      <c r="AM7" s="1"/>
      <c r="AN7" s="1"/>
      <c r="AO7" s="1"/>
      <c r="AP7" s="1"/>
    </row>
    <row r="8" spans="1:42" x14ac:dyDescent="0.35">
      <c r="A8" t="s">
        <v>191</v>
      </c>
      <c r="B8" s="1">
        <f t="shared" ref="B8:AE8" si="1">B6-B7</f>
        <v>18849523.040262789</v>
      </c>
      <c r="C8" s="1">
        <f t="shared" ca="1" si="1"/>
        <v>18771155.007635236</v>
      </c>
      <c r="D8" s="1">
        <f ca="1">D6-D7</f>
        <v>29392003.078788999</v>
      </c>
      <c r="E8" s="1">
        <f t="shared" ca="1" si="1"/>
        <v>40344057.975732192</v>
      </c>
      <c r="F8" s="1">
        <f t="shared" ca="1" si="1"/>
        <v>51637641.186890475</v>
      </c>
      <c r="G8" s="1">
        <f t="shared" ca="1" si="1"/>
        <v>63283395.620159149</v>
      </c>
      <c r="H8" s="1">
        <f t="shared" ca="1" si="1"/>
        <v>75292295.604545042</v>
      </c>
      <c r="I8" s="1">
        <f t="shared" ca="1" si="1"/>
        <v>87675657.202779979</v>
      </c>
      <c r="J8" s="1">
        <f t="shared" ca="1" si="1"/>
        <v>100445148.84456632</v>
      </c>
      <c r="K8" s="1">
        <f t="shared" ca="1" si="1"/>
        <v>113612802.29041474</v>
      </c>
      <c r="L8" s="1">
        <f t="shared" ca="1" si="1"/>
        <v>127191023.93634403</v>
      </c>
      <c r="M8" s="1">
        <f t="shared" ca="1" si="1"/>
        <v>141192606.47003078</v>
      </c>
      <c r="N8" s="1">
        <f t="shared" ca="1" si="1"/>
        <v>155630740.8893261</v>
      </c>
      <c r="O8" s="1">
        <f t="shared" ca="1" si="1"/>
        <v>170519028.89439443</v>
      </c>
      <c r="P8" s="1">
        <f t="shared" ca="1" si="1"/>
        <v>185871495.66507983</v>
      </c>
      <c r="Q8" s="1">
        <f t="shared" ca="1" si="1"/>
        <v>201702603.03546464</v>
      </c>
      <c r="R8" s="1">
        <f t="shared" ca="1" si="1"/>
        <v>218027263.0779565</v>
      </c>
      <c r="S8" s="1">
        <f t="shared" ca="1" si="1"/>
        <v>234860852.10962287</v>
      </c>
      <c r="T8" s="1">
        <f t="shared" ca="1" si="1"/>
        <v>252219225.1338875</v>
      </c>
      <c r="U8" s="1">
        <f t="shared" ca="1" si="1"/>
        <v>270118730.73110819</v>
      </c>
      <c r="V8" s="1">
        <f t="shared" ca="1" si="1"/>
        <v>288576226.41197729</v>
      </c>
      <c r="W8" s="1">
        <f t="shared" ca="1" si="1"/>
        <v>307609094.44811678</v>
      </c>
      <c r="X8" s="1">
        <f t="shared" ca="1" si="1"/>
        <v>327235258.19468677</v>
      </c>
      <c r="Y8" s="1">
        <f t="shared" ca="1" si="1"/>
        <v>347473198.9202857</v>
      </c>
      <c r="Z8" s="1">
        <f t="shared" ca="1" si="1"/>
        <v>368341973.15989506</v>
      </c>
      <c r="AA8" s="1">
        <f t="shared" ca="1" si="1"/>
        <v>389861230.60710847</v>
      </c>
      <c r="AB8" s="1">
        <f t="shared" ca="1" si="1"/>
        <v>412051232.56239116</v>
      </c>
      <c r="AC8" s="1">
        <f t="shared" ca="1" si="1"/>
        <v>434932870.95463371</v>
      </c>
      <c r="AD8" s="1">
        <f t="shared" ca="1" si="1"/>
        <v>458527687.95379937</v>
      </c>
      <c r="AE8" s="1">
        <f t="shared" ca="1" si="1"/>
        <v>482857896.1930173</v>
      </c>
      <c r="AF8" s="1"/>
      <c r="AG8" s="1"/>
      <c r="AH8" s="1"/>
      <c r="AI8" s="1"/>
      <c r="AJ8" s="1"/>
      <c r="AK8" s="1"/>
      <c r="AL8" s="1"/>
      <c r="AM8" s="1"/>
      <c r="AN8" s="1"/>
      <c r="AO8" s="1"/>
      <c r="AP8" s="1"/>
    </row>
    <row r="10" spans="1:42" x14ac:dyDescent="0.35">
      <c r="A10" t="s">
        <v>17</v>
      </c>
      <c r="B10" s="1">
        <f>B8-B11</f>
        <v>18849523.040262789</v>
      </c>
      <c r="C10" s="1">
        <f ca="1">C8-C11</f>
        <v>8393135.9606472775</v>
      </c>
      <c r="D10" s="1">
        <f ca="1">D8-D11</f>
        <v>9380240.2349705957</v>
      </c>
      <c r="E10" s="1">
        <f t="shared" ref="E10:AE10" ca="1" si="2">E8-E11</f>
        <v>11597517.089225866</v>
      </c>
      <c r="F10" s="1">
        <f t="shared" ca="1" si="2"/>
        <v>15303867.845794521</v>
      </c>
      <c r="G10" s="1">
        <f ca="1">G8-G11</f>
        <v>20578020.326520629</v>
      </c>
      <c r="H10" s="1">
        <f t="shared" ca="1" si="2"/>
        <v>27239807.704191819</v>
      </c>
      <c r="I10" s="1">
        <f t="shared" ca="1" si="2"/>
        <v>34798249.365808025</v>
      </c>
      <c r="J10" s="1">
        <f t="shared" ca="1" si="2"/>
        <v>43061303.082535788</v>
      </c>
      <c r="K10" s="1">
        <f t="shared" ca="1" si="2"/>
        <v>52178213.119076513</v>
      </c>
      <c r="L10" s="1">
        <f t="shared" ca="1" si="2"/>
        <v>61581570.686296917</v>
      </c>
      <c r="M10" s="1">
        <f t="shared" ca="1" si="2"/>
        <v>71318588.293035984</v>
      </c>
      <c r="N10" s="1">
        <f t="shared" ca="1" si="2"/>
        <v>81442563.478670359</v>
      </c>
      <c r="O10" s="1">
        <f t="shared" ca="1" si="2"/>
        <v>92013465.431580663</v>
      </c>
      <c r="P10" s="1">
        <f t="shared" ca="1" si="2"/>
        <v>103098569.89733244</v>
      </c>
      <c r="Q10" s="1">
        <f t="shared" ca="1" si="2"/>
        <v>114434627.1125744</v>
      </c>
      <c r="R10" s="1">
        <f t="shared" ca="1" si="2"/>
        <v>126052111.05844745</v>
      </c>
      <c r="S10" s="1">
        <f t="shared" ca="1" si="2"/>
        <v>137985313.68118706</v>
      </c>
      <c r="T10" s="1">
        <f t="shared" ca="1" si="2"/>
        <v>150272696.08487064</v>
      </c>
      <c r="U10" s="1">
        <f t="shared" ca="1" si="2"/>
        <v>162957266.61862278</v>
      </c>
      <c r="V10" s="1">
        <f t="shared" ca="1" si="2"/>
        <v>176086987.70633781</v>
      </c>
      <c r="W10" s="1">
        <f t="shared" ca="1" si="2"/>
        <v>189715213.38564953</v>
      </c>
      <c r="X10" s="1">
        <f t="shared" ca="1" si="2"/>
        <v>203901159.64884293</v>
      </c>
      <c r="Y10" s="1">
        <f t="shared" ca="1" si="2"/>
        <v>218710409.81209159</v>
      </c>
      <c r="Z10" s="1">
        <f t="shared" ca="1" si="2"/>
        <v>234215457.28128234</v>
      </c>
      <c r="AA10" s="1">
        <f t="shared" ca="1" si="2"/>
        <v>249913341.03114513</v>
      </c>
      <c r="AB10" s="1">
        <f t="shared" ca="1" si="2"/>
        <v>265324146.55684745</v>
      </c>
      <c r="AC10" s="1">
        <f t="shared" ca="1" si="2"/>
        <v>280398678.10113215</v>
      </c>
      <c r="AD10" s="1">
        <f t="shared" ca="1" si="2"/>
        <v>295084571.35418475</v>
      </c>
      <c r="AE10" s="1">
        <f t="shared" ca="1" si="2"/>
        <v>309326134.21667379</v>
      </c>
      <c r="AF10" s="1"/>
      <c r="AG10" s="1"/>
      <c r="AH10" s="1"/>
      <c r="AI10" s="1"/>
      <c r="AJ10" s="1"/>
      <c r="AK10" s="1"/>
      <c r="AL10" s="1"/>
      <c r="AM10" s="1"/>
      <c r="AN10" s="1"/>
      <c r="AO10" s="1"/>
    </row>
    <row r="11" spans="1:42" x14ac:dyDescent="0.35">
      <c r="A11" t="s">
        <v>9</v>
      </c>
      <c r="B11" s="1">
        <f>Assumptions!$C$20</f>
        <v>0</v>
      </c>
      <c r="C11" s="1">
        <f ca="1">'Debt worksheet'!D5</f>
        <v>10378019.046987958</v>
      </c>
      <c r="D11" s="1">
        <f ca="1">'Debt worksheet'!E5</f>
        <v>20011762.843818404</v>
      </c>
      <c r="E11" s="1">
        <f ca="1">'Debt worksheet'!F5</f>
        <v>28746540.886506326</v>
      </c>
      <c r="F11" s="1">
        <f ca="1">'Debt worksheet'!G5</f>
        <v>36333773.341095954</v>
      </c>
      <c r="G11" s="1">
        <f ca="1">'Debt worksheet'!H5</f>
        <v>42705375.29363852</v>
      </c>
      <c r="H11" s="1">
        <f ca="1">'Debt worksheet'!I5</f>
        <v>48052487.900353223</v>
      </c>
      <c r="I11" s="1">
        <f ca="1">'Debt worksheet'!J5</f>
        <v>52877407.836971954</v>
      </c>
      <c r="J11" s="1">
        <f ca="1">'Debt worksheet'!K5</f>
        <v>57383845.762030527</v>
      </c>
      <c r="K11" s="1">
        <f ca="1">'Debt worksheet'!L5</f>
        <v>61434589.171338223</v>
      </c>
      <c r="L11" s="1">
        <f ca="1">'Debt worksheet'!M5</f>
        <v>65609453.25004711</v>
      </c>
      <c r="M11" s="1">
        <f ca="1">'Debt worksheet'!N5</f>
        <v>69874018.176994801</v>
      </c>
      <c r="N11" s="1">
        <f ca="1">'Debt worksheet'!O5</f>
        <v>74188177.410655737</v>
      </c>
      <c r="O11" s="1">
        <f ca="1">'Debt worksheet'!P5</f>
        <v>78505563.462813765</v>
      </c>
      <c r="P11" s="1">
        <f ca="1">'Debt worksheet'!Q5</f>
        <v>82772925.767747387</v>
      </c>
      <c r="Q11" s="1">
        <f ca="1">'Debt worksheet'!R5</f>
        <v>87267975.922890246</v>
      </c>
      <c r="R11" s="1">
        <f ca="1">'Debt worksheet'!S5</f>
        <v>91975152.019509047</v>
      </c>
      <c r="S11" s="1">
        <f ca="1">'Debt worksheet'!T5</f>
        <v>96875538.428435802</v>
      </c>
      <c r="T11" s="1">
        <f ca="1">'Debt worksheet'!U5</f>
        <v>101946529.04901685</v>
      </c>
      <c r="U11" s="1">
        <f ca="1">'Debt worksheet'!V5</f>
        <v>107161464.11248541</v>
      </c>
      <c r="V11" s="1">
        <f ca="1">'Debt worksheet'!W5</f>
        <v>112489238.70563948</v>
      </c>
      <c r="W11" s="1">
        <f ca="1">'Debt worksheet'!X5</f>
        <v>117893881.06246725</v>
      </c>
      <c r="X11" s="1">
        <f ca="1">'Debt worksheet'!Y5</f>
        <v>123334098.54584384</v>
      </c>
      <c r="Y11" s="1">
        <f ca="1">'Debt worksheet'!Z5</f>
        <v>128762789.1081941</v>
      </c>
      <c r="Z11" s="1">
        <f ca="1">'Debt worksheet'!AA5</f>
        <v>134126515.87861273</v>
      </c>
      <c r="AA11" s="1">
        <f ca="1">'Debt worksheet'!AB5</f>
        <v>139947889.57596335</v>
      </c>
      <c r="AB11" s="1">
        <f ca="1">'Debt worksheet'!AC5</f>
        <v>146727086.00554371</v>
      </c>
      <c r="AC11" s="1">
        <f ca="1">'Debt worksheet'!AD5</f>
        <v>154534192.85350153</v>
      </c>
      <c r="AD11" s="1">
        <f ca="1">'Debt worksheet'!AE5</f>
        <v>163443116.59961459</v>
      </c>
      <c r="AE11" s="1">
        <f ca="1">'Debt worksheet'!AF5</f>
        <v>173531761.97634351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209956.95301204198</v>
      </c>
      <c r="D5" s="4">
        <f ca="1">'Profit and Loss'!D9</f>
        <v>1293047.4351695534</v>
      </c>
      <c r="E5" s="4">
        <f ca="1">'Profit and Loss'!E9</f>
        <v>2541670.5087360777</v>
      </c>
      <c r="F5" s="4">
        <f ca="1">'Profit and Loss'!F9</f>
        <v>4050062.4504799396</v>
      </c>
      <c r="G5" s="4">
        <f ca="1">'Profit and Loss'!G9</f>
        <v>5638086.3894892307</v>
      </c>
      <c r="H5" s="4">
        <f ca="1">'Profit and Loss'!H9</f>
        <v>7046885.7622621097</v>
      </c>
      <c r="I5" s="4">
        <f ca="1">'Profit and Loss'!I9</f>
        <v>7965686.3801653348</v>
      </c>
      <c r="J5" s="4">
        <f ca="1">'Profit and Loss'!J9</f>
        <v>8693467.7938625831</v>
      </c>
      <c r="K5" s="4">
        <f ca="1">'Profit and Loss'!K9</f>
        <v>9571559.2926189378</v>
      </c>
      <c r="L5" s="4">
        <f ca="1">'Profit and Loss'!L9</f>
        <v>9883352.3096794002</v>
      </c>
      <c r="M5" s="4">
        <f ca="1">'Profit and Loss'!M9</f>
        <v>10243514.385869015</v>
      </c>
      <c r="N5" s="4">
        <f ca="1">'Profit and Loss'!N9</f>
        <v>10658178.617165904</v>
      </c>
      <c r="O5" s="4">
        <f ca="1">'Profit and Loss'!O9</f>
        <v>11134066.609895281</v>
      </c>
      <c r="P5" s="4">
        <f ca="1">'Profit and Loss'!P9</f>
        <v>11678536.842305388</v>
      </c>
      <c r="Q5" s="4">
        <f ca="1">'Profit and Loss'!Q9</f>
        <v>11961117.764807785</v>
      </c>
      <c r="R5" s="4">
        <f ca="1">'Profit and Loss'!R9</f>
        <v>12275589.196770273</v>
      </c>
      <c r="S5" s="4">
        <f ca="1">'Profit and Loss'!S9</f>
        <v>12625827.373850778</v>
      </c>
      <c r="T5" s="4">
        <f ca="1">'Profit and Loss'!T9</f>
        <v>13016062.003245369</v>
      </c>
      <c r="U5" s="4">
        <f ca="1">'Profit and Loss'!U9</f>
        <v>13450903.244320307</v>
      </c>
      <c r="V5" s="4">
        <f ca="1">'Profit and Loss'!V9</f>
        <v>13935370.540484017</v>
      </c>
      <c r="W5" s="4">
        <f ca="1">'Profit and Loss'!W9</f>
        <v>14474923.421086762</v>
      </c>
      <c r="X5" s="4">
        <f ca="1">'Profit and Loss'!X9</f>
        <v>15075494.399431186</v>
      </c>
      <c r="Y5" s="4">
        <f ca="1">'Profit and Loss'!Y9</f>
        <v>15743524.100707367</v>
      </c>
      <c r="Z5" s="4">
        <f ca="1">'Profit and Loss'!Z9</f>
        <v>16485998.761856843</v>
      </c>
      <c r="AA5" s="4">
        <f ca="1">'Profit and Loss'!AA9</f>
        <v>16727543.051957674</v>
      </c>
      <c r="AB5" s="4">
        <f ca="1">'Profit and Loss'!AB9</f>
        <v>16491285.655705787</v>
      </c>
      <c r="AC5" s="4">
        <f ca="1">'Profit and Loss'!AC9</f>
        <v>16208030.664057493</v>
      </c>
      <c r="AD5" s="4">
        <f ca="1">'Profit and Loss'!AD9</f>
        <v>15874698.166286744</v>
      </c>
      <c r="AE5" s="4">
        <f ca="1">'Profit and Loss'!AE9</f>
        <v>15488052.436867692</v>
      </c>
      <c r="AF5" s="4">
        <f ca="1">'Profit and Loss'!AF9</f>
        <v>15044694.978008179</v>
      </c>
      <c r="AG5" s="4"/>
      <c r="AH5" s="4"/>
      <c r="AI5" s="4"/>
      <c r="AJ5" s="4"/>
      <c r="AK5" s="4"/>
      <c r="AL5" s="4"/>
      <c r="AM5" s="4"/>
      <c r="AN5" s="4"/>
      <c r="AO5" s="4"/>
      <c r="AP5" s="4"/>
    </row>
    <row r="6" spans="1:42" x14ac:dyDescent="0.35">
      <c r="A6" t="s">
        <v>21</v>
      </c>
      <c r="C6" s="4">
        <f>Depreciation!C8+Depreciation!C9</f>
        <v>815062.37723720912</v>
      </c>
      <c r="D6" s="4">
        <f>Depreciation!D8+Depreciation!D9</f>
        <v>1103387.3628767997</v>
      </c>
      <c r="E6" s="4">
        <f>Depreciation!E8+Depreciation!E9</f>
        <v>1409330.5237230333</v>
      </c>
      <c r="F6" s="4">
        <f>Depreciation!F8+Depreciation!F9</f>
        <v>1733724.1782038398</v>
      </c>
      <c r="G6" s="4">
        <f>Depreciation!G8+Depreciation!G9</f>
        <v>2077435.8721151259</v>
      </c>
      <c r="H6" s="4">
        <f>Depreciation!H8+Depreciation!H9</f>
        <v>2441369.7808782528</v>
      </c>
      <c r="I6" s="4">
        <f>Depreciation!I8+Depreciation!I9</f>
        <v>2826468.1654691743</v>
      </c>
      <c r="J6" s="4">
        <f>Depreciation!J8+Depreciation!J9</f>
        <v>3233712.8840182964</v>
      </c>
      <c r="K6" s="4">
        <f>Depreciation!K8+Depreciation!K9</f>
        <v>3664126.9611531217</v>
      </c>
      <c r="L6" s="4">
        <f>Depreciation!L8+Depreciation!L9</f>
        <v>4118776.2172313402</v>
      </c>
      <c r="M6" s="4">
        <f>Depreciation!M8+Depreciation!M9</f>
        <v>4598770.9596903436</v>
      </c>
      <c r="N6" s="4">
        <f>Depreciation!N8+Depreciation!N9</f>
        <v>5105267.738820279</v>
      </c>
      <c r="O6" s="4">
        <f>Depreciation!O8+Depreciation!O9</f>
        <v>5639471.1703518089</v>
      </c>
      <c r="P6" s="4">
        <f>Depreciation!P8+Depreciation!P9</f>
        <v>6202635.8273368012</v>
      </c>
      <c r="Q6" s="4">
        <f>Depreciation!Q8+Depreciation!Q9</f>
        <v>6796068.2038903944</v>
      </c>
      <c r="R6" s="4">
        <f>Depreciation!R8+Depreciation!R9</f>
        <v>7421128.7534562256</v>
      </c>
      <c r="S6" s="4">
        <f>Depreciation!S8+Depreciation!S9</f>
        <v>8079234.0043534851</v>
      </c>
      <c r="T6" s="4">
        <f>Depreciation!T8+Depreciation!T9</f>
        <v>8771858.7554646283</v>
      </c>
      <c r="U6" s="4">
        <f>Depreciation!U8+Depreciation!U9</f>
        <v>9500538.3550264295</v>
      </c>
      <c r="V6" s="4">
        <f>Depreciation!V8+Depreciation!V9</f>
        <v>10266871.065594591</v>
      </c>
      <c r="W6" s="4">
        <f>Depreciation!W8+Depreciation!W9</f>
        <v>11072520.518363565</v>
      </c>
      <c r="X6" s="4">
        <f>Depreciation!X8+Depreciation!X9</f>
        <v>11919218.260138582</v>
      </c>
      <c r="Y6" s="4">
        <f>Depreciation!Y8+Depreciation!Y9</f>
        <v>12808766.396376401</v>
      </c>
      <c r="Z6" s="4">
        <f>Depreciation!Z8+Depreciation!Z9</f>
        <v>13743040.333835058</v>
      </c>
      <c r="AA6" s="4">
        <f>Depreciation!AA8+Depreciation!AA9</f>
        <v>14723991.62650118</v>
      </c>
      <c r="AB6" s="4">
        <f>Depreciation!AB8+Depreciation!AB9</f>
        <v>15753650.928596083</v>
      </c>
      <c r="AC6" s="4">
        <f>Depreciation!AC8+Depreciation!AC9</f>
        <v>16834131.05859952</v>
      </c>
      <c r="AD6" s="4">
        <f>Depreciation!AD8+Depreciation!AD9</f>
        <v>17967630.178372305</v>
      </c>
      <c r="AE6" s="4">
        <f>Depreciation!AE8+Depreciation!AE9</f>
        <v>19156435.091606539</v>
      </c>
      <c r="AF6" s="4">
        <f>Depreciation!AF8+Depreciation!AF9</f>
        <v>20402924.665985107</v>
      </c>
      <c r="AG6" s="4"/>
      <c r="AH6" s="4"/>
      <c r="AI6" s="4"/>
      <c r="AJ6" s="4"/>
      <c r="AK6" s="4"/>
      <c r="AL6" s="4"/>
      <c r="AM6" s="4"/>
      <c r="AN6" s="4"/>
      <c r="AO6" s="4"/>
      <c r="AP6" s="4"/>
    </row>
    <row r="7" spans="1:42" x14ac:dyDescent="0.35">
      <c r="A7" t="s">
        <v>23</v>
      </c>
      <c r="C7" s="4">
        <f ca="1">C6+C5</f>
        <v>1025019.3302492511</v>
      </c>
      <c r="D7" s="4">
        <f ca="1">D6+D5</f>
        <v>2396434.7980463533</v>
      </c>
      <c r="E7" s="4">
        <f t="shared" ref="E7:AF7" ca="1" si="1">E6+E5</f>
        <v>3951001.032459111</v>
      </c>
      <c r="F7" s="4">
        <f t="shared" ca="1" si="1"/>
        <v>5783786.6286837794</v>
      </c>
      <c r="G7" s="4">
        <f ca="1">G6+G5</f>
        <v>7715522.2616043566</v>
      </c>
      <c r="H7" s="4">
        <f t="shared" ca="1" si="1"/>
        <v>9488255.5431403629</v>
      </c>
      <c r="I7" s="4">
        <f t="shared" ca="1" si="1"/>
        <v>10792154.545634508</v>
      </c>
      <c r="J7" s="4">
        <f t="shared" ca="1" si="1"/>
        <v>11927180.677880879</v>
      </c>
      <c r="K7" s="4">
        <f t="shared" ca="1" si="1"/>
        <v>13235686.253772059</v>
      </c>
      <c r="L7" s="4">
        <f t="shared" ca="1" si="1"/>
        <v>14002128.526910741</v>
      </c>
      <c r="M7" s="4">
        <f t="shared" ca="1" si="1"/>
        <v>14842285.345559359</v>
      </c>
      <c r="N7" s="4">
        <f t="shared" ca="1" si="1"/>
        <v>15763446.355986184</v>
      </c>
      <c r="O7" s="4">
        <f t="shared" ca="1" si="1"/>
        <v>16773537.78024709</v>
      </c>
      <c r="P7" s="4">
        <f t="shared" ca="1" si="1"/>
        <v>17881172.669642188</v>
      </c>
      <c r="Q7" s="4">
        <f t="shared" ca="1" si="1"/>
        <v>18757185.968698181</v>
      </c>
      <c r="R7" s="4">
        <f t="shared" ca="1" si="1"/>
        <v>19696717.950226501</v>
      </c>
      <c r="S7" s="4">
        <f t="shared" ca="1" si="1"/>
        <v>20705061.378204264</v>
      </c>
      <c r="T7" s="4">
        <f t="shared" ca="1" si="1"/>
        <v>21787920.758709997</v>
      </c>
      <c r="U7" s="4">
        <f t="shared" ca="1" si="1"/>
        <v>22951441.599346735</v>
      </c>
      <c r="V7" s="4">
        <f t="shared" ca="1" si="1"/>
        <v>24202241.60607861</v>
      </c>
      <c r="W7" s="4">
        <f t="shared" ca="1" si="1"/>
        <v>25547443.939450327</v>
      </c>
      <c r="X7" s="4">
        <f t="shared" ca="1" si="1"/>
        <v>26994712.65956977</v>
      </c>
      <c r="Y7" s="4">
        <f t="shared" ca="1" si="1"/>
        <v>28552290.497083768</v>
      </c>
      <c r="Z7" s="4">
        <f t="shared" ca="1" si="1"/>
        <v>30229039.095691901</v>
      </c>
      <c r="AA7" s="4">
        <f t="shared" ca="1" si="1"/>
        <v>31451534.678458855</v>
      </c>
      <c r="AB7" s="4">
        <f t="shared" ca="1" si="1"/>
        <v>32244936.58430187</v>
      </c>
      <c r="AC7" s="4">
        <f t="shared" ca="1" si="1"/>
        <v>33042161.722657014</v>
      </c>
      <c r="AD7" s="4">
        <f t="shared" ca="1" si="1"/>
        <v>33842328.344659045</v>
      </c>
      <c r="AE7" s="4">
        <f t="shared" ca="1" si="1"/>
        <v>34644487.528474227</v>
      </c>
      <c r="AF7" s="4">
        <f t="shared" ca="1" si="1"/>
        <v>35447619.643993288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11403038.37723721</v>
      </c>
      <c r="D10" s="9">
        <f>Investment!D25</f>
        <v>12030178.594876798</v>
      </c>
      <c r="E10" s="9">
        <f>Investment!E25</f>
        <v>12685779.075147033</v>
      </c>
      <c r="F10" s="9">
        <f>Investment!F25</f>
        <v>13371019.083273407</v>
      </c>
      <c r="G10" s="9">
        <f>Investment!G25</f>
        <v>14087124.21414692</v>
      </c>
      <c r="H10" s="9">
        <f>Investment!H25</f>
        <v>14835368.149855062</v>
      </c>
      <c r="I10" s="9">
        <f>Investment!I25</f>
        <v>15617074.482253239</v>
      </c>
      <c r="J10" s="9">
        <f>Investment!J25</f>
        <v>16433618.602939455</v>
      </c>
      <c r="K10" s="9">
        <f>Investment!K25</f>
        <v>17286429.663079757</v>
      </c>
      <c r="L10" s="9">
        <f>Investment!L25</f>
        <v>18176992.605619628</v>
      </c>
      <c r="M10" s="9">
        <f>Investment!M25</f>
        <v>19106850.272507053</v>
      </c>
      <c r="N10" s="9">
        <f>Investment!N25</f>
        <v>20077605.589647125</v>
      </c>
      <c r="O10" s="9">
        <f>Investment!O25</f>
        <v>21090923.832405116</v>
      </c>
      <c r="P10" s="9">
        <f>Investment!P25</f>
        <v>22148534.974575814</v>
      </c>
      <c r="Q10" s="9">
        <f>Investment!Q25</f>
        <v>23252236.123841047</v>
      </c>
      <c r="R10" s="9">
        <f>Investment!R25</f>
        <v>24403894.046845309</v>
      </c>
      <c r="S10" s="9">
        <f>Investment!S25</f>
        <v>25605447.787131019</v>
      </c>
      <c r="T10" s="9">
        <f>Investment!T25</f>
        <v>26858911.379291039</v>
      </c>
      <c r="U10" s="9">
        <f>Investment!U25</f>
        <v>28166376.662815288</v>
      </c>
      <c r="V10" s="9">
        <f>Investment!V25</f>
        <v>29530016.19923269</v>
      </c>
      <c r="W10" s="9">
        <f>Investment!W25</f>
        <v>30952086.296278086</v>
      </c>
      <c r="X10" s="9">
        <f>Investment!X25</f>
        <v>32434930.142946366</v>
      </c>
      <c r="Y10" s="9">
        <f>Investment!Y25</f>
        <v>33980981.059434026</v>
      </c>
      <c r="Z10" s="9">
        <f>Investment!Z25</f>
        <v>35592765.866110533</v>
      </c>
      <c r="AA10" s="9">
        <f>Investment!AA25</f>
        <v>37272908.375809476</v>
      </c>
      <c r="AB10" s="9">
        <f>Investment!AB25</f>
        <v>39024133.013882235</v>
      </c>
      <c r="AC10" s="9">
        <f>Investment!AC25</f>
        <v>40849268.57061483</v>
      </c>
      <c r="AD10" s="9">
        <f>Investment!AD25</f>
        <v>42751252.090772115</v>
      </c>
      <c r="AE10" s="9">
        <f>Investment!AE25</f>
        <v>44733132.905203134</v>
      </c>
      <c r="AF10" s="9">
        <f>Investment!AF25</f>
        <v>46798076.809616789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-10378019.046987958</v>
      </c>
      <c r="D12" s="1">
        <f t="shared" ref="D12:AF12" ca="1" si="2">D7-D9-D10</f>
        <v>-9633743.7968304455</v>
      </c>
      <c r="E12" s="1">
        <f ca="1">E7-E9-E10</f>
        <v>-8734778.0426879227</v>
      </c>
      <c r="F12" s="1">
        <f t="shared" ca="1" si="2"/>
        <v>-7587232.4545896277</v>
      </c>
      <c r="G12" s="1">
        <f ca="1">G7-G9-G10</f>
        <v>-6371601.952542563</v>
      </c>
      <c r="H12" s="1">
        <f t="shared" ca="1" si="2"/>
        <v>-5347112.6067146994</v>
      </c>
      <c r="I12" s="1">
        <f t="shared" ca="1" si="2"/>
        <v>-4824919.9366187304</v>
      </c>
      <c r="J12" s="1">
        <f t="shared" ca="1" si="2"/>
        <v>-4506437.9250585753</v>
      </c>
      <c r="K12" s="1">
        <f t="shared" ca="1" si="2"/>
        <v>-4050743.4093076978</v>
      </c>
      <c r="L12" s="1">
        <f t="shared" ca="1" si="2"/>
        <v>-4174864.0787088871</v>
      </c>
      <c r="M12" s="1">
        <f t="shared" ca="1" si="2"/>
        <v>-4264564.9269476943</v>
      </c>
      <c r="N12" s="1">
        <f t="shared" ca="1" si="2"/>
        <v>-4314159.2336609419</v>
      </c>
      <c r="O12" s="1">
        <f t="shared" ca="1" si="2"/>
        <v>-4317386.052158026</v>
      </c>
      <c r="P12" s="1">
        <f t="shared" ca="1" si="2"/>
        <v>-4267362.3049336262</v>
      </c>
      <c r="Q12" s="1">
        <f t="shared" ca="1" si="2"/>
        <v>-4495050.1551428661</v>
      </c>
      <c r="R12" s="1">
        <f t="shared" ca="1" si="2"/>
        <v>-4707176.0966188088</v>
      </c>
      <c r="S12" s="1">
        <f t="shared" ca="1" si="2"/>
        <v>-4900386.4089267552</v>
      </c>
      <c r="T12" s="1">
        <f t="shared" ca="1" si="2"/>
        <v>-5070990.620581042</v>
      </c>
      <c r="U12" s="1">
        <f t="shared" ca="1" si="2"/>
        <v>-5214935.0634685531</v>
      </c>
      <c r="V12" s="1">
        <f t="shared" ca="1" si="2"/>
        <v>-5327774.5931540802</v>
      </c>
      <c r="W12" s="1">
        <f t="shared" ca="1" si="2"/>
        <v>-5404642.3568277583</v>
      </c>
      <c r="X12" s="1">
        <f t="shared" ca="1" si="2"/>
        <v>-5440217.4833765961</v>
      </c>
      <c r="Y12" s="1">
        <f t="shared" ca="1" si="2"/>
        <v>-5428690.5623502582</v>
      </c>
      <c r="Z12" s="1">
        <f t="shared" ca="1" si="2"/>
        <v>-5363726.7704186328</v>
      </c>
      <c r="AA12" s="1">
        <f t="shared" ca="1" si="2"/>
        <v>-5821373.6973506212</v>
      </c>
      <c r="AB12" s="1">
        <f t="shared" ca="1" si="2"/>
        <v>-6779196.4295803644</v>
      </c>
      <c r="AC12" s="1">
        <f t="shared" ca="1" si="2"/>
        <v>-7807106.847957816</v>
      </c>
      <c r="AD12" s="1">
        <f t="shared" ca="1" si="2"/>
        <v>-8908923.7461130694</v>
      </c>
      <c r="AE12" s="1">
        <f t="shared" ca="1" si="2"/>
        <v>-10088645.376728907</v>
      </c>
      <c r="AF12" s="1">
        <f t="shared" ca="1" si="2"/>
        <v>-11350457.165623501</v>
      </c>
      <c r="AG12" s="1"/>
      <c r="AH12" s="1"/>
      <c r="AI12" s="1"/>
      <c r="AJ12" s="1"/>
      <c r="AK12" s="1"/>
      <c r="AL12" s="1"/>
      <c r="AM12" s="1"/>
      <c r="AN12" s="1"/>
      <c r="AO12" s="1"/>
      <c r="AP12" s="1"/>
    </row>
    <row r="13" spans="1:42" x14ac:dyDescent="0.35">
      <c r="A13" t="s">
        <v>19</v>
      </c>
      <c r="C13" s="1">
        <f ca="1">C12</f>
        <v>-10378019.046987958</v>
      </c>
      <c r="D13" s="1">
        <f ca="1">D12</f>
        <v>-9633743.7968304455</v>
      </c>
      <c r="E13" s="1">
        <f ca="1">E12</f>
        <v>-8734778.0426879227</v>
      </c>
      <c r="F13" s="1">
        <f t="shared" ref="F13:AF13" ca="1" si="3">F12</f>
        <v>-7587232.4545896277</v>
      </c>
      <c r="G13" s="1">
        <f ca="1">G12</f>
        <v>-6371601.952542563</v>
      </c>
      <c r="H13" s="1">
        <f t="shared" ca="1" si="3"/>
        <v>-5347112.6067146994</v>
      </c>
      <c r="I13" s="1">
        <f t="shared" ca="1" si="3"/>
        <v>-4824919.9366187304</v>
      </c>
      <c r="J13" s="1">
        <f t="shared" ca="1" si="3"/>
        <v>-4506437.9250585753</v>
      </c>
      <c r="K13" s="1">
        <f t="shared" ca="1" si="3"/>
        <v>-4050743.4093076978</v>
      </c>
      <c r="L13" s="1">
        <f t="shared" ca="1" si="3"/>
        <v>-4174864.0787088871</v>
      </c>
      <c r="M13" s="1">
        <f t="shared" ca="1" si="3"/>
        <v>-4264564.9269476943</v>
      </c>
      <c r="N13" s="1">
        <f t="shared" ca="1" si="3"/>
        <v>-4314159.2336609419</v>
      </c>
      <c r="O13" s="1">
        <f t="shared" ca="1" si="3"/>
        <v>-4317386.052158026</v>
      </c>
      <c r="P13" s="1">
        <f t="shared" ca="1" si="3"/>
        <v>-4267362.3049336262</v>
      </c>
      <c r="Q13" s="1">
        <f t="shared" ca="1" si="3"/>
        <v>-4495050.1551428661</v>
      </c>
      <c r="R13" s="1">
        <f t="shared" ca="1" si="3"/>
        <v>-4707176.0966188088</v>
      </c>
      <c r="S13" s="1">
        <f t="shared" ca="1" si="3"/>
        <v>-4900386.4089267552</v>
      </c>
      <c r="T13" s="1">
        <f t="shared" ca="1" si="3"/>
        <v>-5070990.620581042</v>
      </c>
      <c r="U13" s="1">
        <f t="shared" ca="1" si="3"/>
        <v>-5214935.0634685531</v>
      </c>
      <c r="V13" s="1">
        <f t="shared" ca="1" si="3"/>
        <v>-5327774.5931540802</v>
      </c>
      <c r="W13" s="1">
        <f t="shared" ca="1" si="3"/>
        <v>-5404642.3568277583</v>
      </c>
      <c r="X13" s="1">
        <f t="shared" ca="1" si="3"/>
        <v>-5440217.4833765961</v>
      </c>
      <c r="Y13" s="1">
        <f t="shared" ca="1" si="3"/>
        <v>-5428690.5623502582</v>
      </c>
      <c r="Z13" s="1">
        <f t="shared" ca="1" si="3"/>
        <v>-5363726.7704186328</v>
      </c>
      <c r="AA13" s="1">
        <f t="shared" ca="1" si="3"/>
        <v>-5821373.6973506212</v>
      </c>
      <c r="AB13" s="1">
        <f t="shared" ca="1" si="3"/>
        <v>-6779196.4295803644</v>
      </c>
      <c r="AC13" s="1">
        <f t="shared" ca="1" si="3"/>
        <v>-7807106.847957816</v>
      </c>
      <c r="AD13" s="1">
        <f t="shared" ca="1" si="3"/>
        <v>-8908923.7461130694</v>
      </c>
      <c r="AE13" s="1">
        <f t="shared" ca="1" si="3"/>
        <v>-10088645.376728907</v>
      </c>
      <c r="AF13" s="1">
        <f t="shared" ca="1" si="3"/>
        <v>-11350457.165623501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39329170.834999993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19664585.417499997</v>
      </c>
      <c r="D7" s="9">
        <f>C12</f>
        <v>20479647.794737205</v>
      </c>
      <c r="E7" s="9">
        <f>D12</f>
        <v>21583035.157614008</v>
      </c>
      <c r="F7" s="9">
        <f t="shared" ref="F7:H7" si="1">E12</f>
        <v>22992365.68133704</v>
      </c>
      <c r="G7" s="9">
        <f t="shared" si="1"/>
        <v>24726089.85954088</v>
      </c>
      <c r="H7" s="9">
        <f t="shared" si="1"/>
        <v>26803525.731656007</v>
      </c>
      <c r="I7" s="9">
        <f t="shared" ref="I7" si="2">H12</f>
        <v>29244895.512534261</v>
      </c>
      <c r="J7" s="9">
        <f t="shared" ref="J7" si="3">I12</f>
        <v>32071363.678003434</v>
      </c>
      <c r="K7" s="9">
        <f t="shared" ref="K7" si="4">J12</f>
        <v>35305076.562021732</v>
      </c>
      <c r="L7" s="9">
        <f t="shared" ref="L7" si="5">K12</f>
        <v>38969203.52317486</v>
      </c>
      <c r="M7" s="9">
        <f t="shared" ref="M7" si="6">L12</f>
        <v>43087979.7404062</v>
      </c>
      <c r="N7" s="9">
        <f t="shared" ref="N7" si="7">M12</f>
        <v>47686750.700096548</v>
      </c>
      <c r="O7" s="9">
        <f t="shared" ref="O7" si="8">N12</f>
        <v>52792018.438916825</v>
      </c>
      <c r="P7" s="9">
        <f t="shared" ref="P7" si="9">O12</f>
        <v>58431489.609268628</v>
      </c>
      <c r="Q7" s="9">
        <f t="shared" ref="Q7" si="10">P12</f>
        <v>64634125.436605424</v>
      </c>
      <c r="R7" s="9">
        <f t="shared" ref="R7" si="11">Q12</f>
        <v>71430193.640495822</v>
      </c>
      <c r="S7" s="9">
        <f t="shared" ref="S7" si="12">R12</f>
        <v>78851322.393952057</v>
      </c>
      <c r="T7" s="9">
        <f t="shared" ref="T7" si="13">S12</f>
        <v>86930556.39830555</v>
      </c>
      <c r="U7" s="9">
        <f t="shared" ref="U7" si="14">T12</f>
        <v>95702415.153770179</v>
      </c>
      <c r="V7" s="9">
        <f t="shared" ref="V7" si="15">U12</f>
        <v>105202953.5087966</v>
      </c>
      <c r="W7" s="9">
        <f t="shared" ref="W7" si="16">V12</f>
        <v>115469824.5743912</v>
      </c>
      <c r="X7" s="9">
        <f t="shared" ref="X7" si="17">W12</f>
        <v>126542345.09275477</v>
      </c>
      <c r="Y7" s="9">
        <f t="shared" ref="Y7" si="18">X12</f>
        <v>138461563.35289335</v>
      </c>
      <c r="Z7" s="9">
        <f t="shared" ref="Z7" si="19">Y12</f>
        <v>151270329.74926975</v>
      </c>
      <c r="AA7" s="9">
        <f t="shared" ref="AA7" si="20">Z12</f>
        <v>165013370.08310482</v>
      </c>
      <c r="AB7" s="9">
        <f t="shared" ref="AB7" si="21">AA12</f>
        <v>179737361.70960602</v>
      </c>
      <c r="AC7" s="9">
        <f t="shared" ref="AC7" si="22">AB12</f>
        <v>195491012.6382021</v>
      </c>
      <c r="AD7" s="9">
        <f t="shared" ref="AD7" si="23">AC12</f>
        <v>212325143.69680163</v>
      </c>
      <c r="AE7" s="9">
        <f t="shared" ref="AE7" si="24">AD12</f>
        <v>230292773.87517393</v>
      </c>
      <c r="AF7" s="9">
        <f t="shared" ref="AF7" si="25">AE12</f>
        <v>249449208.96678045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560950.95323720912</v>
      </c>
      <c r="D8" s="9">
        <f>Assumptions!E111*Assumptions!E11</f>
        <v>578901.38374079973</v>
      </c>
      <c r="E8" s="9">
        <f>Assumptions!F111*Assumptions!F11</f>
        <v>597426.22802050528</v>
      </c>
      <c r="F8" s="9">
        <f>Assumptions!G111*Assumptions!G11</f>
        <v>616543.86731716152</v>
      </c>
      <c r="G8" s="9">
        <f>Assumptions!H111*Assumptions!H11</f>
        <v>636273.27107131074</v>
      </c>
      <c r="H8" s="9">
        <f>Assumptions!I111*Assumptions!I11</f>
        <v>656634.01574559265</v>
      </c>
      <c r="I8" s="9">
        <f>Assumptions!J111*Assumptions!J11</f>
        <v>677646.3042494515</v>
      </c>
      <c r="J8" s="9">
        <f>Assumptions!K111*Assumptions!K11</f>
        <v>699330.98598543403</v>
      </c>
      <c r="K8" s="9">
        <f>Assumptions!L111*Assumptions!L11</f>
        <v>721709.57753696793</v>
      </c>
      <c r="L8" s="9">
        <f>Assumptions!M111*Assumptions!M11</f>
        <v>744804.28401815088</v>
      </c>
      <c r="M8" s="9">
        <f>Assumptions!N111*Assumptions!N11</f>
        <v>768638.02110673173</v>
      </c>
      <c r="N8" s="9">
        <f>Assumptions!O111*Assumptions!O11</f>
        <v>793234.43778214708</v>
      </c>
      <c r="O8" s="9">
        <f>Assumptions!P111*Assumptions!P11</f>
        <v>818617.93979117589</v>
      </c>
      <c r="P8" s="9">
        <f>Assumptions!Q111*Assumptions!Q11</f>
        <v>844813.71386449342</v>
      </c>
      <c r="Q8" s="9">
        <f>Assumptions!R111*Assumptions!R11</f>
        <v>871847.75270815706</v>
      </c>
      <c r="R8" s="9">
        <f>Assumptions!S111*Assumptions!S11</f>
        <v>899746.88079481828</v>
      </c>
      <c r="S8" s="9">
        <f>Assumptions!T111*Assumptions!T11</f>
        <v>928538.78098025254</v>
      </c>
      <c r="T8" s="9">
        <f>Assumptions!U111*Assumptions!U11</f>
        <v>958252.0219716205</v>
      </c>
      <c r="U8" s="9">
        <f>Assumptions!V111*Assumptions!V11</f>
        <v>988916.08667471225</v>
      </c>
      <c r="V8" s="9">
        <f>Assumptions!W111*Assumptions!W11</f>
        <v>1020561.4014483031</v>
      </c>
      <c r="W8" s="9">
        <f>Assumptions!X111*Assumptions!X11</f>
        <v>1053219.366294649</v>
      </c>
      <c r="X8" s="9">
        <f>Assumptions!Y111*Assumptions!Y11</f>
        <v>1086922.3860160776</v>
      </c>
      <c r="Y8" s="9">
        <f>Assumptions!Z111*Assumptions!Z11</f>
        <v>1121703.9023685919</v>
      </c>
      <c r="Z8" s="9">
        <f>Assumptions!AA111*Assumptions!AA11</f>
        <v>1157598.4272443869</v>
      </c>
      <c r="AA8" s="9">
        <f>Assumptions!AB111*Assumptions!AB11</f>
        <v>1194641.5769162076</v>
      </c>
      <c r="AB8" s="9">
        <f>Assumptions!AC111*Assumptions!AC11</f>
        <v>1232870.1073775259</v>
      </c>
      <c r="AC8" s="9">
        <f>Assumptions!AD111*Assumptions!AD11</f>
        <v>1272321.9508136066</v>
      </c>
      <c r="AD8" s="9">
        <f>Assumptions!AE111*Assumptions!AE11</f>
        <v>1313036.2532396424</v>
      </c>
      <c r="AE8" s="9">
        <f>Assumptions!AF111*Assumptions!AF11</f>
        <v>1355053.4133433108</v>
      </c>
      <c r="AF8" s="9">
        <f>Assumptions!AG111*Assumptions!AG11</f>
        <v>1398415.1225702965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254111.42399999997</v>
      </c>
      <c r="D9" s="9">
        <f>Assumptions!E120*Assumptions!E11</f>
        <v>524485.97913599992</v>
      </c>
      <c r="E9" s="9">
        <f>Assumptions!F120*Assumptions!F11</f>
        <v>811904.29570252798</v>
      </c>
      <c r="F9" s="9">
        <f>Assumptions!G120*Assumptions!G11</f>
        <v>1117180.3108866783</v>
      </c>
      <c r="G9" s="9">
        <f>Assumptions!H120*Assumptions!H11</f>
        <v>1441162.601043815</v>
      </c>
      <c r="H9" s="9">
        <f>Assumptions!I120*Assumptions!I11</f>
        <v>1784735.7651326603</v>
      </c>
      <c r="I9" s="9">
        <f>Assumptions!J120*Assumptions!J11</f>
        <v>2148821.8612197228</v>
      </c>
      <c r="J9" s="9">
        <f>Assumptions!K120*Assumptions!K11</f>
        <v>2534381.8980328622</v>
      </c>
      <c r="K9" s="9">
        <f>Assumptions!L120*Assumptions!L11</f>
        <v>2942417.3836161536</v>
      </c>
      <c r="L9" s="9">
        <f>Assumptions!M120*Assumptions!M11</f>
        <v>3373971.9332131892</v>
      </c>
      <c r="M9" s="9">
        <f>Assumptions!N120*Assumptions!N11</f>
        <v>3830132.938583612</v>
      </c>
      <c r="N9" s="9">
        <f>Assumptions!O120*Assumptions!O11</f>
        <v>4312033.301038132</v>
      </c>
      <c r="O9" s="9">
        <f>Assumptions!P120*Assumptions!P11</f>
        <v>4820853.2305606334</v>
      </c>
      <c r="P9" s="9">
        <f>Assumptions!Q120*Assumptions!Q11</f>
        <v>5357822.113472308</v>
      </c>
      <c r="Q9" s="9">
        <f>Assumptions!R120*Assumptions!R11</f>
        <v>5924220.4511822369</v>
      </c>
      <c r="R9" s="9">
        <f>Assumptions!S120*Assumptions!S11</f>
        <v>6521381.8726614071</v>
      </c>
      <c r="S9" s="9">
        <f>Assumptions!T120*Assumptions!T11</f>
        <v>7150695.2233732324</v>
      </c>
      <c r="T9" s="9">
        <f>Assumptions!U120*Assumptions!U11</f>
        <v>7813606.7334930087</v>
      </c>
      <c r="U9" s="9">
        <f>Assumptions!V120*Assumptions!V11</f>
        <v>8511622.2683517169</v>
      </c>
      <c r="V9" s="9">
        <f>Assumptions!W120*Assumptions!W11</f>
        <v>9246309.6641462874</v>
      </c>
      <c r="W9" s="9">
        <f>Assumptions!X120*Assumptions!X11</f>
        <v>10019301.152068917</v>
      </c>
      <c r="X9" s="9">
        <f>Assumptions!Y120*Assumptions!Y11</f>
        <v>10832295.874122504</v>
      </c>
      <c r="Y9" s="9">
        <f>Assumptions!Z120*Assumptions!Z11</f>
        <v>11687062.494007809</v>
      </c>
      <c r="Z9" s="9">
        <f>Assumptions!AA120*Assumptions!AA11</f>
        <v>12585441.90659067</v>
      </c>
      <c r="AA9" s="9">
        <f>Assumptions!AB120*Assumptions!AB11</f>
        <v>13529350.049584972</v>
      </c>
      <c r="AB9" s="9">
        <f>Assumptions!AC120*Assumptions!AC11</f>
        <v>14520780.821218558</v>
      </c>
      <c r="AC9" s="9">
        <f>Assumptions!AD120*Assumptions!AD11</f>
        <v>15561809.107785914</v>
      </c>
      <c r="AD9" s="9">
        <f>Assumptions!AE120*Assumptions!AE11</f>
        <v>16654593.925132664</v>
      </c>
      <c r="AE9" s="9">
        <f>Assumptions!AF120*Assumptions!AF11</f>
        <v>17801381.678263228</v>
      </c>
      <c r="AF9" s="9">
        <f>Assumptions!AG120*Assumptions!AG11</f>
        <v>19004509.543414813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815062.37723720912</v>
      </c>
      <c r="D10" s="9">
        <f>SUM($C$8:D9)</f>
        <v>1918449.7401140088</v>
      </c>
      <c r="E10" s="9">
        <f>SUM($C$8:E9)</f>
        <v>3327780.2638370423</v>
      </c>
      <c r="F10" s="9">
        <f>SUM($C$8:F9)</f>
        <v>5061504.4420408821</v>
      </c>
      <c r="G10" s="9">
        <f>SUM($C$8:G9)</f>
        <v>7138940.314156007</v>
      </c>
      <c r="H10" s="9">
        <f>SUM($C$8:H9)</f>
        <v>9580310.0950342603</v>
      </c>
      <c r="I10" s="9">
        <f>SUM($C$8:I9)</f>
        <v>12406778.260503436</v>
      </c>
      <c r="J10" s="9">
        <f>SUM($C$8:J9)</f>
        <v>15640491.144521732</v>
      </c>
      <c r="K10" s="9">
        <f>SUM($C$8:K9)</f>
        <v>19304618.105674852</v>
      </c>
      <c r="L10" s="9">
        <f>SUM($C$8:L9)</f>
        <v>23423394.322906192</v>
      </c>
      <c r="M10" s="9">
        <f>SUM($C$8:M9)</f>
        <v>28022165.282596536</v>
      </c>
      <c r="N10" s="9">
        <f>SUM($C$8:N9)</f>
        <v>33127433.021416813</v>
      </c>
      <c r="O10" s="9">
        <f>SUM($C$8:O9)</f>
        <v>38766904.191768624</v>
      </c>
      <c r="P10" s="9">
        <f>SUM($C$8:P9)</f>
        <v>44969540.01910542</v>
      </c>
      <c r="Q10" s="9">
        <f>SUM($C$8:Q9)</f>
        <v>51765608.222995818</v>
      </c>
      <c r="R10" s="9">
        <f>SUM($C$8:R9)</f>
        <v>59186736.976452038</v>
      </c>
      <c r="S10" s="9">
        <f>SUM($C$8:S9)</f>
        <v>67265970.980805516</v>
      </c>
      <c r="T10" s="9">
        <f>SUM($C$8:T9)</f>
        <v>76037829.736270159</v>
      </c>
      <c r="U10" s="9">
        <f>SUM($C$8:U9)</f>
        <v>85538368.091296583</v>
      </c>
      <c r="V10" s="9">
        <f>SUM($C$8:V9)</f>
        <v>95805239.156891182</v>
      </c>
      <c r="W10" s="9">
        <f>SUM($C$8:W9)</f>
        <v>106877759.67525475</v>
      </c>
      <c r="X10" s="9">
        <f>SUM($C$8:X9)</f>
        <v>118796977.93539332</v>
      </c>
      <c r="Y10" s="9">
        <f>SUM($C$8:Y9)</f>
        <v>131605744.33176972</v>
      </c>
      <c r="Z10" s="9">
        <f>SUM($C$8:Z9)</f>
        <v>145348784.66560477</v>
      </c>
      <c r="AA10" s="9">
        <f>SUM($C$8:AA9)</f>
        <v>160072776.29210597</v>
      </c>
      <c r="AB10" s="9">
        <f>SUM($C$8:AB9)</f>
        <v>175826427.22070205</v>
      </c>
      <c r="AC10" s="9">
        <f>SUM($C$8:AC9)</f>
        <v>192660558.27930155</v>
      </c>
      <c r="AD10" s="9">
        <f>SUM($C$8:AD9)</f>
        <v>210628188.45767388</v>
      </c>
      <c r="AE10" s="9">
        <f>SUM($C$8:AE9)</f>
        <v>229784623.54928041</v>
      </c>
      <c r="AF10" s="9">
        <f>SUM($C$8:AF9)</f>
        <v>250187548.21526548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20479647.794737205</v>
      </c>
      <c r="D12" s="9">
        <f>D7+D8+D9</f>
        <v>21583035.157614008</v>
      </c>
      <c r="E12" s="9">
        <f>E7+E8+E9</f>
        <v>22992365.68133704</v>
      </c>
      <c r="F12" s="9">
        <f t="shared" ref="F12:H12" si="26">F7+F8+F9</f>
        <v>24726089.85954088</v>
      </c>
      <c r="G12" s="9">
        <f t="shared" si="26"/>
        <v>26803525.731656007</v>
      </c>
      <c r="H12" s="9">
        <f t="shared" si="26"/>
        <v>29244895.512534261</v>
      </c>
      <c r="I12" s="9">
        <f t="shared" ref="I12:AF12" si="27">I7+I8+I9</f>
        <v>32071363.678003434</v>
      </c>
      <c r="J12" s="9">
        <f t="shared" si="27"/>
        <v>35305076.562021732</v>
      </c>
      <c r="K12" s="9">
        <f t="shared" si="27"/>
        <v>38969203.52317486</v>
      </c>
      <c r="L12" s="9">
        <f t="shared" si="27"/>
        <v>43087979.7404062</v>
      </c>
      <c r="M12" s="9">
        <f t="shared" si="27"/>
        <v>47686750.700096548</v>
      </c>
      <c r="N12" s="9">
        <f t="shared" si="27"/>
        <v>52792018.438916825</v>
      </c>
      <c r="O12" s="9">
        <f t="shared" si="27"/>
        <v>58431489.609268628</v>
      </c>
      <c r="P12" s="9">
        <f t="shared" si="27"/>
        <v>64634125.436605424</v>
      </c>
      <c r="Q12" s="9">
        <f t="shared" si="27"/>
        <v>71430193.640495822</v>
      </c>
      <c r="R12" s="9">
        <f t="shared" si="27"/>
        <v>78851322.393952057</v>
      </c>
      <c r="S12" s="9">
        <f t="shared" si="27"/>
        <v>86930556.39830555</v>
      </c>
      <c r="T12" s="9">
        <f t="shared" si="27"/>
        <v>95702415.153770179</v>
      </c>
      <c r="U12" s="9">
        <f t="shared" si="27"/>
        <v>105202953.5087966</v>
      </c>
      <c r="V12" s="9">
        <f t="shared" si="27"/>
        <v>115469824.5743912</v>
      </c>
      <c r="W12" s="9">
        <f t="shared" si="27"/>
        <v>126542345.09275477</v>
      </c>
      <c r="X12" s="9">
        <f t="shared" si="27"/>
        <v>138461563.35289335</v>
      </c>
      <c r="Y12" s="9">
        <f t="shared" si="27"/>
        <v>151270329.74926975</v>
      </c>
      <c r="Z12" s="9">
        <f t="shared" si="27"/>
        <v>165013370.08310482</v>
      </c>
      <c r="AA12" s="9">
        <f t="shared" si="27"/>
        <v>179737361.70960602</v>
      </c>
      <c r="AB12" s="9">
        <f t="shared" si="27"/>
        <v>195491012.6382021</v>
      </c>
      <c r="AC12" s="9">
        <f t="shared" si="27"/>
        <v>212325143.69680163</v>
      </c>
      <c r="AD12" s="9">
        <f t="shared" si="27"/>
        <v>230292773.87517393</v>
      </c>
      <c r="AE12" s="9">
        <f t="shared" si="27"/>
        <v>249449208.96678045</v>
      </c>
      <c r="AF12" s="9">
        <f t="shared" si="27"/>
        <v>269852133.63276559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11403038.37723721</v>
      </c>
      <c r="D18" s="9">
        <f>Investment!D25</f>
        <v>12030178.594876798</v>
      </c>
      <c r="E18" s="9">
        <f>Investment!E25</f>
        <v>12685779.075147033</v>
      </c>
      <c r="F18" s="9">
        <f>Investment!F25</f>
        <v>13371019.083273407</v>
      </c>
      <c r="G18" s="9">
        <f>Investment!G25</f>
        <v>14087124.21414692</v>
      </c>
      <c r="H18" s="9">
        <f>Investment!H25</f>
        <v>14835368.149855062</v>
      </c>
      <c r="I18" s="9">
        <f>Investment!I25</f>
        <v>15617074.482253239</v>
      </c>
      <c r="J18" s="9">
        <f>Investment!J25</f>
        <v>16433618.602939455</v>
      </c>
      <c r="K18" s="9">
        <f>Investment!K25</f>
        <v>17286429.663079757</v>
      </c>
      <c r="L18" s="9">
        <f>Investment!L25</f>
        <v>18176992.605619628</v>
      </c>
      <c r="M18" s="9">
        <f>Investment!M25</f>
        <v>19106850.272507053</v>
      </c>
      <c r="N18" s="9">
        <f>Investment!N25</f>
        <v>20077605.589647125</v>
      </c>
      <c r="O18" s="9">
        <f>Investment!O25</f>
        <v>21090923.832405116</v>
      </c>
      <c r="P18" s="9">
        <f>Investment!P25</f>
        <v>22148534.974575814</v>
      </c>
      <c r="Q18" s="9">
        <f>Investment!Q25</f>
        <v>23252236.123841047</v>
      </c>
      <c r="R18" s="9">
        <f>Investment!R25</f>
        <v>24403894.046845309</v>
      </c>
      <c r="S18" s="9">
        <f>Investment!S25</f>
        <v>25605447.787131019</v>
      </c>
      <c r="T18" s="9">
        <f>Investment!T25</f>
        <v>26858911.379291039</v>
      </c>
      <c r="U18" s="9">
        <f>Investment!U25</f>
        <v>28166376.662815288</v>
      </c>
      <c r="V18" s="9">
        <f>Investment!V25</f>
        <v>29530016.19923269</v>
      </c>
      <c r="W18" s="9">
        <f>Investment!W25</f>
        <v>30952086.296278086</v>
      </c>
      <c r="X18" s="9">
        <f>Investment!X25</f>
        <v>32434930.142946366</v>
      </c>
      <c r="Y18" s="9">
        <f>Investment!Y25</f>
        <v>33980981.059434026</v>
      </c>
      <c r="Z18" s="9">
        <f>Investment!Z25</f>
        <v>35592765.866110533</v>
      </c>
      <c r="AA18" s="9">
        <f>Investment!AA25</f>
        <v>37272908.375809476</v>
      </c>
      <c r="AB18" s="9">
        <f>Investment!AB25</f>
        <v>39024133.013882235</v>
      </c>
      <c r="AC18" s="9">
        <f>Investment!AC25</f>
        <v>40849268.57061483</v>
      </c>
      <c r="AD18" s="9">
        <f>Investment!AD25</f>
        <v>42751252.090772115</v>
      </c>
      <c r="AE18" s="9">
        <f>Investment!AE25</f>
        <v>44733132.905203134</v>
      </c>
      <c r="AF18" s="9">
        <f>Investment!AF25</f>
        <v>46798076.809616789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31067623.794737205</v>
      </c>
      <c r="D19" s="9">
        <f>D18+C20</f>
        <v>42282740.012376793</v>
      </c>
      <c r="E19" s="9">
        <f>E18+D20</f>
        <v>53865131.72464703</v>
      </c>
      <c r="F19" s="9">
        <f t="shared" ref="F19:AF19" si="28">F18+E20</f>
        <v>65826820.284197405</v>
      </c>
      <c r="G19" s="9">
        <f t="shared" si="28"/>
        <v>78180220.320140481</v>
      </c>
      <c r="H19" s="9">
        <f t="shared" si="28"/>
        <v>90938152.597880408</v>
      </c>
      <c r="I19" s="9">
        <f t="shared" si="28"/>
        <v>104113857.29925539</v>
      </c>
      <c r="J19" s="9">
        <f t="shared" si="28"/>
        <v>117721007.73672567</v>
      </c>
      <c r="K19" s="9">
        <f t="shared" si="28"/>
        <v>131773724.51578714</v>
      </c>
      <c r="L19" s="9">
        <f t="shared" si="28"/>
        <v>146286590.16025364</v>
      </c>
      <c r="M19" s="9">
        <f t="shared" si="28"/>
        <v>161274664.21552935</v>
      </c>
      <c r="N19" s="9">
        <f t="shared" si="28"/>
        <v>176753498.84548613</v>
      </c>
      <c r="O19" s="9">
        <f t="shared" si="28"/>
        <v>192739154.93907097</v>
      </c>
      <c r="P19" s="9">
        <f t="shared" si="28"/>
        <v>209248218.74329498</v>
      </c>
      <c r="Q19" s="9">
        <f t="shared" si="28"/>
        <v>226297819.03979921</v>
      </c>
      <c r="R19" s="9">
        <f t="shared" si="28"/>
        <v>243905644.88275412</v>
      </c>
      <c r="S19" s="9">
        <f t="shared" si="28"/>
        <v>262089963.91642889</v>
      </c>
      <c r="T19" s="9">
        <f t="shared" si="28"/>
        <v>280869641.29136646</v>
      </c>
      <c r="U19" s="9">
        <f t="shared" si="28"/>
        <v>300264159.19871706</v>
      </c>
      <c r="V19" s="9">
        <f t="shared" si="28"/>
        <v>320293637.04292333</v>
      </c>
      <c r="W19" s="9">
        <f t="shared" si="28"/>
        <v>340978852.27360678</v>
      </c>
      <c r="X19" s="9">
        <f t="shared" si="28"/>
        <v>362341261.8981896</v>
      </c>
      <c r="Y19" s="9">
        <f t="shared" si="28"/>
        <v>384403024.69748509</v>
      </c>
      <c r="Z19" s="9">
        <f t="shared" si="28"/>
        <v>407187024.16721916</v>
      </c>
      <c r="AA19" s="9">
        <f t="shared" si="28"/>
        <v>430716892.20919365</v>
      </c>
      <c r="AB19" s="9">
        <f t="shared" si="28"/>
        <v>455017033.59657466</v>
      </c>
      <c r="AC19" s="9">
        <f t="shared" si="28"/>
        <v>480112651.2385934</v>
      </c>
      <c r="AD19" s="9">
        <f t="shared" si="28"/>
        <v>506029772.27076596</v>
      </c>
      <c r="AE19" s="9">
        <f t="shared" si="28"/>
        <v>532795274.99759674</v>
      </c>
      <c r="AF19" s="9">
        <f t="shared" si="28"/>
        <v>560436916.71560693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30252561.417499997</v>
      </c>
      <c r="D20" s="9">
        <f>D19-D8-D9</f>
        <v>41179352.649499997</v>
      </c>
      <c r="E20" s="9">
        <f t="shared" ref="E20:AF20" si="29">E19-E8-E9</f>
        <v>52455801.200924002</v>
      </c>
      <c r="F20" s="9">
        <f t="shared" si="29"/>
        <v>64093096.105993561</v>
      </c>
      <c r="G20" s="9">
        <f t="shared" si="29"/>
        <v>76102784.448025346</v>
      </c>
      <c r="H20" s="9">
        <f t="shared" si="29"/>
        <v>88496782.817002147</v>
      </c>
      <c r="I20" s="9">
        <f t="shared" si="29"/>
        <v>101287389.13378622</v>
      </c>
      <c r="J20" s="9">
        <f t="shared" si="29"/>
        <v>114487294.85270739</v>
      </c>
      <c r="K20" s="9">
        <f t="shared" si="29"/>
        <v>128109597.55463402</v>
      </c>
      <c r="L20" s="9">
        <f t="shared" si="29"/>
        <v>142167813.94302231</v>
      </c>
      <c r="M20" s="9">
        <f t="shared" si="29"/>
        <v>156675893.25583902</v>
      </c>
      <c r="N20" s="9">
        <f t="shared" si="29"/>
        <v>171648231.10666585</v>
      </c>
      <c r="O20" s="9">
        <f t="shared" si="29"/>
        <v>187099683.76871917</v>
      </c>
      <c r="P20" s="9">
        <f t="shared" si="29"/>
        <v>203045582.91595817</v>
      </c>
      <c r="Q20" s="9">
        <f t="shared" si="29"/>
        <v>219501750.8359088</v>
      </c>
      <c r="R20" s="9">
        <f t="shared" si="29"/>
        <v>236484516.12929788</v>
      </c>
      <c r="S20" s="9">
        <f t="shared" si="29"/>
        <v>254010729.9120754</v>
      </c>
      <c r="T20" s="9">
        <f t="shared" si="29"/>
        <v>272097782.53590178</v>
      </c>
      <c r="U20" s="9">
        <f t="shared" si="29"/>
        <v>290763620.84369063</v>
      </c>
      <c r="V20" s="9">
        <f t="shared" si="29"/>
        <v>310026765.97732872</v>
      </c>
      <c r="W20" s="9">
        <f t="shared" si="29"/>
        <v>329906331.75524324</v>
      </c>
      <c r="X20" s="9">
        <f t="shared" si="29"/>
        <v>350422043.63805103</v>
      </c>
      <c r="Y20" s="9">
        <f t="shared" si="29"/>
        <v>371594258.30110866</v>
      </c>
      <c r="Z20" s="9">
        <f t="shared" si="29"/>
        <v>393443983.83338416</v>
      </c>
      <c r="AA20" s="9">
        <f t="shared" si="29"/>
        <v>415992900.58269244</v>
      </c>
      <c r="AB20" s="9">
        <f t="shared" si="29"/>
        <v>439263382.66797858</v>
      </c>
      <c r="AC20" s="9">
        <f t="shared" si="29"/>
        <v>463278520.17999387</v>
      </c>
      <c r="AD20" s="9">
        <f t="shared" si="29"/>
        <v>488062142.09239364</v>
      </c>
      <c r="AE20" s="9">
        <f t="shared" si="29"/>
        <v>513638839.90599018</v>
      </c>
      <c r="AF20" s="9">
        <f t="shared" si="29"/>
        <v>540033992.04962182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10378019.046987958</v>
      </c>
      <c r="E22" s="9">
        <f ca="1">'Balance Sheet'!D11</f>
        <v>20011762.843818404</v>
      </c>
      <c r="F22" s="9">
        <f ca="1">'Balance Sheet'!E11</f>
        <v>28746540.886506326</v>
      </c>
      <c r="G22" s="9">
        <f ca="1">'Balance Sheet'!F11</f>
        <v>36333773.341095954</v>
      </c>
      <c r="H22" s="9">
        <f ca="1">'Balance Sheet'!G11</f>
        <v>42705375.29363852</v>
      </c>
      <c r="I22" s="9">
        <f ca="1">'Balance Sheet'!H11</f>
        <v>48052487.900353223</v>
      </c>
      <c r="J22" s="9">
        <f ca="1">'Balance Sheet'!I11</f>
        <v>52877407.836971954</v>
      </c>
      <c r="K22" s="9">
        <f ca="1">'Balance Sheet'!J11</f>
        <v>57383845.762030527</v>
      </c>
      <c r="L22" s="9">
        <f ca="1">'Balance Sheet'!K11</f>
        <v>61434589.171338223</v>
      </c>
      <c r="M22" s="9">
        <f ca="1">'Balance Sheet'!L11</f>
        <v>65609453.25004711</v>
      </c>
      <c r="N22" s="9">
        <f ca="1">'Balance Sheet'!M11</f>
        <v>69874018.176994801</v>
      </c>
      <c r="O22" s="9">
        <f ca="1">'Balance Sheet'!N11</f>
        <v>74188177.410655737</v>
      </c>
      <c r="P22" s="9">
        <f ca="1">'Balance Sheet'!O11</f>
        <v>78505563.462813765</v>
      </c>
      <c r="Q22" s="9">
        <f ca="1">'Balance Sheet'!P11</f>
        <v>82772925.767747387</v>
      </c>
      <c r="R22" s="9">
        <f ca="1">'Balance Sheet'!Q11</f>
        <v>87267975.922890246</v>
      </c>
      <c r="S22" s="9">
        <f ca="1">'Balance Sheet'!R11</f>
        <v>91975152.019509047</v>
      </c>
      <c r="T22" s="9">
        <f ca="1">'Balance Sheet'!S11</f>
        <v>96875538.428435802</v>
      </c>
      <c r="U22" s="9">
        <f ca="1">'Balance Sheet'!T11</f>
        <v>101946529.04901685</v>
      </c>
      <c r="V22" s="9">
        <f ca="1">'Balance Sheet'!U11</f>
        <v>107161464.11248541</v>
      </c>
      <c r="W22" s="9">
        <f ca="1">'Balance Sheet'!V11</f>
        <v>112489238.70563948</v>
      </c>
      <c r="X22" s="9">
        <f ca="1">'Balance Sheet'!W11</f>
        <v>117893881.06246725</v>
      </c>
      <c r="Y22" s="9">
        <f ca="1">'Balance Sheet'!X11</f>
        <v>123334098.54584384</v>
      </c>
      <c r="Z22" s="9">
        <f ca="1">'Balance Sheet'!Y11</f>
        <v>128762789.1081941</v>
      </c>
      <c r="AA22" s="9">
        <f ca="1">'Balance Sheet'!Z11</f>
        <v>134126515.87861273</v>
      </c>
      <c r="AB22" s="9">
        <f ca="1">'Balance Sheet'!AA11</f>
        <v>139947889.57596335</v>
      </c>
      <c r="AC22" s="9">
        <f ca="1">'Balance Sheet'!AB11</f>
        <v>146727086.00554371</v>
      </c>
      <c r="AD22" s="9">
        <f ca="1">'Balance Sheet'!AC11</f>
        <v>154534192.85350153</v>
      </c>
      <c r="AE22" s="9">
        <f ca="1">'Balance Sheet'!AD11</f>
        <v>163443116.59961459</v>
      </c>
      <c r="AF22" s="9">
        <f ca="1">'Balance Sheet'!AE11</f>
        <v>173531761.97634351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30252561.417499997</v>
      </c>
      <c r="D23" s="9">
        <f t="shared" ref="D23:AF23" ca="1" si="30">D20-D22</f>
        <v>30801333.602512039</v>
      </c>
      <c r="E23" s="9">
        <f t="shared" ca="1" si="30"/>
        <v>32444038.357105598</v>
      </c>
      <c r="F23" s="9">
        <f t="shared" ca="1" si="30"/>
        <v>35346555.219487235</v>
      </c>
      <c r="G23" s="9">
        <f t="shared" ca="1" si="30"/>
        <v>39769011.106929392</v>
      </c>
      <c r="H23" s="9">
        <f t="shared" ca="1" si="30"/>
        <v>45791407.523363627</v>
      </c>
      <c r="I23" s="9">
        <f t="shared" ca="1" si="30"/>
        <v>53234901.233432993</v>
      </c>
      <c r="J23" s="9">
        <f ca="1">J20-J22</f>
        <v>61609887.015735433</v>
      </c>
      <c r="K23" s="9">
        <f t="shared" ca="1" si="30"/>
        <v>70725751.792603493</v>
      </c>
      <c r="L23" s="9">
        <f t="shared" ca="1" si="30"/>
        <v>80733224.77168408</v>
      </c>
      <c r="M23" s="9">
        <f t="shared" ca="1" si="30"/>
        <v>91066440.005791903</v>
      </c>
      <c r="N23" s="9">
        <f t="shared" ca="1" si="30"/>
        <v>101774212.92967105</v>
      </c>
      <c r="O23" s="9">
        <f t="shared" ca="1" si="30"/>
        <v>112911506.35806343</v>
      </c>
      <c r="P23" s="9">
        <f t="shared" ca="1" si="30"/>
        <v>124540019.4531444</v>
      </c>
      <c r="Q23" s="9">
        <f t="shared" ca="1" si="30"/>
        <v>136728825.06816143</v>
      </c>
      <c r="R23" s="9">
        <f t="shared" ca="1" si="30"/>
        <v>149216540.20640764</v>
      </c>
      <c r="S23" s="9">
        <f t="shared" ca="1" si="30"/>
        <v>162035577.89256635</v>
      </c>
      <c r="T23" s="9">
        <f t="shared" ca="1" si="30"/>
        <v>175222244.10746598</v>
      </c>
      <c r="U23" s="9">
        <f t="shared" ca="1" si="30"/>
        <v>188817091.7946738</v>
      </c>
      <c r="V23" s="9">
        <f t="shared" ca="1" si="30"/>
        <v>202865301.86484331</v>
      </c>
      <c r="W23" s="9">
        <f t="shared" ca="1" si="30"/>
        <v>217417093.04960376</v>
      </c>
      <c r="X23" s="9">
        <f t="shared" ca="1" si="30"/>
        <v>232528162.57558379</v>
      </c>
      <c r="Y23" s="9">
        <f t="shared" ca="1" si="30"/>
        <v>248260159.75526482</v>
      </c>
      <c r="Z23" s="9">
        <f t="shared" ca="1" si="30"/>
        <v>264681194.72519004</v>
      </c>
      <c r="AA23" s="9">
        <f t="shared" ca="1" si="30"/>
        <v>281866384.70407975</v>
      </c>
      <c r="AB23" s="9">
        <f t="shared" ca="1" si="30"/>
        <v>299315493.09201527</v>
      </c>
      <c r="AC23" s="9">
        <f t="shared" ca="1" si="30"/>
        <v>316551434.17445016</v>
      </c>
      <c r="AD23" s="9">
        <f t="shared" ca="1" si="30"/>
        <v>333527949.23889208</v>
      </c>
      <c r="AE23" s="9">
        <f t="shared" ca="1" si="30"/>
        <v>350195723.30637562</v>
      </c>
      <c r="AF23" s="9">
        <f t="shared" ca="1" si="30"/>
        <v>366502230.07327831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10378019.046987958</v>
      </c>
      <c r="E5" s="1">
        <f t="shared" ref="E5:AF5" ca="1" si="1">D5+D6</f>
        <v>20011762.843818404</v>
      </c>
      <c r="F5" s="1">
        <f t="shared" ca="1" si="1"/>
        <v>28746540.886506326</v>
      </c>
      <c r="G5" s="1">
        <f t="shared" ca="1" si="1"/>
        <v>36333773.341095954</v>
      </c>
      <c r="H5" s="1">
        <f t="shared" ca="1" si="1"/>
        <v>42705375.29363852</v>
      </c>
      <c r="I5" s="1">
        <f t="shared" ca="1" si="1"/>
        <v>48052487.900353223</v>
      </c>
      <c r="J5" s="1">
        <f t="shared" ca="1" si="1"/>
        <v>52877407.836971954</v>
      </c>
      <c r="K5" s="1">
        <f t="shared" ca="1" si="1"/>
        <v>57383845.762030527</v>
      </c>
      <c r="L5" s="1">
        <f t="shared" ca="1" si="1"/>
        <v>61434589.171338223</v>
      </c>
      <c r="M5" s="1">
        <f t="shared" ca="1" si="1"/>
        <v>65609453.25004711</v>
      </c>
      <c r="N5" s="1">
        <f t="shared" ca="1" si="1"/>
        <v>69874018.176994801</v>
      </c>
      <c r="O5" s="1">
        <f t="shared" ca="1" si="1"/>
        <v>74188177.410655737</v>
      </c>
      <c r="P5" s="1">
        <f t="shared" ca="1" si="1"/>
        <v>78505563.462813765</v>
      </c>
      <c r="Q5" s="1">
        <f t="shared" ca="1" si="1"/>
        <v>82772925.767747387</v>
      </c>
      <c r="R5" s="1">
        <f t="shared" ca="1" si="1"/>
        <v>87267975.922890246</v>
      </c>
      <c r="S5" s="1">
        <f t="shared" ca="1" si="1"/>
        <v>91975152.019509047</v>
      </c>
      <c r="T5" s="1">
        <f t="shared" ca="1" si="1"/>
        <v>96875538.428435802</v>
      </c>
      <c r="U5" s="1">
        <f t="shared" ca="1" si="1"/>
        <v>101946529.04901685</v>
      </c>
      <c r="V5" s="1">
        <f t="shared" ca="1" si="1"/>
        <v>107161464.11248541</v>
      </c>
      <c r="W5" s="1">
        <f t="shared" ca="1" si="1"/>
        <v>112489238.70563948</v>
      </c>
      <c r="X5" s="1">
        <f t="shared" ca="1" si="1"/>
        <v>117893881.06246725</v>
      </c>
      <c r="Y5" s="1">
        <f t="shared" ca="1" si="1"/>
        <v>123334098.54584384</v>
      </c>
      <c r="Z5" s="1">
        <f t="shared" ca="1" si="1"/>
        <v>128762789.1081941</v>
      </c>
      <c r="AA5" s="1">
        <f t="shared" ca="1" si="1"/>
        <v>134126515.87861273</v>
      </c>
      <c r="AB5" s="1">
        <f t="shared" ca="1" si="1"/>
        <v>139947889.57596335</v>
      </c>
      <c r="AC5" s="1">
        <f t="shared" ca="1" si="1"/>
        <v>146727086.00554371</v>
      </c>
      <c r="AD5" s="1">
        <f t="shared" ca="1" si="1"/>
        <v>154534192.85350153</v>
      </c>
      <c r="AE5" s="1">
        <f t="shared" ca="1" si="1"/>
        <v>163443116.59961459</v>
      </c>
      <c r="AF5" s="1">
        <f t="shared" ca="1" si="1"/>
        <v>173531761.97634351</v>
      </c>
      <c r="AG5" s="1"/>
      <c r="AH5" s="1"/>
      <c r="AI5" s="1"/>
      <c r="AJ5" s="1"/>
      <c r="AK5" s="1"/>
      <c r="AL5" s="1"/>
      <c r="AM5" s="1"/>
      <c r="AN5" s="1"/>
      <c r="AO5" s="1"/>
      <c r="AP5" s="1"/>
    </row>
    <row r="6" spans="1:42" x14ac:dyDescent="0.35">
      <c r="A6" s="63" t="s">
        <v>3</v>
      </c>
      <c r="C6" s="1">
        <f ca="1">-'Cash Flow'!C13</f>
        <v>10378019.046987958</v>
      </c>
      <c r="D6" s="1">
        <f ca="1">-'Cash Flow'!D13</f>
        <v>9633743.7968304455</v>
      </c>
      <c r="E6" s="1">
        <f ca="1">-'Cash Flow'!E13</f>
        <v>8734778.0426879227</v>
      </c>
      <c r="F6" s="1">
        <f ca="1">-'Cash Flow'!F13</f>
        <v>7587232.4545896277</v>
      </c>
      <c r="G6" s="1">
        <f ca="1">-'Cash Flow'!G13</f>
        <v>6371601.952542563</v>
      </c>
      <c r="H6" s="1">
        <f ca="1">-'Cash Flow'!H13</f>
        <v>5347112.6067146994</v>
      </c>
      <c r="I6" s="1">
        <f ca="1">-'Cash Flow'!I13</f>
        <v>4824919.9366187304</v>
      </c>
      <c r="J6" s="1">
        <f ca="1">-'Cash Flow'!J13</f>
        <v>4506437.9250585753</v>
      </c>
      <c r="K6" s="1">
        <f ca="1">-'Cash Flow'!K13</f>
        <v>4050743.4093076978</v>
      </c>
      <c r="L6" s="1">
        <f ca="1">-'Cash Flow'!L13</f>
        <v>4174864.0787088871</v>
      </c>
      <c r="M6" s="1">
        <f ca="1">-'Cash Flow'!M13</f>
        <v>4264564.9269476943</v>
      </c>
      <c r="N6" s="1">
        <f ca="1">-'Cash Flow'!N13</f>
        <v>4314159.2336609419</v>
      </c>
      <c r="O6" s="1">
        <f ca="1">-'Cash Flow'!O13</f>
        <v>4317386.052158026</v>
      </c>
      <c r="P6" s="1">
        <f ca="1">-'Cash Flow'!P13</f>
        <v>4267362.3049336262</v>
      </c>
      <c r="Q6" s="1">
        <f ca="1">-'Cash Flow'!Q13</f>
        <v>4495050.1551428661</v>
      </c>
      <c r="R6" s="1">
        <f ca="1">-'Cash Flow'!R13</f>
        <v>4707176.0966188088</v>
      </c>
      <c r="S6" s="1">
        <f ca="1">-'Cash Flow'!S13</f>
        <v>4900386.4089267552</v>
      </c>
      <c r="T6" s="1">
        <f ca="1">-'Cash Flow'!T13</f>
        <v>5070990.620581042</v>
      </c>
      <c r="U6" s="1">
        <f ca="1">-'Cash Flow'!U13</f>
        <v>5214935.0634685531</v>
      </c>
      <c r="V6" s="1">
        <f ca="1">-'Cash Flow'!V13</f>
        <v>5327774.5931540802</v>
      </c>
      <c r="W6" s="1">
        <f ca="1">-'Cash Flow'!W13</f>
        <v>5404642.3568277583</v>
      </c>
      <c r="X6" s="1">
        <f ca="1">-'Cash Flow'!X13</f>
        <v>5440217.4833765961</v>
      </c>
      <c r="Y6" s="1">
        <f ca="1">-'Cash Flow'!Y13</f>
        <v>5428690.5623502582</v>
      </c>
      <c r="Z6" s="1">
        <f ca="1">-'Cash Flow'!Z13</f>
        <v>5363726.7704186328</v>
      </c>
      <c r="AA6" s="1">
        <f ca="1">-'Cash Flow'!AA13</f>
        <v>5821373.6973506212</v>
      </c>
      <c r="AB6" s="1">
        <f ca="1">-'Cash Flow'!AB13</f>
        <v>6779196.4295803644</v>
      </c>
      <c r="AC6" s="1">
        <f ca="1">-'Cash Flow'!AC13</f>
        <v>7807106.847957816</v>
      </c>
      <c r="AD6" s="1">
        <f ca="1">-'Cash Flow'!AD13</f>
        <v>8908923.7461130694</v>
      </c>
      <c r="AE6" s="1">
        <f ca="1">-'Cash Flow'!AE13</f>
        <v>10088645.376728907</v>
      </c>
      <c r="AF6" s="1">
        <f ca="1">-'Cash Flow'!AF13</f>
        <v>11350457.165623501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363230.66664457857</v>
      </c>
      <c r="D8" s="1">
        <f ca="1">IF(SUM(D5:D6)&gt;0,Assumptions!$C$26*SUM(D5:D6),Assumptions!$C$27*(SUM(D5:D6)))</f>
        <v>700411.69953364425</v>
      </c>
      <c r="E8" s="1">
        <f ca="1">IF(SUM(E5:E6)&gt;0,Assumptions!$C$26*SUM(E5:E6),Assumptions!$C$27*(SUM(E5:E6)))</f>
        <v>1006128.9310277215</v>
      </c>
      <c r="F8" s="1">
        <f ca="1">IF(SUM(F5:F6)&gt;0,Assumptions!$C$26*SUM(F5:F6),Assumptions!$C$27*(SUM(F5:F6)))</f>
        <v>1271682.0669383586</v>
      </c>
      <c r="G8" s="1">
        <f ca="1">IF(SUM(G5:G6)&gt;0,Assumptions!$C$26*SUM(G5:G6),Assumptions!$C$27*(SUM(G5:G6)))</f>
        <v>1494688.1352773483</v>
      </c>
      <c r="H8" s="1">
        <f ca="1">IF(SUM(H5:H6)&gt;0,Assumptions!$C$26*SUM(H5:H6),Assumptions!$C$27*(SUM(H5:H6)))</f>
        <v>1681837.076512363</v>
      </c>
      <c r="I8" s="1">
        <f ca="1">IF(SUM(I5:I6)&gt;0,Assumptions!$C$26*SUM(I5:I6),Assumptions!$C$27*(SUM(I5:I6)))</f>
        <v>1850709.2742940185</v>
      </c>
      <c r="J8" s="1">
        <f ca="1">IF(SUM(J5:J6)&gt;0,Assumptions!$C$26*SUM(J5:J6),Assumptions!$C$27*(SUM(J5:J6)))</f>
        <v>2008434.6016710687</v>
      </c>
      <c r="K8" s="1">
        <f ca="1">IF(SUM(K5:K6)&gt;0,Assumptions!$C$26*SUM(K5:K6),Assumptions!$C$27*(SUM(K5:K6)))</f>
        <v>2150210.620996838</v>
      </c>
      <c r="L8" s="1">
        <f ca="1">IF(SUM(L5:L6)&gt;0,Assumptions!$C$26*SUM(L5:L6),Assumptions!$C$27*(SUM(L5:L6)))</f>
        <v>2296330.8637516489</v>
      </c>
      <c r="M8" s="1">
        <f ca="1">IF(SUM(M5:M6)&gt;0,Assumptions!$C$26*SUM(M5:M6),Assumptions!$C$27*(SUM(M5:M6)))</f>
        <v>2445590.6361948182</v>
      </c>
      <c r="N8" s="1">
        <f ca="1">IF(SUM(N5:N6)&gt;0,Assumptions!$C$26*SUM(N5:N6),Assumptions!$C$27*(SUM(N5:N6)))</f>
        <v>2596586.2093729512</v>
      </c>
      <c r="O8" s="1">
        <f ca="1">IF(SUM(O5:O6)&gt;0,Assumptions!$C$26*SUM(O5:O6),Assumptions!$C$27*(SUM(O5:O6)))</f>
        <v>2747694.721198482</v>
      </c>
      <c r="P8" s="1">
        <f ca="1">IF(SUM(P5:P6)&gt;0,Assumptions!$C$26*SUM(P5:P6),Assumptions!$C$27*(SUM(P5:P6)))</f>
        <v>2897052.4018711587</v>
      </c>
      <c r="Q8" s="1">
        <f ca="1">IF(SUM(Q5:Q6)&gt;0,Assumptions!$C$26*SUM(Q5:Q6),Assumptions!$C$27*(SUM(Q5:Q6)))</f>
        <v>3054379.1573011591</v>
      </c>
      <c r="R8" s="1">
        <f ca="1">IF(SUM(R5:R6)&gt;0,Assumptions!$C$26*SUM(R5:R6),Assumptions!$C$27*(SUM(R5:R6)))</f>
        <v>3219130.3206828171</v>
      </c>
      <c r="S8" s="1">
        <f ca="1">IF(SUM(S5:S6)&gt;0,Assumptions!$C$26*SUM(S5:S6),Assumptions!$C$27*(SUM(S5:S6)))</f>
        <v>3390643.8449952533</v>
      </c>
      <c r="T8" s="1">
        <f ca="1">IF(SUM(T5:T6)&gt;0,Assumptions!$C$26*SUM(T5:T6),Assumptions!$C$27*(SUM(T5:T6)))</f>
        <v>3568128.5167155899</v>
      </c>
      <c r="U8" s="1">
        <f ca="1">IF(SUM(U5:U6)&gt;0,Assumptions!$C$26*SUM(U5:U6),Assumptions!$C$27*(SUM(U5:U6)))</f>
        <v>3750651.2439369895</v>
      </c>
      <c r="V8" s="1">
        <f ca="1">IF(SUM(V5:V6)&gt;0,Assumptions!$C$26*SUM(V5:V6),Assumptions!$C$27*(SUM(V5:V6)))</f>
        <v>3937123.3546973821</v>
      </c>
      <c r="W8" s="1">
        <f ca="1">IF(SUM(W5:W6)&gt;0,Assumptions!$C$26*SUM(W5:W6),Assumptions!$C$27*(SUM(W5:W6)))</f>
        <v>4126285.8371863542</v>
      </c>
      <c r="X8" s="1">
        <f ca="1">IF(SUM(X5:X6)&gt;0,Assumptions!$C$26*SUM(X5:X6),Assumptions!$C$27*(SUM(X5:X6)))</f>
        <v>4316693.4491045345</v>
      </c>
      <c r="Y8" s="1">
        <f ca="1">IF(SUM(Y5:Y6)&gt;0,Assumptions!$C$26*SUM(Y5:Y6),Assumptions!$C$27*(SUM(Y5:Y6)))</f>
        <v>4506697.6187867941</v>
      </c>
      <c r="Z8" s="1">
        <f ca="1">IF(SUM(Z5:Z6)&gt;0,Assumptions!$C$26*SUM(Z5:Z6),Assumptions!$C$27*(SUM(Z5:Z6)))</f>
        <v>4694428.0557514457</v>
      </c>
      <c r="AA8" s="1">
        <f ca="1">IF(SUM(AA5:AA6)&gt;0,Assumptions!$C$26*SUM(AA5:AA6),Assumptions!$C$27*(SUM(AA5:AA6)))</f>
        <v>4898176.1351587176</v>
      </c>
      <c r="AB8" s="1">
        <f ca="1">IF(SUM(AB5:AB6)&gt;0,Assumptions!$C$26*SUM(AB5:AB6),Assumptions!$C$27*(SUM(AB5:AB6)))</f>
        <v>5135448.0101940306</v>
      </c>
      <c r="AC8" s="1">
        <f ca="1">IF(SUM(AC5:AC6)&gt;0,Assumptions!$C$26*SUM(AC5:AC6),Assumptions!$C$27*(SUM(AC5:AC6)))</f>
        <v>5408696.7498725541</v>
      </c>
      <c r="AD8" s="1">
        <f ca="1">IF(SUM(AD5:AD6)&gt;0,Assumptions!$C$26*SUM(AD5:AD6),Assumptions!$C$27*(SUM(AD5:AD6)))</f>
        <v>5720509.080986511</v>
      </c>
      <c r="AE8" s="1">
        <f ca="1">IF(SUM(AE5:AE6)&gt;0,Assumptions!$C$26*SUM(AE5:AE6),Assumptions!$C$27*(SUM(AE5:AE6)))</f>
        <v>6073611.6691720234</v>
      </c>
      <c r="AF8" s="1">
        <f ca="1">IF(SUM(AF5:AF6)&gt;0,Assumptions!$C$26*SUM(AF5:AF6),Assumptions!$C$27*(SUM(AF5:AF6)))</f>
        <v>6470877.6699688453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3W2DU3RAJ5R2-1900874439-945</_dlc_DocId>
    <_dlc_DocIdUrl xmlns="f54e2983-00ce-40fc-8108-18f351fc47bf">
      <Url>https://dia.cohesion.net.nz/Sites/LGV/TWRP/CAE/_layouts/15/DocIdRedir.aspx?ID=3W2DU3RAJ5R2-1900874439-945</Url>
      <Description>3W2DU3RAJ5R2-1900874439-945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sharepoint/v3"/>
    <ds:schemaRef ds:uri="http://schemas.microsoft.com/office/2006/documentManagement/types"/>
    <ds:schemaRef ds:uri="http://schemas.openxmlformats.org/package/2006/metadata/core-properties"/>
    <ds:schemaRef ds:uri="http://purl.org/dc/elements/1.1/"/>
    <ds:schemaRef ds:uri="65b6d800-2dda-48d6-88d8-9e2b35e6f7ea"/>
    <ds:schemaRef ds:uri="08a23fc5-e034-477c-ac83-93bc1440f322"/>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0C800ACE-92DD-4803-B553-42E18B69D90B}"/>
</file>

<file path=customXml/itemProps4.xml><?xml version="1.0" encoding="utf-8"?>
<ds:datastoreItem xmlns:ds="http://schemas.openxmlformats.org/officeDocument/2006/customXml" ds:itemID="{E34CE521-D0FC-44F1-B29D-B65A3C0A8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2021-07-20T15:07:33Z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01ea1cd3-9c96-4090-913f-49c54893784e</vt:lpwstr>
  </property>
</Properties>
</file>