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0" documentId="8_{7B21137A-4AC0-4863-B289-E30FA4B09303}" xr6:coauthVersionLast="47" xr6:coauthVersionMax="47" xr10:uidLastSave="{00000000-0000-0000-0000-000000000000}"/>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C90" i="2" l="1"/>
  <c r="C89" i="2"/>
  <c r="A11" i="19" l="1"/>
  <c r="A9" i="19"/>
  <c r="B40" i="21"/>
  <c r="B27" i="21"/>
  <c r="A21" i="21"/>
  <c r="A34" i="21" s="1"/>
  <c r="B21" i="21"/>
  <c r="B34" i="21" s="1"/>
  <c r="C83" i="2" l="1"/>
  <c r="C87" i="2"/>
  <c r="C82" i="2" l="1"/>
  <c r="C94" i="2" s="1"/>
  <c r="C95" i="2"/>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<sst xmlns="http://schemas.openxmlformats.org/spreadsheetml/2006/main" count="277" uniqueCount="205">
  <si>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</si>
  <si>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</si>
  <si>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</si>
  <si>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</si>
  <si>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</si>
  <si>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</si>
  <si>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</si>
  <si>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</si>
  <si>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</si>
  <si>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</si>
  <si>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</si>
  <si>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</si>
  <si>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</si>
  <si>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</si>
  <si>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</si>
  <si>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</si>
  <si>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</si>
  <si>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</si>
  <si>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</si>
  <si>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</si>
  <si>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</si>
  <si>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</si>
  <si>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</si>
  <si>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</si>
  <si>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</si>
  <si>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</si>
  <si>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</si>
  <si>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</si>
  <si>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</si>
  <si>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</si>
  <si>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</si>
  <si>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</si>
  <si>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</si>
  <si>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</si>
  <si>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</si>
  <si>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</si>
  <si>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</si>
  <si>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</si>
  <si>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</si>
  <si>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</si>
  <si>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</si>
  <si>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</si>
  <si>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</si>
  <si>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</si>
  <si>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</si>
  <si>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</si>
  <si>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</si>
  <si>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</si>
  <si>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</si>
  <si>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</si>
  <si>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</si>
  <si>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</si>
  <si>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</si>
  <si>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</si>
  <si>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</si>
  <si>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</si>
  <si>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</si>
  <si>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</si>
  <si>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</si>
  <si>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</si>
  <si>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</si>
  <si>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</si>
  <si>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</si>
  <si>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</si>
  <si>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</si>
  <si>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</si>
  <si>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</si>
  <si>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</si>
  <si>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</si>
  <si>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</si>
  <si>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</si>
  <si>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</si>
  <si>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</si>
  <si>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</si>
  <si>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</si>
  <si>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</si>
  <si>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</si>
  <si>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</si>
  <si>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</si>
  <si>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</si>
  <si>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</si>
  <si>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</si>
  <si>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</si>
  <si>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</si>
  <si>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</si>
  <si>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</si>
  <si>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</si>
  <si>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</si>
  <si>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</si>
  <si>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</si>
  <si>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</si>
  <si>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</si>
  <si>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</si>
  <si>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</si>
  <si>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</si>
  <si>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</si>
  <si>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</si>
  <si>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</si>
  <si>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</si>
  <si>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</si>
  <si>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</si>
  <si>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</si>
  <si>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</si>
  <si>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</si>
  <si>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</si>
  <si>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</si>
  <si>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</si>
  <si>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</si>
  <si>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</si>
  <si>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</si>
  <si>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</si>
  <si>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</si>
  <si>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</si>
  <si>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</si>
  <si>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</si>
  <si>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</si>
  <si>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</si>
  <si>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</si>
  <si>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</si>
  <si>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</si>
  <si>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</si>
  <si>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</si>
  <si>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</si>
  <si>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</si>
  <si>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</si>
  <si>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</si>
  <si>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</si>
  <si>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</si>
  <si>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</si>
  <si>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</si>
  <si>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</si>
  <si>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</si>
  <si>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</si>
  <si>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</si>
  <si>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</si>
  <si>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</si>
  <si>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</si>
  <si>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</si>
  <si>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</si>
  <si>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</si>
  <si>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</si>
  <si>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</si>
  <si>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</si>
  <si>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</si>
  <si>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</si>
  <si>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</si>
  <si>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</si>
  <si>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</si>
  <si>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</si>
  <si>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</si>
  <si>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</si>
  <si>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</si>
  <si>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</si>
  <si>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</si>
  <si>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</si>
  <si>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</si>
  <si>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</si>
  <si>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</si>
  <si>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</si>
  <si>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</si>
  <si>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</si>
  <si>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</si>
  <si>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</si>
  <si>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</si>
  <si>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</si>
  <si>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</si>
  <si>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</si>
  <si>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</si>
  <si>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</si>
  <si>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</si>
  <si>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</si>
  <si>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</si>
  <si>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</si>
  <si>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</si>
  <si>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</si>
  <si>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</si>
  <si>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</si>
  <si>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</si>
  <si>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</si>
  <si>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</si>
  <si>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</si>
  <si>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</si>
  <si>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</si>
  <si>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</si>
  <si>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</si>
  <si>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</si>
  <si>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</si>
  <si>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</si>
  <si>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</si>
  <si>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</si>
  <si>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</si>
  <si>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</si>
  <si>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</si>
  <si>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</si>
  <si>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</si>
  <si>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</si>
  <si>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</si>
  <si>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</si>
  <si>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Whangarei District Stand-alone Council</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</si>
  <si>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</si>
  <si>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</si>
  <si>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</si>
  <si>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</si>
  <si>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Based on the observed split in Great Britain</t>
  </si>
  <si>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71%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</si>
</sst>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9" xfId="0" applyFont="1" applyFill="1" applyBorder="1" applyAlignment="1">
      <alignment vertical="top" wrapText="1"/>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547688</xdr:colOff>
      <xdr:row>7</xdr:row>
      <xdr:rowOff>1983496</xdr:rowOff>
    </xdr:from>
    <xdr:to>
      <xdr:col>1</xdr:col>
      <xdr:colOff>8921402</xdr:colOff>
      <xdr:row>7</xdr:row>
      <xdr:rowOff>4393643</xdr:rowOff>
    </xdr:to>
    <xdr:pic>
      <xdr:nvPicPr>
        <xdr:cNvPr id="2" name="Picture 1">
          <a:extLst>
            <a:ext uri="{FF2B5EF4-FFF2-40B4-BE49-F238E27FC236}">
              <a16:creationId xmlns:a16="http://schemas.microsoft.com/office/drawing/2014/main" id="{786A28B8-FD0A-4DA4-9EAD-6BFF5CF9DC02}"/>
            </a:ext>
          </a:extLst>
        </xdr:cNvPr>
        <xdr:cNvPicPr>
          <a:picLocks noChangeAspect="1"/>
        </xdr:cNvPicPr>
      </xdr:nvPicPr>
      <xdr:blipFill>
        <a:blip xmlns:r="http://schemas.openxmlformats.org/officeDocument/2006/relationships" r:embed="rId4"/>
        <a:stretch>
          <a:fillRect/>
        </a:stretch>
      </xdr:blipFill>
      <xdr:spPr>
        <a:xfrm>
          <a:off x="2317751" y="6309434"/>
          <a:ext cx="8373714" cy="24101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Christchurch_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s>
    <sheetDataSet>
      <sheetData sheetId="0">
        <row r="24">
          <cell r="B24" t="str">
            <v>RFI Table F10; Lines F10.62 + F10.70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198</v>
      </c>
      <c r="C2" s="171"/>
      <c r="D2" s="60"/>
      <c r="E2" s="14"/>
      <c r="F2" s="60"/>
    </row>
    <row r="3" spans="1:6" x14ac:dyDescent="0.35">
      <c r="C3" s="14"/>
      <c r="D3" s="14"/>
    </row>
    <row r="4" spans="1:6" x14ac:dyDescent="0.35">
      <c r="A4" s="14" t="s">
        <v>160</v>
      </c>
      <c r="B4" s="14"/>
      <c r="D4" s="14"/>
    </row>
    <row r="6" spans="1:6" ht="21" x14ac:dyDescent="0.5">
      <c r="A6" s="15" t="s">
        <v>169</v>
      </c>
    </row>
    <row r="7" spans="1:6" ht="241" customHeight="1" x14ac:dyDescent="0.35">
      <c r="A7" s="107">
        <v>1</v>
      </c>
      <c r="B7" s="104" t="s">
        <v>170</v>
      </c>
    </row>
    <row r="8" spans="1:6" ht="365.5" customHeight="1" x14ac:dyDescent="0.35">
      <c r="A8" s="107">
        <v>2</v>
      </c>
      <c r="B8" s="104" t="s">
        <v>204</v>
      </c>
    </row>
    <row r="9" spans="1:6" ht="195.5" customHeight="1" x14ac:dyDescent="0.35">
      <c r="A9" s="107">
        <f>A8+1</f>
        <v>3</v>
      </c>
      <c r="B9" s="105" t="s">
        <v>174</v>
      </c>
    </row>
    <row r="10" spans="1:6" ht="236" customHeight="1" x14ac:dyDescent="0.35">
      <c r="A10" s="107">
        <v>4</v>
      </c>
      <c r="B10" s="105" t="s">
        <v>175</v>
      </c>
    </row>
    <row r="11" spans="1:6" ht="21" x14ac:dyDescent="0.35">
      <c r="A11" s="107">
        <f>A10+1</f>
        <v>5</v>
      </c>
      <c r="B11" s="63" t="s">
        <v>189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166</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1238000135.236855</v>
      </c>
      <c r="C6" s="12">
        <f ca="1">B6+Depreciation!C18+'Cash Flow'!C13</f>
        <v>1278294724.4689806</v>
      </c>
      <c r="D6" s="1">
        <f ca="1">C6+Depreciation!D18</f>
        <v>1356694623.529743</v>
      </c>
      <c r="E6" s="1">
        <f ca="1">D6+Depreciation!E18</f>
        <v>1439013155.7954066</v>
      </c>
      <c r="F6" s="1">
        <f ca="1">E6+Depreciation!F18</f>
        <v>1525420832.2944469</v>
      </c>
      <c r="G6" s="1">
        <f ca="1">F6+Depreciation!G18</f>
        <v>1616095064.08076</v>
      </c>
      <c r="H6" s="1">
        <f ca="1">G6+Depreciation!H18</f>
        <v>1711220429.2319961</v>
      </c>
      <c r="I6" s="1">
        <f ca="1">H6+Depreciation!I18</f>
        <v>1810988949.8701611</v>
      </c>
      <c r="J6" s="1">
        <f ca="1">I6+Depreciation!J18</f>
        <v>1915600379.5725038</v>
      </c>
      <c r="K6" s="1">
        <f ca="1">J6+Depreciation!K18</f>
        <v>2025262501.553998</v>
      </c>
      <c r="L6" s="1">
        <f ca="1">K6+Depreciation!L18</f>
        <v>2140191438.0164943</v>
      </c>
      <c r="M6" s="1">
        <f ca="1">L6+Depreciation!M18</f>
        <v>2260611971.0738673</v>
      </c>
      <c r="N6" s="1">
        <f ca="1">M6+Depreciation!N18</f>
        <v>2386757875.6772523</v>
      </c>
      <c r="O6" s="1">
        <f ca="1">N6+Depreciation!O18</f>
        <v>2518872264.9797425</v>
      </c>
      <c r="P6" s="1">
        <f ca="1">O6+Depreciation!P18</f>
        <v>2657207948.5957675</v>
      </c>
      <c r="Q6" s="1">
        <f ca="1">P6+Depreciation!Q18</f>
        <v>2802027804.2267475</v>
      </c>
      <c r="R6" s="1">
        <f ca="1">Q6+Depreciation!R18</f>
        <v>2953605163.1416168</v>
      </c>
      <c r="S6" s="1">
        <f ca="1">R6+Depreciation!S18</f>
        <v>3112224210.0183778</v>
      </c>
      <c r="T6" s="1">
        <f ca="1">S6+Depreciation!T18</f>
        <v>3278180397.6710629</v>
      </c>
      <c r="U6" s="1">
        <f ca="1">T6+Depreciation!U18</f>
        <v>3451780877.2053299</v>
      </c>
      <c r="V6" s="1">
        <f ca="1">U6+Depreciation!V18</f>
        <v>3633344944.1654434</v>
      </c>
      <c r="W6" s="1">
        <f ca="1">V6+Depreciation!W18</f>
        <v>3823204501.2556148</v>
      </c>
      <c r="X6" s="1">
        <f ca="1">W6+Depreciation!X18</f>
        <v>4021704538.2396002</v>
      </c>
      <c r="Y6" s="1">
        <f ca="1">X6+Depreciation!Y18</f>
        <v>4229203629.6441431</v>
      </c>
      <c r="Z6" s="1">
        <f ca="1">Y6+Depreciation!Z18</f>
        <v>4446074450.9142885</v>
      </c>
      <c r="AA6" s="1">
        <f ca="1">Z6+Depreciation!AA18</f>
        <v>4672704313.6918364</v>
      </c>
      <c r="AB6" s="1">
        <f ca="1">AA6+Depreciation!AB18</f>
        <v>4909495720.9122791</v>
      </c>
      <c r="AC6" s="1">
        <f ca="1">AB6+Depreciation!AC18</f>
        <v>5156866942.4404783</v>
      </c>
      <c r="AD6" s="1">
        <f ca="1">AC6+Depreciation!AD18</f>
        <v>5415252611.9911366</v>
      </c>
      <c r="AE6" s="1">
        <f ca="1">AD6+Depreciation!AE18</f>
        <v>5685104346.1068468</v>
      </c>
      <c r="AF6" s="1"/>
      <c r="AG6" s="1"/>
      <c r="AH6" s="1"/>
      <c r="AI6" s="1"/>
      <c r="AJ6" s="1"/>
      <c r="AK6" s="1"/>
      <c r="AL6" s="1"/>
      <c r="AM6" s="1"/>
      <c r="AN6" s="1"/>
      <c r="AO6" s="1"/>
      <c r="AP6" s="1"/>
    </row>
    <row r="7" spans="1:42" x14ac:dyDescent="0.35">
      <c r="A7" t="s">
        <v>12</v>
      </c>
      <c r="B7" s="1">
        <f>Depreciation!C12</f>
        <v>638488524.78548181</v>
      </c>
      <c r="C7" s="1">
        <f>Depreciation!D12</f>
        <v>659966733.1583904</v>
      </c>
      <c r="D7" s="1">
        <f>Depreciation!E12</f>
        <v>683542080.63418877</v>
      </c>
      <c r="E7" s="1">
        <f>Depreciation!F12</f>
        <v>709326790.43008804</v>
      </c>
      <c r="F7" s="1">
        <f>Depreciation!G12</f>
        <v>737438120.57875955</v>
      </c>
      <c r="G7" s="1">
        <f>Depreciation!H12</f>
        <v>767998571.23994958</v>
      </c>
      <c r="H7" s="1">
        <f>Depreciation!I12</f>
        <v>801136100.12438715</v>
      </c>
      <c r="I7" s="1">
        <f>Depreciation!J12</f>
        <v>836984346.33688307</v>
      </c>
      <c r="J7" s="1">
        <f>Depreciation!K12</f>
        <v>875682862.95685542</v>
      </c>
      <c r="K7" s="1">
        <f>Depreciation!L12</f>
        <v>917377358.68626106</v>
      </c>
      <c r="L7" s="1">
        <f>Depreciation!M12</f>
        <v>962219948.90708482</v>
      </c>
      <c r="M7" s="1">
        <f>Depreciation!N12</f>
        <v>1010369416.5031507</v>
      </c>
      <c r="N7" s="1">
        <f>Depreciation!O12</f>
        <v>1061991482.8140879</v>
      </c>
      <c r="O7" s="1">
        <f>Depreciation!P12</f>
        <v>1117259089.1028297</v>
      </c>
      <c r="P7" s="1">
        <f>Depreciation!Q12</f>
        <v>1176352688.9320536</v>
      </c>
      <c r="Q7" s="1">
        <f>Depreciation!R12</f>
        <v>1239460551.8595107</v>
      </c>
      <c r="R7" s="1">
        <f>Depreciation!S12</f>
        <v>1306779078.8772626</v>
      </c>
      <c r="S7" s="1">
        <f>Depreciation!T12</f>
        <v>1378513130.0354502</v>
      </c>
      <c r="T7" s="1">
        <f>Depreciation!U12</f>
        <v>1454876364.7073958</v>
      </c>
      <c r="U7" s="1">
        <f>Depreciation!V12</f>
        <v>1536091594.9695935</v>
      </c>
      <c r="V7" s="1">
        <f>Depreciation!W12</f>
        <v>1622391152.5875156</v>
      </c>
      <c r="W7" s="1">
        <f>Depreciation!X12</f>
        <v>1714017270.1161399</v>
      </c>
      <c r="X7" s="1">
        <f>Depreciation!Y12</f>
        <v>1811222476.6427505</v>
      </c>
      <c r="Y7" s="1">
        <f>Depreciation!Z12</f>
        <v>1914270008.7188692</v>
      </c>
      <c r="Z7" s="1">
        <f>Depreciation!AA12</f>
        <v>2023434237.0481815</v>
      </c>
      <c r="AA7" s="1">
        <f>Depreciation!AB12</f>
        <v>2139001109.5180457</v>
      </c>
      <c r="AB7" s="1">
        <f>Depreciation!AC12</f>
        <v>2261268611.1836476</v>
      </c>
      <c r="AC7" s="1">
        <f>Depreciation!AD12</f>
        <v>2390547241.8361058</v>
      </c>
      <c r="AD7" s="1">
        <f>Depreciation!AE12</f>
        <v>2527160511.8088732</v>
      </c>
      <c r="AE7" s="1">
        <f>Depreciation!AF12</f>
        <v>2671445456.7006617</v>
      </c>
      <c r="AF7" s="1"/>
      <c r="AG7" s="1"/>
      <c r="AH7" s="1"/>
      <c r="AI7" s="1"/>
      <c r="AJ7" s="1"/>
      <c r="AK7" s="1"/>
      <c r="AL7" s="1"/>
      <c r="AM7" s="1"/>
      <c r="AN7" s="1"/>
      <c r="AO7" s="1"/>
      <c r="AP7" s="1"/>
    </row>
    <row r="8" spans="1:42" x14ac:dyDescent="0.35">
      <c r="A8" t="s">
        <v>192</v>
      </c>
      <c r="B8" s="1">
        <f t="shared" ref="B8:AE8" si="1">B6-B7</f>
        <v>599511610.45137322</v>
      </c>
      <c r="C8" s="1">
        <f t="shared" ca="1" si="1"/>
        <v>618327991.31059015</v>
      </c>
      <c r="D8" s="1">
        <f ca="1">D6-D7</f>
        <v>673152542.89555418</v>
      </c>
      <c r="E8" s="1">
        <f t="shared" ca="1" si="1"/>
        <v>729686365.36531854</v>
      </c>
      <c r="F8" s="1">
        <f t="shared" ca="1" si="1"/>
        <v>787982711.71568739</v>
      </c>
      <c r="G8" s="1">
        <f t="shared" ca="1" si="1"/>
        <v>848096492.84081042</v>
      </c>
      <c r="H8" s="1">
        <f t="shared" ca="1" si="1"/>
        <v>910084329.10760891</v>
      </c>
      <c r="I8" s="1">
        <f t="shared" ca="1" si="1"/>
        <v>974004603.53327799</v>
      </c>
      <c r="J8" s="1">
        <f t="shared" ca="1" si="1"/>
        <v>1039917516.6156484</v>
      </c>
      <c r="K8" s="1">
        <f t="shared" ca="1" si="1"/>
        <v>1107885142.8677368</v>
      </c>
      <c r="L8" s="1">
        <f t="shared" ca="1" si="1"/>
        <v>1177971489.1094093</v>
      </c>
      <c r="M8" s="1">
        <f t="shared" ca="1" si="1"/>
        <v>1250242554.5707166</v>
      </c>
      <c r="N8" s="1">
        <f t="shared" ca="1" si="1"/>
        <v>1324766392.8631644</v>
      </c>
      <c r="O8" s="1">
        <f t="shared" ca="1" si="1"/>
        <v>1401613175.8769128</v>
      </c>
      <c r="P8" s="1">
        <f t="shared" ca="1" si="1"/>
        <v>1480855259.6637139</v>
      </c>
      <c r="Q8" s="1">
        <f t="shared" ca="1" si="1"/>
        <v>1562567252.3672369</v>
      </c>
      <c r="R8" s="1">
        <f t="shared" ca="1" si="1"/>
        <v>1646826084.2643542</v>
      </c>
      <c r="S8" s="1">
        <f t="shared" ca="1" si="1"/>
        <v>1733711079.9829276</v>
      </c>
      <c r="T8" s="1">
        <f t="shared" ca="1" si="1"/>
        <v>1823304032.9636672</v>
      </c>
      <c r="U8" s="1">
        <f t="shared" ca="1" si="1"/>
        <v>1915689282.2357364</v>
      </c>
      <c r="V8" s="1">
        <f t="shared" ca="1" si="1"/>
        <v>2010953791.5779278</v>
      </c>
      <c r="W8" s="1">
        <f t="shared" ca="1" si="1"/>
        <v>2109187231.1394749</v>
      </c>
      <c r="X8" s="1">
        <f t="shared" ca="1" si="1"/>
        <v>2210482061.5968494</v>
      </c>
      <c r="Y8" s="1">
        <f t="shared" ca="1" si="1"/>
        <v>2314933620.9252739</v>
      </c>
      <c r="Z8" s="1">
        <f t="shared" ca="1" si="1"/>
        <v>2422640213.866107</v>
      </c>
      <c r="AA8" s="1">
        <f t="shared" ca="1" si="1"/>
        <v>2533703204.1737909</v>
      </c>
      <c r="AB8" s="1">
        <f t="shared" ca="1" si="1"/>
        <v>2648227109.7286315</v>
      </c>
      <c r="AC8" s="1">
        <f t="shared" ca="1" si="1"/>
        <v>2766319700.6043725</v>
      </c>
      <c r="AD8" s="1">
        <f t="shared" ca="1" si="1"/>
        <v>2888092100.1822634</v>
      </c>
      <c r="AE8" s="1">
        <f t="shared" ca="1" si="1"/>
        <v>3013658889.4061852</v>
      </c>
      <c r="AF8" s="1"/>
      <c r="AG8" s="1"/>
      <c r="AH8" s="1"/>
      <c r="AI8" s="1"/>
      <c r="AJ8" s="1"/>
      <c r="AK8" s="1"/>
      <c r="AL8" s="1"/>
      <c r="AM8" s="1"/>
      <c r="AN8" s="1"/>
      <c r="AO8" s="1"/>
      <c r="AP8" s="1"/>
    </row>
    <row r="10" spans="1:42" x14ac:dyDescent="0.35">
      <c r="A10" t="s">
        <v>17</v>
      </c>
      <c r="B10" s="1">
        <f>B8-B11</f>
        <v>589268258.23254573</v>
      </c>
      <c r="C10" s="1">
        <f ca="1">C8-C11</f>
        <v>573734094.13371956</v>
      </c>
      <c r="D10" s="1">
        <f ca="1">D8-D11</f>
        <v>592976577.71344435</v>
      </c>
      <c r="E10" s="1">
        <f t="shared" ref="E10:AE10" ca="1" si="2">E8-E11</f>
        <v>613014747.36152053</v>
      </c>
      <c r="F10" s="1">
        <f t="shared" ca="1" si="2"/>
        <v>634284054.0534817</v>
      </c>
      <c r="G10" s="1">
        <f ca="1">G8-G11</f>
        <v>657294071.8306638</v>
      </c>
      <c r="H10" s="1">
        <f t="shared" ca="1" si="2"/>
        <v>682637657.34221482</v>
      </c>
      <c r="I10" s="1">
        <f t="shared" ca="1" si="2"/>
        <v>709928099.19111276</v>
      </c>
      <c r="J10" s="1">
        <f t="shared" ca="1" si="2"/>
        <v>739716425.0663476</v>
      </c>
      <c r="K10" s="1">
        <f t="shared" ca="1" si="2"/>
        <v>771998065.8264519</v>
      </c>
      <c r="L10" s="1">
        <f t="shared" ca="1" si="2"/>
        <v>807360863.21580243</v>
      </c>
      <c r="M10" s="1">
        <f t="shared" ca="1" si="2"/>
        <v>846472648.35306561</v>
      </c>
      <c r="N10" s="1">
        <f t="shared" ca="1" si="2"/>
        <v>890089708.42297077</v>
      </c>
      <c r="O10" s="1">
        <f t="shared" ca="1" si="2"/>
        <v>938189774.79342127</v>
      </c>
      <c r="P10" s="1">
        <f t="shared" ca="1" si="2"/>
        <v>987781038.8974086</v>
      </c>
      <c r="Q10" s="1">
        <f t="shared" ca="1" si="2"/>
        <v>1039093993.8865757</v>
      </c>
      <c r="R10" s="1">
        <f t="shared" ca="1" si="2"/>
        <v>1092387001.9314175</v>
      </c>
      <c r="S10" s="1">
        <f t="shared" ca="1" si="2"/>
        <v>1147948806.3562956</v>
      </c>
      <c r="T10" s="1">
        <f t="shared" ca="1" si="2"/>
        <v>1206101235.7363572</v>
      </c>
      <c r="U10" s="1">
        <f t="shared" ca="1" si="2"/>
        <v>1267202113.2678969</v>
      </c>
      <c r="V10" s="1">
        <f t="shared" ca="1" si="2"/>
        <v>1330322422.5252619</v>
      </c>
      <c r="W10" s="1">
        <f t="shared" ca="1" si="2"/>
        <v>1395706236.4060988</v>
      </c>
      <c r="X10" s="1">
        <f t="shared" ca="1" si="2"/>
        <v>1463624367.1281905</v>
      </c>
      <c r="Y10" s="1">
        <f t="shared" ca="1" si="2"/>
        <v>1534376635.5742803</v>
      </c>
      <c r="Z10" s="1">
        <f t="shared" ca="1" si="2"/>
        <v>1608294304.8481989</v>
      </c>
      <c r="AA10" s="1">
        <f t="shared" ca="1" si="2"/>
        <v>1684026159.8549294</v>
      </c>
      <c r="AB10" s="1">
        <f t="shared" ca="1" si="2"/>
        <v>1758860911.674613</v>
      </c>
      <c r="AC10" s="1">
        <f t="shared" ca="1" si="2"/>
        <v>1832626777.0197382</v>
      </c>
      <c r="AD10" s="1">
        <f t="shared" ca="1" si="2"/>
        <v>1905142119.4332979</v>
      </c>
      <c r="AE10" s="1">
        <f t="shared" ca="1" si="2"/>
        <v>1976215043.286803</v>
      </c>
      <c r="AF10" s="1"/>
      <c r="AG10" s="1"/>
      <c r="AH10" s="1"/>
      <c r="AI10" s="1"/>
      <c r="AJ10" s="1"/>
      <c r="AK10" s="1"/>
      <c r="AL10" s="1"/>
      <c r="AM10" s="1"/>
      <c r="AN10" s="1"/>
      <c r="AO10" s="1"/>
    </row>
    <row r="11" spans="1:42" x14ac:dyDescent="0.35">
      <c r="A11" t="s">
        <v>9</v>
      </c>
      <c r="B11" s="1">
        <f>Assumptions!$C$20</f>
        <v>10243352.218827441</v>
      </c>
      <c r="C11" s="1">
        <f ca="1">'Debt worksheet'!D5</f>
        <v>44593897.176870532</v>
      </c>
      <c r="D11" s="1">
        <f ca="1">'Debt worksheet'!E5</f>
        <v>80175965.182109818</v>
      </c>
      <c r="E11" s="1">
        <f ca="1">'Debt worksheet'!F5</f>
        <v>116671618.00379798</v>
      </c>
      <c r="F11" s="1">
        <f ca="1">'Debt worksheet'!G5</f>
        <v>153698657.66220567</v>
      </c>
      <c r="G11" s="1">
        <f ca="1">'Debt worksheet'!H5</f>
        <v>190802421.01014659</v>
      </c>
      <c r="H11" s="1">
        <f ca="1">'Debt worksheet'!I5</f>
        <v>227446671.76539403</v>
      </c>
      <c r="I11" s="1">
        <f ca="1">'Debt worksheet'!J5</f>
        <v>264076504.34216523</v>
      </c>
      <c r="J11" s="1">
        <f ca="1">'Debt worksheet'!K5</f>
        <v>300201091.54930079</v>
      </c>
      <c r="K11" s="1">
        <f ca="1">'Debt worksheet'!L5</f>
        <v>335887077.04128492</v>
      </c>
      <c r="L11" s="1">
        <f ca="1">'Debt worksheet'!M5</f>
        <v>370610625.89360696</v>
      </c>
      <c r="M11" s="1">
        <f ca="1">'Debt worksheet'!N5</f>
        <v>403769906.21765101</v>
      </c>
      <c r="N11" s="1">
        <f ca="1">'Debt worksheet'!O5</f>
        <v>434676684.44019359</v>
      </c>
      <c r="O11" s="1">
        <f ca="1">'Debt worksheet'!P5</f>
        <v>463423401.08349156</v>
      </c>
      <c r="P11" s="1">
        <f ca="1">'Debt worksheet'!Q5</f>
        <v>493074220.76630533</v>
      </c>
      <c r="Q11" s="1">
        <f ca="1">'Debt worksheet'!R5</f>
        <v>523473258.48066115</v>
      </c>
      <c r="R11" s="1">
        <f ca="1">'Debt worksheet'!S5</f>
        <v>554439082.33293688</v>
      </c>
      <c r="S11" s="1">
        <f ca="1">'Debt worksheet'!T5</f>
        <v>585762273.62663198</v>
      </c>
      <c r="T11" s="1">
        <f ca="1">'Debt worksheet'!U5</f>
        <v>617202797.22731006</v>
      </c>
      <c r="U11" s="1">
        <f ca="1">'Debt worksheet'!V5</f>
        <v>648487168.96783948</v>
      </c>
      <c r="V11" s="1">
        <f ca="1">'Debt worksheet'!W5</f>
        <v>680631369.05266595</v>
      </c>
      <c r="W11" s="1">
        <f ca="1">'Debt worksheet'!X5</f>
        <v>713480994.73337615</v>
      </c>
      <c r="X11" s="1">
        <f ca="1">'Debt worksheet'!Y5</f>
        <v>746857694.46865904</v>
      </c>
      <c r="Y11" s="1">
        <f ca="1">'Debt worksheet'!Z5</f>
        <v>780556985.35099351</v>
      </c>
      <c r="Z11" s="1">
        <f ca="1">'Debt worksheet'!AA5</f>
        <v>814345909.0179081</v>
      </c>
      <c r="AA11" s="1">
        <f ca="1">'Debt worksheet'!AB5</f>
        <v>849677044.31886148</v>
      </c>
      <c r="AB11" s="1">
        <f ca="1">'Debt worksheet'!AC5</f>
        <v>889366198.05401862</v>
      </c>
      <c r="AC11" s="1">
        <f ca="1">'Debt worksheet'!AD5</f>
        <v>933692923.58463418</v>
      </c>
      <c r="AD11" s="1">
        <f ca="1">'Debt worksheet'!AE5</f>
        <v>982949980.7489655</v>
      </c>
      <c r="AE11" s="1">
        <f ca="1">'Debt worksheet'!AF5</f>
        <v>1037443846.1193821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167</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20806132.065071154</v>
      </c>
      <c r="D5" s="4">
        <f ca="1">'Profit and Loss'!D9</f>
        <v>21339622.682614617</v>
      </c>
      <c r="E5" s="4">
        <f ca="1">'Profit and Loss'!E9</f>
        <v>22247531.968177065</v>
      </c>
      <c r="F5" s="4">
        <f ca="1">'Profit and Loss'!F9</f>
        <v>23595927.044733245</v>
      </c>
      <c r="G5" s="4">
        <f ca="1">'Profit and Loss'!G9</f>
        <v>25459138.289700516</v>
      </c>
      <c r="H5" s="4">
        <f ca="1">'Profit and Loss'!H9</f>
        <v>27920663.734798484</v>
      </c>
      <c r="I5" s="4">
        <f ca="1">'Profit and Loss'!I9</f>
        <v>30001159.17695621</v>
      </c>
      <c r="J5" s="4">
        <f ca="1">'Profit and Loss'!J9</f>
        <v>32638596.282711159</v>
      </c>
      <c r="K5" s="4">
        <f ca="1">'Profit and Loss'!K9</f>
        <v>35277619.869537711</v>
      </c>
      <c r="L5" s="4">
        <f ca="1">'Profit and Loss'!L9</f>
        <v>38510891.880768448</v>
      </c>
      <c r="M5" s="4">
        <f ca="1">'Profit and Loss'!M9</f>
        <v>42418662.512505352</v>
      </c>
      <c r="N5" s="4">
        <f ca="1">'Profit and Loss'!N9</f>
        <v>47089658.784776382</v>
      </c>
      <c r="O5" s="4">
        <f ca="1">'Profit and Loss'!O9</f>
        <v>51745606.348255247</v>
      </c>
      <c r="P5" s="4">
        <f ca="1">'Profit and Loss'!P9</f>
        <v>53417257.644469082</v>
      </c>
      <c r="Q5" s="4">
        <f ca="1">'Profit and Loss'!Q9</f>
        <v>55327218.087400094</v>
      </c>
      <c r="R5" s="4">
        <f ca="1">'Profit and Loss'!R9</f>
        <v>57503672.13513644</v>
      </c>
      <c r="S5" s="4">
        <f ca="1">'Profit and Loss'!S9</f>
        <v>59977328.565314204</v>
      </c>
      <c r="T5" s="4">
        <f ca="1">'Profit and Loss'!T9</f>
        <v>62781612.893819548</v>
      </c>
      <c r="U5" s="4">
        <f ca="1">'Profit and Loss'!U9</f>
        <v>65952873.121792078</v>
      </c>
      <c r="V5" s="4">
        <f ca="1">'Profit and Loss'!V9</f>
        <v>68204636.613089398</v>
      </c>
      <c r="W5" s="4">
        <f ca="1">'Profit and Loss'!W9</f>
        <v>70710373.791538984</v>
      </c>
      <c r="X5" s="4">
        <f ca="1">'Profit and Loss'!X9</f>
        <v>73497219.7200782</v>
      </c>
      <c r="Y5" s="4">
        <f ca="1">'Profit and Loss'!Y9</f>
        <v>76594593.995598167</v>
      </c>
      <c r="Z5" s="4">
        <f ca="1">'Profit and Loss'!Z9</f>
        <v>80034365.527111873</v>
      </c>
      <c r="AA5" s="4">
        <f ca="1">'Profit and Loss'!AA9</f>
        <v>82134499.147281885</v>
      </c>
      <c r="AB5" s="4">
        <f ca="1">'Profit and Loss'!AB9</f>
        <v>81535381.015421733</v>
      </c>
      <c r="AC5" s="4">
        <f ca="1">'Profit and Loss'!AC9</f>
        <v>80776994.331981838</v>
      </c>
      <c r="AD5" s="4">
        <f ca="1">'Profit and Loss'!AD9</f>
        <v>79849981.733869135</v>
      </c>
      <c r="AE5" s="4">
        <f ca="1">'Profit and Loss'!AE9</f>
        <v>78744598.772526324</v>
      </c>
      <c r="AF5" s="4">
        <f ca="1">'Profit and Loss'!AF9</f>
        <v>77450701.74968037</v>
      </c>
      <c r="AG5" s="4"/>
      <c r="AH5" s="4"/>
      <c r="AI5" s="4"/>
      <c r="AJ5" s="4"/>
      <c r="AK5" s="4"/>
      <c r="AL5" s="4"/>
      <c r="AM5" s="4"/>
      <c r="AN5" s="4"/>
      <c r="AO5" s="4"/>
      <c r="AP5" s="4"/>
    </row>
    <row r="6" spans="1:42" x14ac:dyDescent="0.35">
      <c r="A6" t="s">
        <v>21</v>
      </c>
      <c r="C6" s="4">
        <f>Depreciation!C8+Depreciation!C9</f>
        <v>19488457.167054344</v>
      </c>
      <c r="D6" s="4">
        <f>Depreciation!D8+Depreciation!D9</f>
        <v>21478208.372908577</v>
      </c>
      <c r="E6" s="4">
        <f>Depreciation!E8+Depreciation!E9</f>
        <v>23575347.475798413</v>
      </c>
      <c r="F6" s="4">
        <f>Depreciation!F8+Depreciation!F9</f>
        <v>25784709.795899346</v>
      </c>
      <c r="G6" s="4">
        <f>Depreciation!G8+Depreciation!G9</f>
        <v>28111330.148671523</v>
      </c>
      <c r="H6" s="4">
        <f>Depreciation!H8+Depreciation!H9</f>
        <v>30560450.661190111</v>
      </c>
      <c r="I6" s="4">
        <f>Depreciation!I8+Depreciation!I9</f>
        <v>33137528.884437643</v>
      </c>
      <c r="J6" s="4">
        <f>Depreciation!J8+Depreciation!J9</f>
        <v>35848246.212495983</v>
      </c>
      <c r="K6" s="4">
        <f>Depreciation!K8+Depreciation!K9</f>
        <v>38698516.619972378</v>
      </c>
      <c r="L6" s="4">
        <f>Depreciation!L8+Depreciation!L9</f>
        <v>41694495.729405664</v>
      </c>
      <c r="M6" s="4">
        <f>Depreciation!M8+Depreciation!M9</f>
        <v>44842590.220823832</v>
      </c>
      <c r="N6" s="4">
        <f>Depreciation!N8+Depreciation!N9</f>
        <v>48149467.596065849</v>
      </c>
      <c r="O6" s="4">
        <f>Depreciation!O8+Depreciation!O9</f>
        <v>51622066.310937233</v>
      </c>
      <c r="P6" s="4">
        <f>Depreciation!P8+Depreciation!P9</f>
        <v>55267606.288742006</v>
      </c>
      <c r="Q6" s="4">
        <f>Depreciation!Q8+Depreciation!Q9</f>
        <v>59093599.829223871</v>
      </c>
      <c r="R6" s="4">
        <f>Depreciation!R8+Depreciation!R9</f>
        <v>63107862.927456938</v>
      </c>
      <c r="S6" s="4">
        <f>Depreciation!S8+Depreciation!S9</f>
        <v>67318527.017751798</v>
      </c>
      <c r="T6" s="4">
        <f>Depreciation!T8+Depreciation!T9</f>
        <v>71734051.158187777</v>
      </c>
      <c r="U6" s="4">
        <f>Depreciation!U8+Depreciation!U9</f>
        <v>76363234.671945482</v>
      </c>
      <c r="V6" s="4">
        <f>Depreciation!V8+Depreciation!V9</f>
        <v>81215230.262197733</v>
      </c>
      <c r="W6" s="4">
        <f>Depreciation!W8+Depreciation!W9</f>
        <v>86299557.617922068</v>
      </c>
      <c r="X6" s="4">
        <f>Depreciation!X8+Depreciation!X9</f>
        <v>91626117.528624207</v>
      </c>
      <c r="Y6" s="4">
        <f>Depreciation!Y8+Depreciation!Y9</f>
        <v>97205206.526610553</v>
      </c>
      <c r="Z6" s="4">
        <f>Depreciation!Z8+Depreciation!Z9</f>
        <v>103047532.07611874</v>
      </c>
      <c r="AA6" s="4">
        <f>Depreciation!AA8+Depreciation!AA9</f>
        <v>109164228.32931221</v>
      </c>
      <c r="AB6" s="4">
        <f>Depreciation!AB8+Depreciation!AB9</f>
        <v>115566872.46986407</v>
      </c>
      <c r="AC6" s="4">
        <f>Depreciation!AC8+Depreciation!AC9</f>
        <v>122267501.66560204</v>
      </c>
      <c r="AD6" s="4">
        <f>Depreciation!AD8+Depreciation!AD9</f>
        <v>129278630.65245812</v>
      </c>
      <c r="AE6" s="4">
        <f>Depreciation!AE8+Depreciation!AE9</f>
        <v>136613269.97276741</v>
      </c>
      <c r="AF6" s="4">
        <f>Depreciation!AF8+Depreciation!AF9</f>
        <v>144284944.89178836</v>
      </c>
      <c r="AG6" s="4"/>
      <c r="AH6" s="4"/>
      <c r="AI6" s="4"/>
      <c r="AJ6" s="4"/>
      <c r="AK6" s="4"/>
      <c r="AL6" s="4"/>
      <c r="AM6" s="4"/>
      <c r="AN6" s="4"/>
      <c r="AO6" s="4"/>
      <c r="AP6" s="4"/>
    </row>
    <row r="7" spans="1:42" x14ac:dyDescent="0.35">
      <c r="A7" t="s">
        <v>23</v>
      </c>
      <c r="C7" s="4">
        <f ca="1">C6+C5</f>
        <v>40294589.232125498</v>
      </c>
      <c r="D7" s="4">
        <f ca="1">D6+D5</f>
        <v>42817831.055523194</v>
      </c>
      <c r="E7" s="4">
        <f t="shared" ref="E7:AF7" ca="1" si="1">E6+E5</f>
        <v>45822879.443975478</v>
      </c>
      <c r="F7" s="4">
        <f t="shared" ca="1" si="1"/>
        <v>49380636.840632588</v>
      </c>
      <c r="G7" s="4">
        <f ca="1">G6+G5</f>
        <v>53570468.438372038</v>
      </c>
      <c r="H7" s="4">
        <f t="shared" ca="1" si="1"/>
        <v>58481114.395988598</v>
      </c>
      <c r="I7" s="4">
        <f t="shared" ca="1" si="1"/>
        <v>63138688.061393857</v>
      </c>
      <c r="J7" s="4">
        <f t="shared" ca="1" si="1"/>
        <v>68486842.495207146</v>
      </c>
      <c r="K7" s="4">
        <f t="shared" ca="1" si="1"/>
        <v>73976136.489510089</v>
      </c>
      <c r="L7" s="4">
        <f t="shared" ca="1" si="1"/>
        <v>80205387.610174119</v>
      </c>
      <c r="M7" s="4">
        <f t="shared" ca="1" si="1"/>
        <v>87261252.733329177</v>
      </c>
      <c r="N7" s="4">
        <f t="shared" ca="1" si="1"/>
        <v>95239126.380842239</v>
      </c>
      <c r="O7" s="4">
        <f t="shared" ca="1" si="1"/>
        <v>103367672.65919247</v>
      </c>
      <c r="P7" s="4">
        <f t="shared" ca="1" si="1"/>
        <v>108684863.93321109</v>
      </c>
      <c r="Q7" s="4">
        <f t="shared" ca="1" si="1"/>
        <v>114420817.91662396</v>
      </c>
      <c r="R7" s="4">
        <f t="shared" ca="1" si="1"/>
        <v>120611535.06259337</v>
      </c>
      <c r="S7" s="4">
        <f t="shared" ca="1" si="1"/>
        <v>127295855.583066</v>
      </c>
      <c r="T7" s="4">
        <f t="shared" ca="1" si="1"/>
        <v>134515664.05200732</v>
      </c>
      <c r="U7" s="4">
        <f t="shared" ca="1" si="1"/>
        <v>142316107.79373756</v>
      </c>
      <c r="V7" s="4">
        <f t="shared" ca="1" si="1"/>
        <v>149419866.87528712</v>
      </c>
      <c r="W7" s="4">
        <f t="shared" ca="1" si="1"/>
        <v>157009931.40946105</v>
      </c>
      <c r="X7" s="4">
        <f t="shared" ca="1" si="1"/>
        <v>165123337.24870241</v>
      </c>
      <c r="Y7" s="4">
        <f t="shared" ca="1" si="1"/>
        <v>173799800.52220872</v>
      </c>
      <c r="Z7" s="4">
        <f t="shared" ca="1" si="1"/>
        <v>183081897.6032306</v>
      </c>
      <c r="AA7" s="4">
        <f t="shared" ca="1" si="1"/>
        <v>191298727.47659409</v>
      </c>
      <c r="AB7" s="4">
        <f t="shared" ca="1" si="1"/>
        <v>197102253.48528582</v>
      </c>
      <c r="AC7" s="4">
        <f t="shared" ca="1" si="1"/>
        <v>203044495.99758387</v>
      </c>
      <c r="AD7" s="4">
        <f t="shared" ca="1" si="1"/>
        <v>209128612.38632727</v>
      </c>
      <c r="AE7" s="4">
        <f t="shared" ca="1" si="1"/>
        <v>215357868.74529374</v>
      </c>
      <c r="AF7" s="4">
        <f t="shared" ca="1" si="1"/>
        <v>221735646.64146873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74645134.190168589</v>
      </c>
      <c r="D10" s="9">
        <f>Investment!D25</f>
        <v>78399899.06076248</v>
      </c>
      <c r="E10" s="9">
        <f>Investment!E25</f>
        <v>82318532.265663639</v>
      </c>
      <c r="F10" s="9">
        <f>Investment!F25</f>
        <v>86407676.499040276</v>
      </c>
      <c r="G10" s="9">
        <f>Investment!G25</f>
        <v>90674231.786312968</v>
      </c>
      <c r="H10" s="9">
        <f>Investment!H25</f>
        <v>95125365.151236057</v>
      </c>
      <c r="I10" s="9">
        <f>Investment!I25</f>
        <v>99768520.638165057</v>
      </c>
      <c r="J10" s="9">
        <f>Investment!J25</f>
        <v>104611429.70234269</v>
      </c>
      <c r="K10" s="9">
        <f>Investment!K25</f>
        <v>109662121.98149419</v>
      </c>
      <c r="L10" s="9">
        <f>Investment!L25</f>
        <v>114928936.46249616</v>
      </c>
      <c r="M10" s="9">
        <f>Investment!M25</f>
        <v>120420533.05737321</v>
      </c>
      <c r="N10" s="9">
        <f>Investment!N25</f>
        <v>126145904.60338482</v>
      </c>
      <c r="O10" s="9">
        <f>Investment!O25</f>
        <v>132114389.30249041</v>
      </c>
      <c r="P10" s="9">
        <f>Investment!P25</f>
        <v>138335683.61602488</v>
      </c>
      <c r="Q10" s="9">
        <f>Investment!Q25</f>
        <v>144819855.63097978</v>
      </c>
      <c r="R10" s="9">
        <f>Investment!R25</f>
        <v>151577358.91486907</v>
      </c>
      <c r="S10" s="9">
        <f>Investment!S25</f>
        <v>158619046.87676111</v>
      </c>
      <c r="T10" s="9">
        <f>Investment!T25</f>
        <v>165956187.65268537</v>
      </c>
      <c r="U10" s="9">
        <f>Investment!U25</f>
        <v>173600479.53426701</v>
      </c>
      <c r="V10" s="9">
        <f>Investment!V25</f>
        <v>181564066.96011353</v>
      </c>
      <c r="W10" s="9">
        <f>Investment!W25</f>
        <v>189859557.09017122</v>
      </c>
      <c r="X10" s="9">
        <f>Investment!X25</f>
        <v>198500036.9839853</v>
      </c>
      <c r="Y10" s="9">
        <f>Investment!Y25</f>
        <v>207499091.40454316</v>
      </c>
      <c r="Z10" s="9">
        <f>Investment!Z25</f>
        <v>216870821.27014521</v>
      </c>
      <c r="AA10" s="9">
        <f>Investment!AA25</f>
        <v>226629862.77754754</v>
      </c>
      <c r="AB10" s="9">
        <f>Investment!AB25</f>
        <v>236791407.22044292</v>
      </c>
      <c r="AC10" s="9">
        <f>Investment!AC25</f>
        <v>247371221.52819943</v>
      </c>
      <c r="AD10" s="9">
        <f>Investment!AD25</f>
        <v>258385669.55065864</v>
      </c>
      <c r="AE10" s="9">
        <f>Investment!AE25</f>
        <v>269851734.11571038</v>
      </c>
      <c r="AF10" s="9">
        <f>Investment!AF25</f>
        <v>281787039.88730544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-34350544.958043091</v>
      </c>
      <c r="D12" s="1">
        <f t="shared" ref="D12:AF12" ca="1" si="2">D7-D9-D10</f>
        <v>-35582068.005239286</v>
      </c>
      <c r="E12" s="1">
        <f ca="1">E7-E9-E10</f>
        <v>-36495652.82168816</v>
      </c>
      <c r="F12" s="1">
        <f t="shared" ca="1" si="2"/>
        <v>-37027039.658407688</v>
      </c>
      <c r="G12" s="1">
        <f ca="1">G7-G9-G10</f>
        <v>-37103763.347940929</v>
      </c>
      <c r="H12" s="1">
        <f t="shared" ca="1" si="2"/>
        <v>-36644250.755247459</v>
      </c>
      <c r="I12" s="1">
        <f t="shared" ca="1" si="2"/>
        <v>-36629832.5767712</v>
      </c>
      <c r="J12" s="1">
        <f t="shared" ca="1" si="2"/>
        <v>-36124587.207135543</v>
      </c>
      <c r="K12" s="1">
        <f t="shared" ca="1" si="2"/>
        <v>-35685985.491984099</v>
      </c>
      <c r="L12" s="1">
        <f t="shared" ca="1" si="2"/>
        <v>-34723548.852322042</v>
      </c>
      <c r="M12" s="1">
        <f t="shared" ca="1" si="2"/>
        <v>-33159280.324044034</v>
      </c>
      <c r="N12" s="1">
        <f t="shared" ca="1" si="2"/>
        <v>-30906778.222542584</v>
      </c>
      <c r="O12" s="1">
        <f t="shared" ca="1" si="2"/>
        <v>-28746716.64329794</v>
      </c>
      <c r="P12" s="1">
        <f t="shared" ca="1" si="2"/>
        <v>-29650819.682813793</v>
      </c>
      <c r="Q12" s="1">
        <f t="shared" ca="1" si="2"/>
        <v>-30399037.714355811</v>
      </c>
      <c r="R12" s="1">
        <f t="shared" ca="1" si="2"/>
        <v>-30965823.852275699</v>
      </c>
      <c r="S12" s="1">
        <f t="shared" ca="1" si="2"/>
        <v>-31323191.293695107</v>
      </c>
      <c r="T12" s="1">
        <f t="shared" ca="1" si="2"/>
        <v>-31440523.600678056</v>
      </c>
      <c r="U12" s="1">
        <f t="shared" ca="1" si="2"/>
        <v>-31284371.740529448</v>
      </c>
      <c r="V12" s="1">
        <f t="shared" ca="1" si="2"/>
        <v>-32144200.08482641</v>
      </c>
      <c r="W12" s="1">
        <f t="shared" ca="1" si="2"/>
        <v>-32849625.680710167</v>
      </c>
      <c r="X12" s="1">
        <f t="shared" ca="1" si="2"/>
        <v>-33376699.735282898</v>
      </c>
      <c r="Y12" s="1">
        <f t="shared" ca="1" si="2"/>
        <v>-33699290.882334441</v>
      </c>
      <c r="Z12" s="1">
        <f t="shared" ca="1" si="2"/>
        <v>-33788923.666914612</v>
      </c>
      <c r="AA12" s="1">
        <f t="shared" ca="1" si="2"/>
        <v>-35331135.300953448</v>
      </c>
      <c r="AB12" s="1">
        <f t="shared" ca="1" si="2"/>
        <v>-39689153.735157102</v>
      </c>
      <c r="AC12" s="1">
        <f t="shared" ca="1" si="2"/>
        <v>-44326725.530615568</v>
      </c>
      <c r="AD12" s="1">
        <f t="shared" ca="1" si="2"/>
        <v>-49257057.164331377</v>
      </c>
      <c r="AE12" s="1">
        <f t="shared" ca="1" si="2"/>
        <v>-54493865.370416641</v>
      </c>
      <c r="AF12" s="1">
        <f t="shared" ca="1" si="2"/>
        <v>-60051393.245836705</v>
      </c>
      <c r="AG12" s="1"/>
      <c r="AH12" s="1"/>
      <c r="AI12" s="1"/>
      <c r="AJ12" s="1"/>
      <c r="AK12" s="1"/>
      <c r="AL12" s="1"/>
      <c r="AM12" s="1"/>
      <c r="AN12" s="1"/>
      <c r="AO12" s="1"/>
      <c r="AP12" s="1"/>
    </row>
    <row r="13" spans="1:42" x14ac:dyDescent="0.35">
      <c r="A13" t="s">
        <v>19</v>
      </c>
      <c r="C13" s="1">
        <f ca="1">C12</f>
        <v>-34350544.958043091</v>
      </c>
      <c r="D13" s="1">
        <f ca="1">D12</f>
        <v>-35582068.005239286</v>
      </c>
      <c r="E13" s="1">
        <f ca="1">E12</f>
        <v>-36495652.82168816</v>
      </c>
      <c r="F13" s="1">
        <f t="shared" ref="F13:AF13" ca="1" si="3">F12</f>
        <v>-37027039.658407688</v>
      </c>
      <c r="G13" s="1">
        <f ca="1">G12</f>
        <v>-37103763.347940929</v>
      </c>
      <c r="H13" s="1">
        <f t="shared" ca="1" si="3"/>
        <v>-36644250.755247459</v>
      </c>
      <c r="I13" s="1">
        <f t="shared" ca="1" si="3"/>
        <v>-36629832.5767712</v>
      </c>
      <c r="J13" s="1">
        <f t="shared" ca="1" si="3"/>
        <v>-36124587.207135543</v>
      </c>
      <c r="K13" s="1">
        <f t="shared" ca="1" si="3"/>
        <v>-35685985.491984099</v>
      </c>
      <c r="L13" s="1">
        <f t="shared" ca="1" si="3"/>
        <v>-34723548.852322042</v>
      </c>
      <c r="M13" s="1">
        <f t="shared" ca="1" si="3"/>
        <v>-33159280.324044034</v>
      </c>
      <c r="N13" s="1">
        <f t="shared" ca="1" si="3"/>
        <v>-30906778.222542584</v>
      </c>
      <c r="O13" s="1">
        <f t="shared" ca="1" si="3"/>
        <v>-28746716.64329794</v>
      </c>
      <c r="P13" s="1">
        <f t="shared" ca="1" si="3"/>
        <v>-29650819.682813793</v>
      </c>
      <c r="Q13" s="1">
        <f t="shared" ca="1" si="3"/>
        <v>-30399037.714355811</v>
      </c>
      <c r="R13" s="1">
        <f t="shared" ca="1" si="3"/>
        <v>-30965823.852275699</v>
      </c>
      <c r="S13" s="1">
        <f t="shared" ca="1" si="3"/>
        <v>-31323191.293695107</v>
      </c>
      <c r="T13" s="1">
        <f t="shared" ca="1" si="3"/>
        <v>-31440523.600678056</v>
      </c>
      <c r="U13" s="1">
        <f t="shared" ca="1" si="3"/>
        <v>-31284371.740529448</v>
      </c>
      <c r="V13" s="1">
        <f t="shared" ca="1" si="3"/>
        <v>-32144200.08482641</v>
      </c>
      <c r="W13" s="1">
        <f t="shared" ca="1" si="3"/>
        <v>-32849625.680710167</v>
      </c>
      <c r="X13" s="1">
        <f t="shared" ca="1" si="3"/>
        <v>-33376699.735282898</v>
      </c>
      <c r="Y13" s="1">
        <f t="shared" ca="1" si="3"/>
        <v>-33699290.882334441</v>
      </c>
      <c r="Z13" s="1">
        <f t="shared" ca="1" si="3"/>
        <v>-33788923.666914612</v>
      </c>
      <c r="AA13" s="1">
        <f t="shared" ca="1" si="3"/>
        <v>-35331135.300953448</v>
      </c>
      <c r="AB13" s="1">
        <f t="shared" ca="1" si="3"/>
        <v>-39689153.735157102</v>
      </c>
      <c r="AC13" s="1">
        <f t="shared" ca="1" si="3"/>
        <v>-44326725.530615568</v>
      </c>
      <c r="AD13" s="1">
        <f t="shared" ca="1" si="3"/>
        <v>-49257057.164331377</v>
      </c>
      <c r="AE13" s="1">
        <f t="shared" ca="1" si="3"/>
        <v>-54493865.370416641</v>
      </c>
      <c r="AF13" s="1">
        <f t="shared" ca="1" si="3"/>
        <v>-60051393.245836705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141</v>
      </c>
      <c r="C6" s="9">
        <f>Assumptions!C17</f>
        <v>1238000135.236855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619000067.61842752</v>
      </c>
      <c r="D7" s="9">
        <f>C12</f>
        <v>638488524.78548181</v>
      </c>
      <c r="E7" s="9">
        <f>D12</f>
        <v>659966733.1583904</v>
      </c>
      <c r="F7" s="9">
        <f t="shared" ref="F7:H7" si="1">E12</f>
        <v>683542080.63418877</v>
      </c>
      <c r="G7" s="9">
        <f t="shared" si="1"/>
        <v>709326790.43008804</v>
      </c>
      <c r="H7" s="9">
        <f t="shared" si="1"/>
        <v>737438120.57875955</v>
      </c>
      <c r="I7" s="9">
        <f t="shared" ref="I7" si="2">H12</f>
        <v>767998571.23994958</v>
      </c>
      <c r="J7" s="9">
        <f t="shared" ref="J7" si="3">I12</f>
        <v>801136100.12438715</v>
      </c>
      <c r="K7" s="9">
        <f t="shared" ref="K7" si="4">J12</f>
        <v>836984346.33688307</v>
      </c>
      <c r="L7" s="9">
        <f t="shared" ref="L7" si="5">K12</f>
        <v>875682862.95685542</v>
      </c>
      <c r="M7" s="9">
        <f t="shared" ref="M7" si="6">L12</f>
        <v>917377358.68626106</v>
      </c>
      <c r="N7" s="9">
        <f t="shared" ref="N7" si="7">M12</f>
        <v>962219948.90708482</v>
      </c>
      <c r="O7" s="9">
        <f t="shared" ref="O7" si="8">N12</f>
        <v>1010369416.5031507</v>
      </c>
      <c r="P7" s="9">
        <f t="shared" ref="P7" si="9">O12</f>
        <v>1061991482.8140879</v>
      </c>
      <c r="Q7" s="9">
        <f t="shared" ref="Q7" si="10">P12</f>
        <v>1117259089.1028297</v>
      </c>
      <c r="R7" s="9">
        <f t="shared" ref="R7" si="11">Q12</f>
        <v>1176352688.9320536</v>
      </c>
      <c r="S7" s="9">
        <f t="shared" ref="S7" si="12">R12</f>
        <v>1239460551.8595107</v>
      </c>
      <c r="T7" s="9">
        <f t="shared" ref="T7" si="13">S12</f>
        <v>1306779078.8772626</v>
      </c>
      <c r="U7" s="9">
        <f t="shared" ref="U7" si="14">T12</f>
        <v>1378513130.0354502</v>
      </c>
      <c r="V7" s="9">
        <f t="shared" ref="V7" si="15">U12</f>
        <v>1454876364.7073958</v>
      </c>
      <c r="W7" s="9">
        <f t="shared" ref="W7" si="16">V12</f>
        <v>1536091594.9695935</v>
      </c>
      <c r="X7" s="9">
        <f t="shared" ref="X7" si="17">W12</f>
        <v>1622391152.5875156</v>
      </c>
      <c r="Y7" s="9">
        <f t="shared" ref="Y7" si="18">X12</f>
        <v>1714017270.1161399</v>
      </c>
      <c r="Z7" s="9">
        <f t="shared" ref="Z7" si="19">Y12</f>
        <v>1811222476.6427505</v>
      </c>
      <c r="AA7" s="9">
        <f t="shared" ref="AA7" si="20">Z12</f>
        <v>1914270008.7188692</v>
      </c>
      <c r="AB7" s="9">
        <f t="shared" ref="AB7" si="21">AA12</f>
        <v>2023434237.0481815</v>
      </c>
      <c r="AC7" s="9">
        <f t="shared" ref="AC7" si="22">AB12</f>
        <v>2139001109.5180457</v>
      </c>
      <c r="AD7" s="9">
        <f t="shared" ref="AD7" si="23">AC12</f>
        <v>2261268611.1836476</v>
      </c>
      <c r="AE7" s="9">
        <f t="shared" ref="AE7" si="24">AD12</f>
        <v>2390547241.8361058</v>
      </c>
      <c r="AF7" s="9">
        <f t="shared" ref="AF7" si="25">AE12</f>
        <v>2527160511.8088732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142</v>
      </c>
      <c r="C8" s="9">
        <f>Assumptions!D111*Assumptions!D11</f>
        <v>18164696.9184996</v>
      </c>
      <c r="D8" s="9">
        <f>Assumptions!E111*Assumptions!E11</f>
        <v>18745967.219891589</v>
      </c>
      <c r="E8" s="9">
        <f>Assumptions!F111*Assumptions!F11</f>
        <v>19345838.170928117</v>
      </c>
      <c r="F8" s="9">
        <f>Assumptions!G111*Assumptions!G11</f>
        <v>19964904.992397819</v>
      </c>
      <c r="G8" s="9">
        <f>Assumptions!H111*Assumptions!H11</f>
        <v>20603781.952154551</v>
      </c>
      <c r="H8" s="9">
        <f>Assumptions!I111*Assumptions!I11</f>
        <v>21263102.974623494</v>
      </c>
      <c r="I8" s="9">
        <f>Assumptions!J111*Assumptions!J11</f>
        <v>21943522.26981144</v>
      </c>
      <c r="J8" s="9">
        <f>Assumptions!K111*Assumptions!K11</f>
        <v>22645714.982445411</v>
      </c>
      <c r="K8" s="9">
        <f>Assumptions!L111*Assumptions!L11</f>
        <v>23370377.861883666</v>
      </c>
      <c r="L8" s="9">
        <f>Assumptions!M111*Assumptions!M11</f>
        <v>24118229.953463942</v>
      </c>
      <c r="M8" s="9">
        <f>Assumptions!N111*Assumptions!N11</f>
        <v>24890013.311974786</v>
      </c>
      <c r="N8" s="9">
        <f>Assumptions!O111*Assumptions!O11</f>
        <v>25686493.73795798</v>
      </c>
      <c r="O8" s="9">
        <f>Assumptions!P111*Assumptions!P11</f>
        <v>26508461.537572637</v>
      </c>
      <c r="P8" s="9">
        <f>Assumptions!Q111*Assumptions!Q11</f>
        <v>27356732.306774959</v>
      </c>
      <c r="Q8" s="9">
        <f>Assumptions!R111*Assumptions!R11</f>
        <v>28232147.740591753</v>
      </c>
      <c r="R8" s="9">
        <f>Assumptions!S111*Assumptions!S11</f>
        <v>29135576.468290694</v>
      </c>
      <c r="S8" s="9">
        <f>Assumptions!T111*Assumptions!T11</f>
        <v>30067914.915275998</v>
      </c>
      <c r="T8" s="9">
        <f>Assumptions!U111*Assumptions!U11</f>
        <v>31030088.192564826</v>
      </c>
      <c r="U8" s="9">
        <f>Assumptions!V111*Assumptions!V11</f>
        <v>32023051.0147269</v>
      </c>
      <c r="V8" s="9">
        <f>Assumptions!W111*Assumptions!W11</f>
        <v>33047788.647198163</v>
      </c>
      <c r="W8" s="9">
        <f>Assumptions!X111*Assumptions!X11</f>
        <v>34105317.88390851</v>
      </c>
      <c r="X8" s="9">
        <f>Assumptions!Y111*Assumptions!Y11</f>
        <v>35196688.056193575</v>
      </c>
      <c r="Y8" s="9">
        <f>Assumptions!Z111*Assumptions!Z11</f>
        <v>36322982.073991761</v>
      </c>
      <c r="Z8" s="9">
        <f>Assumptions!AA111*Assumptions!AA11</f>
        <v>37485317.500359505</v>
      </c>
      <c r="AA8" s="9">
        <f>Assumptions!AB111*Assumptions!AB11</f>
        <v>38684847.660371013</v>
      </c>
      <c r="AB8" s="9">
        <f>Assumptions!AC111*Assumptions!AC11</f>
        <v>39922762.785502881</v>
      </c>
      <c r="AC8" s="9">
        <f>Assumptions!AD111*Assumptions!AD11</f>
        <v>41200291.194638968</v>
      </c>
      <c r="AD8" s="9">
        <f>Assumptions!AE111*Assumptions!AE11</f>
        <v>42518700.512867421</v>
      </c>
      <c r="AE8" s="9">
        <f>Assumptions!AF111*Assumptions!AF11</f>
        <v>43879298.929279178</v>
      </c>
      <c r="AF8" s="9">
        <f>Assumptions!AG111*Assumptions!AG11</f>
        <v>45283436.495016105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1323760.2485547422</v>
      </c>
      <c r="D9" s="9">
        <f>Assumptions!E120*Assumptions!E11</f>
        <v>2732241.1530169877</v>
      </c>
      <c r="E9" s="9">
        <f>Assumptions!F120*Assumptions!F11</f>
        <v>4229509.3048702963</v>
      </c>
      <c r="F9" s="9">
        <f>Assumptions!G120*Assumptions!G11</f>
        <v>5819804.8035015287</v>
      </c>
      <c r="G9" s="9">
        <f>Assumptions!H120*Assumptions!H11</f>
        <v>7507548.1965169739</v>
      </c>
      <c r="H9" s="9">
        <f>Assumptions!I120*Assumptions!I11</f>
        <v>9297347.6865666173</v>
      </c>
      <c r="I9" s="9">
        <f>Assumptions!J120*Assumptions!J11</f>
        <v>11194006.614626205</v>
      </c>
      <c r="J9" s="9">
        <f>Assumptions!K120*Assumptions!K11</f>
        <v>13202531.230050569</v>
      </c>
      <c r="K9" s="9">
        <f>Assumptions!L120*Assumptions!L11</f>
        <v>15328138.75808871</v>
      </c>
      <c r="L9" s="9">
        <f>Assumptions!M120*Assumptions!M11</f>
        <v>17576265.775941722</v>
      </c>
      <c r="M9" s="9">
        <f>Assumptions!N120*Assumptions!N11</f>
        <v>19952576.908849046</v>
      </c>
      <c r="N9" s="9">
        <f>Assumptions!O120*Assumptions!O11</f>
        <v>22462973.858107865</v>
      </c>
      <c r="O9" s="9">
        <f>Assumptions!P120*Assumptions!P11</f>
        <v>25113604.773364596</v>
      </c>
      <c r="P9" s="9">
        <f>Assumptions!Q120*Assumptions!Q11</f>
        <v>27910873.981967043</v>
      </c>
      <c r="Q9" s="9">
        <f>Assumptions!R120*Assumptions!R11</f>
        <v>30861452.088632122</v>
      </c>
      <c r="R9" s="9">
        <f>Assumptions!S120*Assumptions!S11</f>
        <v>33972286.459166244</v>
      </c>
      <c r="S9" s="9">
        <f>Assumptions!T120*Assumptions!T11</f>
        <v>37250612.1024758</v>
      </c>
      <c r="T9" s="9">
        <f>Assumptions!U120*Assumptions!U11</f>
        <v>40703962.965622954</v>
      </c>
      <c r="U9" s="9">
        <f>Assumptions!V120*Assumptions!V11</f>
        <v>44340183.65721859</v>
      </c>
      <c r="V9" s="9">
        <f>Assumptions!W120*Assumptions!W11</f>
        <v>48167441.61499957</v>
      </c>
      <c r="W9" s="9">
        <f>Assumptions!X120*Assumptions!X11</f>
        <v>52194239.73401355</v>
      </c>
      <c r="X9" s="9">
        <f>Assumptions!Y120*Assumptions!Y11</f>
        <v>56429429.472430639</v>
      </c>
      <c r="Y9" s="9">
        <f>Assumptions!Z120*Assumptions!Z11</f>
        <v>60882224.452618793</v>
      </c>
      <c r="Z9" s="9">
        <f>Assumptions!AA120*Assumptions!AA11</f>
        <v>65562214.575759232</v>
      </c>
      <c r="AA9" s="9">
        <f>Assumptions!AB120*Assumptions!AB11</f>
        <v>70479380.668941185</v>
      </c>
      <c r="AB9" s="9">
        <f>Assumptions!AC120*Assumptions!AC11</f>
        <v>75644109.68436119</v>
      </c>
      <c r="AC9" s="9">
        <f>Assumptions!AD120*Assumptions!AD11</f>
        <v>81067210.470963076</v>
      </c>
      <c r="AD9" s="9">
        <f>Assumptions!AE120*Assumptions!AE11</f>
        <v>86759930.139590696</v>
      </c>
      <c r="AE9" s="9">
        <f>Assumptions!AF120*Assumptions!AF11</f>
        <v>92733971.043488234</v>
      </c>
      <c r="AF9" s="9">
        <f>Assumptions!AG120*Assumptions!AG11</f>
        <v>99001508.396772251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19488457.167054344</v>
      </c>
      <c r="D10" s="9">
        <f>SUM($C$8:D9)</f>
        <v>40966665.539962918</v>
      </c>
      <c r="E10" s="9">
        <f>SUM($C$8:E9)</f>
        <v>64542013.015761331</v>
      </c>
      <c r="F10" s="9">
        <f>SUM($C$8:F9)</f>
        <v>90326722.811660662</v>
      </c>
      <c r="G10" s="9">
        <f>SUM($C$8:G9)</f>
        <v>118438052.96033219</v>
      </c>
      <c r="H10" s="9">
        <f>SUM($C$8:H9)</f>
        <v>148998503.62152228</v>
      </c>
      <c r="I10" s="9">
        <f>SUM($C$8:I9)</f>
        <v>182136032.50595993</v>
      </c>
      <c r="J10" s="9">
        <f>SUM($C$8:J9)</f>
        <v>217984278.71845591</v>
      </c>
      <c r="K10" s="9">
        <f>SUM($C$8:K9)</f>
        <v>256682795.33842829</v>
      </c>
      <c r="L10" s="9">
        <f>SUM($C$8:L9)</f>
        <v>298377291.06783396</v>
      </c>
      <c r="M10" s="9">
        <f>SUM($C$8:M9)</f>
        <v>343219881.28865784</v>
      </c>
      <c r="N10" s="9">
        <f>SUM($C$8:N9)</f>
        <v>391369348.88472372</v>
      </c>
      <c r="O10" s="9">
        <f>SUM($C$8:O9)</f>
        <v>442991415.19566101</v>
      </c>
      <c r="P10" s="9">
        <f>SUM($C$8:P9)</f>
        <v>498259021.48440301</v>
      </c>
      <c r="Q10" s="9">
        <f>SUM($C$8:Q9)</f>
        <v>557352621.31362689</v>
      </c>
      <c r="R10" s="9">
        <f>SUM($C$8:R9)</f>
        <v>620460484.24108386</v>
      </c>
      <c r="S10" s="9">
        <f>SUM($C$8:S9)</f>
        <v>687779011.25883567</v>
      </c>
      <c r="T10" s="9">
        <f>SUM($C$8:T9)</f>
        <v>759513062.41702342</v>
      </c>
      <c r="U10" s="9">
        <f>SUM($C$8:U9)</f>
        <v>835876297.08896863</v>
      </c>
      <c r="V10" s="9">
        <f>SUM($C$8:V9)</f>
        <v>917091527.35116637</v>
      </c>
      <c r="W10" s="9">
        <f>SUM($C$8:W9)</f>
        <v>1003391084.9690884</v>
      </c>
      <c r="X10" s="9">
        <f>SUM($C$8:X9)</f>
        <v>1095017202.4977124</v>
      </c>
      <c r="Y10" s="9">
        <f>SUM($C$8:Y9)</f>
        <v>1192222409.024323</v>
      </c>
      <c r="Z10" s="9">
        <f>SUM($C$8:Z9)</f>
        <v>1295269941.1004417</v>
      </c>
      <c r="AA10" s="9">
        <f>SUM($C$8:AA9)</f>
        <v>1404434169.4297543</v>
      </c>
      <c r="AB10" s="9">
        <f>SUM($C$8:AB9)</f>
        <v>1520001041.8996184</v>
      </c>
      <c r="AC10" s="9">
        <f>SUM($C$8:AC9)</f>
        <v>1642268543.5652204</v>
      </c>
      <c r="AD10" s="9">
        <f>SUM($C$8:AD9)</f>
        <v>1771547174.2176785</v>
      </c>
      <c r="AE10" s="9">
        <f>SUM($C$8:AE9)</f>
        <v>1908160444.1904461</v>
      </c>
      <c r="AF10" s="9">
        <f>SUM($C$8:AF9)</f>
        <v>2052445389.0822344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638488524.78548181</v>
      </c>
      <c r="D12" s="9">
        <f>D7+D8+D9</f>
        <v>659966733.1583904</v>
      </c>
      <c r="E12" s="9">
        <f>E7+E8+E9</f>
        <v>683542080.63418877</v>
      </c>
      <c r="F12" s="9">
        <f t="shared" ref="F12:H12" si="26">F7+F8+F9</f>
        <v>709326790.43008804</v>
      </c>
      <c r="G12" s="9">
        <f t="shared" si="26"/>
        <v>737438120.57875955</v>
      </c>
      <c r="H12" s="9">
        <f t="shared" si="26"/>
        <v>767998571.23994958</v>
      </c>
      <c r="I12" s="9">
        <f t="shared" ref="I12:AF12" si="27">I7+I8+I9</f>
        <v>801136100.12438715</v>
      </c>
      <c r="J12" s="9">
        <f t="shared" si="27"/>
        <v>836984346.33688307</v>
      </c>
      <c r="K12" s="9">
        <f t="shared" si="27"/>
        <v>875682862.95685542</v>
      </c>
      <c r="L12" s="9">
        <f t="shared" si="27"/>
        <v>917377358.68626106</v>
      </c>
      <c r="M12" s="9">
        <f t="shared" si="27"/>
        <v>962219948.90708482</v>
      </c>
      <c r="N12" s="9">
        <f t="shared" si="27"/>
        <v>1010369416.5031507</v>
      </c>
      <c r="O12" s="9">
        <f t="shared" si="27"/>
        <v>1061991482.8140879</v>
      </c>
      <c r="P12" s="9">
        <f t="shared" si="27"/>
        <v>1117259089.1028297</v>
      </c>
      <c r="Q12" s="9">
        <f t="shared" si="27"/>
        <v>1176352688.9320536</v>
      </c>
      <c r="R12" s="9">
        <f t="shared" si="27"/>
        <v>1239460551.8595107</v>
      </c>
      <c r="S12" s="9">
        <f t="shared" si="27"/>
        <v>1306779078.8772626</v>
      </c>
      <c r="T12" s="9">
        <f t="shared" si="27"/>
        <v>1378513130.0354502</v>
      </c>
      <c r="U12" s="9">
        <f t="shared" si="27"/>
        <v>1454876364.7073958</v>
      </c>
      <c r="V12" s="9">
        <f t="shared" si="27"/>
        <v>1536091594.9695935</v>
      </c>
      <c r="W12" s="9">
        <f t="shared" si="27"/>
        <v>1622391152.5875156</v>
      </c>
      <c r="X12" s="9">
        <f t="shared" si="27"/>
        <v>1714017270.1161399</v>
      </c>
      <c r="Y12" s="9">
        <f t="shared" si="27"/>
        <v>1811222476.6427505</v>
      </c>
      <c r="Z12" s="9">
        <f t="shared" si="27"/>
        <v>1914270008.7188692</v>
      </c>
      <c r="AA12" s="9">
        <f t="shared" si="27"/>
        <v>2023434237.0481815</v>
      </c>
      <c r="AB12" s="9">
        <f t="shared" si="27"/>
        <v>2139001109.5180457</v>
      </c>
      <c r="AC12" s="9">
        <f t="shared" si="27"/>
        <v>2261268611.1836476</v>
      </c>
      <c r="AD12" s="9">
        <f t="shared" si="27"/>
        <v>2390547241.8361058</v>
      </c>
      <c r="AE12" s="9">
        <f t="shared" si="27"/>
        <v>2527160511.8088732</v>
      </c>
      <c r="AF12" s="9">
        <f t="shared" si="27"/>
        <v>2671445456.7006617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74645134.190168589</v>
      </c>
      <c r="D18" s="9">
        <f>Investment!D25</f>
        <v>78399899.06076248</v>
      </c>
      <c r="E18" s="9">
        <f>Investment!E25</f>
        <v>82318532.265663639</v>
      </c>
      <c r="F18" s="9">
        <f>Investment!F25</f>
        <v>86407676.499040276</v>
      </c>
      <c r="G18" s="9">
        <f>Investment!G25</f>
        <v>90674231.786312968</v>
      </c>
      <c r="H18" s="9">
        <f>Investment!H25</f>
        <v>95125365.151236057</v>
      </c>
      <c r="I18" s="9">
        <f>Investment!I25</f>
        <v>99768520.638165057</v>
      </c>
      <c r="J18" s="9">
        <f>Investment!J25</f>
        <v>104611429.70234269</v>
      </c>
      <c r="K18" s="9">
        <f>Investment!K25</f>
        <v>109662121.98149419</v>
      </c>
      <c r="L18" s="9">
        <f>Investment!L25</f>
        <v>114928936.46249616</v>
      </c>
      <c r="M18" s="9">
        <f>Investment!M25</f>
        <v>120420533.05737321</v>
      </c>
      <c r="N18" s="9">
        <f>Investment!N25</f>
        <v>126145904.60338482</v>
      </c>
      <c r="O18" s="9">
        <f>Investment!O25</f>
        <v>132114389.30249041</v>
      </c>
      <c r="P18" s="9">
        <f>Investment!P25</f>
        <v>138335683.61602488</v>
      </c>
      <c r="Q18" s="9">
        <f>Investment!Q25</f>
        <v>144819855.63097978</v>
      </c>
      <c r="R18" s="9">
        <f>Investment!R25</f>
        <v>151577358.91486907</v>
      </c>
      <c r="S18" s="9">
        <f>Investment!S25</f>
        <v>158619046.87676111</v>
      </c>
      <c r="T18" s="9">
        <f>Investment!T25</f>
        <v>165956187.65268537</v>
      </c>
      <c r="U18" s="9">
        <f>Investment!U25</f>
        <v>173600479.53426701</v>
      </c>
      <c r="V18" s="9">
        <f>Investment!V25</f>
        <v>181564066.96011353</v>
      </c>
      <c r="W18" s="9">
        <f>Investment!W25</f>
        <v>189859557.09017122</v>
      </c>
      <c r="X18" s="9">
        <f>Investment!X25</f>
        <v>198500036.9839853</v>
      </c>
      <c r="Y18" s="9">
        <f>Investment!Y25</f>
        <v>207499091.40454316</v>
      </c>
      <c r="Z18" s="9">
        <f>Investment!Z25</f>
        <v>216870821.27014521</v>
      </c>
      <c r="AA18" s="9">
        <f>Investment!AA25</f>
        <v>226629862.77754754</v>
      </c>
      <c r="AB18" s="9">
        <f>Investment!AB25</f>
        <v>236791407.22044292</v>
      </c>
      <c r="AC18" s="9">
        <f>Investment!AC25</f>
        <v>247371221.52819943</v>
      </c>
      <c r="AD18" s="9">
        <f>Investment!AD25</f>
        <v>258385669.55065864</v>
      </c>
      <c r="AE18" s="9">
        <f>Investment!AE25</f>
        <v>269851734.11571038</v>
      </c>
      <c r="AF18" s="9">
        <f>Investment!AF25</f>
        <v>281787039.88730544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693645201.80859613</v>
      </c>
      <c r="D19" s="9">
        <f>D18+C20</f>
        <v>752556643.70230436</v>
      </c>
      <c r="E19" s="9">
        <f>E18+D20</f>
        <v>813396967.59505939</v>
      </c>
      <c r="F19" s="9">
        <f t="shared" ref="F19:AF19" si="28">F18+E20</f>
        <v>876229296.61830127</v>
      </c>
      <c r="G19" s="9">
        <f t="shared" si="28"/>
        <v>941118818.60871494</v>
      </c>
      <c r="H19" s="9">
        <f t="shared" si="28"/>
        <v>1008132853.6112795</v>
      </c>
      <c r="I19" s="9">
        <f t="shared" si="28"/>
        <v>1077340923.5882545</v>
      </c>
      <c r="J19" s="9">
        <f t="shared" si="28"/>
        <v>1148814824.4061596</v>
      </c>
      <c r="K19" s="9">
        <f t="shared" si="28"/>
        <v>1222628700.1751578</v>
      </c>
      <c r="L19" s="9">
        <f t="shared" si="28"/>
        <v>1298859120.0176816</v>
      </c>
      <c r="M19" s="9">
        <f t="shared" si="28"/>
        <v>1377585157.3456492</v>
      </c>
      <c r="N19" s="9">
        <f t="shared" si="28"/>
        <v>1458888471.7282102</v>
      </c>
      <c r="O19" s="9">
        <f t="shared" si="28"/>
        <v>1542853393.4346349</v>
      </c>
      <c r="P19" s="9">
        <f t="shared" si="28"/>
        <v>1629567010.7397227</v>
      </c>
      <c r="Q19" s="9">
        <f t="shared" si="28"/>
        <v>1719119260.0819607</v>
      </c>
      <c r="R19" s="9">
        <f t="shared" si="28"/>
        <v>1811603019.1676059</v>
      </c>
      <c r="S19" s="9">
        <f t="shared" si="28"/>
        <v>1907114203.11691</v>
      </c>
      <c r="T19" s="9">
        <f t="shared" si="28"/>
        <v>2005751863.7518435</v>
      </c>
      <c r="U19" s="9">
        <f t="shared" si="28"/>
        <v>2107618292.1279228</v>
      </c>
      <c r="V19" s="9">
        <f t="shared" si="28"/>
        <v>2212819124.416091</v>
      </c>
      <c r="W19" s="9">
        <f t="shared" si="28"/>
        <v>2321463451.2440643</v>
      </c>
      <c r="X19" s="9">
        <f t="shared" si="28"/>
        <v>2433663930.6101279</v>
      </c>
      <c r="Y19" s="9">
        <f t="shared" si="28"/>
        <v>2549536904.4860468</v>
      </c>
      <c r="Z19" s="9">
        <f t="shared" si="28"/>
        <v>2669202519.2295818</v>
      </c>
      <c r="AA19" s="9">
        <f t="shared" si="28"/>
        <v>2792784849.9310102</v>
      </c>
      <c r="AB19" s="9">
        <f t="shared" si="28"/>
        <v>2920412028.8221412</v>
      </c>
      <c r="AC19" s="9">
        <f t="shared" si="28"/>
        <v>3052216377.880477</v>
      </c>
      <c r="AD19" s="9">
        <f t="shared" si="28"/>
        <v>3188334545.7655334</v>
      </c>
      <c r="AE19" s="9">
        <f t="shared" si="28"/>
        <v>3328907649.2287855</v>
      </c>
      <c r="AF19" s="9">
        <f t="shared" si="28"/>
        <v>3474081419.1433234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674156744.64154184</v>
      </c>
      <c r="D20" s="9">
        <f>D19-D8-D9</f>
        <v>731078435.32939577</v>
      </c>
      <c r="E20" s="9">
        <f t="shared" ref="E20:AF20" si="29">E19-E8-E9</f>
        <v>789821620.11926103</v>
      </c>
      <c r="F20" s="9">
        <f t="shared" si="29"/>
        <v>850444586.822402</v>
      </c>
      <c r="G20" s="9">
        <f t="shared" si="29"/>
        <v>913007488.46004343</v>
      </c>
      <c r="H20" s="9">
        <f t="shared" si="29"/>
        <v>977572402.95008945</v>
      </c>
      <c r="I20" s="9">
        <f t="shared" si="29"/>
        <v>1044203394.7038169</v>
      </c>
      <c r="J20" s="9">
        <f t="shared" si="29"/>
        <v>1112966578.1936636</v>
      </c>
      <c r="K20" s="9">
        <f t="shared" si="29"/>
        <v>1183930183.5551853</v>
      </c>
      <c r="L20" s="9">
        <f t="shared" si="29"/>
        <v>1257164624.288276</v>
      </c>
      <c r="M20" s="9">
        <f t="shared" si="29"/>
        <v>1332742567.1248255</v>
      </c>
      <c r="N20" s="9">
        <f t="shared" si="29"/>
        <v>1410739004.1321445</v>
      </c>
      <c r="O20" s="9">
        <f t="shared" si="29"/>
        <v>1491231327.1236978</v>
      </c>
      <c r="P20" s="9">
        <f t="shared" si="29"/>
        <v>1574299404.4509809</v>
      </c>
      <c r="Q20" s="9">
        <f t="shared" si="29"/>
        <v>1660025660.2527368</v>
      </c>
      <c r="R20" s="9">
        <f t="shared" si="29"/>
        <v>1748495156.2401488</v>
      </c>
      <c r="S20" s="9">
        <f t="shared" si="29"/>
        <v>1839795676.099158</v>
      </c>
      <c r="T20" s="9">
        <f t="shared" si="29"/>
        <v>1934017812.5936558</v>
      </c>
      <c r="U20" s="9">
        <f t="shared" si="29"/>
        <v>2031255057.4559772</v>
      </c>
      <c r="V20" s="9">
        <f t="shared" si="29"/>
        <v>2131603894.1538932</v>
      </c>
      <c r="W20" s="9">
        <f t="shared" si="29"/>
        <v>2235163893.6261425</v>
      </c>
      <c r="X20" s="9">
        <f t="shared" si="29"/>
        <v>2342037813.0815039</v>
      </c>
      <c r="Y20" s="9">
        <f t="shared" si="29"/>
        <v>2452331697.9594364</v>
      </c>
      <c r="Z20" s="9">
        <f t="shared" si="29"/>
        <v>2566154987.1534629</v>
      </c>
      <c r="AA20" s="9">
        <f t="shared" si="29"/>
        <v>2683620621.6016984</v>
      </c>
      <c r="AB20" s="9">
        <f t="shared" si="29"/>
        <v>2804845156.3522773</v>
      </c>
      <c r="AC20" s="9">
        <f t="shared" si="29"/>
        <v>2929948876.2148747</v>
      </c>
      <c r="AD20" s="9">
        <f t="shared" si="29"/>
        <v>3059055915.1130753</v>
      </c>
      <c r="AE20" s="9">
        <f t="shared" si="29"/>
        <v>3192294379.2560182</v>
      </c>
      <c r="AF20" s="9">
        <f t="shared" si="29"/>
        <v>3329796474.2515349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10243352.218827441</v>
      </c>
      <c r="D22" s="9">
        <f ca="1">'Balance Sheet'!C11</f>
        <v>44593897.176870532</v>
      </c>
      <c r="E22" s="9">
        <f ca="1">'Balance Sheet'!D11</f>
        <v>80175965.182109818</v>
      </c>
      <c r="F22" s="9">
        <f ca="1">'Balance Sheet'!E11</f>
        <v>116671618.00379798</v>
      </c>
      <c r="G22" s="9">
        <f ca="1">'Balance Sheet'!F11</f>
        <v>153698657.66220567</v>
      </c>
      <c r="H22" s="9">
        <f ca="1">'Balance Sheet'!G11</f>
        <v>190802421.01014659</v>
      </c>
      <c r="I22" s="9">
        <f ca="1">'Balance Sheet'!H11</f>
        <v>227446671.76539403</v>
      </c>
      <c r="J22" s="9">
        <f ca="1">'Balance Sheet'!I11</f>
        <v>264076504.34216523</v>
      </c>
      <c r="K22" s="9">
        <f ca="1">'Balance Sheet'!J11</f>
        <v>300201091.54930079</v>
      </c>
      <c r="L22" s="9">
        <f ca="1">'Balance Sheet'!K11</f>
        <v>335887077.04128492</v>
      </c>
      <c r="M22" s="9">
        <f ca="1">'Balance Sheet'!L11</f>
        <v>370610625.89360696</v>
      </c>
      <c r="N22" s="9">
        <f ca="1">'Balance Sheet'!M11</f>
        <v>403769906.21765101</v>
      </c>
      <c r="O22" s="9">
        <f ca="1">'Balance Sheet'!N11</f>
        <v>434676684.44019359</v>
      </c>
      <c r="P22" s="9">
        <f ca="1">'Balance Sheet'!O11</f>
        <v>463423401.08349156</v>
      </c>
      <c r="Q22" s="9">
        <f ca="1">'Balance Sheet'!P11</f>
        <v>493074220.76630533</v>
      </c>
      <c r="R22" s="9">
        <f ca="1">'Balance Sheet'!Q11</f>
        <v>523473258.48066115</v>
      </c>
      <c r="S22" s="9">
        <f ca="1">'Balance Sheet'!R11</f>
        <v>554439082.33293688</v>
      </c>
      <c r="T22" s="9">
        <f ca="1">'Balance Sheet'!S11</f>
        <v>585762273.62663198</v>
      </c>
      <c r="U22" s="9">
        <f ca="1">'Balance Sheet'!T11</f>
        <v>617202797.22731006</v>
      </c>
      <c r="V22" s="9">
        <f ca="1">'Balance Sheet'!U11</f>
        <v>648487168.96783948</v>
      </c>
      <c r="W22" s="9">
        <f ca="1">'Balance Sheet'!V11</f>
        <v>680631369.05266595</v>
      </c>
      <c r="X22" s="9">
        <f ca="1">'Balance Sheet'!W11</f>
        <v>713480994.73337615</v>
      </c>
      <c r="Y22" s="9">
        <f ca="1">'Balance Sheet'!X11</f>
        <v>746857694.46865904</v>
      </c>
      <c r="Z22" s="9">
        <f ca="1">'Balance Sheet'!Y11</f>
        <v>780556985.35099351</v>
      </c>
      <c r="AA22" s="9">
        <f ca="1">'Balance Sheet'!Z11</f>
        <v>814345909.0179081</v>
      </c>
      <c r="AB22" s="9">
        <f ca="1">'Balance Sheet'!AA11</f>
        <v>849677044.31886148</v>
      </c>
      <c r="AC22" s="9">
        <f ca="1">'Balance Sheet'!AB11</f>
        <v>889366198.05401862</v>
      </c>
      <c r="AD22" s="9">
        <f ca="1">'Balance Sheet'!AC11</f>
        <v>933692923.58463418</v>
      </c>
      <c r="AE22" s="9">
        <f ca="1">'Balance Sheet'!AD11</f>
        <v>982949980.7489655</v>
      </c>
      <c r="AF22" s="9">
        <f ca="1">'Balance Sheet'!AE11</f>
        <v>1037443846.1193821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663913392.42271435</v>
      </c>
      <c r="D23" s="9">
        <f t="shared" ref="D23:AF23" ca="1" si="30">D20-D22</f>
        <v>686484538.15252519</v>
      </c>
      <c r="E23" s="9">
        <f t="shared" ca="1" si="30"/>
        <v>709645654.93715119</v>
      </c>
      <c r="F23" s="9">
        <f t="shared" ca="1" si="30"/>
        <v>733772968.81860399</v>
      </c>
      <c r="G23" s="9">
        <f t="shared" ca="1" si="30"/>
        <v>759308830.79783773</v>
      </c>
      <c r="H23" s="9">
        <f t="shared" ca="1" si="30"/>
        <v>786769981.93994284</v>
      </c>
      <c r="I23" s="9">
        <f t="shared" ca="1" si="30"/>
        <v>816756722.93842292</v>
      </c>
      <c r="J23" s="9">
        <f ca="1">J20-J22</f>
        <v>848890073.85149837</v>
      </c>
      <c r="K23" s="9">
        <f t="shared" ca="1" si="30"/>
        <v>883729092.00588453</v>
      </c>
      <c r="L23" s="9">
        <f t="shared" ca="1" si="30"/>
        <v>921277547.24699104</v>
      </c>
      <c r="M23" s="9">
        <f t="shared" ca="1" si="30"/>
        <v>962131941.23121858</v>
      </c>
      <c r="N23" s="9">
        <f t="shared" ca="1" si="30"/>
        <v>1006969097.9144934</v>
      </c>
      <c r="O23" s="9">
        <f t="shared" ca="1" si="30"/>
        <v>1056554642.6835041</v>
      </c>
      <c r="P23" s="9">
        <f t="shared" ca="1" si="30"/>
        <v>1110876003.3674893</v>
      </c>
      <c r="Q23" s="9">
        <f t="shared" ca="1" si="30"/>
        <v>1166951439.4864316</v>
      </c>
      <c r="R23" s="9">
        <f t="shared" ca="1" si="30"/>
        <v>1225021897.7594876</v>
      </c>
      <c r="S23" s="9">
        <f t="shared" ca="1" si="30"/>
        <v>1285356593.766221</v>
      </c>
      <c r="T23" s="9">
        <f t="shared" ca="1" si="30"/>
        <v>1348255538.9670238</v>
      </c>
      <c r="U23" s="9">
        <f t="shared" ca="1" si="30"/>
        <v>1414052260.2286673</v>
      </c>
      <c r="V23" s="9">
        <f t="shared" ca="1" si="30"/>
        <v>1483116725.1860538</v>
      </c>
      <c r="W23" s="9">
        <f t="shared" ca="1" si="30"/>
        <v>1554532524.5734766</v>
      </c>
      <c r="X23" s="9">
        <f t="shared" ca="1" si="30"/>
        <v>1628556818.3481278</v>
      </c>
      <c r="Y23" s="9">
        <f t="shared" ca="1" si="30"/>
        <v>1705474003.4907775</v>
      </c>
      <c r="Z23" s="9">
        <f t="shared" ca="1" si="30"/>
        <v>1785598001.8024693</v>
      </c>
      <c r="AA23" s="9">
        <f t="shared" ca="1" si="30"/>
        <v>1869274712.5837903</v>
      </c>
      <c r="AB23" s="9">
        <f t="shared" ca="1" si="30"/>
        <v>1955168112.0334158</v>
      </c>
      <c r="AC23" s="9">
        <f t="shared" ca="1" si="30"/>
        <v>2040582678.1608562</v>
      </c>
      <c r="AD23" s="9">
        <f t="shared" ca="1" si="30"/>
        <v>2125362991.528441</v>
      </c>
      <c r="AE23" s="9">
        <f t="shared" ca="1" si="30"/>
        <v>2209344398.5070524</v>
      </c>
      <c r="AF23" s="9">
        <f t="shared" ca="1" si="30"/>
        <v>2292352628.1321526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168</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10243352.218827441</v>
      </c>
      <c r="D5" s="1">
        <f ca="1">C5+C6</f>
        <v>44593897.176870532</v>
      </c>
      <c r="E5" s="1">
        <f t="shared" ref="E5:AF5" ca="1" si="1">D5+D6</f>
        <v>80175965.182109818</v>
      </c>
      <c r="F5" s="1">
        <f t="shared" ca="1" si="1"/>
        <v>116671618.00379798</v>
      </c>
      <c r="G5" s="1">
        <f t="shared" ca="1" si="1"/>
        <v>153698657.66220567</v>
      </c>
      <c r="H5" s="1">
        <f t="shared" ca="1" si="1"/>
        <v>190802421.01014659</v>
      </c>
      <c r="I5" s="1">
        <f t="shared" ca="1" si="1"/>
        <v>227446671.76539403</v>
      </c>
      <c r="J5" s="1">
        <f t="shared" ca="1" si="1"/>
        <v>264076504.34216523</v>
      </c>
      <c r="K5" s="1">
        <f t="shared" ca="1" si="1"/>
        <v>300201091.54930079</v>
      </c>
      <c r="L5" s="1">
        <f t="shared" ca="1" si="1"/>
        <v>335887077.04128492</v>
      </c>
      <c r="M5" s="1">
        <f t="shared" ca="1" si="1"/>
        <v>370610625.89360696</v>
      </c>
      <c r="N5" s="1">
        <f t="shared" ca="1" si="1"/>
        <v>403769906.21765101</v>
      </c>
      <c r="O5" s="1">
        <f t="shared" ca="1" si="1"/>
        <v>434676684.44019359</v>
      </c>
      <c r="P5" s="1">
        <f t="shared" ca="1" si="1"/>
        <v>463423401.08349156</v>
      </c>
      <c r="Q5" s="1">
        <f t="shared" ca="1" si="1"/>
        <v>493074220.76630533</v>
      </c>
      <c r="R5" s="1">
        <f t="shared" ca="1" si="1"/>
        <v>523473258.48066115</v>
      </c>
      <c r="S5" s="1">
        <f t="shared" ca="1" si="1"/>
        <v>554439082.33293688</v>
      </c>
      <c r="T5" s="1">
        <f t="shared" ca="1" si="1"/>
        <v>585762273.62663198</v>
      </c>
      <c r="U5" s="1">
        <f t="shared" ca="1" si="1"/>
        <v>617202797.22731006</v>
      </c>
      <c r="V5" s="1">
        <f t="shared" ca="1" si="1"/>
        <v>648487168.96783948</v>
      </c>
      <c r="W5" s="1">
        <f t="shared" ca="1" si="1"/>
        <v>680631369.05266595</v>
      </c>
      <c r="X5" s="1">
        <f t="shared" ca="1" si="1"/>
        <v>713480994.73337615</v>
      </c>
      <c r="Y5" s="1">
        <f t="shared" ca="1" si="1"/>
        <v>746857694.46865904</v>
      </c>
      <c r="Z5" s="1">
        <f t="shared" ca="1" si="1"/>
        <v>780556985.35099351</v>
      </c>
      <c r="AA5" s="1">
        <f t="shared" ca="1" si="1"/>
        <v>814345909.0179081</v>
      </c>
      <c r="AB5" s="1">
        <f t="shared" ca="1" si="1"/>
        <v>849677044.31886148</v>
      </c>
      <c r="AC5" s="1">
        <f t="shared" ca="1" si="1"/>
        <v>889366198.05401862</v>
      </c>
      <c r="AD5" s="1">
        <f t="shared" ca="1" si="1"/>
        <v>933692923.58463418</v>
      </c>
      <c r="AE5" s="1">
        <f t="shared" ca="1" si="1"/>
        <v>982949980.7489655</v>
      </c>
      <c r="AF5" s="1">
        <f t="shared" ca="1" si="1"/>
        <v>1037443846.1193821</v>
      </c>
      <c r="AG5" s="1"/>
      <c r="AH5" s="1"/>
      <c r="AI5" s="1"/>
      <c r="AJ5" s="1"/>
      <c r="AK5" s="1"/>
      <c r="AL5" s="1"/>
      <c r="AM5" s="1"/>
      <c r="AN5" s="1"/>
      <c r="AO5" s="1"/>
      <c r="AP5" s="1"/>
    </row>
    <row r="6" spans="1:42" x14ac:dyDescent="0.35">
      <c r="A6" s="63" t="s">
        <v>3</v>
      </c>
      <c r="C6" s="1">
        <f ca="1">-'Cash Flow'!C13</f>
        <v>34350544.958043091</v>
      </c>
      <c r="D6" s="1">
        <f ca="1">-'Cash Flow'!D13</f>
        <v>35582068.005239286</v>
      </c>
      <c r="E6" s="1">
        <f ca="1">-'Cash Flow'!E13</f>
        <v>36495652.82168816</v>
      </c>
      <c r="F6" s="1">
        <f ca="1">-'Cash Flow'!F13</f>
        <v>37027039.658407688</v>
      </c>
      <c r="G6" s="1">
        <f ca="1">-'Cash Flow'!G13</f>
        <v>37103763.347940929</v>
      </c>
      <c r="H6" s="1">
        <f ca="1">-'Cash Flow'!H13</f>
        <v>36644250.755247459</v>
      </c>
      <c r="I6" s="1">
        <f ca="1">-'Cash Flow'!I13</f>
        <v>36629832.5767712</v>
      </c>
      <c r="J6" s="1">
        <f ca="1">-'Cash Flow'!J13</f>
        <v>36124587.207135543</v>
      </c>
      <c r="K6" s="1">
        <f ca="1">-'Cash Flow'!K13</f>
        <v>35685985.491984099</v>
      </c>
      <c r="L6" s="1">
        <f ca="1">-'Cash Flow'!L13</f>
        <v>34723548.852322042</v>
      </c>
      <c r="M6" s="1">
        <f ca="1">-'Cash Flow'!M13</f>
        <v>33159280.324044034</v>
      </c>
      <c r="N6" s="1">
        <f ca="1">-'Cash Flow'!N13</f>
        <v>30906778.222542584</v>
      </c>
      <c r="O6" s="1">
        <f ca="1">-'Cash Flow'!O13</f>
        <v>28746716.64329794</v>
      </c>
      <c r="P6" s="1">
        <f ca="1">-'Cash Flow'!P13</f>
        <v>29650819.682813793</v>
      </c>
      <c r="Q6" s="1">
        <f ca="1">-'Cash Flow'!Q13</f>
        <v>30399037.714355811</v>
      </c>
      <c r="R6" s="1">
        <f ca="1">-'Cash Flow'!R13</f>
        <v>30965823.852275699</v>
      </c>
      <c r="S6" s="1">
        <f ca="1">-'Cash Flow'!S13</f>
        <v>31323191.293695107</v>
      </c>
      <c r="T6" s="1">
        <f ca="1">-'Cash Flow'!T13</f>
        <v>31440523.600678056</v>
      </c>
      <c r="U6" s="1">
        <f ca="1">-'Cash Flow'!U13</f>
        <v>31284371.740529448</v>
      </c>
      <c r="V6" s="1">
        <f ca="1">-'Cash Flow'!V13</f>
        <v>32144200.08482641</v>
      </c>
      <c r="W6" s="1">
        <f ca="1">-'Cash Flow'!W13</f>
        <v>32849625.680710167</v>
      </c>
      <c r="X6" s="1">
        <f ca="1">-'Cash Flow'!X13</f>
        <v>33376699.735282898</v>
      </c>
      <c r="Y6" s="1">
        <f ca="1">-'Cash Flow'!Y13</f>
        <v>33699290.882334441</v>
      </c>
      <c r="Z6" s="1">
        <f ca="1">-'Cash Flow'!Z13</f>
        <v>33788923.666914612</v>
      </c>
      <c r="AA6" s="1">
        <f ca="1">-'Cash Flow'!AA13</f>
        <v>35331135.300953448</v>
      </c>
      <c r="AB6" s="1">
        <f ca="1">-'Cash Flow'!AB13</f>
        <v>39689153.735157102</v>
      </c>
      <c r="AC6" s="1">
        <f ca="1">-'Cash Flow'!AC13</f>
        <v>44326725.530615568</v>
      </c>
      <c r="AD6" s="1">
        <f ca="1">-'Cash Flow'!AD13</f>
        <v>49257057.164331377</v>
      </c>
      <c r="AE6" s="1">
        <f ca="1">-'Cash Flow'!AE13</f>
        <v>54493865.370416641</v>
      </c>
      <c r="AF6" s="1">
        <f ca="1">-'Cash Flow'!AF13</f>
        <v>60051393.245836705</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1560786.4011904688</v>
      </c>
      <c r="D8" s="1">
        <f ca="1">IF(SUM(D5:D6)&gt;0,Assumptions!$C$26*SUM(D5:D6),Assumptions!$C$27*(SUM(D5:D6)))</f>
        <v>2806158.781373844</v>
      </c>
      <c r="E8" s="1">
        <f ca="1">IF(SUM(E5:E6)&gt;0,Assumptions!$C$26*SUM(E5:E6),Assumptions!$C$27*(SUM(E5:E6)))</f>
        <v>4083506.6301329294</v>
      </c>
      <c r="F8" s="1">
        <f ca="1">IF(SUM(F5:F6)&gt;0,Assumptions!$C$26*SUM(F5:F6),Assumptions!$C$27*(SUM(F5:F6)))</f>
        <v>5379453.0181771992</v>
      </c>
      <c r="G8" s="1">
        <f ca="1">IF(SUM(G5:G6)&gt;0,Assumptions!$C$26*SUM(G5:G6),Assumptions!$C$27*(SUM(G5:G6)))</f>
        <v>6678084.7353551313</v>
      </c>
      <c r="H8" s="1">
        <f ca="1">IF(SUM(H5:H6)&gt;0,Assumptions!$C$26*SUM(H5:H6),Assumptions!$C$27*(SUM(H5:H6)))</f>
        <v>7960633.511788792</v>
      </c>
      <c r="I8" s="1">
        <f ca="1">IF(SUM(I5:I6)&gt;0,Assumptions!$C$26*SUM(I5:I6),Assumptions!$C$27*(SUM(I5:I6)))</f>
        <v>9242677.6519757845</v>
      </c>
      <c r="J8" s="1">
        <f ca="1">IF(SUM(J5:J6)&gt;0,Assumptions!$C$26*SUM(J5:J6),Assumptions!$C$27*(SUM(J5:J6)))</f>
        <v>10507038.204225529</v>
      </c>
      <c r="K8" s="1">
        <f ca="1">IF(SUM(K5:K6)&gt;0,Assumptions!$C$26*SUM(K5:K6),Assumptions!$C$27*(SUM(K5:K6)))</f>
        <v>11756047.696444973</v>
      </c>
      <c r="L8" s="1">
        <f ca="1">IF(SUM(L5:L6)&gt;0,Assumptions!$C$26*SUM(L5:L6),Assumptions!$C$27*(SUM(L5:L6)))</f>
        <v>12971371.906276245</v>
      </c>
      <c r="M8" s="1">
        <f ca="1">IF(SUM(M5:M6)&gt;0,Assumptions!$C$26*SUM(M5:M6),Assumptions!$C$27*(SUM(M5:M6)))</f>
        <v>14131946.717617787</v>
      </c>
      <c r="N8" s="1">
        <f ca="1">IF(SUM(N5:N6)&gt;0,Assumptions!$C$26*SUM(N5:N6),Assumptions!$C$27*(SUM(N5:N6)))</f>
        <v>15213683.955406778</v>
      </c>
      <c r="O8" s="1">
        <f ca="1">IF(SUM(O5:O6)&gt;0,Assumptions!$C$26*SUM(O5:O6),Assumptions!$C$27*(SUM(O5:O6)))</f>
        <v>16219819.037922205</v>
      </c>
      <c r="P8" s="1">
        <f ca="1">IF(SUM(P5:P6)&gt;0,Assumptions!$C$26*SUM(P5:P6),Assumptions!$C$27*(SUM(P5:P6)))</f>
        <v>17257597.726820689</v>
      </c>
      <c r="Q8" s="1">
        <f ca="1">IF(SUM(Q5:Q6)&gt;0,Assumptions!$C$26*SUM(Q5:Q6),Assumptions!$C$27*(SUM(Q5:Q6)))</f>
        <v>18321564.046823144</v>
      </c>
      <c r="R8" s="1">
        <f ca="1">IF(SUM(R5:R6)&gt;0,Assumptions!$C$26*SUM(R5:R6),Assumptions!$C$27*(SUM(R5:R6)))</f>
        <v>19405367.881652791</v>
      </c>
      <c r="S8" s="1">
        <f ca="1">IF(SUM(S5:S6)&gt;0,Assumptions!$C$26*SUM(S5:S6),Assumptions!$C$27*(SUM(S5:S6)))</f>
        <v>20501679.576932121</v>
      </c>
      <c r="T8" s="1">
        <f ca="1">IF(SUM(T5:T6)&gt;0,Assumptions!$C$26*SUM(T5:T6),Assumptions!$C$27*(SUM(T5:T6)))</f>
        <v>21602097.902955852</v>
      </c>
      <c r="U8" s="1">
        <f ca="1">IF(SUM(U5:U6)&gt;0,Assumptions!$C$26*SUM(U5:U6),Assumptions!$C$27*(SUM(U5:U6)))</f>
        <v>22697050.913874384</v>
      </c>
      <c r="V8" s="1">
        <f ca="1">IF(SUM(V5:V6)&gt;0,Assumptions!$C$26*SUM(V5:V6),Assumptions!$C$27*(SUM(V5:V6)))</f>
        <v>23822097.91684331</v>
      </c>
      <c r="W8" s="1">
        <f ca="1">IF(SUM(W5:W6)&gt;0,Assumptions!$C$26*SUM(W5:W6),Assumptions!$C$27*(SUM(W5:W6)))</f>
        <v>24971834.815668166</v>
      </c>
      <c r="X8" s="1">
        <f ca="1">IF(SUM(X5:X6)&gt;0,Assumptions!$C$26*SUM(X5:X6),Assumptions!$C$27*(SUM(X5:X6)))</f>
        <v>26140019.306403071</v>
      </c>
      <c r="Y8" s="1">
        <f ca="1">IF(SUM(Y5:Y6)&gt;0,Assumptions!$C$26*SUM(Y5:Y6),Assumptions!$C$27*(SUM(Y5:Y6)))</f>
        <v>27319494.487284776</v>
      </c>
      <c r="Z8" s="1">
        <f ca="1">IF(SUM(Z5:Z6)&gt;0,Assumptions!$C$26*SUM(Z5:Z6),Assumptions!$C$27*(SUM(Z5:Z6)))</f>
        <v>28502106.815626785</v>
      </c>
      <c r="AA8" s="1">
        <f ca="1">IF(SUM(AA5:AA6)&gt;0,Assumptions!$C$26*SUM(AA5:AA6),Assumptions!$C$27*(SUM(AA5:AA6)))</f>
        <v>29738696.551160153</v>
      </c>
      <c r="AB8" s="1">
        <f ca="1">IF(SUM(AB5:AB6)&gt;0,Assumptions!$C$26*SUM(AB5:AB6),Assumptions!$C$27*(SUM(AB5:AB6)))</f>
        <v>31127816.931890655</v>
      </c>
      <c r="AC8" s="1">
        <f ca="1">IF(SUM(AC5:AC6)&gt;0,Assumptions!$C$26*SUM(AC5:AC6),Assumptions!$C$27*(SUM(AC5:AC6)))</f>
        <v>32679252.3254622</v>
      </c>
      <c r="AD8" s="1">
        <f ca="1">IF(SUM(AD5:AD6)&gt;0,Assumptions!$C$26*SUM(AD5:AD6),Assumptions!$C$27*(SUM(AD5:AD6)))</f>
        <v>34403249.326213799</v>
      </c>
      <c r="AE8" s="1">
        <f ca="1">IF(SUM(AE5:AE6)&gt;0,Assumptions!$C$26*SUM(AE5:AE6),Assumptions!$C$27*(SUM(AE5:AE6)))</f>
        <v>36310534.614178382</v>
      </c>
      <c r="AF8" s="1">
        <f ca="1">IF(SUM(AF5:AF6)&gt;0,Assumptions!$C$26*SUM(AF5:AF6),Assumptions!$C$27*(SUM(AF5:AF6)))</f>
        <v>38412333.377782665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42.9140625" style="63" customWidth="1"/>
    <col min="4" max="16384" width="8.6640625" style="63"/>
  </cols>
  <sheetData>
    <row r="1" spans="1:3" ht="26" x14ac:dyDescent="0.6">
      <c r="A1" s="13" t="s">
        <v>187</v>
      </c>
    </row>
    <row r="2" spans="1:3" ht="26" x14ac:dyDescent="0.6">
      <c r="A2" s="13"/>
    </row>
    <row r="3" spans="1:3" ht="186" x14ac:dyDescent="0.35">
      <c r="A3" s="173" t="s">
        <v>190</v>
      </c>
    </row>
    <row r="4" spans="1:3" ht="26" x14ac:dyDescent="0.6">
      <c r="A4" s="13"/>
    </row>
    <row r="5" spans="1:3" ht="18.5" x14ac:dyDescent="0.45">
      <c r="A5" s="89" t="s">
        <v>179</v>
      </c>
      <c r="B5" s="90"/>
    </row>
    <row r="6" spans="1:3" ht="18.5" x14ac:dyDescent="0.45">
      <c r="A6" s="90"/>
      <c r="B6" s="90"/>
    </row>
    <row r="7" spans="1:3" ht="18.5" x14ac:dyDescent="0.45">
      <c r="A7" s="90" t="s">
        <v>97</v>
      </c>
      <c r="B7" s="91">
        <f>Assumptions!C24</f>
        <v>57836564.776049681</v>
      </c>
      <c r="C7" s="180" t="str">
        <f>[57]Assumptions!B24</f>
        <v>RFI Table F10; Lines F10.62 + F10.70</v>
      </c>
    </row>
    <row r="8" spans="1:3" ht="18.5" x14ac:dyDescent="0.45">
      <c r="A8" s="90" t="s">
        <v>176</v>
      </c>
      <c r="B8" s="92">
        <v>0.71099999999999997</v>
      </c>
      <c r="C8" s="180" t="s">
        <v>203</v>
      </c>
    </row>
    <row r="9" spans="1:3" ht="18.5" x14ac:dyDescent="0.45">
      <c r="A9" s="90"/>
      <c r="B9" s="93"/>
      <c r="C9" s="180"/>
    </row>
    <row r="10" spans="1:3" ht="85" x14ac:dyDescent="0.45">
      <c r="A10" s="94" t="s">
        <v>103</v>
      </c>
      <c r="B10" s="95">
        <f>Assumptions!C135</f>
        <v>22083.148148148146</v>
      </c>
      <c r="C10" s="180" t="s">
        <v>199</v>
      </c>
    </row>
    <row r="11" spans="1:3" ht="18.5" x14ac:dyDescent="0.45">
      <c r="A11" s="94"/>
      <c r="B11" s="94"/>
      <c r="C11" s="180"/>
    </row>
    <row r="12" spans="1:3" ht="18.5" x14ac:dyDescent="0.45">
      <c r="A12" s="94" t="s">
        <v>186</v>
      </c>
      <c r="B12" s="91">
        <f>(B7*B8)/B10</f>
        <v>1862.1347499867097</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181</v>
      </c>
      <c r="B16" s="100">
        <f>B12/B14</f>
        <v>1862.1347499867097</v>
      </c>
      <c r="C16" s="180"/>
    </row>
    <row r="17" spans="1:3" ht="18.5" x14ac:dyDescent="0.45">
      <c r="A17" s="94"/>
      <c r="B17" s="101"/>
      <c r="C17" s="180"/>
    </row>
    <row r="18" spans="1:3" ht="18.5" x14ac:dyDescent="0.45">
      <c r="A18" s="102" t="s">
        <v>180</v>
      </c>
      <c r="B18" s="101"/>
      <c r="C18" s="180"/>
    </row>
    <row r="19" spans="1:3" ht="18.5" x14ac:dyDescent="0.45">
      <c r="A19" s="94"/>
      <c r="B19" s="101"/>
      <c r="C19" s="180"/>
    </row>
    <row r="20" spans="1:3" ht="34" x14ac:dyDescent="0.45">
      <c r="A20" s="94" t="s">
        <v>66</v>
      </c>
      <c r="B20" s="91">
        <f>'Profit and Loss'!L5</f>
        <v>141594931.24931777</v>
      </c>
      <c r="C20" s="180" t="s">
        <v>200</v>
      </c>
    </row>
    <row r="21" spans="1:3" ht="18.5" x14ac:dyDescent="0.45">
      <c r="A21" s="94" t="str">
        <f>A8</f>
        <v>Assumed revenue from households</v>
      </c>
      <c r="B21" s="92">
        <f>B8</f>
        <v>0.71099999999999997</v>
      </c>
      <c r="C21" s="180" t="s">
        <v>203</v>
      </c>
    </row>
    <row r="22" spans="1:3" ht="18.5" x14ac:dyDescent="0.45">
      <c r="A22" s="94"/>
      <c r="B22" s="94"/>
      <c r="C22" s="180"/>
    </row>
    <row r="23" spans="1:3" ht="34" x14ac:dyDescent="0.45">
      <c r="A23" s="94" t="s">
        <v>102</v>
      </c>
      <c r="B23" s="95">
        <f>Assumptions!M135</f>
        <v>26235.956317336499</v>
      </c>
      <c r="C23" s="180" t="s">
        <v>201</v>
      </c>
    </row>
    <row r="24" spans="1:3" ht="18.5" x14ac:dyDescent="0.45">
      <c r="A24" s="94"/>
      <c r="B24" s="94"/>
      <c r="C24" s="180"/>
    </row>
    <row r="25" spans="1:3" ht="18.5" x14ac:dyDescent="0.45">
      <c r="A25" s="94" t="s">
        <v>185</v>
      </c>
      <c r="B25" s="91">
        <f>(B20*B21)/B23</f>
        <v>3837.2527725143527</v>
      </c>
      <c r="C25" s="180"/>
    </row>
    <row r="26" spans="1:3" ht="18.5" x14ac:dyDescent="0.45">
      <c r="A26" s="94"/>
      <c r="B26" s="91"/>
      <c r="C26" s="180"/>
    </row>
    <row r="27" spans="1:3" ht="34" x14ac:dyDescent="0.45">
      <c r="A27" s="94" t="s">
        <v>104</v>
      </c>
      <c r="B27" s="103">
        <f>1.022^11</f>
        <v>1.2704566586717592</v>
      </c>
      <c r="C27" s="180" t="s">
        <v>202</v>
      </c>
    </row>
    <row r="28" spans="1:3" ht="18.5" x14ac:dyDescent="0.45">
      <c r="A28" s="96"/>
      <c r="B28" s="97"/>
      <c r="C28" s="180"/>
    </row>
    <row r="29" spans="1:3" ht="18.5" x14ac:dyDescent="0.45">
      <c r="A29" s="96" t="s">
        <v>182</v>
      </c>
      <c r="B29" s="91">
        <f>B25/B27</f>
        <v>3020.3728291889433</v>
      </c>
      <c r="C29" s="180"/>
    </row>
    <row r="30" spans="1:3" ht="18.5" x14ac:dyDescent="0.45">
      <c r="A30" s="96"/>
      <c r="B30" s="97"/>
      <c r="C30" s="180"/>
    </row>
    <row r="31" spans="1:3" ht="18.5" x14ac:dyDescent="0.45">
      <c r="A31" s="102" t="s">
        <v>188</v>
      </c>
      <c r="B31" s="96"/>
      <c r="C31" s="180"/>
    </row>
    <row r="32" spans="1:3" ht="18.5" x14ac:dyDescent="0.45">
      <c r="A32" s="94"/>
      <c r="B32" s="91"/>
      <c r="C32" s="180"/>
    </row>
    <row r="33" spans="1:3" ht="34" x14ac:dyDescent="0.45">
      <c r="A33" s="94" t="s">
        <v>67</v>
      </c>
      <c r="B33" s="91">
        <f>'Profit and Loss'!AF5</f>
        <v>414684786.28407252</v>
      </c>
      <c r="C33" s="180" t="s">
        <v>200</v>
      </c>
    </row>
    <row r="34" spans="1:3" ht="18.5" x14ac:dyDescent="0.45">
      <c r="A34" s="94" t="str">
        <f>A21</f>
        <v>Assumed revenue from households</v>
      </c>
      <c r="B34" s="92">
        <f>B21</f>
        <v>0.71099999999999997</v>
      </c>
      <c r="C34" s="180" t="s">
        <v>203</v>
      </c>
    </row>
    <row r="35" spans="1:3" ht="18.5" x14ac:dyDescent="0.45">
      <c r="A35" s="94"/>
      <c r="B35" s="94"/>
      <c r="C35" s="180"/>
    </row>
    <row r="36" spans="1:3" ht="34" x14ac:dyDescent="0.45">
      <c r="A36" s="94" t="s">
        <v>101</v>
      </c>
      <c r="B36" s="95">
        <f>Assumptions!AG135</f>
        <v>37031.280132887245</v>
      </c>
      <c r="C36" s="180" t="s">
        <v>201</v>
      </c>
    </row>
    <row r="37" spans="1:3" ht="18.5" x14ac:dyDescent="0.45">
      <c r="A37" s="94"/>
      <c r="B37" s="94"/>
      <c r="C37" s="180"/>
    </row>
    <row r="38" spans="1:3" ht="18.5" x14ac:dyDescent="0.45">
      <c r="A38" s="94" t="s">
        <v>184</v>
      </c>
      <c r="B38" s="91">
        <f>(B33*B34)/B36</f>
        <v>7961.941417902246</v>
      </c>
      <c r="C38" s="180"/>
    </row>
    <row r="39" spans="1:3" ht="18.5" x14ac:dyDescent="0.45">
      <c r="A39" s="94"/>
      <c r="B39" s="94"/>
      <c r="C39" s="180"/>
    </row>
    <row r="40" spans="1:3" ht="34" x14ac:dyDescent="0.45">
      <c r="A40" s="94" t="s">
        <v>104</v>
      </c>
      <c r="B40" s="103">
        <f>1.022^31</f>
        <v>1.9632597808456462</v>
      </c>
      <c r="C40" s="180" t="s">
        <v>202</v>
      </c>
    </row>
    <row r="41" spans="1:3" ht="18.5" x14ac:dyDescent="0.45">
      <c r="A41" s="96"/>
      <c r="B41" s="97"/>
    </row>
    <row r="42" spans="1:3" ht="18.5" x14ac:dyDescent="0.45">
      <c r="A42" s="96" t="s">
        <v>183</v>
      </c>
      <c r="B42" s="91">
        <f>B38/B40</f>
        <v>4055.4701398063344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163</v>
      </c>
    </row>
    <row r="2" spans="1:33" ht="26.5" thickBot="1" x14ac:dyDescent="0.4">
      <c r="A2" s="111"/>
      <c r="B2" s="111"/>
      <c r="D2" s="112"/>
    </row>
    <row r="3" spans="1:33" s="114" customFormat="1" ht="21.5" thickBot="1" x14ac:dyDescent="0.4">
      <c r="A3" s="84"/>
      <c r="B3" s="84"/>
      <c r="C3" s="113"/>
      <c r="D3" s="181" t="s">
        <v>28</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26</v>
      </c>
      <c r="B4" s="115" t="s">
        <v>197</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140</v>
      </c>
      <c r="C13" s="127">
        <v>1.7380926366131311E-2</v>
      </c>
      <c r="D13" s="128">
        <f t="shared" ref="D13:AG13" si="3">(1+$C$13)^D8</f>
        <v>1.0173809263661313</v>
      </c>
      <c r="E13" s="128">
        <f t="shared" si="3"/>
        <v>1.0350639493336076</v>
      </c>
      <c r="F13" s="128">
        <f t="shared" si="3"/>
        <v>1.0530543196212121</v>
      </c>
      <c r="G13" s="128">
        <f t="shared" si="3"/>
        <v>1.071357379210085</v>
      </c>
      <c r="H13" s="128">
        <f t="shared" si="3"/>
        <v>1.089978562929947</v>
      </c>
      <c r="I13" s="128">
        <f t="shared" si="3"/>
        <v>1.108923400072894</v>
      </c>
      <c r="J13" s="128">
        <f t="shared" si="3"/>
        <v>1.1281975160352409</v>
      </c>
      <c r="K13" s="128">
        <f t="shared" si="3"/>
        <v>1.1478066339879018</v>
      </c>
      <c r="L13" s="128">
        <f t="shared" si="3"/>
        <v>1.1677565765758027</v>
      </c>
      <c r="M13" s="128">
        <f t="shared" si="3"/>
        <v>1.1880532676468323</v>
      </c>
      <c r="N13" s="128">
        <f t="shared" si="3"/>
        <v>1.2087027340108436</v>
      </c>
      <c r="O13" s="128">
        <f t="shared" si="3"/>
        <v>1.2297111072292277</v>
      </c>
      <c r="P13" s="128">
        <f t="shared" si="3"/>
        <v>1.251084625435593</v>
      </c>
      <c r="Q13" s="128">
        <f t="shared" si="3"/>
        <v>1.2728296351880879</v>
      </c>
      <c r="R13" s="128">
        <f t="shared" si="3"/>
        <v>1.2949525933539217</v>
      </c>
      <c r="S13" s="128">
        <f t="shared" si="3"/>
        <v>1.3174600690266371</v>
      </c>
      <c r="T13" s="128">
        <f t="shared" si="3"/>
        <v>1.3403587454767074</v>
      </c>
      <c r="U13" s="128">
        <f t="shared" si="3"/>
        <v>1.3636554221360382</v>
      </c>
      <c r="V13" s="128">
        <f t="shared" si="3"/>
        <v>1.3873570166169604</v>
      </c>
      <c r="W13" s="128">
        <f t="shared" si="3"/>
        <v>1.4114705667663157</v>
      </c>
      <c r="X13" s="128">
        <f t="shared" si="3"/>
        <v>1.4360032327552428</v>
      </c>
      <c r="Y13" s="128">
        <f t="shared" si="3"/>
        <v>1.4609622992052882</v>
      </c>
      <c r="Z13" s="128">
        <f t="shared" si="3"/>
        <v>1.4863551773514689</v>
      </c>
      <c r="AA13" s="128">
        <f t="shared" si="3"/>
        <v>1.5121894072429332</v>
      </c>
      <c r="AB13" s="128">
        <f t="shared" si="3"/>
        <v>1.5384726599818666</v>
      </c>
      <c r="AC13" s="128">
        <f t="shared" si="3"/>
        <v>1.5652127400013174</v>
      </c>
      <c r="AD13" s="128">
        <f t="shared" si="3"/>
        <v>1.592417587382611</v>
      </c>
      <c r="AE13" s="128">
        <f t="shared" si="3"/>
        <v>1.6200952802130408</v>
      </c>
      <c r="AF13" s="128">
        <f t="shared" si="3"/>
        <v>1.6482540369845409</v>
      </c>
      <c r="AG13" s="128">
        <f t="shared" si="3"/>
        <v>1.6769022190340477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172</v>
      </c>
      <c r="C17" s="136">
        <f>AVERAGE(C49:C50)</f>
        <v>1238000135.236855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619000067.61842752</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139</v>
      </c>
      <c r="C20" s="137">
        <v>10243352.218827441</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161</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138</v>
      </c>
      <c r="C24" s="136">
        <v>57836564.776049681</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19288160.220000003</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162</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136</v>
      </c>
      <c r="C49" s="71">
        <v>1089828971.6896524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137</v>
      </c>
      <c r="C50" s="71">
        <v>1386171298.7840576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173</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173</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3218857.7222906831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5790264.6229385752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4504561.1726146294</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8773707.6768027134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14848664.082164329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11811185.879483521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17601450.502422094</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143</v>
      </c>
      <c r="B77" s="179" t="s">
        <v>178</v>
      </c>
      <c r="C77" s="87">
        <v>153158184.68958396</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144</v>
      </c>
      <c r="B79" s="69" t="s">
        <v>157</v>
      </c>
      <c r="C79" s="87">
        <v>1729432285.0542352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145</v>
      </c>
      <c r="B80" s="69" t="s">
        <v>157</v>
      </c>
      <c r="C80" s="87">
        <v>1171034893.4220772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146</v>
      </c>
      <c r="B82" s="69" t="s">
        <v>87</v>
      </c>
      <c r="C82" s="87">
        <f>C79+$C$77</f>
        <v>1882590469.7438192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147</v>
      </c>
      <c r="B83" s="69" t="s">
        <v>87</v>
      </c>
      <c r="C83" s="87">
        <f>C80+$C$77</f>
        <v>1324193078.1116612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152</v>
      </c>
      <c r="B85" s="69" t="s">
        <v>134</v>
      </c>
      <c r="C85" s="150">
        <v>60049</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153</v>
      </c>
      <c r="B86" s="69" t="s">
        <v>135</v>
      </c>
      <c r="C86" s="150">
        <v>59200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59624.5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148</v>
      </c>
      <c r="B89" s="69" t="s">
        <v>87</v>
      </c>
      <c r="C89" s="150">
        <f>C82/$C$87</f>
        <v>31574.109128694065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148</v>
      </c>
      <c r="B90" s="69" t="s">
        <v>87</v>
      </c>
      <c r="C90" s="150">
        <f>C83/$C$87</f>
        <v>22208.875179023074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149</v>
      </c>
      <c r="B92" s="69" t="s">
        <v>156</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150</v>
      </c>
      <c r="B94" s="69" t="s">
        <v>87</v>
      </c>
      <c r="C94" s="87">
        <f>IF(C89&lt;$C$92,C89*$C$87,$C$92*$C$87)</f>
        <v>1882590469.7438192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151</v>
      </c>
      <c r="B95" s="69" t="s">
        <v>87</v>
      </c>
      <c r="C95" s="87">
        <f>IF(C90&lt;$C$92,C90*$C$87,$C$92*$C$87)</f>
        <v>1324193078.1116612</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155</v>
      </c>
      <c r="B96" s="69" t="s">
        <v>87</v>
      </c>
      <c r="C96" s="87">
        <f>AVERAGE(C94:C95)</f>
        <v>1603391773.9277401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1603391773.9277401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53446392.464258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171</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171</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17601450.502422094</v>
      </c>
      <c r="E111" s="149">
        <f t="shared" si="9"/>
        <v>17601450.502422094</v>
      </c>
      <c r="F111" s="149">
        <f t="shared" si="9"/>
        <v>17601450.502422094</v>
      </c>
      <c r="G111" s="149">
        <f t="shared" si="9"/>
        <v>17601450.502422094</v>
      </c>
      <c r="H111" s="149">
        <f t="shared" si="9"/>
        <v>17601450.502422094</v>
      </c>
      <c r="I111" s="149">
        <f t="shared" si="9"/>
        <v>17601450.502422094</v>
      </c>
      <c r="J111" s="149">
        <f t="shared" si="9"/>
        <v>17601450.502422094</v>
      </c>
      <c r="K111" s="149">
        <f t="shared" si="9"/>
        <v>17601450.502422094</v>
      </c>
      <c r="L111" s="149">
        <f t="shared" si="9"/>
        <v>17601450.502422094</v>
      </c>
      <c r="M111" s="149">
        <f t="shared" si="9"/>
        <v>17601450.502422094</v>
      </c>
      <c r="N111" s="149">
        <f t="shared" si="9"/>
        <v>17601450.502422094</v>
      </c>
      <c r="O111" s="149">
        <f t="shared" si="9"/>
        <v>17601450.502422094</v>
      </c>
      <c r="P111" s="149">
        <f t="shared" si="9"/>
        <v>17601450.502422094</v>
      </c>
      <c r="Q111" s="149">
        <f t="shared" si="9"/>
        <v>17601450.502422094</v>
      </c>
      <c r="R111" s="149">
        <f t="shared" si="9"/>
        <v>17601450.502422094</v>
      </c>
      <c r="S111" s="149">
        <f t="shared" si="9"/>
        <v>17601450.502422094</v>
      </c>
      <c r="T111" s="149">
        <f t="shared" si="9"/>
        <v>17601450.502422094</v>
      </c>
      <c r="U111" s="149">
        <f t="shared" si="9"/>
        <v>17601450.502422094</v>
      </c>
      <c r="V111" s="149">
        <f t="shared" si="9"/>
        <v>17601450.502422094</v>
      </c>
      <c r="W111" s="149">
        <f t="shared" si="9"/>
        <v>17601450.502422094</v>
      </c>
      <c r="X111" s="149">
        <f t="shared" si="9"/>
        <v>17601450.502422094</v>
      </c>
      <c r="Y111" s="149">
        <f t="shared" si="9"/>
        <v>17601450.502422094</v>
      </c>
      <c r="Z111" s="149">
        <f t="shared" si="9"/>
        <v>17601450.502422094</v>
      </c>
      <c r="AA111" s="149">
        <f t="shared" si="9"/>
        <v>17601450.502422094</v>
      </c>
      <c r="AB111" s="149">
        <f t="shared" si="9"/>
        <v>17601450.502422094</v>
      </c>
      <c r="AC111" s="149">
        <f t="shared" si="9"/>
        <v>17601450.502422094</v>
      </c>
      <c r="AD111" s="149">
        <f t="shared" si="9"/>
        <v>17601450.502422094</v>
      </c>
      <c r="AE111" s="149">
        <f t="shared" si="9"/>
        <v>17601450.502422094</v>
      </c>
      <c r="AF111" s="149">
        <f t="shared" si="9"/>
        <v>17601450.502422094</v>
      </c>
      <c r="AG111" s="149">
        <f t="shared" si="9"/>
        <v>17601450.502422094</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1603391773.9277394</v>
      </c>
      <c r="D113" s="149">
        <f t="shared" ref="D113:AG113" si="10">$C$102</f>
        <v>53446392.464258</v>
      </c>
      <c r="E113" s="149">
        <f t="shared" si="10"/>
        <v>53446392.464258</v>
      </c>
      <c r="F113" s="149">
        <f t="shared" si="10"/>
        <v>53446392.464258</v>
      </c>
      <c r="G113" s="149">
        <f t="shared" si="10"/>
        <v>53446392.464258</v>
      </c>
      <c r="H113" s="149">
        <f t="shared" si="10"/>
        <v>53446392.464258</v>
      </c>
      <c r="I113" s="149">
        <f t="shared" si="10"/>
        <v>53446392.464258</v>
      </c>
      <c r="J113" s="149">
        <f t="shared" si="10"/>
        <v>53446392.464258</v>
      </c>
      <c r="K113" s="149">
        <f t="shared" si="10"/>
        <v>53446392.464258</v>
      </c>
      <c r="L113" s="149">
        <f t="shared" si="10"/>
        <v>53446392.464258</v>
      </c>
      <c r="M113" s="149">
        <f t="shared" si="10"/>
        <v>53446392.464258</v>
      </c>
      <c r="N113" s="149">
        <f t="shared" si="10"/>
        <v>53446392.464258</v>
      </c>
      <c r="O113" s="149">
        <f t="shared" si="10"/>
        <v>53446392.464258</v>
      </c>
      <c r="P113" s="149">
        <f t="shared" si="10"/>
        <v>53446392.464258</v>
      </c>
      <c r="Q113" s="149">
        <f t="shared" si="10"/>
        <v>53446392.464258</v>
      </c>
      <c r="R113" s="149">
        <f t="shared" si="10"/>
        <v>53446392.464258</v>
      </c>
      <c r="S113" s="149">
        <f t="shared" si="10"/>
        <v>53446392.464258</v>
      </c>
      <c r="T113" s="149">
        <f t="shared" si="10"/>
        <v>53446392.464258</v>
      </c>
      <c r="U113" s="149">
        <f t="shared" si="10"/>
        <v>53446392.464258</v>
      </c>
      <c r="V113" s="149">
        <f t="shared" si="10"/>
        <v>53446392.464258</v>
      </c>
      <c r="W113" s="149">
        <f t="shared" si="10"/>
        <v>53446392.464258</v>
      </c>
      <c r="X113" s="149">
        <f t="shared" si="10"/>
        <v>53446392.464258</v>
      </c>
      <c r="Y113" s="149">
        <f t="shared" si="10"/>
        <v>53446392.464258</v>
      </c>
      <c r="Z113" s="149">
        <f t="shared" si="10"/>
        <v>53446392.464258</v>
      </c>
      <c r="AA113" s="149">
        <f t="shared" si="10"/>
        <v>53446392.464258</v>
      </c>
      <c r="AB113" s="149">
        <f t="shared" si="10"/>
        <v>53446392.464258</v>
      </c>
      <c r="AC113" s="149">
        <f t="shared" si="10"/>
        <v>53446392.464258</v>
      </c>
      <c r="AD113" s="149">
        <f t="shared" si="10"/>
        <v>53446392.464258</v>
      </c>
      <c r="AE113" s="149">
        <f t="shared" si="10"/>
        <v>53446392.464258</v>
      </c>
      <c r="AF113" s="149">
        <f t="shared" si="10"/>
        <v>53446392.464258</v>
      </c>
      <c r="AG113" s="149">
        <f t="shared" si="10"/>
        <v>53446392.464258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53446392.464258</v>
      </c>
      <c r="E118" s="149">
        <f t="shared" ref="E118:AG118" si="13">E113+E115+E116</f>
        <v>53446392.464258</v>
      </c>
      <c r="F118" s="149">
        <f>F113+F115+F116</f>
        <v>53446392.464258</v>
      </c>
      <c r="G118" s="149">
        <f t="shared" si="13"/>
        <v>53446392.464258</v>
      </c>
      <c r="H118" s="149">
        <f t="shared" si="13"/>
        <v>53446392.464258</v>
      </c>
      <c r="I118" s="149">
        <f t="shared" si="13"/>
        <v>53446392.464258</v>
      </c>
      <c r="J118" s="149">
        <f t="shared" si="13"/>
        <v>53446392.464258</v>
      </c>
      <c r="K118" s="149">
        <f t="shared" si="13"/>
        <v>53446392.464258</v>
      </c>
      <c r="L118" s="149">
        <f t="shared" si="13"/>
        <v>53446392.464258</v>
      </c>
      <c r="M118" s="149">
        <f t="shared" si="13"/>
        <v>53446392.464258</v>
      </c>
      <c r="N118" s="149">
        <f t="shared" si="13"/>
        <v>53446392.464258</v>
      </c>
      <c r="O118" s="149">
        <f t="shared" si="13"/>
        <v>53446392.464258</v>
      </c>
      <c r="P118" s="149">
        <f t="shared" si="13"/>
        <v>53446392.464258</v>
      </c>
      <c r="Q118" s="149">
        <f t="shared" si="13"/>
        <v>53446392.464258</v>
      </c>
      <c r="R118" s="149">
        <f t="shared" si="13"/>
        <v>53446392.464258</v>
      </c>
      <c r="S118" s="149">
        <f t="shared" si="13"/>
        <v>53446392.464258</v>
      </c>
      <c r="T118" s="149">
        <f t="shared" si="13"/>
        <v>53446392.464258</v>
      </c>
      <c r="U118" s="149">
        <f t="shared" si="13"/>
        <v>53446392.464258</v>
      </c>
      <c r="V118" s="149">
        <f t="shared" si="13"/>
        <v>53446392.464258</v>
      </c>
      <c r="W118" s="149">
        <f t="shared" si="13"/>
        <v>53446392.464258</v>
      </c>
      <c r="X118" s="149">
        <f t="shared" si="13"/>
        <v>53446392.464258</v>
      </c>
      <c r="Y118" s="149">
        <f t="shared" si="13"/>
        <v>53446392.464258</v>
      </c>
      <c r="Z118" s="149">
        <f t="shared" si="13"/>
        <v>53446392.464258</v>
      </c>
      <c r="AA118" s="149">
        <f t="shared" si="13"/>
        <v>53446392.464258</v>
      </c>
      <c r="AB118" s="149">
        <f t="shared" si="13"/>
        <v>53446392.464258</v>
      </c>
      <c r="AC118" s="149">
        <f t="shared" si="13"/>
        <v>53446392.464258</v>
      </c>
      <c r="AD118" s="149">
        <f t="shared" si="13"/>
        <v>53446392.464258</v>
      </c>
      <c r="AE118" s="149">
        <f t="shared" si="13"/>
        <v>53446392.464258</v>
      </c>
      <c r="AF118" s="149">
        <f t="shared" si="13"/>
        <v>53446392.464258</v>
      </c>
      <c r="AG118" s="149">
        <f t="shared" si="13"/>
        <v>53446392.464258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1282713.419142192</v>
      </c>
      <c r="E120" s="149">
        <f>(SUM($D$118:E118)*$C$104/$C$106)+(SUM($D$118:E118)*$C$105/$C$107)</f>
        <v>2565426.838284384</v>
      </c>
      <c r="F120" s="149">
        <f>(SUM($D$118:F118)*$C$104/$C$106)+(SUM($D$118:F118)*$C$105/$C$107)</f>
        <v>3848140.2574265758</v>
      </c>
      <c r="G120" s="149">
        <f>(SUM($D$118:G118)*$C$104/$C$106)+(SUM($D$118:G118)*$C$105/$C$107)</f>
        <v>5130853.676568768</v>
      </c>
      <c r="H120" s="149">
        <f>(SUM($D$118:H118)*$C$104/$C$106)+(SUM($D$118:H118)*$C$105/$C$107)</f>
        <v>6413567.0957109611</v>
      </c>
      <c r="I120" s="149">
        <f>(SUM($D$118:I118)*$C$104/$C$106)+(SUM($D$118:I118)*$C$105/$C$107)</f>
        <v>7696280.5148531524</v>
      </c>
      <c r="J120" s="149">
        <f>(SUM($D$118:J118)*$C$104/$C$106)+(SUM($D$118:J118)*$C$105/$C$107)</f>
        <v>8978993.9339953437</v>
      </c>
      <c r="K120" s="149">
        <f>(SUM($D$118:K118)*$C$104/$C$106)+(SUM($D$118:K118)*$C$105/$C$107)</f>
        <v>10261707.353137538</v>
      </c>
      <c r="L120" s="149">
        <f>(SUM($D$118:L118)*$C$104/$C$106)+(SUM($D$118:L118)*$C$105/$C$107)</f>
        <v>11544420.772279728</v>
      </c>
      <c r="M120" s="149">
        <f>(SUM($D$118:M118)*$C$104/$C$106)+(SUM($D$118:M118)*$C$105/$C$107)</f>
        <v>12827134.191421922</v>
      </c>
      <c r="N120" s="149">
        <f>(SUM($D$118:N118)*$C$104/$C$106)+(SUM($D$118:N118)*$C$105/$C$107)</f>
        <v>14109847.610564116</v>
      </c>
      <c r="O120" s="149">
        <f>(SUM($D$118:O118)*$C$104/$C$106)+(SUM($D$118:O118)*$C$105/$C$107)</f>
        <v>15392561.029706305</v>
      </c>
      <c r="P120" s="149">
        <f>(SUM($D$118:P118)*$C$104/$C$106)+(SUM($D$118:P118)*$C$105/$C$107)</f>
        <v>16675274.448848497</v>
      </c>
      <c r="Q120" s="149">
        <f>(SUM($D$118:Q118)*$C$104/$C$106)+(SUM($D$118:Q118)*$C$105/$C$107)</f>
        <v>17957987.867990687</v>
      </c>
      <c r="R120" s="149">
        <f>(SUM($D$118:R118)*$C$104/$C$106)+(SUM($D$118:R118)*$C$105/$C$107)</f>
        <v>19240701.287132878</v>
      </c>
      <c r="S120" s="149">
        <f>(SUM($D$118:S118)*$C$104/$C$106)+(SUM($D$118:S118)*$C$105/$C$107)</f>
        <v>20523414.706275068</v>
      </c>
      <c r="T120" s="149">
        <f>(SUM($D$118:T118)*$C$104/$C$106)+(SUM($D$118:T118)*$C$105/$C$107)</f>
        <v>21806128.125417262</v>
      </c>
      <c r="U120" s="149">
        <f>(SUM($D$118:U118)*$C$104/$C$106)+(SUM($D$118:U118)*$C$105/$C$107)</f>
        <v>23088841.544559449</v>
      </c>
      <c r="V120" s="149">
        <f>(SUM($D$118:V118)*$C$104/$C$106)+(SUM($D$118:V118)*$C$105/$C$107)</f>
        <v>24371554.963701639</v>
      </c>
      <c r="W120" s="149">
        <f>(SUM($D$118:W118)*$C$104/$C$106)+(SUM($D$118:W118)*$C$105/$C$107)</f>
        <v>25654268.38284383</v>
      </c>
      <c r="X120" s="149">
        <f>(SUM($D$118:X118)*$C$104/$C$106)+(SUM($D$118:X118)*$C$105/$C$107)</f>
        <v>26936981.801986028</v>
      </c>
      <c r="Y120" s="149">
        <f>(SUM($D$118:Y118)*$C$104/$C$106)+(SUM($D$118:Y118)*$C$105/$C$107)</f>
        <v>28219695.221128218</v>
      </c>
      <c r="Z120" s="149">
        <f>(SUM($D$118:Z118)*$C$104/$C$106)+(SUM($D$118:Z118)*$C$105/$C$107)</f>
        <v>29502408.640270408</v>
      </c>
      <c r="AA120" s="149">
        <f>(SUM($D$118:AA118)*$C$104/$C$106)+(SUM($D$118:AA118)*$C$105/$C$107)</f>
        <v>30785122.059412599</v>
      </c>
      <c r="AB120" s="149">
        <f>(SUM($D$118:AB118)*$C$104/$C$106)+(SUM($D$118:AB118)*$C$105/$C$107)</f>
        <v>32067835.478554785</v>
      </c>
      <c r="AC120" s="149">
        <f>(SUM($D$118:AC118)*$C$104/$C$106)+(SUM($D$118:AC118)*$C$105/$C$107)</f>
        <v>33350548.897696983</v>
      </c>
      <c r="AD120" s="149">
        <f>(SUM($D$118:AD118)*$C$104/$C$106)+(SUM($D$118:AD118)*$C$105/$C$107)</f>
        <v>34633262.316839173</v>
      </c>
      <c r="AE120" s="149">
        <f>(SUM($D$118:AE118)*$C$104/$C$106)+(SUM($D$118:AE118)*$C$105/$C$107)</f>
        <v>35915975.73598136</v>
      </c>
      <c r="AF120" s="149">
        <f>(SUM($D$118:AF118)*$C$104/$C$106)+(SUM($D$118:AF118)*$C$105/$C$107)</f>
        <v>37198689.155123554</v>
      </c>
      <c r="AG120" s="149">
        <f>(SUM($D$118:AG118)*$C$104/$C$106)+(SUM($D$118:AG118)*$C$105/$C$107)</f>
        <v>38481402.574265741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1603391.7739277401</v>
      </c>
      <c r="E122" s="72">
        <f>(SUM($D$118:E118)*$C$109)</f>
        <v>3206783.5478554801</v>
      </c>
      <c r="F122" s="72">
        <f>(SUM($D$118:F118)*$C$109)</f>
        <v>4810175.3217832195</v>
      </c>
      <c r="G122" s="72">
        <f>(SUM($D$118:G118)*$C$109)</f>
        <v>6413567.0957109602</v>
      </c>
      <c r="H122" s="72">
        <f>(SUM($D$118:H118)*$C$109)</f>
        <v>8016958.8696387</v>
      </c>
      <c r="I122" s="72">
        <f>(SUM($D$118:I118)*$C$109)</f>
        <v>9620350.6435664408</v>
      </c>
      <c r="J122" s="72">
        <f>(SUM($D$118:J118)*$C$109)</f>
        <v>11223742.417494182</v>
      </c>
      <c r="K122" s="72">
        <f>(SUM($D$118:K118)*$C$109)</f>
        <v>12827134.191421922</v>
      </c>
      <c r="L122" s="72">
        <f>(SUM($D$118:L118)*$C$109)</f>
        <v>14430525.965349661</v>
      </c>
      <c r="M122" s="72">
        <f>(SUM($D$118:M118)*$C$109)</f>
        <v>16033917.739277402</v>
      </c>
      <c r="N122" s="72">
        <f>(SUM($D$118:N118)*$C$109)</f>
        <v>17637309.513205141</v>
      </c>
      <c r="O122" s="72">
        <f>(SUM($D$118:O118)*$C$109)</f>
        <v>19240701.287132882</v>
      </c>
      <c r="P122" s="72">
        <f>(SUM($D$118:P118)*$C$109)</f>
        <v>20844093.061060619</v>
      </c>
      <c r="Q122" s="72">
        <f>(SUM($D$118:Q118)*$C$109)</f>
        <v>22447484.834988359</v>
      </c>
      <c r="R122" s="72">
        <f>(SUM($D$118:R118)*$C$109)</f>
        <v>24050876.608916096</v>
      </c>
      <c r="S122" s="72">
        <f>(SUM($D$118:S118)*$C$109)</f>
        <v>25654268.382843837</v>
      </c>
      <c r="T122" s="72">
        <f>(SUM($D$118:T118)*$C$109)</f>
        <v>27257660.156771574</v>
      </c>
      <c r="U122" s="72">
        <f>(SUM($D$118:U118)*$C$109)</f>
        <v>28861051.930699311</v>
      </c>
      <c r="V122" s="72">
        <f>(SUM($D$118:V118)*$C$109)</f>
        <v>30464443.704627052</v>
      </c>
      <c r="W122" s="72">
        <f>(SUM($D$118:W118)*$C$109)</f>
        <v>32067835.478554789</v>
      </c>
      <c r="X122" s="72">
        <f>(SUM($D$118:X118)*$C$109)</f>
        <v>33671227.252482533</v>
      </c>
      <c r="Y122" s="72">
        <f>(SUM($D$118:Y118)*$C$109)</f>
        <v>35274619.026410274</v>
      </c>
      <c r="Z122" s="72">
        <f>(SUM($D$118:Z118)*$C$109)</f>
        <v>36878010.800338008</v>
      </c>
      <c r="AA122" s="72">
        <f>(SUM($D$118:AA118)*$C$109)</f>
        <v>38481402.574265748</v>
      </c>
      <c r="AB122" s="72">
        <f>(SUM($D$118:AB118)*$C$109)</f>
        <v>40084794.348193489</v>
      </c>
      <c r="AC122" s="72">
        <f>(SUM($D$118:AC118)*$C$109)</f>
        <v>41688186.122121222</v>
      </c>
      <c r="AD122" s="72">
        <f>(SUM($D$118:AD118)*$C$109)</f>
        <v>43291577.896048963</v>
      </c>
      <c r="AE122" s="72">
        <f>(SUM($D$118:AE118)*$C$109)</f>
        <v>44894969.669976704</v>
      </c>
      <c r="AF122" s="72">
        <f>(SUM($D$118:AF118)*$C$109)</f>
        <v>46498361.443904445</v>
      </c>
      <c r="AG122" s="72">
        <f>(SUM($D$118:AG118)*$C$109)</f>
        <v>48101753.217832178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154</v>
      </c>
      <c r="B126" s="77" t="s">
        <v>134</v>
      </c>
      <c r="C126" s="126">
        <v>60049</v>
      </c>
      <c r="D126" s="140"/>
    </row>
    <row r="127" spans="1:33" x14ac:dyDescent="0.35">
      <c r="A127" s="77" t="s">
        <v>153</v>
      </c>
      <c r="B127" s="77" t="s">
        <v>135</v>
      </c>
      <c r="C127" s="126">
        <v>59200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59624.5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158</v>
      </c>
      <c r="B133" s="77" t="s">
        <v>159</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22083.148148148146</v>
      </c>
      <c r="D135" s="157">
        <f t="shared" ref="D135:AG135" si="14">$C$135*D13</f>
        <v>22466.973720043479</v>
      </c>
      <c r="E135" s="157">
        <f t="shared" si="14"/>
        <v>22857.470535941364</v>
      </c>
      <c r="F135" s="157">
        <f t="shared" si="14"/>
        <v>23254.754548242578</v>
      </c>
      <c r="G135" s="157">
        <f t="shared" si="14"/>
        <v>23658.943724708039</v>
      </c>
      <c r="H135" s="157">
        <f t="shared" si="14"/>
        <v>24070.158083487637</v>
      </c>
      <c r="I135" s="157">
        <f t="shared" si="14"/>
        <v>24488.519728757874</v>
      </c>
      <c r="J135" s="157">
        <f t="shared" si="14"/>
        <v>24914.152886978969</v>
      </c>
      <c r="K135" s="157">
        <f t="shared" si="14"/>
        <v>25347.183943782093</v>
      </c>
      <c r="L135" s="157">
        <f t="shared" si="14"/>
        <v>25787.741481497756</v>
      </c>
      <c r="M135" s="157">
        <f t="shared" si="14"/>
        <v>26235.956317336499</v>
      </c>
      <c r="N135" s="157">
        <f t="shared" si="14"/>
        <v>26691.961542233163</v>
      </c>
      <c r="O135" s="157">
        <f t="shared" si="14"/>
        <v>27155.892560366327</v>
      </c>
      <c r="P135" s="157">
        <f t="shared" si="14"/>
        <v>27627.88712936463</v>
      </c>
      <c r="Q135" s="157">
        <f t="shared" si="14"/>
        <v>28108.085401211902</v>
      </c>
      <c r="R135" s="157">
        <f t="shared" si="14"/>
        <v>28596.629963863295</v>
      </c>
      <c r="S135" s="157">
        <f t="shared" si="14"/>
        <v>29093.665883584712</v>
      </c>
      <c r="T135" s="157">
        <f t="shared" si="14"/>
        <v>29599.340748028124</v>
      </c>
      <c r="U135" s="157">
        <f t="shared" si="14"/>
        <v>30113.804710055629</v>
      </c>
      <c r="V135" s="157">
        <f t="shared" si="14"/>
        <v>30637.210532325167</v>
      </c>
      <c r="W135" s="157">
        <f t="shared" si="14"/>
        <v>31169.713632651179</v>
      </c>
      <c r="X135" s="157">
        <f t="shared" si="14"/>
        <v>31711.472130153692</v>
      </c>
      <c r="Y135" s="157">
        <f t="shared" si="14"/>
        <v>32262.646892209519</v>
      </c>
      <c r="Z135" s="157">
        <f t="shared" si="14"/>
        <v>32823.4015822195</v>
      </c>
      <c r="AA135" s="157">
        <f t="shared" si="14"/>
        <v>33393.90270820602</v>
      </c>
      <c r="AB135" s="157">
        <f t="shared" si="14"/>
        <v>33974.319672255107</v>
      </c>
      <c r="AC135" s="157">
        <f t="shared" si="14"/>
        <v>34564.824820817979</v>
      </c>
      <c r="AD135" s="157">
        <f t="shared" si="14"/>
        <v>35165.593495886846</v>
      </c>
      <c r="AE135" s="157">
        <f t="shared" si="14"/>
        <v>35776.804087060162</v>
      </c>
      <c r="AF135" s="157">
        <f t="shared" si="14"/>
        <v>36398.638084512866</v>
      </c>
      <c r="AG135" s="157">
        <f t="shared" si="14"/>
        <v>37031.280132887245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A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0.08</v>
      </c>
      <c r="F4" s="65">
        <v>0.08</v>
      </c>
      <c r="G4" s="65">
        <v>0.08</v>
      </c>
      <c r="H4" s="65">
        <v>0.08</v>
      </c>
      <c r="I4" s="65">
        <v>0.08</v>
      </c>
      <c r="J4" s="65">
        <v>0.08</v>
      </c>
      <c r="K4" s="65">
        <v>7.0000000000000007E-2</v>
      </c>
      <c r="L4" s="65">
        <v>7.0000000000000007E-2</v>
      </c>
      <c r="M4" s="65">
        <v>6.5000000000000002E-2</v>
      </c>
      <c r="N4" s="65">
        <v>6.5000000000000002E-2</v>
      </c>
      <c r="O4" s="65">
        <v>6.5000000000000002E-2</v>
      </c>
      <c r="P4" s="65">
        <v>6.5000000000000002E-2</v>
      </c>
      <c r="Q4" s="65">
        <v>0.06</v>
      </c>
      <c r="R4" s="65">
        <v>0.04</v>
      </c>
      <c r="S4" s="65">
        <v>0.04</v>
      </c>
      <c r="T4" s="65">
        <v>0.04</v>
      </c>
      <c r="U4" s="65">
        <v>0.04</v>
      </c>
      <c r="V4" s="65">
        <v>0.04</v>
      </c>
      <c r="W4" s="65">
        <v>0.04</v>
      </c>
      <c r="X4" s="65">
        <v>3.5000000000000003E-2</v>
      </c>
      <c r="Y4" s="65">
        <v>3.5000000000000003E-2</v>
      </c>
      <c r="Z4" s="65">
        <v>3.5000000000000003E-2</v>
      </c>
      <c r="AA4" s="65">
        <v>3.5000000000000003E-2</v>
      </c>
      <c r="AB4" s="65">
        <v>3.5000000000000003E-2</v>
      </c>
      <c r="AC4" s="65">
        <v>0.03</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2.5017649077887789</v>
      </c>
      <c r="C6" s="25"/>
      <c r="D6" s="25"/>
      <c r="E6" s="27">
        <f>'Debt worksheet'!C5/'Profit and Loss'!C5</f>
        <v>0.16118783773864664</v>
      </c>
      <c r="F6" s="28">
        <f ca="1">'Debt worksheet'!D5/'Profit and Loss'!D5</f>
        <v>0.63864312971658543</v>
      </c>
      <c r="G6" s="28">
        <f ca="1">'Debt worksheet'!E5/'Profit and Loss'!E5</f>
        <v>1.0450081233069786</v>
      </c>
      <c r="H6" s="28">
        <f ca="1">'Debt worksheet'!F5/'Profit and Loss'!F5</f>
        <v>1.3839912472664908</v>
      </c>
      <c r="I6" s="28">
        <f ca="1">'Debt worksheet'!G5/'Profit and Loss'!G5</f>
        <v>1.6593226850887313</v>
      </c>
      <c r="J6" s="28">
        <f ca="1">'Debt worksheet'!H5/'Profit and Loss'!H5</f>
        <v>1.8747238747699655</v>
      </c>
      <c r="K6" s="28">
        <f ca="1">'Debt worksheet'!I5/'Profit and Loss'!I5</f>
        <v>2.0528898449281785</v>
      </c>
      <c r="L6" s="28">
        <f ca="1">'Debt worksheet'!J5/'Profit and Loss'!J5</f>
        <v>2.1895176663830695</v>
      </c>
      <c r="M6" s="28">
        <f ca="1">'Debt worksheet'!K5/'Profit and Loss'!K5</f>
        <v>2.2971944542555405</v>
      </c>
      <c r="N6" s="28">
        <f ca="1">'Debt worksheet'!L5/'Profit and Loss'!L5</f>
        <v>2.3721687921855135</v>
      </c>
      <c r="O6" s="28">
        <f ca="1">'Debt worksheet'!M5/'Profit and Loss'!M5</f>
        <v>2.4156664125303182</v>
      </c>
      <c r="P6" s="28">
        <f ca="1">'Debt worksheet'!N5/'Profit and Loss'!N5</f>
        <v>2.4289570856396043</v>
      </c>
      <c r="Q6" s="28">
        <f ca="1">'Debt worksheet'!O5/'Profit and Loss'!O5</f>
        <v>2.4247266402554142</v>
      </c>
      <c r="R6" s="28">
        <f ca="1">'Debt worksheet'!P5/'Profit and Loss'!P5</f>
        <v>2.4431912698385663</v>
      </c>
      <c r="S6" s="28">
        <f ca="1">'Debt worksheet'!Q5/'Profit and Loss'!Q5</f>
        <v>2.4568286849468115</v>
      </c>
      <c r="T6" s="28">
        <f ca="1">'Debt worksheet'!R5/'Profit and Loss'!R5</f>
        <v>2.4651318175705805</v>
      </c>
      <c r="U6" s="28">
        <f ca="1">'Debt worksheet'!S5/'Profit and Loss'!S5</f>
        <v>2.4676442637962914</v>
      </c>
      <c r="V6" s="28">
        <f ca="1">'Debt worksheet'!T5/'Profit and Loss'!T5</f>
        <v>2.4639573293203632</v>
      </c>
      <c r="W6" s="28">
        <f ca="1">'Debt worksheet'!U5/'Profit and Loss'!U5</f>
        <v>2.4537072169148453</v>
      </c>
      <c r="X6" s="28">
        <f ca="1">'Debt worksheet'!V5/'Profit and Loss'!V5</f>
        <v>2.448343230573363</v>
      </c>
      <c r="Y6" s="28">
        <f ca="1">'Debt worksheet'!W5/'Profit and Loss'!W5</f>
        <v>2.4403882959157386</v>
      </c>
      <c r="Z6" s="28">
        <f ca="1">'Debt worksheet'!X5/'Profit and Loss'!X5</f>
        <v>2.4294358754644967</v>
      </c>
      <c r="AA6" s="28">
        <f ca="1">'Debt worksheet'!Y5/'Profit and Loss'!Y5</f>
        <v>2.4151101872263343</v>
      </c>
      <c r="AB6" s="28">
        <f ca="1">'Debt worksheet'!Z5/'Profit and Loss'!Z5</f>
        <v>2.3970647405784051</v>
      </c>
      <c r="AC6" s="28">
        <f ca="1">'Debt worksheet'!AA5/'Profit and Loss'!AA5</f>
        <v>2.3865099644750494</v>
      </c>
      <c r="AD6" s="28">
        <f ca="1">'Debt worksheet'!AB5/'Profit and Loss'!AB5</f>
        <v>2.3948247125202737</v>
      </c>
      <c r="AE6" s="28">
        <f ca="1">'Debt worksheet'!AC5/'Profit and Loss'!AC5</f>
        <v>2.410826619331869</v>
      </c>
      <c r="AF6" s="28">
        <f ca="1">'Debt worksheet'!AD5/'Profit and Loss'!AD5</f>
        <v>2.4341926067888058</v>
      </c>
      <c r="AG6" s="28">
        <f ca="1">'Debt worksheet'!AE5/'Profit and Loss'!AE5</f>
        <v>2.464607712059919</v>
      </c>
      <c r="AH6" s="28">
        <f ca="1">'Debt worksheet'!AF5/'Profit and Loss'!AF5</f>
        <v>2.5017649077887789</v>
      </c>
      <c r="AI6" s="31"/>
    </row>
    <row r="7" spans="1:35" ht="21" x14ac:dyDescent="0.5">
      <c r="A7" s="19" t="s">
        <v>39</v>
      </c>
      <c r="B7" s="26">
        <f ca="1">MIN('Price and Financial ratios'!E7:AH7)</f>
        <v>0.21373267331131565</v>
      </c>
      <c r="C7" s="26"/>
      <c r="D7" s="26"/>
      <c r="E7" s="56">
        <f ca="1">'Cash Flow'!C7/'Debt worksheet'!C5</f>
        <v>3.9337307134732136</v>
      </c>
      <c r="F7" s="32">
        <f ca="1">'Cash Flow'!D7/'Debt worksheet'!D5</f>
        <v>0.96017243986765688</v>
      </c>
      <c r="G7" s="32">
        <f ca="1">'Cash Flow'!E7/'Debt worksheet'!E5</f>
        <v>0.57152887826039211</v>
      </c>
      <c r="H7" s="32">
        <f ca="1">'Cash Flow'!F7/'Debt worksheet'!F5</f>
        <v>0.42324463897488002</v>
      </c>
      <c r="I7" s="32">
        <f ca="1">'Cash Flow'!G7/'Debt worksheet'!G5</f>
        <v>0.34854220103930655</v>
      </c>
      <c r="J7" s="32">
        <f ca="1">'Cash Flow'!H7/'Debt worksheet'!H5</f>
        <v>0.30650090332385593</v>
      </c>
      <c r="K7" s="32">
        <f ca="1">'Cash Flow'!I7/'Debt worksheet'!I5</f>
        <v>0.2775977664184946</v>
      </c>
      <c r="L7" s="32">
        <f ca="1">'Cash Flow'!J7/'Debt worksheet'!J5</f>
        <v>0.25934470264900361</v>
      </c>
      <c r="M7" s="17">
        <f ca="1">'Cash Flow'!K7/'Debt worksheet'!K5</f>
        <v>0.24642194373021223</v>
      </c>
      <c r="N7" s="17">
        <f ca="1">'Cash Flow'!L7/'Debt worksheet'!L5</f>
        <v>0.23878676225556553</v>
      </c>
      <c r="O7" s="17">
        <f ca="1">'Cash Flow'!M7/'Debt worksheet'!M5</f>
        <v>0.23545264662319665</v>
      </c>
      <c r="P7" s="17">
        <f ca="1">'Cash Flow'!N7/'Debt worksheet'!N5</f>
        <v>0.23587475171937122</v>
      </c>
      <c r="Q7" s="17">
        <f ca="1">'Cash Flow'!O7/'Debt worksheet'!O5</f>
        <v>0.23780358220113978</v>
      </c>
      <c r="R7" s="17">
        <f ca="1">'Cash Flow'!P7/'Debt worksheet'!P5</f>
        <v>0.23452605906198107</v>
      </c>
      <c r="S7" s="17">
        <f ca="1">'Cash Flow'!Q7/'Debt worksheet'!Q5</f>
        <v>0.23205597270690453</v>
      </c>
      <c r="T7" s="17">
        <f ca="1">'Cash Flow'!R7/'Debt worksheet'!R5</f>
        <v>0.23040629699530135</v>
      </c>
      <c r="U7" s="17">
        <f ca="1">'Cash Flow'!S7/'Debt worksheet'!S5</f>
        <v>0.22959394393237545</v>
      </c>
      <c r="V7" s="17">
        <f ca="1">'Cash Flow'!T7/'Debt worksheet'!T5</f>
        <v>0.22964207513601043</v>
      </c>
      <c r="W7" s="17">
        <f ca="1">'Cash Flow'!U7/'Debt worksheet'!U5</f>
        <v>0.23058240894738502</v>
      </c>
      <c r="X7" s="17">
        <f ca="1">'Cash Flow'!V7/'Debt worksheet'!V5</f>
        <v>0.23041298891558687</v>
      </c>
      <c r="Y7" s="17">
        <f ca="1">'Cash Flow'!W7/'Debt worksheet'!W5</f>
        <v>0.23068277271439119</v>
      </c>
      <c r="Z7" s="17">
        <f ca="1">'Cash Flow'!X7/'Debt worksheet'!X5</f>
        <v>0.23143340673062787</v>
      </c>
      <c r="AA7" s="17">
        <f ca="1">'Cash Flow'!Y7/'Debt worksheet'!Y5</f>
        <v>0.23270805376900622</v>
      </c>
      <c r="AB7" s="17">
        <f ca="1">'Cash Flow'!Z7/'Debt worksheet'!Z5</f>
        <v>0.23455289112671773</v>
      </c>
      <c r="AC7" s="17">
        <f ca="1">'Cash Flow'!AA7/'Debt worksheet'!AA5</f>
        <v>0.23491089641169582</v>
      </c>
      <c r="AD7" s="17">
        <f ca="1">'Cash Flow'!AB7/'Debt worksheet'!AB5</f>
        <v>0.23197314179917813</v>
      </c>
      <c r="AE7" s="17">
        <f ca="1">'Cash Flow'!AC7/'Debt worksheet'!AC5</f>
        <v>0.22830246578052574</v>
      </c>
      <c r="AF7" s="17">
        <f ca="1">'Cash Flow'!AD7/'Debt worksheet'!AD5</f>
        <v>0.2239800764296688</v>
      </c>
      <c r="AG7" s="17">
        <f ca="1">'Cash Flow'!AE7/'Debt worksheet'!AE5</f>
        <v>0.21909341570076671</v>
      </c>
      <c r="AH7" s="17">
        <f ca="1">'Cash Flow'!AF7/'Debt worksheet'!AF5</f>
        <v>0.21373267331131565</v>
      </c>
      <c r="AI7" s="29"/>
    </row>
    <row r="8" spans="1:35" ht="21" x14ac:dyDescent="0.5">
      <c r="A8" s="19" t="s">
        <v>34</v>
      </c>
      <c r="B8" s="26">
        <f ca="1">MAX('Price and Financial ratios'!E8:AH8)</f>
        <v>0.34424727024225404</v>
      </c>
      <c r="C8" s="26"/>
      <c r="D8" s="176"/>
      <c r="E8" s="17">
        <f>'Balance Sheet'!B11/'Balance Sheet'!B8</f>
        <v>1.7086161535912883E-2</v>
      </c>
      <c r="F8" s="17">
        <f ca="1">'Balance Sheet'!C11/'Balance Sheet'!C8</f>
        <v>7.212013333303996E-2</v>
      </c>
      <c r="G8" s="17">
        <f ca="1">'Balance Sheet'!D11/'Balance Sheet'!D8</f>
        <v>0.11910519543940853</v>
      </c>
      <c r="H8" s="17">
        <f ca="1">'Balance Sheet'!E11/'Balance Sheet'!E8</f>
        <v>0.15989283004539376</v>
      </c>
      <c r="I8" s="17">
        <f ca="1">'Balance Sheet'!F11/'Balance Sheet'!F8</f>
        <v>0.19505333730933655</v>
      </c>
      <c r="J8" s="17">
        <f ca="1">'Balance Sheet'!G11/'Balance Sheet'!G8</f>
        <v>0.22497725508925154</v>
      </c>
      <c r="K8" s="17">
        <f ca="1">'Balance Sheet'!H11/'Balance Sheet'!H8</f>
        <v>0.24991823778398517</v>
      </c>
      <c r="L8" s="17">
        <f ca="1">'Balance Sheet'!I11/'Balance Sheet'!I8</f>
        <v>0.2711244930303276</v>
      </c>
      <c r="M8" s="17">
        <f ca="1">'Balance Sheet'!J11/'Balance Sheet'!J8</f>
        <v>0.28867779102931929</v>
      </c>
      <c r="N8" s="17">
        <f ca="1">'Balance Sheet'!K11/'Balance Sheet'!K8</f>
        <v>0.30317860944668729</v>
      </c>
      <c r="O8" s="17">
        <f ca="1">'Balance Sheet'!L11/'Balance Sheet'!L8</f>
        <v>0.31461765358497978</v>
      </c>
      <c r="P8" s="17">
        <f ca="1">'Balance Sheet'!M11/'Balance Sheet'!M8</f>
        <v>0.3229532579430473</v>
      </c>
      <c r="Q8" s="17">
        <f ca="1">'Balance Sheet'!N11/'Balance Sheet'!N8</f>
        <v>0.32811572423779889</v>
      </c>
      <c r="R8" s="17">
        <f ca="1">'Balance Sheet'!O11/'Balance Sheet'!O8</f>
        <v>0.33063573392391438</v>
      </c>
      <c r="S8" s="17">
        <f ca="1">'Balance Sheet'!P11/'Balance Sheet'!P8</f>
        <v>0.33296584358843895</v>
      </c>
      <c r="T8" s="17">
        <f ca="1">'Balance Sheet'!Q11/'Balance Sheet'!Q8</f>
        <v>0.33500846615569141</v>
      </c>
      <c r="U8" s="17">
        <f ca="1">'Balance Sheet'!R11/'Balance Sheet'!R8</f>
        <v>0.33667130222837566</v>
      </c>
      <c r="V8" s="17">
        <f ca="1">'Balance Sheet'!S11/'Balance Sheet'!S8</f>
        <v>0.3378661418212775</v>
      </c>
      <c r="W8" s="17">
        <f ca="1">'Balance Sheet'!T11/'Balance Sheet'!T8</f>
        <v>0.33850788791602976</v>
      </c>
      <c r="X8" s="17">
        <f ca="1">'Balance Sheet'!U11/'Balance Sheet'!U8</f>
        <v>0.33851375323821409</v>
      </c>
      <c r="Y8" s="17">
        <f ca="1">'Balance Sheet'!V11/'Balance Sheet'!V8</f>
        <v>0.33846196362304148</v>
      </c>
      <c r="Z8" s="17">
        <f ca="1">'Balance Sheet'!W11/'Balance Sheet'!W8</f>
        <v>0.33827295377088101</v>
      </c>
      <c r="AA8" s="17">
        <f ca="1">'Balance Sheet'!X11/'Balance Sheet'!X8</f>
        <v>0.337870959210196</v>
      </c>
      <c r="AB8" s="17">
        <f ca="1">'Balance Sheet'!Y11/'Balance Sheet'!Y8</f>
        <v>0.33718331199449536</v>
      </c>
      <c r="AC8" s="17">
        <f ca="1">'Balance Sheet'!Z11/'Balance Sheet'!Z8</f>
        <v>0.33613984625408139</v>
      </c>
      <c r="AD8" s="17">
        <f ca="1">'Balance Sheet'!AA11/'Balance Sheet'!AA8</f>
        <v>0.33534987164999486</v>
      </c>
      <c r="AE8" s="17">
        <f ca="1">'Balance Sheet'!AB11/'Balance Sheet'!AB8</f>
        <v>0.33583456448535243</v>
      </c>
      <c r="AF8" s="17">
        <f ca="1">'Balance Sheet'!AC11/'Balance Sheet'!AC8</f>
        <v>0.33752169837081569</v>
      </c>
      <c r="AG8" s="17">
        <f ca="1">'Balance Sheet'!AD11/'Balance Sheet'!AD8</f>
        <v>0.34034578768694146</v>
      </c>
      <c r="AH8" s="17">
        <f ca="1">'Balance Sheet'!AE11/'Balance Sheet'!AE8</f>
        <v>0.34424727024225404</v>
      </c>
      <c r="AI8" s="29"/>
    </row>
    <row r="9" spans="1:35" ht="21.5" thickBot="1" x14ac:dyDescent="0.55000000000000004">
      <c r="A9" s="20" t="s">
        <v>33</v>
      </c>
      <c r="B9" s="21">
        <f ca="1">MIN('Price and Financial ratios'!E9:AH9)</f>
        <v>6.7725117727349149</v>
      </c>
      <c r="C9" s="21"/>
      <c r="D9" s="177"/>
      <c r="E9" s="21">
        <f ca="1">('Cash Flow'!C7+'Profit and Loss'!C8)/('Profit and Loss'!C8)</f>
        <v>26.816850532136456</v>
      </c>
      <c r="F9" s="21">
        <f ca="1">('Cash Flow'!D7+'Profit and Loss'!D8)/('Profit and Loss'!D8)</f>
        <v>16.25852041578359</v>
      </c>
      <c r="G9" s="21">
        <f ca="1">('Cash Flow'!E7+'Profit and Loss'!E8)/('Profit and Loss'!E8)</f>
        <v>12.221453420900609</v>
      </c>
      <c r="H9" s="21">
        <f ca="1">('Cash Flow'!F7+'Profit and Loss'!F8)/('Profit and Loss'!F8)</f>
        <v>10.179490307615879</v>
      </c>
      <c r="I9" s="21">
        <f ca="1">('Cash Flow'!G7+'Profit and Loss'!G8)/('Profit and Loss'!G8)</f>
        <v>9.0218311928207715</v>
      </c>
      <c r="J9" s="21">
        <f ca="1">('Cash Flow'!H7+'Profit and Loss'!H8)/('Profit and Loss'!H8)</f>
        <v>8.3462889994099996</v>
      </c>
      <c r="K9" s="21">
        <f ca="1">('Cash Flow'!I7+'Profit and Loss'!I8)/('Profit and Loss'!I8)</f>
        <v>7.8312117374229588</v>
      </c>
      <c r="L9" s="21">
        <f ca="1">('Cash Flow'!J7+'Profit and Loss'!J8)/('Profit and Loss'!J8)</f>
        <v>7.5181872535368104</v>
      </c>
      <c r="M9" s="21">
        <f ca="1">('Cash Flow'!K7+'Profit and Loss'!K8)/('Profit and Loss'!K8)</f>
        <v>7.2926026160884376</v>
      </c>
      <c r="N9" s="21">
        <f ca="1">('Cash Flow'!L7+'Profit and Loss'!L8)/('Profit and Loss'!L8)</f>
        <v>7.183261738981245</v>
      </c>
      <c r="O9" s="21">
        <f ca="1">('Cash Flow'!M7+'Profit and Loss'!M8)/('Profit and Loss'!M8)</f>
        <v>7.1747510429361947</v>
      </c>
      <c r="P9" s="21">
        <f ca="1">('Cash Flow'!N7+'Profit and Loss'!N8)/('Profit and Loss'!N8)</f>
        <v>7.260096283056761</v>
      </c>
      <c r="Q9" s="21">
        <f ca="1">('Cash Flow'!O7+'Profit and Loss'!O8)/('Profit and Loss'!O8)</f>
        <v>7.3729239159522768</v>
      </c>
      <c r="R9" s="21">
        <f ca="1">('Cash Flow'!P7+'Profit and Loss'!P8)/('Profit and Loss'!P8)</f>
        <v>7.2977979701253446</v>
      </c>
      <c r="S9" s="21">
        <f ca="1">('Cash Flow'!Q7+'Profit and Loss'!Q8)/('Profit and Loss'!Q8)</f>
        <v>7.2451446625520974</v>
      </c>
      <c r="T9" s="21">
        <f ca="1">('Cash Flow'!R7+'Profit and Loss'!R8)/('Profit and Loss'!R8)</f>
        <v>7.215369674935566</v>
      </c>
      <c r="U9" s="21">
        <f ca="1">('Cash Flow'!S7+'Profit and Loss'!S8)/('Profit and Loss'!S8)</f>
        <v>7.2090452201923743</v>
      </c>
      <c r="V9" s="21">
        <f ca="1">('Cash Flow'!T7+'Profit and Loss'!T8)/('Profit and Loss'!T8)</f>
        <v>7.2269722439134636</v>
      </c>
      <c r="W9" s="21">
        <f ca="1">('Cash Flow'!U7+'Profit and Loss'!U8)/('Profit and Loss'!U8)</f>
        <v>7.2702466648097328</v>
      </c>
      <c r="X9" s="21">
        <f ca="1">('Cash Flow'!V7+'Profit and Loss'!V8)/('Profit and Loss'!V8)</f>
        <v>7.2723219171070754</v>
      </c>
      <c r="Y9" s="21">
        <f ca="1">('Cash Flow'!W7+'Profit and Loss'!W8)/('Profit and Loss'!W8)</f>
        <v>7.2874807785829079</v>
      </c>
      <c r="Z9" s="21">
        <f ca="1">('Cash Flow'!X7+'Profit and Loss'!X8)/('Profit and Loss'!X8)</f>
        <v>7.3168789323829992</v>
      </c>
      <c r="AA9" s="21">
        <f ca="1">('Cash Flow'!Y7+'Profit and Loss'!Y8)/('Profit and Loss'!Y8)</f>
        <v>7.3617502367439416</v>
      </c>
      <c r="AB9" s="21">
        <f ca="1">('Cash Flow'!Z7+'Profit and Loss'!Z8)/('Profit and Loss'!Z8)</f>
        <v>7.4234513886128841</v>
      </c>
      <c r="AC9" s="21">
        <f ca="1">('Cash Flow'!AA7+'Profit and Loss'!AA8)/('Profit and Loss'!AA8)</f>
        <v>7.4326533998387774</v>
      </c>
      <c r="AD9" s="21">
        <f ca="1">('Cash Flow'!AB7+'Profit and Loss'!AB8)/('Profit and Loss'!AB8)</f>
        <v>7.3320294486618254</v>
      </c>
      <c r="AE9" s="21">
        <f ca="1">('Cash Flow'!AC7+'Profit and Loss'!AC8)/('Profit and Loss'!AC8)</f>
        <v>7.2132540235438842</v>
      </c>
      <c r="AF9" s="21">
        <f ca="1">('Cash Flow'!AD7+'Profit and Loss'!AD8)/('Profit and Loss'!AD8)</f>
        <v>7.0787459464469897</v>
      </c>
      <c r="AG9" s="21">
        <f ca="1">('Cash Flow'!AE7+'Profit and Loss'!AE8)/('Profit and Loss'!AE8)</f>
        <v>6.9310024221235711</v>
      </c>
      <c r="AH9" s="21">
        <f ca="1">('Cash Flow'!AF7+'Profit and Loss'!AF8)/('Profit and Loss'!AF8)</f>
        <v>6.7725117727349149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17601450.502422094</v>
      </c>
      <c r="D5" s="1">
        <f>Assumptions!E111</f>
        <v>17601450.502422094</v>
      </c>
      <c r="E5" s="1">
        <f>Assumptions!F111</f>
        <v>17601450.502422094</v>
      </c>
      <c r="F5" s="1">
        <f>Assumptions!G111</f>
        <v>17601450.502422094</v>
      </c>
      <c r="G5" s="1">
        <f>Assumptions!H111</f>
        <v>17601450.502422094</v>
      </c>
      <c r="H5" s="1">
        <f>Assumptions!I111</f>
        <v>17601450.502422094</v>
      </c>
      <c r="I5" s="1">
        <f>Assumptions!J111</f>
        <v>17601450.502422094</v>
      </c>
      <c r="J5" s="1">
        <f>Assumptions!K111</f>
        <v>17601450.502422094</v>
      </c>
      <c r="K5" s="1">
        <f>Assumptions!L111</f>
        <v>17601450.502422094</v>
      </c>
      <c r="L5" s="1">
        <f>Assumptions!M111</f>
        <v>17601450.502422094</v>
      </c>
      <c r="M5" s="1">
        <f>Assumptions!N111</f>
        <v>17601450.502422094</v>
      </c>
      <c r="N5" s="1">
        <f>Assumptions!O111</f>
        <v>17601450.502422094</v>
      </c>
      <c r="O5" s="1">
        <f>Assumptions!P111</f>
        <v>17601450.502422094</v>
      </c>
      <c r="P5" s="1">
        <f>Assumptions!Q111</f>
        <v>17601450.502422094</v>
      </c>
      <c r="Q5" s="1">
        <f>Assumptions!R111</f>
        <v>17601450.502422094</v>
      </c>
      <c r="R5" s="1">
        <f>Assumptions!S111</f>
        <v>17601450.502422094</v>
      </c>
      <c r="S5" s="1">
        <f>Assumptions!T111</f>
        <v>17601450.502422094</v>
      </c>
      <c r="T5" s="1">
        <f>Assumptions!U111</f>
        <v>17601450.502422094</v>
      </c>
      <c r="U5" s="1">
        <f>Assumptions!V111</f>
        <v>17601450.502422094</v>
      </c>
      <c r="V5" s="1">
        <f>Assumptions!W111</f>
        <v>17601450.502422094</v>
      </c>
      <c r="W5" s="1">
        <f>Assumptions!X111</f>
        <v>17601450.502422094</v>
      </c>
      <c r="X5" s="1">
        <f>Assumptions!Y111</f>
        <v>17601450.502422094</v>
      </c>
      <c r="Y5" s="1">
        <f>Assumptions!Z111</f>
        <v>17601450.502422094</v>
      </c>
      <c r="Z5" s="1">
        <f>Assumptions!AA111</f>
        <v>17601450.502422094</v>
      </c>
      <c r="AA5" s="1">
        <f>Assumptions!AB111</f>
        <v>17601450.502422094</v>
      </c>
      <c r="AB5" s="1">
        <f>Assumptions!AC111</f>
        <v>17601450.502422094</v>
      </c>
      <c r="AC5" s="1">
        <f>Assumptions!AD111</f>
        <v>17601450.502422094</v>
      </c>
      <c r="AD5" s="1">
        <f>Assumptions!AE111</f>
        <v>17601450.502422094</v>
      </c>
      <c r="AE5" s="1">
        <f>Assumptions!AF111</f>
        <v>17601450.502422094</v>
      </c>
      <c r="AF5" s="1">
        <f>Assumptions!AG111</f>
        <v>17601450.502422094</v>
      </c>
    </row>
    <row r="6" spans="1:32" x14ac:dyDescent="0.35">
      <c r="A6" t="s">
        <v>69</v>
      </c>
      <c r="C6" s="1">
        <f>Assumptions!D113</f>
        <v>53446392.464258</v>
      </c>
      <c r="D6" s="1">
        <f>Assumptions!E113</f>
        <v>53446392.464258</v>
      </c>
      <c r="E6" s="1">
        <f>Assumptions!F113</f>
        <v>53446392.464258</v>
      </c>
      <c r="F6" s="1">
        <f>Assumptions!G113</f>
        <v>53446392.464258</v>
      </c>
      <c r="G6" s="1">
        <f>Assumptions!H113</f>
        <v>53446392.464258</v>
      </c>
      <c r="H6" s="1">
        <f>Assumptions!I113</f>
        <v>53446392.464258</v>
      </c>
      <c r="I6" s="1">
        <f>Assumptions!J113</f>
        <v>53446392.464258</v>
      </c>
      <c r="J6" s="1">
        <f>Assumptions!K113</f>
        <v>53446392.464258</v>
      </c>
      <c r="K6" s="1">
        <f>Assumptions!L113</f>
        <v>53446392.464258</v>
      </c>
      <c r="L6" s="1">
        <f>Assumptions!M113</f>
        <v>53446392.464258</v>
      </c>
      <c r="M6" s="1">
        <f>Assumptions!N113</f>
        <v>53446392.464258</v>
      </c>
      <c r="N6" s="1">
        <f>Assumptions!O113</f>
        <v>53446392.464258</v>
      </c>
      <c r="O6" s="1">
        <f>Assumptions!P113</f>
        <v>53446392.464258</v>
      </c>
      <c r="P6" s="1">
        <f>Assumptions!Q113</f>
        <v>53446392.464258</v>
      </c>
      <c r="Q6" s="1">
        <f>Assumptions!R113</f>
        <v>53446392.464258</v>
      </c>
      <c r="R6" s="1">
        <f>Assumptions!S113</f>
        <v>53446392.464258</v>
      </c>
      <c r="S6" s="1">
        <f>Assumptions!T113</f>
        <v>53446392.464258</v>
      </c>
      <c r="T6" s="1">
        <f>Assumptions!U113</f>
        <v>53446392.464258</v>
      </c>
      <c r="U6" s="1">
        <f>Assumptions!V113</f>
        <v>53446392.464258</v>
      </c>
      <c r="V6" s="1">
        <f>Assumptions!W113</f>
        <v>53446392.464258</v>
      </c>
      <c r="W6" s="1">
        <f>Assumptions!X113</f>
        <v>53446392.464258</v>
      </c>
      <c r="X6" s="1">
        <f>Assumptions!Y113</f>
        <v>53446392.464258</v>
      </c>
      <c r="Y6" s="1">
        <f>Assumptions!Z113</f>
        <v>53446392.464258</v>
      </c>
      <c r="Z6" s="1">
        <f>Assumptions!AA113</f>
        <v>53446392.464258</v>
      </c>
      <c r="AA6" s="1">
        <f>Assumptions!AB113</f>
        <v>53446392.464258</v>
      </c>
      <c r="AB6" s="1">
        <f>Assumptions!AC113</f>
        <v>53446392.464258</v>
      </c>
      <c r="AC6" s="1">
        <f>Assumptions!AD113</f>
        <v>53446392.464258</v>
      </c>
      <c r="AD6" s="1">
        <f>Assumptions!AE113</f>
        <v>53446392.464258</v>
      </c>
      <c r="AE6" s="1">
        <f>Assumptions!AF113</f>
        <v>53446392.464258</v>
      </c>
      <c r="AF6" s="1">
        <f>Assumptions!AG113</f>
        <v>53446392.464258</v>
      </c>
    </row>
    <row r="7" spans="1:32" x14ac:dyDescent="0.35">
      <c r="A7" t="s">
        <v>74</v>
      </c>
      <c r="C7" s="1">
        <f>Assumptions!D120</f>
        <v>1282713.419142192</v>
      </c>
      <c r="D7" s="1">
        <f>Assumptions!E120</f>
        <v>2565426.838284384</v>
      </c>
      <c r="E7" s="1">
        <f>Assumptions!F120</f>
        <v>3848140.2574265758</v>
      </c>
      <c r="F7" s="1">
        <f>Assumptions!G120</f>
        <v>5130853.676568768</v>
      </c>
      <c r="G7" s="1">
        <f>Assumptions!H120</f>
        <v>6413567.0957109611</v>
      </c>
      <c r="H7" s="1">
        <f>Assumptions!I120</f>
        <v>7696280.5148531524</v>
      </c>
      <c r="I7" s="1">
        <f>Assumptions!J120</f>
        <v>8978993.9339953437</v>
      </c>
      <c r="J7" s="1">
        <f>Assumptions!K120</f>
        <v>10261707.353137538</v>
      </c>
      <c r="K7" s="1">
        <f>Assumptions!L120</f>
        <v>11544420.772279728</v>
      </c>
      <c r="L7" s="1">
        <f>Assumptions!M120</f>
        <v>12827134.191421922</v>
      </c>
      <c r="M7" s="1">
        <f>Assumptions!N120</f>
        <v>14109847.610564116</v>
      </c>
      <c r="N7" s="1">
        <f>Assumptions!O120</f>
        <v>15392561.029706305</v>
      </c>
      <c r="O7" s="1">
        <f>Assumptions!P120</f>
        <v>16675274.448848497</v>
      </c>
      <c r="P7" s="1">
        <f>Assumptions!Q120</f>
        <v>17957987.867990687</v>
      </c>
      <c r="Q7" s="1">
        <f>Assumptions!R120</f>
        <v>19240701.287132878</v>
      </c>
      <c r="R7" s="1">
        <f>Assumptions!S120</f>
        <v>20523414.706275068</v>
      </c>
      <c r="S7" s="1">
        <f>Assumptions!T120</f>
        <v>21806128.125417262</v>
      </c>
      <c r="T7" s="1">
        <f>Assumptions!U120</f>
        <v>23088841.544559449</v>
      </c>
      <c r="U7" s="1">
        <f>Assumptions!V120</f>
        <v>24371554.963701639</v>
      </c>
      <c r="V7" s="1">
        <f>Assumptions!W120</f>
        <v>25654268.38284383</v>
      </c>
      <c r="W7" s="1">
        <f>Assumptions!X120</f>
        <v>26936981.801986028</v>
      </c>
      <c r="X7" s="1">
        <f>Assumptions!Y120</f>
        <v>28219695.221128218</v>
      </c>
      <c r="Y7" s="1">
        <f>Assumptions!Z120</f>
        <v>29502408.640270408</v>
      </c>
      <c r="Z7" s="1">
        <f>Assumptions!AA120</f>
        <v>30785122.059412599</v>
      </c>
      <c r="AA7" s="1">
        <f>Assumptions!AB120</f>
        <v>32067835.478554785</v>
      </c>
      <c r="AB7" s="1">
        <f>Assumptions!AC120</f>
        <v>33350548.897696983</v>
      </c>
      <c r="AC7" s="1">
        <f>Assumptions!AD120</f>
        <v>34633262.316839173</v>
      </c>
      <c r="AD7" s="1">
        <f>Assumptions!AE120</f>
        <v>35915975.73598136</v>
      </c>
      <c r="AE7" s="1">
        <f>Assumptions!AF120</f>
        <v>37198689.155123554</v>
      </c>
      <c r="AF7" s="1">
        <f>Assumptions!AG120</f>
        <v>38481402.574265741</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18164696.9184996</v>
      </c>
      <c r="D11" s="1">
        <f>D5*D$9</f>
        <v>18745967.219891589</v>
      </c>
      <c r="E11" s="1">
        <f t="shared" ref="D11:AF13" si="1">E5*E$9</f>
        <v>19345838.170928117</v>
      </c>
      <c r="F11" s="1">
        <f t="shared" si="1"/>
        <v>19964904.992397819</v>
      </c>
      <c r="G11" s="1">
        <f t="shared" si="1"/>
        <v>20603781.952154551</v>
      </c>
      <c r="H11" s="1">
        <f t="shared" si="1"/>
        <v>21263102.974623494</v>
      </c>
      <c r="I11" s="1">
        <f t="shared" si="1"/>
        <v>21943522.26981144</v>
      </c>
      <c r="J11" s="1">
        <f t="shared" si="1"/>
        <v>22645714.982445411</v>
      </c>
      <c r="K11" s="1">
        <f t="shared" si="1"/>
        <v>23370377.861883666</v>
      </c>
      <c r="L11" s="1">
        <f t="shared" si="1"/>
        <v>24118229.953463942</v>
      </c>
      <c r="M11" s="1">
        <f t="shared" si="1"/>
        <v>24890013.311974786</v>
      </c>
      <c r="N11" s="1">
        <f t="shared" si="1"/>
        <v>25686493.73795798</v>
      </c>
      <c r="O11" s="1">
        <f t="shared" si="1"/>
        <v>26508461.537572637</v>
      </c>
      <c r="P11" s="1">
        <f t="shared" si="1"/>
        <v>27356732.306774959</v>
      </c>
      <c r="Q11" s="1">
        <f t="shared" si="1"/>
        <v>28232147.740591753</v>
      </c>
      <c r="R11" s="1">
        <f t="shared" si="1"/>
        <v>29135576.468290694</v>
      </c>
      <c r="S11" s="1">
        <f t="shared" si="1"/>
        <v>30067914.915275998</v>
      </c>
      <c r="T11" s="1">
        <f t="shared" si="1"/>
        <v>31030088.192564826</v>
      </c>
      <c r="U11" s="1">
        <f t="shared" si="1"/>
        <v>32023051.0147269</v>
      </c>
      <c r="V11" s="1">
        <f t="shared" si="1"/>
        <v>33047788.647198163</v>
      </c>
      <c r="W11" s="1">
        <f t="shared" si="1"/>
        <v>34105317.88390851</v>
      </c>
      <c r="X11" s="1">
        <f t="shared" si="1"/>
        <v>35196688.056193575</v>
      </c>
      <c r="Y11" s="1">
        <f t="shared" si="1"/>
        <v>36322982.073991761</v>
      </c>
      <c r="Z11" s="1">
        <f t="shared" si="1"/>
        <v>37485317.500359505</v>
      </c>
      <c r="AA11" s="1">
        <f t="shared" si="1"/>
        <v>38684847.660371013</v>
      </c>
      <c r="AB11" s="1">
        <f t="shared" si="1"/>
        <v>39922762.785502881</v>
      </c>
      <c r="AC11" s="1">
        <f t="shared" si="1"/>
        <v>41200291.194638968</v>
      </c>
      <c r="AD11" s="1">
        <f t="shared" si="1"/>
        <v>42518700.512867421</v>
      </c>
      <c r="AE11" s="1">
        <f t="shared" si="1"/>
        <v>43879298.929279178</v>
      </c>
      <c r="AF11" s="1">
        <f t="shared" si="1"/>
        <v>45283436.495016105</v>
      </c>
    </row>
    <row r="12" spans="1:32" x14ac:dyDescent="0.35">
      <c r="A12" t="s">
        <v>72</v>
      </c>
      <c r="C12" s="1">
        <f t="shared" ref="C12:R12" si="2">C6*C$9</f>
        <v>55156677.023114257</v>
      </c>
      <c r="D12" s="1">
        <f t="shared" si="2"/>
        <v>56921690.68785391</v>
      </c>
      <c r="E12" s="1">
        <f t="shared" si="2"/>
        <v>58743184.789865233</v>
      </c>
      <c r="F12" s="1">
        <f t="shared" si="2"/>
        <v>60622966.703140922</v>
      </c>
      <c r="G12" s="1">
        <f t="shared" si="2"/>
        <v>62562901.637641437</v>
      </c>
      <c r="H12" s="1">
        <f t="shared" si="2"/>
        <v>64564914.49004595</v>
      </c>
      <c r="I12" s="1">
        <f t="shared" si="2"/>
        <v>66630991.753727414</v>
      </c>
      <c r="J12" s="1">
        <f t="shared" si="2"/>
        <v>68763183.489846706</v>
      </c>
      <c r="K12" s="1">
        <f t="shared" si="2"/>
        <v>70963605.36152181</v>
      </c>
      <c r="L12" s="1">
        <f t="shared" si="2"/>
        <v>73234440.73309049</v>
      </c>
      <c r="M12" s="1">
        <f t="shared" si="2"/>
        <v>75577942.836549386</v>
      </c>
      <c r="N12" s="1">
        <f t="shared" si="2"/>
        <v>77996437.007318974</v>
      </c>
      <c r="O12" s="1">
        <f t="shared" si="2"/>
        <v>80492322.991553187</v>
      </c>
      <c r="P12" s="1">
        <f t="shared" si="2"/>
        <v>83068077.327282876</v>
      </c>
      <c r="Q12" s="1">
        <f t="shared" si="2"/>
        <v>85726255.801755905</v>
      </c>
      <c r="R12" s="1">
        <f t="shared" si="2"/>
        <v>88469495.987412125</v>
      </c>
      <c r="S12" s="1">
        <f t="shared" si="1"/>
        <v>91300519.859009311</v>
      </c>
      <c r="T12" s="1">
        <f t="shared" si="1"/>
        <v>94222136.494497597</v>
      </c>
      <c r="U12" s="1">
        <f t="shared" si="1"/>
        <v>97237244.862321511</v>
      </c>
      <c r="V12" s="1">
        <f t="shared" si="1"/>
        <v>100348836.69791581</v>
      </c>
      <c r="W12" s="1">
        <f t="shared" si="1"/>
        <v>103559999.47224914</v>
      </c>
      <c r="X12" s="1">
        <f t="shared" si="1"/>
        <v>106873919.45536108</v>
      </c>
      <c r="Y12" s="1">
        <f t="shared" si="1"/>
        <v>110293884.87793262</v>
      </c>
      <c r="Z12" s="1">
        <f t="shared" si="1"/>
        <v>113823289.19402647</v>
      </c>
      <c r="AA12" s="1">
        <f t="shared" si="1"/>
        <v>117465634.44823535</v>
      </c>
      <c r="AB12" s="1">
        <f t="shared" si="1"/>
        <v>121224534.75057887</v>
      </c>
      <c r="AC12" s="1">
        <f t="shared" si="1"/>
        <v>125103719.86259738</v>
      </c>
      <c r="AD12" s="1">
        <f t="shared" si="1"/>
        <v>129107038.89820051</v>
      </c>
      <c r="AE12" s="1">
        <f t="shared" si="1"/>
        <v>133238464.14294292</v>
      </c>
      <c r="AF12" s="1">
        <f t="shared" si="1"/>
        <v>137502094.99551708</v>
      </c>
    </row>
    <row r="13" spans="1:32" x14ac:dyDescent="0.35">
      <c r="A13" t="s">
        <v>75</v>
      </c>
      <c r="C13" s="1">
        <f>C7*C$9</f>
        <v>1323760.2485547422</v>
      </c>
      <c r="D13" s="1">
        <f t="shared" si="1"/>
        <v>2732241.1530169877</v>
      </c>
      <c r="E13" s="1">
        <f t="shared" si="1"/>
        <v>4229509.3048702963</v>
      </c>
      <c r="F13" s="1">
        <f t="shared" si="1"/>
        <v>5819804.8035015287</v>
      </c>
      <c r="G13" s="1">
        <f t="shared" si="1"/>
        <v>7507548.1965169739</v>
      </c>
      <c r="H13" s="1">
        <f t="shared" si="1"/>
        <v>9297347.6865666173</v>
      </c>
      <c r="I13" s="1">
        <f t="shared" si="1"/>
        <v>11194006.614626205</v>
      </c>
      <c r="J13" s="1">
        <f t="shared" si="1"/>
        <v>13202531.230050569</v>
      </c>
      <c r="K13" s="1">
        <f t="shared" si="1"/>
        <v>15328138.75808871</v>
      </c>
      <c r="L13" s="1">
        <f t="shared" si="1"/>
        <v>17576265.775941722</v>
      </c>
      <c r="M13" s="1">
        <f t="shared" si="1"/>
        <v>19952576.908849046</v>
      </c>
      <c r="N13" s="1">
        <f t="shared" si="1"/>
        <v>22462973.858107865</v>
      </c>
      <c r="O13" s="1">
        <f t="shared" si="1"/>
        <v>25113604.773364596</v>
      </c>
      <c r="P13" s="1">
        <f t="shared" si="1"/>
        <v>27910873.981967043</v>
      </c>
      <c r="Q13" s="1">
        <f t="shared" si="1"/>
        <v>30861452.088632122</v>
      </c>
      <c r="R13" s="1">
        <f t="shared" si="1"/>
        <v>33972286.459166244</v>
      </c>
      <c r="S13" s="1">
        <f t="shared" si="1"/>
        <v>37250612.1024758</v>
      </c>
      <c r="T13" s="1">
        <f t="shared" si="1"/>
        <v>40703962.965622954</v>
      </c>
      <c r="U13" s="1">
        <f t="shared" si="1"/>
        <v>44340183.65721859</v>
      </c>
      <c r="V13" s="1">
        <f t="shared" si="1"/>
        <v>48167441.61499957</v>
      </c>
      <c r="W13" s="1">
        <f t="shared" si="1"/>
        <v>52194239.73401355</v>
      </c>
      <c r="X13" s="1">
        <f t="shared" si="1"/>
        <v>56429429.472430639</v>
      </c>
      <c r="Y13" s="1">
        <f t="shared" si="1"/>
        <v>60882224.452618793</v>
      </c>
      <c r="Z13" s="1">
        <f t="shared" si="1"/>
        <v>65562214.575759232</v>
      </c>
      <c r="AA13" s="1">
        <f t="shared" si="1"/>
        <v>70479380.668941185</v>
      </c>
      <c r="AB13" s="1">
        <f t="shared" si="1"/>
        <v>75644109.68436119</v>
      </c>
      <c r="AC13" s="1">
        <f t="shared" si="1"/>
        <v>81067210.470963076</v>
      </c>
      <c r="AD13" s="1">
        <f t="shared" si="1"/>
        <v>86759930.139590696</v>
      </c>
      <c r="AE13" s="1">
        <f t="shared" si="1"/>
        <v>92733971.043488234</v>
      </c>
      <c r="AF13" s="1">
        <f t="shared" si="1"/>
        <v>99001508.396772251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74645134.190168589</v>
      </c>
      <c r="D25" s="40">
        <f>SUM(D11:D13,D18:D23)</f>
        <v>78399899.06076248</v>
      </c>
      <c r="E25" s="40">
        <f t="shared" ref="E25:AF25" si="7">SUM(E11:E13,E18:E23)</f>
        <v>82318532.265663639</v>
      </c>
      <c r="F25" s="40">
        <f t="shared" si="7"/>
        <v>86407676.499040276</v>
      </c>
      <c r="G25" s="40">
        <f t="shared" si="7"/>
        <v>90674231.786312968</v>
      </c>
      <c r="H25" s="40">
        <f t="shared" si="7"/>
        <v>95125365.151236057</v>
      </c>
      <c r="I25" s="40">
        <f t="shared" si="7"/>
        <v>99768520.638165057</v>
      </c>
      <c r="J25" s="40">
        <f t="shared" si="7"/>
        <v>104611429.70234269</v>
      </c>
      <c r="K25" s="40">
        <f t="shared" si="7"/>
        <v>109662121.98149419</v>
      </c>
      <c r="L25" s="40">
        <f t="shared" si="7"/>
        <v>114928936.46249616</v>
      </c>
      <c r="M25" s="40">
        <f t="shared" si="7"/>
        <v>120420533.05737321</v>
      </c>
      <c r="N25" s="40">
        <f t="shared" si="7"/>
        <v>126145904.60338482</v>
      </c>
      <c r="O25" s="40">
        <f t="shared" si="7"/>
        <v>132114389.30249041</v>
      </c>
      <c r="P25" s="40">
        <f t="shared" si="7"/>
        <v>138335683.61602488</v>
      </c>
      <c r="Q25" s="40">
        <f t="shared" si="7"/>
        <v>144819855.63097978</v>
      </c>
      <c r="R25" s="40">
        <f t="shared" si="7"/>
        <v>151577358.91486907</v>
      </c>
      <c r="S25" s="40">
        <f t="shared" si="7"/>
        <v>158619046.87676111</v>
      </c>
      <c r="T25" s="40">
        <f t="shared" si="7"/>
        <v>165956187.65268537</v>
      </c>
      <c r="U25" s="40">
        <f t="shared" si="7"/>
        <v>173600479.53426701</v>
      </c>
      <c r="V25" s="40">
        <f t="shared" si="7"/>
        <v>181564066.96011353</v>
      </c>
      <c r="W25" s="40">
        <f t="shared" si="7"/>
        <v>189859557.09017122</v>
      </c>
      <c r="X25" s="40">
        <f t="shared" si="7"/>
        <v>198500036.9839853</v>
      </c>
      <c r="Y25" s="40">
        <f t="shared" si="7"/>
        <v>207499091.40454316</v>
      </c>
      <c r="Z25" s="40">
        <f t="shared" si="7"/>
        <v>216870821.27014521</v>
      </c>
      <c r="AA25" s="40">
        <f t="shared" si="7"/>
        <v>226629862.77754754</v>
      </c>
      <c r="AB25" s="40">
        <f t="shared" si="7"/>
        <v>236791407.22044292</v>
      </c>
      <c r="AC25" s="40">
        <f t="shared" si="7"/>
        <v>247371221.52819943</v>
      </c>
      <c r="AD25" s="40">
        <f t="shared" si="7"/>
        <v>258385669.55065864</v>
      </c>
      <c r="AE25" s="40">
        <f t="shared" si="7"/>
        <v>269851734.11571038</v>
      </c>
      <c r="AF25" s="40">
        <f t="shared" si="7"/>
        <v>281787039.88730544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165</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63549163.277667567</v>
      </c>
      <c r="D5" s="59">
        <f>C5*('Price and Financial ratios'!F4+1)*(1+Assumptions!$C$13)</f>
        <v>69826003.133644044</v>
      </c>
      <c r="E5" s="59">
        <f>D5*('Price and Financial ratios'!G4+1)*(1+Assumptions!$C$13)</f>
        <v>76722815.252755269</v>
      </c>
      <c r="F5" s="59">
        <f>E5*('Price and Financial ratios'!H4+1)*(1+Assumptions!$C$13)</f>
        <v>84300835.163686976</v>
      </c>
      <c r="G5" s="59">
        <f>F5*('Price and Financial ratios'!I4+1)*(1+Assumptions!$C$13)</f>
        <v>92627346.714052022</v>
      </c>
      <c r="H5" s="59">
        <f>G5*('Price and Financial ratios'!J4+1)*(1+Assumptions!$C$13)</f>
        <v>101776279.47132142</v>
      </c>
      <c r="I5" s="59">
        <f>H5*('Price and Financial ratios'!K4+1)*(1+Assumptions!$C$13)</f>
        <v>110793412.67497544</v>
      </c>
      <c r="J5" s="59">
        <f>I5*('Price and Financial ratios'!L4+1)*(1+Assumptions!$C$13)</f>
        <v>120609442.1601088</v>
      </c>
      <c r="K5" s="59">
        <f>J5*('Price and Financial ratios'!M4+1)*(1+Assumptions!$C$13)</f>
        <v>130681619.48292182</v>
      </c>
      <c r="L5" s="59">
        <f>K5*('Price and Financial ratios'!N4+1)*(1+Assumptions!$C$13)</f>
        <v>141594931.24931777</v>
      </c>
      <c r="M5" s="59">
        <f>L5*('Price and Financial ratios'!O4+1)*(1+Assumptions!$C$13)</f>
        <v>153419621.17418626</v>
      </c>
      <c r="N5" s="59">
        <f>M5*('Price and Financial ratios'!P4+1)*(1+Assumptions!$C$13)</f>
        <v>166231799.07327527</v>
      </c>
      <c r="O5" s="59">
        <f>N5*('Price and Financial ratios'!Q4+1)*(1+Assumptions!$C$13)</f>
        <v>179268325.43663806</v>
      </c>
      <c r="P5" s="59">
        <f>O5*('Price and Financial ratios'!R4+1)*(1+Assumptions!$C$13)</f>
        <v>189679542.00086522</v>
      </c>
      <c r="Q5" s="59">
        <f>P5*('Price and Financial ratios'!S4+1)*(1+Assumptions!$C$13)</f>
        <v>200695402.07968551</v>
      </c>
      <c r="R5" s="59">
        <f>Q5*('Price and Financial ratios'!T4+1)*(1+Assumptions!$C$13)</f>
        <v>212351021.04866379</v>
      </c>
      <c r="S5" s="59">
        <f>R5*('Price and Financial ratios'!U4+1)*(1+Assumptions!$C$13)</f>
        <v>224683553.64965478</v>
      </c>
      <c r="T5" s="59">
        <f>S5*('Price and Financial ratios'!V4+1)*(1+Assumptions!$C$13)</f>
        <v>237732312.42937297</v>
      </c>
      <c r="U5" s="59">
        <f>T5*('Price and Financial ratios'!W4+1)*(1+Assumptions!$C$13)</f>
        <v>251538893.05642036</v>
      </c>
      <c r="V5" s="59">
        <f>U5*('Price and Financial ratios'!X4+1)*(1+Assumptions!$C$13)</f>
        <v>264867752.556072</v>
      </c>
      <c r="W5" s="59">
        <f>V5*('Price and Financial ratios'!Y4+1)*(1+Assumptions!$C$13)</f>
        <v>278902898.44111216</v>
      </c>
      <c r="X5" s="59">
        <f>W5*('Price and Financial ratios'!Z4+1)*(1+Assumptions!$C$13)</f>
        <v>293681756.30359536</v>
      </c>
      <c r="Y5" s="59">
        <f>X5*('Price and Financial ratios'!AA4+1)*(1+Assumptions!$C$13)</f>
        <v>309243734.88995868</v>
      </c>
      <c r="Z5" s="59">
        <f>Y5*('Price and Financial ratios'!AB4+1)*(1+Assumptions!$C$13)</f>
        <v>325630331.18690288</v>
      </c>
      <c r="AA5" s="59">
        <f>Z5*('Price and Financial ratios'!AC4+1)*(1+Assumptions!$C$13)</f>
        <v>341228790.63571662</v>
      </c>
      <c r="AB5" s="59">
        <f>AA5*('Price and Financial ratios'!AD4+1)*(1+Assumptions!$C$13)</f>
        <v>354797175.70839477</v>
      </c>
      <c r="AC5" s="59">
        <f>AB5*('Price and Financial ratios'!AE4+1)*(1+Assumptions!$C$13)</f>
        <v>368905084.6387682</v>
      </c>
      <c r="AD5" s="59">
        <f>AC5*('Price and Financial ratios'!AF4+1)*(1+Assumptions!$C$13)</f>
        <v>383573970.67948735</v>
      </c>
      <c r="AE5" s="59">
        <f>AD5*('Price and Financial ratios'!AG4+1)*(1+Assumptions!$C$13)</f>
        <v>398826140.13546842</v>
      </c>
      <c r="AF5" s="59">
        <f>AE5*('Price and Financial ratios'!AH4+1)*(1+Assumptions!$C$13)</f>
        <v>414684786.28407252</v>
      </c>
    </row>
    <row r="6" spans="1:32" s="11" customFormat="1" x14ac:dyDescent="0.35">
      <c r="A6" s="11" t="s">
        <v>20</v>
      </c>
      <c r="C6" s="59">
        <f>C27</f>
        <v>21693787.644351602</v>
      </c>
      <c r="D6" s="59">
        <f t="shared" ref="D6:AF6" si="1">D27</f>
        <v>24202013.296747006</v>
      </c>
      <c r="E6" s="59">
        <f>E27</f>
        <v>26816429.178646859</v>
      </c>
      <c r="F6" s="59">
        <f t="shared" si="1"/>
        <v>29540745.304877184</v>
      </c>
      <c r="G6" s="59">
        <f t="shared" si="1"/>
        <v>32378793.540324852</v>
      </c>
      <c r="H6" s="59">
        <f t="shared" si="1"/>
        <v>35334531.563544035</v>
      </c>
      <c r="I6" s="59">
        <f t="shared" si="1"/>
        <v>38412046.961605795</v>
      </c>
      <c r="J6" s="59">
        <f t="shared" si="1"/>
        <v>41615561.460676141</v>
      </c>
      <c r="K6" s="59">
        <f t="shared" si="1"/>
        <v>44949435.296966761</v>
      </c>
      <c r="L6" s="59">
        <f t="shared" si="1"/>
        <v>48418171.732867405</v>
      </c>
      <c r="M6" s="59">
        <f t="shared" si="1"/>
        <v>52026421.723239288</v>
      </c>
      <c r="N6" s="59">
        <f t="shared" si="1"/>
        <v>55778988.737026259</v>
      </c>
      <c r="O6" s="59">
        <f t="shared" si="1"/>
        <v>59680833.739523381</v>
      </c>
      <c r="P6" s="59">
        <f t="shared" si="1"/>
        <v>63737080.34083344</v>
      </c>
      <c r="Q6" s="59">
        <f t="shared" si="1"/>
        <v>67953020.1162384</v>
      </c>
      <c r="R6" s="59">
        <f t="shared" si="1"/>
        <v>72334118.104417622</v>
      </c>
      <c r="S6" s="59">
        <f t="shared" si="1"/>
        <v>76886018.489656642</v>
      </c>
      <c r="T6" s="59">
        <f t="shared" si="1"/>
        <v>81614550.474409789</v>
      </c>
      <c r="U6" s="59">
        <f t="shared" si="1"/>
        <v>86525734.348808408</v>
      </c>
      <c r="V6" s="59">
        <f t="shared" si="1"/>
        <v>91625787.763941556</v>
      </c>
      <c r="W6" s="59">
        <f t="shared" si="1"/>
        <v>96921132.215982944</v>
      </c>
      <c r="X6" s="59">
        <f t="shared" si="1"/>
        <v>102418399.74848989</v>
      </c>
      <c r="Y6" s="59">
        <f t="shared" si="1"/>
        <v>108124439.88046518</v>
      </c>
      <c r="Z6" s="59">
        <f t="shared" si="1"/>
        <v>114046326.76804549</v>
      </c>
      <c r="AA6" s="59">
        <f t="shared" si="1"/>
        <v>120191366.60796236</v>
      </c>
      <c r="AB6" s="59">
        <f t="shared" si="1"/>
        <v>126567105.29121831</v>
      </c>
      <c r="AC6" s="59">
        <f t="shared" si="1"/>
        <v>133181336.31572211</v>
      </c>
      <c r="AD6" s="59">
        <f t="shared" si="1"/>
        <v>140042108.9669463</v>
      </c>
      <c r="AE6" s="59">
        <f t="shared" si="1"/>
        <v>147157736.7759963</v>
      </c>
      <c r="AF6" s="59">
        <f t="shared" si="1"/>
        <v>154536806.26482111</v>
      </c>
    </row>
    <row r="7" spans="1:32" x14ac:dyDescent="0.35">
      <c r="A7" t="s">
        <v>21</v>
      </c>
      <c r="C7" s="4">
        <f>Depreciation!C8+Depreciation!C9</f>
        <v>19488457.167054344</v>
      </c>
      <c r="D7" s="4">
        <f>Depreciation!D8+Depreciation!D9</f>
        <v>21478208.372908577</v>
      </c>
      <c r="E7" s="4">
        <f>Depreciation!E8+Depreciation!E9</f>
        <v>23575347.475798413</v>
      </c>
      <c r="F7" s="4">
        <f>Depreciation!F8+Depreciation!F9</f>
        <v>25784709.795899346</v>
      </c>
      <c r="G7" s="4">
        <f>Depreciation!G8+Depreciation!G9</f>
        <v>28111330.148671523</v>
      </c>
      <c r="H7" s="4">
        <f>Depreciation!H8+Depreciation!H9</f>
        <v>30560450.661190111</v>
      </c>
      <c r="I7" s="4">
        <f>Depreciation!I8+Depreciation!I9</f>
        <v>33137528.884437643</v>
      </c>
      <c r="J7" s="4">
        <f>Depreciation!J8+Depreciation!J9</f>
        <v>35848246.212495983</v>
      </c>
      <c r="K7" s="4">
        <f>Depreciation!K8+Depreciation!K9</f>
        <v>38698516.619972378</v>
      </c>
      <c r="L7" s="4">
        <f>Depreciation!L8+Depreciation!L9</f>
        <v>41694495.729405664</v>
      </c>
      <c r="M7" s="4">
        <f>Depreciation!M8+Depreciation!M9</f>
        <v>44842590.220823832</v>
      </c>
      <c r="N7" s="4">
        <f>Depreciation!N8+Depreciation!N9</f>
        <v>48149467.596065849</v>
      </c>
      <c r="O7" s="4">
        <f>Depreciation!O8+Depreciation!O9</f>
        <v>51622066.310937233</v>
      </c>
      <c r="P7" s="4">
        <f>Depreciation!P8+Depreciation!P9</f>
        <v>55267606.288742006</v>
      </c>
      <c r="Q7" s="4">
        <f>Depreciation!Q8+Depreciation!Q9</f>
        <v>59093599.829223871</v>
      </c>
      <c r="R7" s="4">
        <f>Depreciation!R8+Depreciation!R9</f>
        <v>63107862.927456938</v>
      </c>
      <c r="S7" s="4">
        <f>Depreciation!S8+Depreciation!S9</f>
        <v>67318527.017751798</v>
      </c>
      <c r="T7" s="4">
        <f>Depreciation!T8+Depreciation!T9</f>
        <v>71734051.158187777</v>
      </c>
      <c r="U7" s="4">
        <f>Depreciation!U8+Depreciation!U9</f>
        <v>76363234.671945482</v>
      </c>
      <c r="V7" s="4">
        <f>Depreciation!V8+Depreciation!V9</f>
        <v>81215230.262197733</v>
      </c>
      <c r="W7" s="4">
        <f>Depreciation!W8+Depreciation!W9</f>
        <v>86299557.617922068</v>
      </c>
      <c r="X7" s="4">
        <f>Depreciation!X8+Depreciation!X9</f>
        <v>91626117.528624207</v>
      </c>
      <c r="Y7" s="4">
        <f>Depreciation!Y8+Depreciation!Y9</f>
        <v>97205206.526610553</v>
      </c>
      <c r="Z7" s="4">
        <f>Depreciation!Z8+Depreciation!Z9</f>
        <v>103047532.07611874</v>
      </c>
      <c r="AA7" s="4">
        <f>Depreciation!AA8+Depreciation!AA9</f>
        <v>109164228.32931221</v>
      </c>
      <c r="AB7" s="4">
        <f>Depreciation!AB8+Depreciation!AB9</f>
        <v>115566872.46986407</v>
      </c>
      <c r="AC7" s="4">
        <f>Depreciation!AC8+Depreciation!AC9</f>
        <v>122267501.66560204</v>
      </c>
      <c r="AD7" s="4">
        <f>Depreciation!AD8+Depreciation!AD9</f>
        <v>129278630.65245812</v>
      </c>
      <c r="AE7" s="4">
        <f>Depreciation!AE8+Depreciation!AE9</f>
        <v>136613269.97276741</v>
      </c>
      <c r="AF7" s="4">
        <f>Depreciation!AF8+Depreciation!AF9</f>
        <v>144284944.89178836</v>
      </c>
    </row>
    <row r="8" spans="1:32" x14ac:dyDescent="0.35">
      <c r="A8" t="s">
        <v>6</v>
      </c>
      <c r="C8" s="4">
        <f ca="1">'Debt worksheet'!C8</f>
        <v>1560786.4011904688</v>
      </c>
      <c r="D8" s="4">
        <f ca="1">'Debt worksheet'!D8</f>
        <v>2806158.781373844</v>
      </c>
      <c r="E8" s="4">
        <f ca="1">'Debt worksheet'!E8</f>
        <v>4083506.6301329294</v>
      </c>
      <c r="F8" s="4">
        <f ca="1">'Debt worksheet'!F8</f>
        <v>5379453.0181771992</v>
      </c>
      <c r="G8" s="4">
        <f ca="1">'Debt worksheet'!G8</f>
        <v>6678084.7353551313</v>
      </c>
      <c r="H8" s="4">
        <f ca="1">'Debt worksheet'!H8</f>
        <v>7960633.511788792</v>
      </c>
      <c r="I8" s="4">
        <f ca="1">'Debt worksheet'!I8</f>
        <v>9242677.6519757845</v>
      </c>
      <c r="J8" s="4">
        <f ca="1">'Debt worksheet'!J8</f>
        <v>10507038.204225529</v>
      </c>
      <c r="K8" s="4">
        <f ca="1">'Debt worksheet'!K8</f>
        <v>11756047.696444973</v>
      </c>
      <c r="L8" s="4">
        <f ca="1">'Debt worksheet'!L8</f>
        <v>12971371.906276245</v>
      </c>
      <c r="M8" s="4">
        <f ca="1">'Debt worksheet'!M8</f>
        <v>14131946.717617787</v>
      </c>
      <c r="N8" s="4">
        <f ca="1">'Debt worksheet'!N8</f>
        <v>15213683.955406778</v>
      </c>
      <c r="O8" s="4">
        <f ca="1">'Debt worksheet'!O8</f>
        <v>16219819.037922205</v>
      </c>
      <c r="P8" s="4">
        <f ca="1">'Debt worksheet'!P8</f>
        <v>17257597.726820689</v>
      </c>
      <c r="Q8" s="4">
        <f ca="1">'Debt worksheet'!Q8</f>
        <v>18321564.046823144</v>
      </c>
      <c r="R8" s="4">
        <f ca="1">'Debt worksheet'!R8</f>
        <v>19405367.881652791</v>
      </c>
      <c r="S8" s="4">
        <f ca="1">'Debt worksheet'!S8</f>
        <v>20501679.576932121</v>
      </c>
      <c r="T8" s="4">
        <f ca="1">'Debt worksheet'!T8</f>
        <v>21602097.902955852</v>
      </c>
      <c r="U8" s="4">
        <f ca="1">'Debt worksheet'!U8</f>
        <v>22697050.913874384</v>
      </c>
      <c r="V8" s="4">
        <f ca="1">'Debt worksheet'!V8</f>
        <v>23822097.91684331</v>
      </c>
      <c r="W8" s="4">
        <f ca="1">'Debt worksheet'!W8</f>
        <v>24971834.815668166</v>
      </c>
      <c r="X8" s="4">
        <f ca="1">'Debt worksheet'!X8</f>
        <v>26140019.306403071</v>
      </c>
      <c r="Y8" s="4">
        <f ca="1">'Debt worksheet'!Y8</f>
        <v>27319494.487284776</v>
      </c>
      <c r="Z8" s="4">
        <f ca="1">'Debt worksheet'!Z8</f>
        <v>28502106.815626785</v>
      </c>
      <c r="AA8" s="4">
        <f ca="1">'Debt worksheet'!AA8</f>
        <v>29738696.551160153</v>
      </c>
      <c r="AB8" s="4">
        <f ca="1">'Debt worksheet'!AB8</f>
        <v>31127816.931890655</v>
      </c>
      <c r="AC8" s="4">
        <f ca="1">'Debt worksheet'!AC8</f>
        <v>32679252.3254622</v>
      </c>
      <c r="AD8" s="4">
        <f ca="1">'Debt worksheet'!AD8</f>
        <v>34403249.326213799</v>
      </c>
      <c r="AE8" s="4">
        <f ca="1">'Debt worksheet'!AE8</f>
        <v>36310534.614178382</v>
      </c>
      <c r="AF8" s="4">
        <f ca="1">'Debt worksheet'!AF8</f>
        <v>38412333.377782665</v>
      </c>
    </row>
    <row r="9" spans="1:32" x14ac:dyDescent="0.35">
      <c r="A9" t="s">
        <v>22</v>
      </c>
      <c r="C9" s="4">
        <f ca="1">C5-C6-C7-C8</f>
        <v>20806132.065071154</v>
      </c>
      <c r="D9" s="4">
        <f t="shared" ref="D9:AF9" ca="1" si="2">D5-D6-D7-D8</f>
        <v>21339622.682614617</v>
      </c>
      <c r="E9" s="4">
        <f t="shared" ca="1" si="2"/>
        <v>22247531.968177065</v>
      </c>
      <c r="F9" s="4">
        <f t="shared" ca="1" si="2"/>
        <v>23595927.044733245</v>
      </c>
      <c r="G9" s="4">
        <f t="shared" ca="1" si="2"/>
        <v>25459138.289700516</v>
      </c>
      <c r="H9" s="4">
        <f t="shared" ca="1" si="2"/>
        <v>27920663.734798484</v>
      </c>
      <c r="I9" s="4">
        <f t="shared" ca="1" si="2"/>
        <v>30001159.17695621</v>
      </c>
      <c r="J9" s="4">
        <f t="shared" ca="1" si="2"/>
        <v>32638596.282711159</v>
      </c>
      <c r="K9" s="4">
        <f t="shared" ca="1" si="2"/>
        <v>35277619.869537711</v>
      </c>
      <c r="L9" s="4">
        <f t="shared" ca="1" si="2"/>
        <v>38510891.880768448</v>
      </c>
      <c r="M9" s="4">
        <f t="shared" ca="1" si="2"/>
        <v>42418662.512505352</v>
      </c>
      <c r="N9" s="4">
        <f t="shared" ca="1" si="2"/>
        <v>47089658.784776382</v>
      </c>
      <c r="O9" s="4">
        <f t="shared" ca="1" si="2"/>
        <v>51745606.348255247</v>
      </c>
      <c r="P9" s="4">
        <f t="shared" ca="1" si="2"/>
        <v>53417257.644469082</v>
      </c>
      <c r="Q9" s="4">
        <f t="shared" ca="1" si="2"/>
        <v>55327218.087400094</v>
      </c>
      <c r="R9" s="4">
        <f t="shared" ca="1" si="2"/>
        <v>57503672.13513644</v>
      </c>
      <c r="S9" s="4">
        <f t="shared" ca="1" si="2"/>
        <v>59977328.565314204</v>
      </c>
      <c r="T9" s="4">
        <f t="shared" ca="1" si="2"/>
        <v>62781612.893819548</v>
      </c>
      <c r="U9" s="4">
        <f t="shared" ca="1" si="2"/>
        <v>65952873.121792078</v>
      </c>
      <c r="V9" s="4">
        <f t="shared" ca="1" si="2"/>
        <v>68204636.613089398</v>
      </c>
      <c r="W9" s="4">
        <f t="shared" ca="1" si="2"/>
        <v>70710373.791538984</v>
      </c>
      <c r="X9" s="4">
        <f t="shared" ca="1" si="2"/>
        <v>73497219.7200782</v>
      </c>
      <c r="Y9" s="4">
        <f t="shared" ca="1" si="2"/>
        <v>76594593.995598167</v>
      </c>
      <c r="Z9" s="4">
        <f t="shared" ca="1" si="2"/>
        <v>80034365.527111873</v>
      </c>
      <c r="AA9" s="4">
        <f t="shared" ca="1" si="2"/>
        <v>82134499.147281885</v>
      </c>
      <c r="AB9" s="4">
        <f t="shared" ca="1" si="2"/>
        <v>81535381.015421733</v>
      </c>
      <c r="AC9" s="4">
        <f t="shared" ca="1" si="2"/>
        <v>80776994.331981838</v>
      </c>
      <c r="AD9" s="4">
        <f t="shared" ca="1" si="2"/>
        <v>79849981.733869135</v>
      </c>
      <c r="AE9" s="4">
        <f t="shared" ca="1" si="2"/>
        <v>78744598.772526324</v>
      </c>
      <c r="AF9" s="4">
        <f t="shared" ca="1" si="2"/>
        <v>77450701.74968037</v>
      </c>
    </row>
    <row r="12" spans="1:32" x14ac:dyDescent="0.35">
      <c r="A12" t="s">
        <v>80</v>
      </c>
      <c r="C12" s="2">
        <f>Assumptions!$C$25*Assumptions!D9*Assumptions!D13</f>
        <v>20055121.25139745</v>
      </c>
      <c r="D12" s="2">
        <f>Assumptions!$C$25*Assumptions!E9*Assumptions!E13</f>
        <v>20852579.189548723</v>
      </c>
      <c r="E12" s="2">
        <f>Assumptions!$C$25*Assumptions!F9*Assumptions!F13</f>
        <v>21681746.69231189</v>
      </c>
      <c r="F12" s="2">
        <f>Assumptions!$C$25*Assumptions!G9*Assumptions!G13</f>
        <v>22543884.636831399</v>
      </c>
      <c r="G12" s="2">
        <f>Assumptions!$C$25*Assumptions!H9*Assumptions!H13</f>
        <v>23440304.036896363</v>
      </c>
      <c r="H12" s="2">
        <f>Assumptions!$C$25*Assumptions!I9*Assumptions!I13</f>
        <v>24372368.036539339</v>
      </c>
      <c r="I12" s="2">
        <f>Assumptions!$C$25*Assumptions!J9*Assumptions!J13</f>
        <v>25341493.982907191</v>
      </c>
      <c r="J12" s="2">
        <f>Assumptions!$C$25*Assumptions!K9*Assumptions!K13</f>
        <v>26349155.581556171</v>
      </c>
      <c r="K12" s="2">
        <f>Assumptions!$C$25*Assumptions!L9*Assumptions!L13</f>
        <v>27396885.137448575</v>
      </c>
      <c r="L12" s="2">
        <f>Assumptions!$C$25*Assumptions!M9*Assumptions!M13</f>
        <v>28486275.885058973</v>
      </c>
      <c r="M12" s="2">
        <f>Assumptions!$C$25*Assumptions!N9*Assumptions!N13</f>
        <v>29618984.411133058</v>
      </c>
      <c r="N12" s="2">
        <f>Assumptions!$C$25*Assumptions!O9*Assumptions!O13</f>
        <v>30796733.173783451</v>
      </c>
      <c r="O12" s="2">
        <f>Assumptions!$C$25*Assumptions!P9*Assumptions!P13</f>
        <v>32021313.121753059</v>
      </c>
      <c r="P12" s="2">
        <f>Assumptions!$C$25*Assumptions!Q9*Assumptions!Q13</f>
        <v>33294586.417828999</v>
      </c>
      <c r="Q12" s="2">
        <f>Assumptions!$C$25*Assumptions!R9*Assumptions!R13</f>
        <v>34618489.270548537</v>
      </c>
      <c r="R12" s="2">
        <f>Assumptions!$C$25*Assumptions!S9*Assumptions!S13</f>
        <v>35995034.87850292</v>
      </c>
      <c r="S12" s="2">
        <f>Assumptions!$C$25*Assumptions!T9*Assumptions!T13</f>
        <v>37426316.491716504</v>
      </c>
      <c r="T12" s="2">
        <f>Assumptions!$C$25*Assumptions!U9*Assumptions!U13</f>
        <v>38914510.594756469</v>
      </c>
      <c r="U12" s="2">
        <f>Assumptions!$C$25*Assumptions!V9*Assumptions!V13</f>
        <v>40461880.21641349</v>
      </c>
      <c r="V12" s="2">
        <f>Assumptions!$C$25*Assumptions!W9*Assumptions!W13</f>
        <v>42070778.370986193</v>
      </c>
      <c r="W12" s="2">
        <f>Assumptions!$C$25*Assumptions!X9*Assumptions!X13</f>
        <v>43743651.636402532</v>
      </c>
      <c r="X12" s="2">
        <f>Assumptions!$C$25*Assumptions!Y9*Assumptions!Y13</f>
        <v>45483043.874619119</v>
      </c>
      <c r="Y12" s="2">
        <f>Assumptions!$C$25*Assumptions!Z9*Assumptions!Z13</f>
        <v>47291600.099955827</v>
      </c>
      <c r="Z12" s="2">
        <f>Assumptions!$C$25*Assumptions!AA9*Assumptions!AA13</f>
        <v>49172070.50124836</v>
      </c>
      <c r="AA12" s="2">
        <f>Assumptions!$C$25*Assumptions!AB9*Assumptions!AB13</f>
        <v>51127314.623934597</v>
      </c>
      <c r="AB12" s="2">
        <f>Assumptions!$C$25*Assumptions!AC9*Assumptions!AC13</f>
        <v>53160305.718434878</v>
      </c>
      <c r="AC12" s="2">
        <f>Assumptions!$C$25*Assumptions!AD9*Assumptions!AD13</f>
        <v>55274135.261438042</v>
      </c>
      <c r="AD12" s="2">
        <f>Assumptions!$C$25*Assumptions!AE9*Assumptions!AE13</f>
        <v>57472017.656968795</v>
      </c>
      <c r="AE12" s="2">
        <f>Assumptions!$C$25*Assumptions!AF9*Assumptions!AF13</f>
        <v>59757295.124385096</v>
      </c>
      <c r="AF12" s="2">
        <f>Assumptions!$C$25*Assumptions!AG9*Assumptions!AG13</f>
        <v>62133442.780738384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1638666.3929541504</v>
      </c>
      <c r="D14" s="5">
        <f>Assumptions!E122*Assumptions!E9</f>
        <v>3349434.1071982831</v>
      </c>
      <c r="E14" s="5">
        <f>Assumptions!F122*Assumptions!F9</f>
        <v>5134682.4863349674</v>
      </c>
      <c r="F14" s="5">
        <f>Assumptions!G122*Assumptions!G9</f>
        <v>6996860.6680457834</v>
      </c>
      <c r="G14" s="5">
        <f>Assumptions!H122*Assumptions!H9</f>
        <v>8938489.503428489</v>
      </c>
      <c r="H14" s="5">
        <f>Assumptions!I122*Assumptions!I9</f>
        <v>10962163.527004698</v>
      </c>
      <c r="I14" s="5">
        <f>Assumptions!J122*Assumptions!J9</f>
        <v>13070552.978698604</v>
      </c>
      <c r="J14" s="5">
        <f>Assumptions!K122*Assumptions!K9</f>
        <v>15266405.879119972</v>
      </c>
      <c r="K14" s="5">
        <f>Assumptions!L122*Assumptions!L9</f>
        <v>17552550.159518182</v>
      </c>
      <c r="L14" s="5">
        <f>Assumptions!M122*Assumptions!M9</f>
        <v>19931895.847808428</v>
      </c>
      <c r="M14" s="5">
        <f>Assumptions!N122*Assumptions!N9</f>
        <v>22407437.312106233</v>
      </c>
      <c r="N14" s="5">
        <f>Assumptions!O122*Assumptions!O9</f>
        <v>24982255.563242808</v>
      </c>
      <c r="O14" s="5">
        <f>Assumptions!P122*Assumptions!P9</f>
        <v>27659520.617770322</v>
      </c>
      <c r="P14" s="5">
        <f>Assumptions!Q122*Assumptions!Q9</f>
        <v>30442493.923004441</v>
      </c>
      <c r="Q14" s="5">
        <f>Assumptions!R122*Assumptions!R9</f>
        <v>33334530.845689863</v>
      </c>
      <c r="R14" s="5">
        <f>Assumptions!S122*Assumptions!S9</f>
        <v>36339083.225914709</v>
      </c>
      <c r="S14" s="5">
        <f>Assumptions!T122*Assumptions!T9</f>
        <v>39459701.997940138</v>
      </c>
      <c r="T14" s="5">
        <f>Assumptions!U122*Assumptions!U9</f>
        <v>42700039.879653327</v>
      </c>
      <c r="U14" s="5">
        <f>Assumptions!V122*Assumptions!V9</f>
        <v>46063854.132394917</v>
      </c>
      <c r="V14" s="5">
        <f>Assumptions!W122*Assumptions!W9</f>
        <v>49555009.39295537</v>
      </c>
      <c r="W14" s="5">
        <f>Assumptions!X122*Assumptions!X9</f>
        <v>53177480.579580411</v>
      </c>
      <c r="X14" s="5">
        <f>Assumptions!Y122*Assumptions!Y9</f>
        <v>56935355.87387076</v>
      </c>
      <c r="Y14" s="5">
        <f>Assumptions!Z122*Assumptions!Z9</f>
        <v>60832839.780509353</v>
      </c>
      <c r="Z14" s="5">
        <f>Assumptions!AA122*Assumptions!AA9</f>
        <v>64874256.266797118</v>
      </c>
      <c r="AA14" s="5">
        <f>Assumptions!AB122*Assumptions!AB9</f>
        <v>69064051.984027758</v>
      </c>
      <c r="AB14" s="5">
        <f>Assumptions!AC122*Assumptions!AC9</f>
        <v>73406799.572783425</v>
      </c>
      <c r="AC14" s="5">
        <f>Assumptions!AD122*Assumptions!AD9</f>
        <v>77907201.054284066</v>
      </c>
      <c r="AD14" s="5">
        <f>Assumptions!AE122*Assumptions!AE9</f>
        <v>82570091.309977517</v>
      </c>
      <c r="AE14" s="5">
        <f>Assumptions!AF122*Assumptions!AF9</f>
        <v>87400441.651611209</v>
      </c>
      <c r="AF14" s="5">
        <f>Assumptions!AG122*Assumptions!AG9</f>
        <v>92403363.484082729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21693787.644351602</v>
      </c>
      <c r="D27" s="2">
        <f t="shared" ref="D27:AF27" si="8">D12+D13+D14+D19+D20+D22+D24+D25</f>
        <v>24202013.296747006</v>
      </c>
      <c r="E27" s="2">
        <f t="shared" si="8"/>
        <v>26816429.178646859</v>
      </c>
      <c r="F27" s="2">
        <f t="shared" si="8"/>
        <v>29540745.304877184</v>
      </c>
      <c r="G27" s="2">
        <f t="shared" si="8"/>
        <v>32378793.540324852</v>
      </c>
      <c r="H27" s="2">
        <f t="shared" si="8"/>
        <v>35334531.563544035</v>
      </c>
      <c r="I27" s="2">
        <f t="shared" si="8"/>
        <v>38412046.961605795</v>
      </c>
      <c r="J27" s="2">
        <f t="shared" si="8"/>
        <v>41615561.460676141</v>
      </c>
      <c r="K27" s="2">
        <f t="shared" si="8"/>
        <v>44949435.296966761</v>
      </c>
      <c r="L27" s="2">
        <f t="shared" si="8"/>
        <v>48418171.732867405</v>
      </c>
      <c r="M27" s="2">
        <f t="shared" si="8"/>
        <v>52026421.723239288</v>
      </c>
      <c r="N27" s="2">
        <f t="shared" si="8"/>
        <v>55778988.737026259</v>
      </c>
      <c r="O27" s="2">
        <f t="shared" si="8"/>
        <v>59680833.739523381</v>
      </c>
      <c r="P27" s="2">
        <f t="shared" si="8"/>
        <v>63737080.34083344</v>
      </c>
      <c r="Q27" s="2">
        <f t="shared" si="8"/>
        <v>67953020.1162384</v>
      </c>
      <c r="R27" s="2">
        <f t="shared" si="8"/>
        <v>72334118.104417622</v>
      </c>
      <c r="S27" s="2">
        <f t="shared" si="8"/>
        <v>76886018.489656642</v>
      </c>
      <c r="T27" s="2">
        <f t="shared" si="8"/>
        <v>81614550.474409789</v>
      </c>
      <c r="U27" s="2">
        <f t="shared" si="8"/>
        <v>86525734.348808408</v>
      </c>
      <c r="V27" s="2">
        <f t="shared" si="8"/>
        <v>91625787.763941556</v>
      </c>
      <c r="W27" s="2">
        <f t="shared" si="8"/>
        <v>96921132.215982944</v>
      </c>
      <c r="X27" s="2">
        <f t="shared" si="8"/>
        <v>102418399.74848989</v>
      </c>
      <c r="Y27" s="2">
        <f t="shared" si="8"/>
        <v>108124439.88046518</v>
      </c>
      <c r="Z27" s="2">
        <f t="shared" si="8"/>
        <v>114046326.76804549</v>
      </c>
      <c r="AA27" s="2">
        <f t="shared" si="8"/>
        <v>120191366.60796236</v>
      </c>
      <c r="AB27" s="2">
        <f t="shared" si="8"/>
        <v>126567105.29121831</v>
      </c>
      <c r="AC27" s="2">
        <f t="shared" si="8"/>
        <v>133181336.31572211</v>
      </c>
      <c r="AD27" s="2">
        <f t="shared" si="8"/>
        <v>140042108.9669463</v>
      </c>
      <c r="AE27" s="2">
        <f t="shared" si="8"/>
        <v>147157736.7759963</v>
      </c>
      <c r="AF27" s="2">
        <f t="shared" si="8"/>
        <v>154536806.26482111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3W2DU3RAJ5R2-1900874439-853</_dlc_DocId>
    <_dlc_DocIdUrl xmlns="f54e2983-00ce-40fc-8108-18f351fc47bf">
      <Url>https://dia.cohesion.net.nz/Sites/LGV/TWRP/CAE/_layouts/15/DocIdRedir.aspx?ID=3W2DU3RAJ5R2-1900874439-853</Url>
      <Description>3W2DU3RAJ5R2-1900874439-853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48D06F7F-DC99-460E-8ECF-2D4C47D3F714}"/>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0A074076-BA1D-4646-845D-4AB40360A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2021-06-29T16:04:16Z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ec0e7ad9-5354-4e54-a757-296913246fec</vt:lpwstr>
  </property>
</Properties>
</file>