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2" documentId="8_{7EF1C68A-E3F9-4D99-8CCE-EBB737E6987A}" xr6:coauthVersionLast="47" xr6:coauthVersionMax="47" xr10:uidLastSave="{1052BD53-99CA-4AD4-A3F9-52D40494A7BC}"/>
  <bookViews>
    <workbookView xWindow="2070" yWindow="418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1" l="1"/>
  <c r="C89" i="2"/>
  <c r="C94" i="2"/>
  <c r="A11" i="19"/>
  <c r="A9" i="19"/>
  <c r="B40" i="21"/>
  <c r="B27" i="21"/>
  <c r="A21" i="21"/>
  <c r="A34" i="21"/>
  <c r="B8" i="21"/>
  <c r="B21" i="21"/>
  <c r="B34" i="21"/>
  <c r="C83" i="2"/>
  <c r="C90" i="2"/>
  <c r="C95" i="2"/>
  <c r="C87" i="2"/>
  <c r="C82" i="2"/>
  <c r="C58" i="2"/>
  <c r="C106" i="2"/>
  <c r="C63" i="2"/>
  <c r="C107" i="2"/>
  <c r="D11" i="2"/>
  <c r="C40" i="2"/>
  <c r="C41" i="2"/>
  <c r="C39" i="2"/>
  <c r="C36" i="2"/>
  <c r="C37" i="2"/>
  <c r="C35" i="2"/>
  <c r="F9" i="2"/>
  <c r="E9" i="2"/>
  <c r="D9" i="2"/>
  <c r="G11" i="2"/>
  <c r="F9" i="9"/>
  <c r="V9" i="2"/>
  <c r="E11" i="2"/>
  <c r="F11" i="2"/>
  <c r="E9" i="9"/>
  <c r="H11" i="2"/>
  <c r="I11" i="2"/>
  <c r="H9" i="9"/>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G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AG9" i="2"/>
  <c r="AF9" i="2"/>
  <c r="AE9" i="2"/>
  <c r="AD9" i="2"/>
  <c r="AC9" i="2"/>
  <c r="AB9" i="2"/>
  <c r="AA12" i="8"/>
  <c r="AA9" i="2"/>
  <c r="Z9" i="2"/>
  <c r="Y9" i="2"/>
  <c r="X12" i="8"/>
  <c r="X9" i="2"/>
  <c r="W9" i="2"/>
  <c r="U9" i="2"/>
  <c r="T9" i="2"/>
  <c r="S9" i="2"/>
  <c r="R12" i="8"/>
  <c r="R9" i="2"/>
  <c r="Q9" i="2"/>
  <c r="P9" i="2"/>
  <c r="O9" i="2"/>
  <c r="N9" i="2"/>
  <c r="M9" i="2"/>
  <c r="L9" i="2"/>
  <c r="K12" i="8"/>
  <c r="K9" i="2"/>
  <c r="J9" i="2"/>
  <c r="I9" i="2"/>
  <c r="H9" i="2"/>
  <c r="G9" i="2"/>
  <c r="B11" i="5"/>
  <c r="C22" i="6"/>
  <c r="C129" i="2"/>
  <c r="C135" i="2"/>
  <c r="C22" i="8"/>
  <c r="H44" i="2"/>
  <c r="H43" i="2"/>
  <c r="I43" i="2"/>
  <c r="J43" i="2"/>
  <c r="K43" i="2"/>
  <c r="I44" i="2"/>
  <c r="H15" i="9"/>
  <c r="J44" i="2"/>
  <c r="I15" i="9"/>
  <c r="G15" i="9"/>
  <c r="G16" i="8"/>
  <c r="D13" i="2"/>
  <c r="E13" i="2"/>
  <c r="D12" i="8"/>
  <c r="F13" i="2"/>
  <c r="C5" i="8"/>
  <c r="G13" i="2"/>
  <c r="AF13" i="2"/>
  <c r="H16" i="8"/>
  <c r="K44" i="2"/>
  <c r="L44" i="2"/>
  <c r="AE13" i="2"/>
  <c r="AD12" i="8"/>
  <c r="V13" i="2"/>
  <c r="U12" i="8"/>
  <c r="U13" i="2"/>
  <c r="J13" i="2"/>
  <c r="I12" i="8"/>
  <c r="C12" i="8"/>
  <c r="C20" i="8"/>
  <c r="O13" i="2"/>
  <c r="N12" i="8"/>
  <c r="AB13" i="2"/>
  <c r="S13" i="2"/>
  <c r="Z13" i="2"/>
  <c r="AG13" i="2"/>
  <c r="AC13" i="2"/>
  <c r="AB12" i="8"/>
  <c r="AA13" i="2"/>
  <c r="Q13" i="2"/>
  <c r="P12" i="8"/>
  <c r="P13" i="2"/>
  <c r="W13" i="2"/>
  <c r="V12" i="8"/>
  <c r="T13" i="2"/>
  <c r="Y13" i="2"/>
  <c r="N13" i="2"/>
  <c r="M12" i="8"/>
  <c r="L13" i="2"/>
  <c r="R13" i="2"/>
  <c r="I13" i="2"/>
  <c r="X13" i="2"/>
  <c r="AD13" i="2"/>
  <c r="AC12" i="8"/>
  <c r="K13" i="2"/>
  <c r="M13" i="2"/>
  <c r="L12" i="8"/>
  <c r="H13" i="2"/>
  <c r="G12" i="8"/>
  <c r="G19" i="8"/>
  <c r="J15" i="9"/>
  <c r="I16" i="8"/>
  <c r="AE12" i="8"/>
  <c r="S12" i="8"/>
  <c r="C19" i="8"/>
  <c r="W12" i="8"/>
  <c r="Z12" i="8"/>
  <c r="E6" i="7"/>
  <c r="D5" i="8"/>
  <c r="E5" i="8"/>
  <c r="F5" i="8"/>
  <c r="G5" i="8"/>
  <c r="H5" i="8"/>
  <c r="I5" i="8"/>
  <c r="J5" i="8"/>
  <c r="K5" i="8"/>
  <c r="L5" i="8"/>
  <c r="Y12" i="8"/>
  <c r="Q12" i="8"/>
  <c r="J12" i="8"/>
  <c r="F12" i="8"/>
  <c r="T12" i="8"/>
  <c r="C17" i="2"/>
  <c r="C66" i="2"/>
  <c r="C68" i="2"/>
  <c r="C71" i="2"/>
  <c r="C73" i="2"/>
  <c r="C75" i="2"/>
  <c r="D111" i="2"/>
  <c r="F19" i="8"/>
  <c r="C18" i="2"/>
  <c r="C7" i="6"/>
  <c r="B6" i="5"/>
  <c r="C6" i="6"/>
  <c r="AB111" i="2"/>
  <c r="AA5" i="9"/>
  <c r="AA8" i="6"/>
  <c r="K111" i="2"/>
  <c r="J8" i="6"/>
  <c r="J5" i="9"/>
  <c r="J11" i="9"/>
  <c r="J111" i="2"/>
  <c r="I5" i="9"/>
  <c r="I11" i="9"/>
  <c r="AC111" i="2"/>
  <c r="AB5" i="9"/>
  <c r="AB11" i="9"/>
  <c r="Y111" i="2"/>
  <c r="X5" i="9"/>
  <c r="X11" i="9"/>
  <c r="P111" i="2"/>
  <c r="R111" i="2"/>
  <c r="Q5" i="9"/>
  <c r="Q11" i="9"/>
  <c r="L111" i="2"/>
  <c r="K5" i="9"/>
  <c r="V111" i="2"/>
  <c r="U8" i="6"/>
  <c r="U5" i="9"/>
  <c r="U11" i="9"/>
  <c r="U111" i="2"/>
  <c r="AB8" i="6"/>
  <c r="AA11" i="9"/>
  <c r="K8" i="6"/>
  <c r="X8" i="6"/>
  <c r="Q8" i="6"/>
  <c r="T8" i="6"/>
  <c r="T5" i="9"/>
  <c r="T11" i="9"/>
  <c r="O12" i="8"/>
  <c r="AF12" i="8"/>
  <c r="E12" i="8"/>
  <c r="O8" i="6"/>
  <c r="O5" i="9"/>
  <c r="O11" i="9"/>
  <c r="H12" i="8"/>
  <c r="D17" i="8"/>
  <c r="D22" i="8"/>
  <c r="F45" i="2"/>
  <c r="D16" i="9"/>
  <c r="C5" i="9"/>
  <c r="C11" i="9"/>
  <c r="C8" i="6"/>
  <c r="D20" i="8"/>
  <c r="D19" i="8"/>
  <c r="U135" i="2"/>
  <c r="G135" i="2"/>
  <c r="AB135" i="2"/>
  <c r="V135" i="2"/>
  <c r="F135" i="2"/>
  <c r="X135" i="2"/>
  <c r="I135" i="2"/>
  <c r="J135" i="2"/>
  <c r="O135" i="2"/>
  <c r="S135" i="2"/>
  <c r="H135" i="2"/>
  <c r="AC135" i="2"/>
  <c r="E135" i="2"/>
  <c r="AA135" i="2"/>
  <c r="Q135" i="2"/>
  <c r="AG135" i="2"/>
  <c r="B36" i="21"/>
  <c r="M135" i="2"/>
  <c r="B23" i="21"/>
  <c r="D135" i="2"/>
  <c r="AE135" i="2"/>
  <c r="Z135" i="2"/>
  <c r="T135" i="2"/>
  <c r="R135" i="2"/>
  <c r="K135" i="2"/>
  <c r="N135" i="2"/>
  <c r="L135" i="2"/>
  <c r="W135" i="2"/>
  <c r="B10" i="21"/>
  <c r="B12" i="21"/>
  <c r="B16" i="21"/>
  <c r="AF135" i="2"/>
  <c r="Y135" i="2"/>
  <c r="P135" i="2"/>
  <c r="AD135" i="2"/>
  <c r="K11" i="9"/>
  <c r="K15" i="9"/>
  <c r="M44" i="2"/>
  <c r="L43" i="2"/>
  <c r="J16" i="8"/>
  <c r="B20" i="21"/>
  <c r="B25" i="21"/>
  <c r="B29" i="21"/>
  <c r="M5" i="8"/>
  <c r="I19" i="8"/>
  <c r="AA111" i="2"/>
  <c r="F111" i="2"/>
  <c r="Z111" i="2"/>
  <c r="AG111" i="2"/>
  <c r="J19" i="8"/>
  <c r="O111" i="2"/>
  <c r="S111" i="2"/>
  <c r="X111" i="2"/>
  <c r="N111" i="2"/>
  <c r="I111" i="2"/>
  <c r="Q111" i="2"/>
  <c r="AF111" i="2"/>
  <c r="M111" i="2"/>
  <c r="I8" i="6"/>
  <c r="AD111" i="2"/>
  <c r="H111" i="2"/>
  <c r="G111" i="2"/>
  <c r="C96" i="2"/>
  <c r="C102" i="2"/>
  <c r="E111" i="2"/>
  <c r="W111" i="2"/>
  <c r="T111" i="2"/>
  <c r="AE111" i="2"/>
  <c r="G5" i="9"/>
  <c r="G11" i="9"/>
  <c r="G8" i="6"/>
  <c r="H8" i="6"/>
  <c r="H5" i="9"/>
  <c r="H11" i="9"/>
  <c r="Y8" i="6"/>
  <c r="Y5" i="9"/>
  <c r="Y11" i="9"/>
  <c r="N5" i="8"/>
  <c r="L15" i="9"/>
  <c r="N44" i="2"/>
  <c r="C18" i="9"/>
  <c r="E5" i="9"/>
  <c r="E11" i="9"/>
  <c r="E8" i="6"/>
  <c r="AD5" i="9"/>
  <c r="AD11" i="9"/>
  <c r="AD8" i="6"/>
  <c r="W8" i="6"/>
  <c r="W5" i="9"/>
  <c r="W11" i="9"/>
  <c r="Z5" i="9"/>
  <c r="Z11" i="9"/>
  <c r="Z8" i="6"/>
  <c r="E19" i="8"/>
  <c r="M5" i="9"/>
  <c r="M11" i="9"/>
  <c r="M8" i="6"/>
  <c r="S5" i="9"/>
  <c r="S11" i="9"/>
  <c r="S8" i="6"/>
  <c r="R5" i="9"/>
  <c r="R11" i="9"/>
  <c r="R8" i="6"/>
  <c r="AC8" i="6"/>
  <c r="AC5" i="9"/>
  <c r="AC11" i="9"/>
  <c r="V5" i="9"/>
  <c r="V11" i="9"/>
  <c r="V8" i="6"/>
  <c r="N5" i="9"/>
  <c r="N11" i="9"/>
  <c r="N8" i="6"/>
  <c r="E16" i="9"/>
  <c r="G45" i="2"/>
  <c r="E17" i="8"/>
  <c r="E22" i="8"/>
  <c r="D8" i="6"/>
  <c r="D5" i="9"/>
  <c r="D11" i="9"/>
  <c r="L8" i="6"/>
  <c r="L5" i="9"/>
  <c r="L11" i="9"/>
  <c r="H19" i="8"/>
  <c r="D113" i="2"/>
  <c r="U113" i="2"/>
  <c r="Q113" i="2"/>
  <c r="X113" i="2"/>
  <c r="S113" i="2"/>
  <c r="F113" i="2"/>
  <c r="W113" i="2"/>
  <c r="J113" i="2"/>
  <c r="E113" i="2"/>
  <c r="AB113" i="2"/>
  <c r="AG113" i="2"/>
  <c r="M113" i="2"/>
  <c r="G113" i="2"/>
  <c r="R113" i="2"/>
  <c r="AC113" i="2"/>
  <c r="O113" i="2"/>
  <c r="Z113" i="2"/>
  <c r="Y113" i="2"/>
  <c r="AE113" i="2"/>
  <c r="K113" i="2"/>
  <c r="T113" i="2"/>
  <c r="H113" i="2"/>
  <c r="AA113" i="2"/>
  <c r="N113" i="2"/>
  <c r="P113" i="2"/>
  <c r="L113" i="2"/>
  <c r="AD113" i="2"/>
  <c r="I113" i="2"/>
  <c r="V113" i="2"/>
  <c r="AF113" i="2"/>
  <c r="AE5" i="9"/>
  <c r="AE11" i="9"/>
  <c r="AE8" i="6"/>
  <c r="F8" i="6"/>
  <c r="F5" i="9"/>
  <c r="F11" i="9"/>
  <c r="P5" i="9"/>
  <c r="P11" i="9"/>
  <c r="P8" i="6"/>
  <c r="AF5" i="9"/>
  <c r="AF11" i="9"/>
  <c r="AF8" i="6"/>
  <c r="K16" i="8"/>
  <c r="K19" i="8"/>
  <c r="M43" i="2"/>
  <c r="V6" i="9"/>
  <c r="V12" i="9"/>
  <c r="U6" i="9"/>
  <c r="U12" i="9"/>
  <c r="S6" i="9"/>
  <c r="S12" i="9"/>
  <c r="R6" i="9"/>
  <c r="R12" i="9"/>
  <c r="I115" i="2"/>
  <c r="H6" i="9"/>
  <c r="H12" i="9"/>
  <c r="K115" i="2"/>
  <c r="J6" i="9"/>
  <c r="J12" i="9"/>
  <c r="L6" i="9"/>
  <c r="L12" i="9"/>
  <c r="M115" i="2"/>
  <c r="W6" i="9"/>
  <c r="W12" i="9"/>
  <c r="E20" i="8"/>
  <c r="M15" i="9"/>
  <c r="O44" i="2"/>
  <c r="G116" i="2"/>
  <c r="G115" i="2"/>
  <c r="G118" i="2"/>
  <c r="F6" i="9"/>
  <c r="F12" i="9"/>
  <c r="N43" i="2"/>
  <c r="L16" i="8"/>
  <c r="L19" i="8"/>
  <c r="AC6" i="9"/>
  <c r="AC12" i="9"/>
  <c r="AD6" i="9"/>
  <c r="AD12" i="9"/>
  <c r="AF6" i="9"/>
  <c r="AF12" i="9"/>
  <c r="P6" i="9"/>
  <c r="P12" i="9"/>
  <c r="AB6" i="9"/>
  <c r="AB12" i="9"/>
  <c r="K6" i="9"/>
  <c r="K12" i="9"/>
  <c r="L115" i="2"/>
  <c r="X6" i="9"/>
  <c r="X12" i="9"/>
  <c r="AA6" i="9"/>
  <c r="AA12" i="9"/>
  <c r="T6" i="9"/>
  <c r="T12" i="9"/>
  <c r="O6" i="9"/>
  <c r="O12" i="9"/>
  <c r="C6" i="9"/>
  <c r="C12" i="9"/>
  <c r="D115" i="2"/>
  <c r="D118" i="2"/>
  <c r="C113" i="2"/>
  <c r="C114" i="2"/>
  <c r="D116" i="2"/>
  <c r="H45" i="2"/>
  <c r="H116" i="2"/>
  <c r="F17" i="8"/>
  <c r="F16" i="9"/>
  <c r="F18" i="9"/>
  <c r="Z6" i="9"/>
  <c r="Z12" i="9"/>
  <c r="Y6" i="9"/>
  <c r="Y12" i="9"/>
  <c r="E118" i="2"/>
  <c r="D6" i="9"/>
  <c r="D12" i="9"/>
  <c r="E116" i="2"/>
  <c r="E115" i="2"/>
  <c r="O5" i="8"/>
  <c r="N115" i="2"/>
  <c r="M6" i="9"/>
  <c r="M12" i="9"/>
  <c r="N6" i="9"/>
  <c r="N12" i="9"/>
  <c r="O115" i="2"/>
  <c r="J115" i="2"/>
  <c r="I6" i="9"/>
  <c r="I12" i="9"/>
  <c r="E18" i="9"/>
  <c r="AE6" i="9"/>
  <c r="AE12" i="9"/>
  <c r="G6" i="9"/>
  <c r="G12" i="9"/>
  <c r="H115" i="2"/>
  <c r="H118" i="2"/>
  <c r="Q6" i="9"/>
  <c r="Q12" i="9"/>
  <c r="F115" i="2"/>
  <c r="F118" i="2"/>
  <c r="E6" i="9"/>
  <c r="E12" i="9"/>
  <c r="F116" i="2"/>
  <c r="D18" i="9"/>
  <c r="E122" i="2"/>
  <c r="D14" i="8"/>
  <c r="G122" i="2"/>
  <c r="F14" i="8"/>
  <c r="F122" i="2"/>
  <c r="E14" i="8"/>
  <c r="D122" i="2"/>
  <c r="C14" i="8"/>
  <c r="H122" i="2"/>
  <c r="G14" i="8"/>
  <c r="H120" i="2"/>
  <c r="E120" i="2"/>
  <c r="D120" i="2"/>
  <c r="G120" i="2"/>
  <c r="F120" i="2"/>
  <c r="C21" i="9"/>
  <c r="C20" i="9"/>
  <c r="F20" i="8"/>
  <c r="F22" i="8"/>
  <c r="H20" i="9"/>
  <c r="P5" i="8"/>
  <c r="G20" i="9"/>
  <c r="L20" i="9"/>
  <c r="E20" i="9"/>
  <c r="E21" i="9"/>
  <c r="J20" i="9"/>
  <c r="I20" i="9"/>
  <c r="I45" i="2"/>
  <c r="G16" i="9"/>
  <c r="G18" i="9"/>
  <c r="G17" i="8"/>
  <c r="D21" i="9"/>
  <c r="D20" i="9"/>
  <c r="F20" i="9"/>
  <c r="F21" i="9"/>
  <c r="M20" i="9"/>
  <c r="M16" i="8"/>
  <c r="M19" i="8"/>
  <c r="O43" i="2"/>
  <c r="K20" i="9"/>
  <c r="N15" i="9"/>
  <c r="N20" i="9"/>
  <c r="P44" i="2"/>
  <c r="C24" i="8"/>
  <c r="C25" i="8"/>
  <c r="C27" i="8"/>
  <c r="C6" i="8"/>
  <c r="D24" i="8"/>
  <c r="D25" i="8"/>
  <c r="D27" i="8"/>
  <c r="D6" i="8"/>
  <c r="P43" i="2"/>
  <c r="N16" i="8"/>
  <c r="N19" i="8"/>
  <c r="E24" i="8"/>
  <c r="E25" i="8"/>
  <c r="E27" i="8"/>
  <c r="E6" i="8"/>
  <c r="C7" i="9"/>
  <c r="C13" i="9"/>
  <c r="C9" i="6"/>
  <c r="G22" i="8"/>
  <c r="G27" i="8"/>
  <c r="G6" i="8"/>
  <c r="G20" i="8"/>
  <c r="G7" i="9"/>
  <c r="G13" i="9"/>
  <c r="G9" i="6"/>
  <c r="D7" i="9"/>
  <c r="D13" i="9"/>
  <c r="D9" i="6"/>
  <c r="H17" i="8"/>
  <c r="J45" i="2"/>
  <c r="H16" i="9"/>
  <c r="I116" i="2"/>
  <c r="I118" i="2"/>
  <c r="G21" i="9"/>
  <c r="E7" i="9"/>
  <c r="E13" i="9"/>
  <c r="E9" i="6"/>
  <c r="Q5" i="8"/>
  <c r="F25" i="8"/>
  <c r="F24" i="8"/>
  <c r="F27" i="8"/>
  <c r="F6" i="8"/>
  <c r="O15" i="9"/>
  <c r="O20" i="9"/>
  <c r="Q44" i="2"/>
  <c r="P115" i="2"/>
  <c r="F7" i="9"/>
  <c r="F13" i="9"/>
  <c r="F9" i="6"/>
  <c r="G24" i="8"/>
  <c r="G25" i="8"/>
  <c r="F23" i="9"/>
  <c r="F25" i="9"/>
  <c r="E23" i="9"/>
  <c r="E25" i="9"/>
  <c r="F6" i="4"/>
  <c r="F7" i="8"/>
  <c r="E6" i="4"/>
  <c r="E7" i="8"/>
  <c r="R44" i="2"/>
  <c r="P15" i="9"/>
  <c r="P20" i="9"/>
  <c r="Q115" i="2"/>
  <c r="I122" i="2"/>
  <c r="H14" i="8"/>
  <c r="I120" i="2"/>
  <c r="J120" i="2"/>
  <c r="G7" i="8"/>
  <c r="G6" i="4"/>
  <c r="H18" i="9"/>
  <c r="H21" i="9"/>
  <c r="R5" i="8"/>
  <c r="I16" i="9"/>
  <c r="K45" i="2"/>
  <c r="I17" i="8"/>
  <c r="J116" i="2"/>
  <c r="J118" i="2"/>
  <c r="D6" i="4"/>
  <c r="D7" i="8"/>
  <c r="O16" i="8"/>
  <c r="O19" i="8"/>
  <c r="Q43" i="2"/>
  <c r="D10" i="6"/>
  <c r="C12" i="6"/>
  <c r="C7" i="8"/>
  <c r="F10" i="6"/>
  <c r="C10" i="6"/>
  <c r="C6" i="4"/>
  <c r="E10" i="6"/>
  <c r="G10" i="6"/>
  <c r="G23" i="9"/>
  <c r="G25" i="9"/>
  <c r="H22" i="8"/>
  <c r="H20" i="8"/>
  <c r="D23" i="9"/>
  <c r="D25" i="9"/>
  <c r="C23" i="9"/>
  <c r="C25" i="9"/>
  <c r="D18" i="6"/>
  <c r="D10" i="4"/>
  <c r="F18" i="6"/>
  <c r="F10" i="4"/>
  <c r="L45" i="2"/>
  <c r="J16" i="9"/>
  <c r="J17" i="8"/>
  <c r="K116" i="2"/>
  <c r="K118" i="2"/>
  <c r="B7" i="5"/>
  <c r="B8" i="5"/>
  <c r="D7" i="6"/>
  <c r="D12" i="6"/>
  <c r="I22" i="8"/>
  <c r="I20" i="8"/>
  <c r="C10" i="4"/>
  <c r="C18" i="6"/>
  <c r="Q15" i="9"/>
  <c r="Q20" i="9"/>
  <c r="S44" i="2"/>
  <c r="R115" i="2"/>
  <c r="G10" i="4"/>
  <c r="G18" i="6"/>
  <c r="P16" i="8"/>
  <c r="P19" i="8"/>
  <c r="R43" i="2"/>
  <c r="H7" i="9"/>
  <c r="H13" i="9"/>
  <c r="H9" i="6"/>
  <c r="S5" i="8"/>
  <c r="K120" i="2"/>
  <c r="J122" i="2"/>
  <c r="I14" i="8"/>
  <c r="H24" i="8"/>
  <c r="H27" i="8"/>
  <c r="H6" i="8"/>
  <c r="H25" i="8"/>
  <c r="I18" i="9"/>
  <c r="I21" i="9"/>
  <c r="E18" i="6"/>
  <c r="E10" i="4"/>
  <c r="I7" i="9"/>
  <c r="I13" i="9"/>
  <c r="I9" i="6"/>
  <c r="J18" i="9"/>
  <c r="J21" i="9"/>
  <c r="I24" i="8"/>
  <c r="I27" i="8"/>
  <c r="I6" i="8"/>
  <c r="I25" i="8"/>
  <c r="S43" i="2"/>
  <c r="Q16" i="8"/>
  <c r="Q19" i="8"/>
  <c r="R15" i="9"/>
  <c r="R20" i="9"/>
  <c r="T44" i="2"/>
  <c r="S115" i="2"/>
  <c r="M45" i="2"/>
  <c r="K17" i="8"/>
  <c r="K16" i="9"/>
  <c r="L116" i="2"/>
  <c r="L118" i="2"/>
  <c r="I23" i="9"/>
  <c r="I25" i="9"/>
  <c r="J22" i="8"/>
  <c r="J20" i="8"/>
  <c r="J7" i="9"/>
  <c r="J13" i="9"/>
  <c r="J9" i="6"/>
  <c r="C19" i="6"/>
  <c r="C20" i="6"/>
  <c r="C23" i="6"/>
  <c r="E7" i="6"/>
  <c r="E12" i="6"/>
  <c r="C7" i="5"/>
  <c r="H23" i="9"/>
  <c r="H25" i="9"/>
  <c r="T5" i="8"/>
  <c r="E8" i="7"/>
  <c r="B10" i="5"/>
  <c r="I6" i="4"/>
  <c r="I7" i="8"/>
  <c r="H6" i="4"/>
  <c r="H7" i="8"/>
  <c r="I10" i="6"/>
  <c r="H10" i="6"/>
  <c r="J10" i="6"/>
  <c r="L122" i="2"/>
  <c r="K14" i="8"/>
  <c r="K122" i="2"/>
  <c r="J14" i="8"/>
  <c r="L120" i="2"/>
  <c r="I10" i="4"/>
  <c r="I18" i="6"/>
  <c r="K22" i="8"/>
  <c r="K27" i="8"/>
  <c r="K6" i="8"/>
  <c r="K20" i="8"/>
  <c r="J25" i="8"/>
  <c r="J24" i="8"/>
  <c r="J27" i="8"/>
  <c r="J6" i="8"/>
  <c r="K9" i="6"/>
  <c r="K7" i="9"/>
  <c r="K13" i="9"/>
  <c r="J23" i="9"/>
  <c r="J25" i="9"/>
  <c r="K18" i="9"/>
  <c r="K21" i="9"/>
  <c r="L17" i="8"/>
  <c r="N45" i="2"/>
  <c r="L16" i="9"/>
  <c r="M116" i="2"/>
  <c r="M118" i="2"/>
  <c r="K24" i="8"/>
  <c r="K25" i="8"/>
  <c r="U5" i="8"/>
  <c r="D19" i="6"/>
  <c r="D20" i="6"/>
  <c r="U44" i="2"/>
  <c r="S15" i="9"/>
  <c r="S20" i="9"/>
  <c r="T115" i="2"/>
  <c r="D7" i="5"/>
  <c r="F7" i="6"/>
  <c r="F12" i="6"/>
  <c r="H18" i="6"/>
  <c r="H10" i="4"/>
  <c r="J6" i="4"/>
  <c r="J7" i="8"/>
  <c r="T43" i="2"/>
  <c r="R16" i="8"/>
  <c r="R19" i="8"/>
  <c r="J18" i="6"/>
  <c r="J10" i="4"/>
  <c r="E19" i="6"/>
  <c r="E20" i="6"/>
  <c r="V5" i="8"/>
  <c r="L22" i="8"/>
  <c r="L20" i="8"/>
  <c r="K23" i="9"/>
  <c r="K25" i="9"/>
  <c r="U43" i="2"/>
  <c r="S16" i="8"/>
  <c r="S19" i="8"/>
  <c r="M16" i="9"/>
  <c r="O45" i="2"/>
  <c r="M17" i="8"/>
  <c r="N116" i="2"/>
  <c r="N118" i="2"/>
  <c r="K7" i="8"/>
  <c r="K6" i="4"/>
  <c r="K10" i="6"/>
  <c r="E7" i="5"/>
  <c r="G7" i="6"/>
  <c r="G12" i="6"/>
  <c r="V44" i="2"/>
  <c r="T15" i="9"/>
  <c r="T20" i="9"/>
  <c r="U115" i="2"/>
  <c r="M120" i="2"/>
  <c r="M122" i="2"/>
  <c r="L14" i="8"/>
  <c r="N120" i="2"/>
  <c r="N122" i="2"/>
  <c r="M14" i="8"/>
  <c r="L18" i="9"/>
  <c r="L21" i="9"/>
  <c r="K18" i="6"/>
  <c r="K10" i="4"/>
  <c r="M24" i="8"/>
  <c r="M25" i="8"/>
  <c r="M7" i="9"/>
  <c r="M13" i="9"/>
  <c r="M9" i="6"/>
  <c r="F19" i="6"/>
  <c r="F20" i="6"/>
  <c r="L9" i="6"/>
  <c r="L7" i="9"/>
  <c r="L13" i="9"/>
  <c r="M22" i="8"/>
  <c r="M20" i="8"/>
  <c r="M27" i="8"/>
  <c r="M6" i="8"/>
  <c r="W44" i="2"/>
  <c r="U15" i="9"/>
  <c r="U20" i="9"/>
  <c r="V115" i="2"/>
  <c r="N16" i="9"/>
  <c r="N17" i="8"/>
  <c r="P45" i="2"/>
  <c r="O116" i="2"/>
  <c r="O118" i="2"/>
  <c r="L24" i="8"/>
  <c r="L25" i="8"/>
  <c r="L27" i="8"/>
  <c r="L6" i="8"/>
  <c r="M18" i="9"/>
  <c r="M21" i="9"/>
  <c r="W5" i="8"/>
  <c r="H7" i="6"/>
  <c r="H12" i="6"/>
  <c r="F7" i="5"/>
  <c r="T16" i="8"/>
  <c r="T19" i="8"/>
  <c r="V43" i="2"/>
  <c r="L23" i="9"/>
  <c r="L25" i="9"/>
  <c r="I7" i="6"/>
  <c r="I12" i="6"/>
  <c r="G7" i="5"/>
  <c r="P122" i="2"/>
  <c r="O14" i="8"/>
  <c r="O120" i="2"/>
  <c r="O122" i="2"/>
  <c r="N14" i="8"/>
  <c r="Q45" i="2"/>
  <c r="O17" i="8"/>
  <c r="O16" i="9"/>
  <c r="P116" i="2"/>
  <c r="P118" i="2"/>
  <c r="P120" i="2"/>
  <c r="L7" i="8"/>
  <c r="L6" i="4"/>
  <c r="L10" i="6"/>
  <c r="N22" i="8"/>
  <c r="N20" i="8"/>
  <c r="V15" i="9"/>
  <c r="V20" i="9"/>
  <c r="X44" i="2"/>
  <c r="W115" i="2"/>
  <c r="N18" i="9"/>
  <c r="N21" i="9"/>
  <c r="M6" i="4"/>
  <c r="M7" i="8"/>
  <c r="M10" i="6"/>
  <c r="X5" i="8"/>
  <c r="G19" i="6"/>
  <c r="G20" i="6"/>
  <c r="M23" i="9"/>
  <c r="M25" i="9"/>
  <c r="U16" i="8"/>
  <c r="U19" i="8"/>
  <c r="W43" i="2"/>
  <c r="M10" i="4"/>
  <c r="M18" i="6"/>
  <c r="L18" i="6"/>
  <c r="L10" i="4"/>
  <c r="N9" i="6"/>
  <c r="N7" i="9"/>
  <c r="N13" i="9"/>
  <c r="O25" i="8"/>
  <c r="O24" i="8"/>
  <c r="P17" i="8"/>
  <c r="R45" i="2"/>
  <c r="P16" i="9"/>
  <c r="Q116" i="2"/>
  <c r="Q118" i="2"/>
  <c r="Y5" i="8"/>
  <c r="H19" i="6"/>
  <c r="H20" i="6"/>
  <c r="O7" i="9"/>
  <c r="O13" i="9"/>
  <c r="O9" i="6"/>
  <c r="X43" i="2"/>
  <c r="V16" i="8"/>
  <c r="V19" i="8"/>
  <c r="W15" i="9"/>
  <c r="W20" i="9"/>
  <c r="Y44" i="2"/>
  <c r="X115" i="2"/>
  <c r="O18" i="9"/>
  <c r="O21" i="9"/>
  <c r="H7" i="5"/>
  <c r="J7" i="6"/>
  <c r="J12" i="6"/>
  <c r="N25" i="8"/>
  <c r="N24" i="8"/>
  <c r="N27" i="8"/>
  <c r="N6" i="8"/>
  <c r="O22" i="8"/>
  <c r="O20" i="8"/>
  <c r="O27" i="8"/>
  <c r="O6" i="8"/>
  <c r="W16" i="8"/>
  <c r="W19" i="8"/>
  <c r="Y43" i="2"/>
  <c r="I19" i="6"/>
  <c r="I20" i="6"/>
  <c r="P22" i="8"/>
  <c r="P20" i="8"/>
  <c r="X15" i="9"/>
  <c r="X20" i="9"/>
  <c r="Z44" i="2"/>
  <c r="Y115" i="2"/>
  <c r="O7" i="8"/>
  <c r="O6" i="4"/>
  <c r="O10" i="6"/>
  <c r="Z5" i="8"/>
  <c r="N23" i="9"/>
  <c r="N25" i="9"/>
  <c r="O23" i="9"/>
  <c r="O25" i="9"/>
  <c r="Q122" i="2"/>
  <c r="P14" i="8"/>
  <c r="Q120" i="2"/>
  <c r="N6" i="4"/>
  <c r="N7" i="8"/>
  <c r="N10" i="6"/>
  <c r="I7" i="5"/>
  <c r="K7" i="6"/>
  <c r="K12" i="6"/>
  <c r="P18" i="9"/>
  <c r="P21" i="9"/>
  <c r="Q16" i="9"/>
  <c r="S45" i="2"/>
  <c r="Q17" i="8"/>
  <c r="R116" i="2"/>
  <c r="R118" i="2"/>
  <c r="N18" i="6"/>
  <c r="N10" i="4"/>
  <c r="O18" i="6"/>
  <c r="O10" i="4"/>
  <c r="Q20" i="8"/>
  <c r="Q22" i="8"/>
  <c r="Q18" i="9"/>
  <c r="Q21" i="9"/>
  <c r="AA44" i="2"/>
  <c r="Y15" i="9"/>
  <c r="Y20" i="9"/>
  <c r="Z115" i="2"/>
  <c r="R120" i="2"/>
  <c r="R122" i="2"/>
  <c r="Q14" i="8"/>
  <c r="P9" i="6"/>
  <c r="P7" i="9"/>
  <c r="P13" i="9"/>
  <c r="J19" i="6"/>
  <c r="J20" i="6"/>
  <c r="P24" i="8"/>
  <c r="P27" i="8"/>
  <c r="P6" i="8"/>
  <c r="P25" i="8"/>
  <c r="R17" i="8"/>
  <c r="R16" i="9"/>
  <c r="T45" i="2"/>
  <c r="S116" i="2"/>
  <c r="S118" i="2"/>
  <c r="L7" i="6"/>
  <c r="L12" i="6"/>
  <c r="J7" i="5"/>
  <c r="AA5" i="8"/>
  <c r="Z43" i="2"/>
  <c r="X16" i="8"/>
  <c r="X19" i="8"/>
  <c r="P7" i="8"/>
  <c r="P6" i="4"/>
  <c r="P10" i="6"/>
  <c r="R22" i="8"/>
  <c r="R20" i="8"/>
  <c r="Z15" i="9"/>
  <c r="Z20" i="9"/>
  <c r="AB44" i="2"/>
  <c r="AA115" i="2"/>
  <c r="S122" i="2"/>
  <c r="R14" i="8"/>
  <c r="S120" i="2"/>
  <c r="K19" i="6"/>
  <c r="K20" i="6"/>
  <c r="AB5" i="8"/>
  <c r="Y16" i="8"/>
  <c r="Y19" i="8"/>
  <c r="AA43" i="2"/>
  <c r="M7" i="6"/>
  <c r="M12" i="6"/>
  <c r="K7" i="5"/>
  <c r="P23" i="9"/>
  <c r="P25" i="9"/>
  <c r="Q24" i="8"/>
  <c r="Q27" i="8"/>
  <c r="Q6" i="8"/>
  <c r="Q25" i="8"/>
  <c r="U45" i="2"/>
  <c r="S17" i="8"/>
  <c r="S16" i="9"/>
  <c r="T116" i="2"/>
  <c r="T118" i="2"/>
  <c r="R18" i="9"/>
  <c r="R21" i="9"/>
  <c r="Q7" i="9"/>
  <c r="Q13" i="9"/>
  <c r="Q9" i="6"/>
  <c r="AC5" i="8"/>
  <c r="R7" i="9"/>
  <c r="R13" i="9"/>
  <c r="R9" i="6"/>
  <c r="L19" i="6"/>
  <c r="L20" i="6"/>
  <c r="AA15" i="9"/>
  <c r="AA20" i="9"/>
  <c r="AC44" i="2"/>
  <c r="AB115" i="2"/>
  <c r="R25" i="8"/>
  <c r="R24" i="8"/>
  <c r="R27" i="8"/>
  <c r="R6" i="8"/>
  <c r="T120" i="2"/>
  <c r="T122" i="2"/>
  <c r="S14" i="8"/>
  <c r="L7" i="5"/>
  <c r="N7" i="6"/>
  <c r="N12" i="6"/>
  <c r="S18" i="9"/>
  <c r="S21" i="9"/>
  <c r="AB43" i="2"/>
  <c r="Z16" i="8"/>
  <c r="Z19" i="8"/>
  <c r="P10" i="4"/>
  <c r="P18" i="6"/>
  <c r="S22" i="8"/>
  <c r="S20" i="8"/>
  <c r="Q23" i="9"/>
  <c r="Q25" i="9"/>
  <c r="Q7" i="8"/>
  <c r="Q6" i="4"/>
  <c r="Q10" i="6"/>
  <c r="T17" i="8"/>
  <c r="V45" i="2"/>
  <c r="T16" i="9"/>
  <c r="U116" i="2"/>
  <c r="U118" i="2"/>
  <c r="M19" i="6"/>
  <c r="M20" i="6"/>
  <c r="U16" i="9"/>
  <c r="U17" i="8"/>
  <c r="W45" i="2"/>
  <c r="V116" i="2"/>
  <c r="V118" i="2"/>
  <c r="AB15" i="9"/>
  <c r="AB20" i="9"/>
  <c r="AD44" i="2"/>
  <c r="AC115" i="2"/>
  <c r="R7" i="8"/>
  <c r="R6" i="4"/>
  <c r="R10" i="6"/>
  <c r="R23" i="9"/>
  <c r="R25" i="9"/>
  <c r="T18" i="9"/>
  <c r="T21" i="9"/>
  <c r="O7" i="6"/>
  <c r="O12" i="6"/>
  <c r="M7" i="5"/>
  <c r="T22" i="8"/>
  <c r="T20" i="8"/>
  <c r="AA16" i="8"/>
  <c r="AA19" i="8"/>
  <c r="AC43" i="2"/>
  <c r="AD5" i="8"/>
  <c r="Q10" i="4"/>
  <c r="Q18" i="6"/>
  <c r="S24" i="8"/>
  <c r="S27" i="8"/>
  <c r="S6" i="8"/>
  <c r="S25" i="8"/>
  <c r="U122" i="2"/>
  <c r="T14" i="8"/>
  <c r="U120" i="2"/>
  <c r="S7" i="9"/>
  <c r="S13" i="9"/>
  <c r="S9" i="6"/>
  <c r="R10" i="4"/>
  <c r="R18" i="6"/>
  <c r="N19" i="6"/>
  <c r="N20" i="6"/>
  <c r="AC15" i="9"/>
  <c r="AC20" i="9"/>
  <c r="AE44" i="2"/>
  <c r="AD115" i="2"/>
  <c r="T9" i="6"/>
  <c r="T7" i="9"/>
  <c r="T13" i="9"/>
  <c r="S7" i="8"/>
  <c r="S6" i="4"/>
  <c r="S10" i="6"/>
  <c r="AB16" i="8"/>
  <c r="AB19" i="8"/>
  <c r="AD43" i="2"/>
  <c r="V122" i="2"/>
  <c r="U14" i="8"/>
  <c r="V120" i="2"/>
  <c r="T25" i="8"/>
  <c r="T27" i="8"/>
  <c r="T6" i="8"/>
  <c r="T24" i="8"/>
  <c r="N7" i="5"/>
  <c r="P7" i="6"/>
  <c r="P12" i="6"/>
  <c r="X45" i="2"/>
  <c r="V17" i="8"/>
  <c r="V16" i="9"/>
  <c r="W116" i="2"/>
  <c r="W118" i="2"/>
  <c r="S23" i="9"/>
  <c r="S25" i="9"/>
  <c r="U22" i="8"/>
  <c r="U20" i="8"/>
  <c r="AE5" i="8"/>
  <c r="U18" i="9"/>
  <c r="U21" i="9"/>
  <c r="S18" i="6"/>
  <c r="S10" i="4"/>
  <c r="T23" i="9"/>
  <c r="T25" i="9"/>
  <c r="U25" i="8"/>
  <c r="U24" i="8"/>
  <c r="U27" i="8"/>
  <c r="U6" i="8"/>
  <c r="T7" i="8"/>
  <c r="T6" i="4"/>
  <c r="T10" i="6"/>
  <c r="W120" i="2"/>
  <c r="W122" i="2"/>
  <c r="V14" i="8"/>
  <c r="AF5" i="8"/>
  <c r="V18" i="9"/>
  <c r="V21" i="9"/>
  <c r="AE43" i="2"/>
  <c r="AC16" i="8"/>
  <c r="AC19" i="8"/>
  <c r="V22" i="8"/>
  <c r="V20" i="8"/>
  <c r="Y45" i="2"/>
  <c r="W17" i="8"/>
  <c r="W16" i="9"/>
  <c r="X116" i="2"/>
  <c r="X118" i="2"/>
  <c r="AF44" i="2"/>
  <c r="AD15" i="9"/>
  <c r="AD20" i="9"/>
  <c r="AE115" i="2"/>
  <c r="U9" i="6"/>
  <c r="U7" i="9"/>
  <c r="U13" i="9"/>
  <c r="O19" i="6"/>
  <c r="O20" i="6"/>
  <c r="Q7" i="6"/>
  <c r="Q12" i="6"/>
  <c r="O7" i="5"/>
  <c r="T18" i="6"/>
  <c r="T10" i="4"/>
  <c r="V25" i="8"/>
  <c r="V24" i="8"/>
  <c r="V27" i="8"/>
  <c r="V6" i="8"/>
  <c r="V7" i="9"/>
  <c r="V13" i="9"/>
  <c r="V9" i="6"/>
  <c r="AF43" i="2"/>
  <c r="AD16" i="8"/>
  <c r="AD19" i="8"/>
  <c r="P19" i="6"/>
  <c r="P20" i="6"/>
  <c r="P7" i="5"/>
  <c r="R7" i="6"/>
  <c r="R12" i="6"/>
  <c r="AE15" i="9"/>
  <c r="AE20" i="9"/>
  <c r="AG44" i="2"/>
  <c r="AF115" i="2"/>
  <c r="U7" i="8"/>
  <c r="U6" i="4"/>
  <c r="U10" i="6"/>
  <c r="W22" i="8"/>
  <c r="W20" i="8"/>
  <c r="X17" i="8"/>
  <c r="Z45" i="2"/>
  <c r="X16" i="9"/>
  <c r="Y116" i="2"/>
  <c r="Y118" i="2"/>
  <c r="X120" i="2"/>
  <c r="X122" i="2"/>
  <c r="W14" i="8"/>
  <c r="B33" i="21"/>
  <c r="B38" i="21"/>
  <c r="B42" i="21"/>
  <c r="U23" i="9"/>
  <c r="U25" i="9"/>
  <c r="W18" i="9"/>
  <c r="W21" i="9"/>
  <c r="U10" i="4"/>
  <c r="U18" i="6"/>
  <c r="AF15" i="9"/>
  <c r="AF20" i="9"/>
  <c r="AG115" i="2"/>
  <c r="V7" i="8"/>
  <c r="V6" i="4"/>
  <c r="V10" i="6"/>
  <c r="W27" i="8"/>
  <c r="W6" i="8"/>
  <c r="W24" i="8"/>
  <c r="W25" i="8"/>
  <c r="Y122" i="2"/>
  <c r="X14" i="8"/>
  <c r="Y120" i="2"/>
  <c r="AE16" i="8"/>
  <c r="AE19" i="8"/>
  <c r="AG43" i="2"/>
  <c r="AF16" i="8"/>
  <c r="AF19" i="8"/>
  <c r="X18" i="9"/>
  <c r="X21" i="9"/>
  <c r="V23" i="9"/>
  <c r="V25" i="9"/>
  <c r="W7" i="9"/>
  <c r="W13" i="9"/>
  <c r="W9" i="6"/>
  <c r="Y16" i="9"/>
  <c r="Y17" i="8"/>
  <c r="AA45" i="2"/>
  <c r="Z116" i="2"/>
  <c r="Z118" i="2"/>
  <c r="Q7" i="5"/>
  <c r="S7" i="6"/>
  <c r="S12" i="6"/>
  <c r="X22" i="8"/>
  <c r="X20" i="8"/>
  <c r="Q19" i="6"/>
  <c r="Q20" i="6"/>
  <c r="V18" i="6"/>
  <c r="V10" i="4"/>
  <c r="W7" i="8"/>
  <c r="W6" i="4"/>
  <c r="W10" i="6"/>
  <c r="R7" i="5"/>
  <c r="T7" i="6"/>
  <c r="T12" i="6"/>
  <c r="Z120" i="2"/>
  <c r="Z122" i="2"/>
  <c r="Y14" i="8"/>
  <c r="X9" i="6"/>
  <c r="X7" i="9"/>
  <c r="X13" i="9"/>
  <c r="W23" i="9"/>
  <c r="W25" i="9"/>
  <c r="AB45" i="2"/>
  <c r="Z17" i="8"/>
  <c r="Z16" i="9"/>
  <c r="AA116" i="2"/>
  <c r="AA118" i="2"/>
  <c r="X25" i="8"/>
  <c r="X24" i="8"/>
  <c r="X27" i="8"/>
  <c r="X6" i="8"/>
  <c r="R19" i="6"/>
  <c r="R20" i="6"/>
  <c r="Y22" i="8"/>
  <c r="Y20" i="8"/>
  <c r="Y18" i="9"/>
  <c r="Y21" i="9"/>
  <c r="W18" i="6"/>
  <c r="W10" i="4"/>
  <c r="Z20" i="8"/>
  <c r="Z22" i="8"/>
  <c r="X6" i="4"/>
  <c r="X7" i="8"/>
  <c r="X10" i="6"/>
  <c r="Y24" i="8"/>
  <c r="Y27" i="8"/>
  <c r="Y6" i="8"/>
  <c r="Y25" i="8"/>
  <c r="S19" i="6"/>
  <c r="S20" i="6"/>
  <c r="Y7" i="9"/>
  <c r="Y13" i="9"/>
  <c r="Y9" i="6"/>
  <c r="X23" i="9"/>
  <c r="X25" i="9"/>
  <c r="AA120" i="2"/>
  <c r="AA122" i="2"/>
  <c r="Z14" i="8"/>
  <c r="AC45" i="2"/>
  <c r="AA17" i="8"/>
  <c r="AA16" i="9"/>
  <c r="AB116" i="2"/>
  <c r="AB118" i="2"/>
  <c r="Z18" i="9"/>
  <c r="Z21" i="9"/>
  <c r="U7" i="6"/>
  <c r="U12" i="6"/>
  <c r="S7" i="5"/>
  <c r="AB17" i="8"/>
  <c r="AB16" i="9"/>
  <c r="AD45" i="2"/>
  <c r="AC116" i="2"/>
  <c r="AC118" i="2"/>
  <c r="Y23" i="9"/>
  <c r="Y25" i="9"/>
  <c r="X18" i="6"/>
  <c r="X10" i="4"/>
  <c r="T19" i="6"/>
  <c r="T20" i="6"/>
  <c r="Z25" i="8"/>
  <c r="Z24" i="8"/>
  <c r="Z27" i="8"/>
  <c r="Z6" i="8"/>
  <c r="Z7" i="9"/>
  <c r="Z13" i="9"/>
  <c r="Z9" i="6"/>
  <c r="T7" i="5"/>
  <c r="V7" i="6"/>
  <c r="V12" i="6"/>
  <c r="AA18" i="9"/>
  <c r="AA21" i="9"/>
  <c r="AB122" i="2"/>
  <c r="AA14" i="8"/>
  <c r="AB120" i="2"/>
  <c r="AA22" i="8"/>
  <c r="AA20" i="8"/>
  <c r="Y6" i="4"/>
  <c r="Y7" i="8"/>
  <c r="Y10" i="6"/>
  <c r="Y18" i="6"/>
  <c r="Y10" i="4"/>
  <c r="AC120" i="2"/>
  <c r="AC122" i="2"/>
  <c r="AB14" i="8"/>
  <c r="U7" i="5"/>
  <c r="W7" i="6"/>
  <c r="W12" i="6"/>
  <c r="AC16" i="9"/>
  <c r="AE45" i="2"/>
  <c r="AC17" i="8"/>
  <c r="AD116" i="2"/>
  <c r="AD118" i="2"/>
  <c r="Z6" i="4"/>
  <c r="Z7" i="8"/>
  <c r="Z10" i="6"/>
  <c r="AB18" i="9"/>
  <c r="AB21" i="9"/>
  <c r="Z23" i="9"/>
  <c r="Z25" i="9"/>
  <c r="AB22" i="8"/>
  <c r="AB20" i="8"/>
  <c r="U19" i="6"/>
  <c r="U20" i="6"/>
  <c r="AA9" i="6"/>
  <c r="AA7" i="9"/>
  <c r="AA13" i="9"/>
  <c r="AA27" i="8"/>
  <c r="AA6" i="8"/>
  <c r="AA25" i="8"/>
  <c r="AA24" i="8"/>
  <c r="AC22" i="8"/>
  <c r="AC20" i="8"/>
  <c r="AC18" i="9"/>
  <c r="AC21" i="9"/>
  <c r="V7" i="5"/>
  <c r="X7" i="6"/>
  <c r="X12" i="6"/>
  <c r="Z18" i="6"/>
  <c r="Z10" i="4"/>
  <c r="AB24" i="8"/>
  <c r="AB27" i="8"/>
  <c r="AB6" i="8"/>
  <c r="AB25" i="8"/>
  <c r="AA6" i="4"/>
  <c r="AA7" i="8"/>
  <c r="AA10" i="6"/>
  <c r="AB9" i="6"/>
  <c r="AB7" i="9"/>
  <c r="AB13" i="9"/>
  <c r="AF45" i="2"/>
  <c r="AD17" i="8"/>
  <c r="AD16" i="9"/>
  <c r="AE116" i="2"/>
  <c r="AE118" i="2"/>
  <c r="AA23" i="9"/>
  <c r="AA25" i="9"/>
  <c r="V19" i="6"/>
  <c r="V20" i="6"/>
  <c r="AD122" i="2"/>
  <c r="AC14" i="8"/>
  <c r="AD120" i="2"/>
  <c r="AA18" i="6"/>
  <c r="AA10" i="4"/>
  <c r="AB23" i="9"/>
  <c r="AB25" i="9"/>
  <c r="W7" i="5"/>
  <c r="Y7" i="6"/>
  <c r="Y12" i="6"/>
  <c r="AE122" i="2"/>
  <c r="AD14" i="8"/>
  <c r="AE120" i="2"/>
  <c r="AD18" i="9"/>
  <c r="AD21" i="9"/>
  <c r="AD22" i="8"/>
  <c r="AD20" i="8"/>
  <c r="AB6" i="4"/>
  <c r="AB7" i="8"/>
  <c r="AB10" i="6"/>
  <c r="AG45" i="2"/>
  <c r="AE17" i="8"/>
  <c r="AE16" i="9"/>
  <c r="AF116" i="2"/>
  <c r="AF118" i="2"/>
  <c r="AC9" i="6"/>
  <c r="AC7" i="9"/>
  <c r="AC13" i="9"/>
  <c r="W19" i="6"/>
  <c r="W20" i="6"/>
  <c r="AC24" i="8"/>
  <c r="AC27" i="8"/>
  <c r="AC6" i="8"/>
  <c r="AC25" i="8"/>
  <c r="AB10" i="4"/>
  <c r="AB18" i="6"/>
  <c r="AC23" i="9"/>
  <c r="AC25" i="9"/>
  <c r="AF122" i="2"/>
  <c r="AE14" i="8"/>
  <c r="AF120" i="2"/>
  <c r="AD7" i="9"/>
  <c r="AD13" i="9"/>
  <c r="AD9" i="6"/>
  <c r="AD25" i="8"/>
  <c r="AD24" i="8"/>
  <c r="AD27" i="8"/>
  <c r="AD6" i="8"/>
  <c r="AC6" i="4"/>
  <c r="AC7" i="8"/>
  <c r="AC10" i="6"/>
  <c r="AE20" i="8"/>
  <c r="AE22" i="8"/>
  <c r="Z7" i="6"/>
  <c r="Z12" i="6"/>
  <c r="X7" i="5"/>
  <c r="AF16" i="9"/>
  <c r="AF17" i="8"/>
  <c r="AG116" i="2"/>
  <c r="AG118" i="2"/>
  <c r="AE18" i="9"/>
  <c r="AE21" i="9"/>
  <c r="X19" i="6"/>
  <c r="X20" i="6"/>
  <c r="AD7" i="8"/>
  <c r="AD6" i="4"/>
  <c r="AD10" i="6"/>
  <c r="AE7" i="9"/>
  <c r="AE13" i="9"/>
  <c r="AE9" i="6"/>
  <c r="AC18" i="6"/>
  <c r="AC10" i="4"/>
  <c r="AE27" i="8"/>
  <c r="AE6" i="8"/>
  <c r="AE25" i="8"/>
  <c r="AE24" i="8"/>
  <c r="AG120" i="2"/>
  <c r="AG122" i="2"/>
  <c r="AF14" i="8"/>
  <c r="AD23" i="9"/>
  <c r="AD25" i="9"/>
  <c r="AF22" i="8"/>
  <c r="AF20" i="8"/>
  <c r="Y19" i="6"/>
  <c r="Y20" i="6"/>
  <c r="AF18" i="9"/>
  <c r="AF21" i="9"/>
  <c r="Y7" i="5"/>
  <c r="AA7" i="6"/>
  <c r="AA12" i="6"/>
  <c r="AD18" i="6"/>
  <c r="AD10" i="4"/>
  <c r="AF24" i="8"/>
  <c r="AF27" i="8"/>
  <c r="AF6" i="8"/>
  <c r="AF25" i="8"/>
  <c r="AB7" i="6"/>
  <c r="AB12" i="6"/>
  <c r="Z7" i="5"/>
  <c r="AF7" i="9"/>
  <c r="AF13" i="9"/>
  <c r="AF9" i="6"/>
  <c r="AE6" i="4"/>
  <c r="AE7" i="8"/>
  <c r="AE10" i="6"/>
  <c r="Z19" i="6"/>
  <c r="Z20" i="6"/>
  <c r="AE23" i="9"/>
  <c r="AE25" i="9"/>
  <c r="AE10" i="4"/>
  <c r="AE18" i="6"/>
  <c r="AA19" i="6"/>
  <c r="AA20" i="6"/>
  <c r="AA7" i="5"/>
  <c r="AC7" i="6"/>
  <c r="AC12" i="6"/>
  <c r="AF6" i="4"/>
  <c r="AF7" i="8"/>
  <c r="AF10" i="6"/>
  <c r="AF23" i="9"/>
  <c r="AF25" i="9"/>
  <c r="AF10" i="4"/>
  <c r="AF18" i="6"/>
  <c r="AB19" i="6"/>
  <c r="AB20" i="6"/>
  <c r="AD7" i="6"/>
  <c r="AD12" i="6"/>
  <c r="AB7" i="5"/>
  <c r="AC7" i="5"/>
  <c r="AE7" i="6"/>
  <c r="AE12" i="6"/>
  <c r="AC19" i="6"/>
  <c r="AC20" i="6"/>
  <c r="AD19" i="6"/>
  <c r="AD20" i="6"/>
  <c r="AD7" i="5"/>
  <c r="AF7" i="6"/>
  <c r="AF12" i="6"/>
  <c r="AE7" i="5"/>
  <c r="AE19" i="6"/>
  <c r="AE20" i="6"/>
  <c r="AF19" i="6"/>
  <c r="AF20" i="6"/>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<sst xmlns="http://schemas.openxmlformats.org/spreadsheetml/2006/main" count="277" uniqueCount="205">
  <si>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</si>
  <si>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</si>
  <si>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</si>
  <si>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</si>
  <si>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</si>
  <si>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</si>
  <si>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</si>
  <si>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</si>
  <si>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</si>
  <si>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</si>
  <si>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</si>
  <si>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</si>
  <si>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</si>
  <si>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</si>
  <si>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</si>
  <si>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</si>
  <si>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</si>
  <si>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</si>
  <si>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</si>
  <si>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</si>
  <si>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</si>
  <si>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</si>
  <si>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</si>
  <si>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</si>
  <si>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</si>
  <si>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</si>
  <si>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</si>
  <si>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</si>
  <si>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</si>
  <si>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</si>
  <si>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</si>
  <si>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</si>
  <si>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</si>
  <si>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</si>
  <si>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</si>
  <si>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</si>
  <si>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</si>
  <si>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</si>
  <si>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</si>
  <si>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</si>
  <si>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</si>
  <si>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</si>
  <si>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</si>
  <si>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</si>
  <si>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</si>
  <si>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</si>
  <si>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</si>
  <si>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</si>
  <si>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</si>
  <si>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</si>
  <si>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</si>
  <si>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</si>
  <si>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</si>
  <si>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</si>
  <si>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</si>
  <si>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</si>
  <si>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</si>
  <si>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</si>
  <si>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</si>
  <si>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</si>
  <si>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</si>
  <si>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</si>
  <si>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</si>
  <si>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</si>
  <si>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</si>
  <si>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</si>
  <si>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</si>
  <si>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</si>
  <si>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</si>
  <si>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</si>
  <si>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</si>
  <si>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</si>
  <si>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</si>
  <si>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</si>
  <si>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</si>
  <si>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</si>
  <si>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</si>
  <si>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</si>
  <si>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</si>
  <si>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</si>
  <si>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</si>
  <si>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</si>
  <si>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</si>
  <si>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</si>
  <si>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</si>
  <si>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</si>
  <si>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</si>
  <si>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</si>
  <si>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</si>
  <si>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</si>
  <si>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</si>
  <si>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</si>
  <si>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</si>
  <si>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</si>
  <si>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</si>
  <si>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</si>
  <si>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</si>
  <si>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</si>
  <si>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</si>
  <si>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</si>
  <si>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</si>
  <si>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</si>
  <si>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</si>
  <si>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</si>
  <si>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</si>
  <si>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</si>
  <si>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</si>
  <si>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</si>
  <si>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</si>
  <si>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</si>
  <si>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</si>
  <si>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</si>
  <si>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</si>
  <si>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</si>
  <si>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</si>
  <si>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</si>
  <si>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</si>
  <si>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</si>
  <si>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</si>
  <si>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</si>
  <si>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</si>
  <si>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</si>
  <si>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</si>
  <si>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</si>
  <si>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</si>
  <si>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</si>
  <si>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</si>
  <si>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</si>
  <si>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</si>
  <si>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</si>
  <si>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</si>
  <si>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</si>
  <si>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</si>
  <si>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</si>
  <si>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</si>
  <si>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</si>
  <si>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</si>
  <si>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</si>
  <si>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</si>
  <si>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</si>
  <si>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</si>
  <si>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</si>
  <si>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</si>
  <si>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</si>
  <si>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</si>
  <si>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</si>
  <si>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</si>
  <si>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</si>
  <si>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</si>
  <si>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</si>
  <si>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</si>
  <si>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</si>
  <si>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</si>
  <si>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</si>
  <si>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</si>
  <si>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</si>
  <si>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</si>
  <si>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</si>
  <si>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</si>
  <si>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</si>
  <si>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</si>
  <si>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</si>
  <si>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</si>
  <si>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</si>
  <si>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</si>
  <si>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</si>
  <si>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</si>
  <si>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</si>
  <si>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</si>
  <si>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</si>
  <si>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</si>
  <si>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</si>
  <si>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</si>
  <si>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</si>
  <si>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</si>
  <si>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</si>
  <si>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</si>
  <si>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</si>
  <si>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</si>
  <si>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</si>
  <si>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</si>
  <si>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</si>
  <si>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</si>
  <si>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</si>
  <si>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</si>
  <si>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</si>
  <si>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</si>
  <si>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</si>
  <si>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</si>
  <si>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</si>
  <si>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</si>
  <si>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</si>
  <si>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</si>
  <si>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</si>
  <si>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</si>
  <si>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</si>
  <si>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</si>
  <si>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</si>
  <si>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</si>
  <si>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Whanganui District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</si>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</sst>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2">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externalLink" Target="externalLinks/externalLink57.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sharedStrings" Target="sharedStrings.xml"/><Relationship Id="rId78"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sites/commission-business/DIA2/Information_release/Council%20Financial%20Models/Christchurch_mode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ide outputs and checklist"/>
      <sheetName val="Model overview and manual"/>
      <sheetName val="Model output==&gt;"/>
      <sheetName val="Average cost per household"/>
      <sheetName val="Input sheets ===&gt;"/>
      <sheetName val="Assumptions"/>
      <sheetName val="Price and Financial ratios"/>
      <sheetName val="Processing sheets ===&gt;"/>
      <sheetName val="Investment"/>
      <sheetName val="Profit and Loss"/>
      <sheetName val="Balance Sheet"/>
      <sheetName val="Cash Flow"/>
      <sheetName val="Depreciation"/>
      <sheetName val="Debt worksheet"/>
    </sheetNames>
    <sheetDataSet>
      <sheetData sheetId="0" refreshError="1"/>
      <sheetData sheetId="1" refreshError="1"/>
      <sheetData sheetId="2" refreshError="1"/>
      <sheetData sheetId="3" refreshError="1"/>
      <sheetData sheetId="4" refreshError="1"/>
      <sheetData sheetId="5">
        <row r="24">
          <cell r="B24" t="str">
            <v>RFI Table F10; Lines F10.62 + F10.70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199</v>
      </c>
      <c r="C2" s="171"/>
      <c r="D2" s="60"/>
      <c r="E2" s="14"/>
      <c r="F2" s="60"/>
    </row>
    <row r="3" spans="1:6" x14ac:dyDescent="0.35">
      <c r="C3" s="14"/>
      <c r="D3" s="14"/>
    </row>
    <row r="4" spans="1:6" x14ac:dyDescent="0.35">
      <c r="A4" s="14" t="s">
        <v>160</v>
      </c>
      <c r="B4" s="14"/>
      <c r="D4" s="14"/>
    </row>
    <row r="6" spans="1:6" ht="21" x14ac:dyDescent="0.5">
      <c r="A6" s="15" t="s">
        <v>169</v>
      </c>
    </row>
    <row r="7" spans="1:6" ht="241" customHeight="1" x14ac:dyDescent="0.35">
      <c r="A7" s="107">
        <v>1</v>
      </c>
      <c r="B7" s="104" t="s">
        <v>170</v>
      </c>
    </row>
    <row r="8" spans="1:6" ht="408" customHeight="1" x14ac:dyDescent="0.35">
      <c r="A8" s="107">
        <v>2</v>
      </c>
      <c r="B8" s="104" t="s">
        <v>191</v>
      </c>
    </row>
    <row r="9" spans="1:6" ht="195.5" customHeight="1" x14ac:dyDescent="0.35">
      <c r="A9" s="107">
        <f>A8+1</f>
        <v>3</v>
      </c>
      <c r="B9" s="105" t="s">
        <v>174</v>
      </c>
    </row>
    <row r="10" spans="1:6" ht="236" customHeight="1" x14ac:dyDescent="0.35">
      <c r="A10" s="107">
        <v>4</v>
      </c>
      <c r="B10" s="105" t="s">
        <v>175</v>
      </c>
    </row>
    <row r="11" spans="1:6" ht="21" x14ac:dyDescent="0.35">
      <c r="A11" s="107">
        <f>A10+1</f>
        <v>5</v>
      </c>
      <c r="B11" s="63" t="s">
        <v>189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166</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192</v>
      </c>
      <c r="B6" s="1">
        <f>Assumptions!C17</f>
        <v>789952500</v>
      </c>
      <c r="C6" s="12">
        <f ca="1">B6+Depreciation!C18+'Cash Flow'!C13</f>
        <v>803544599.01608825</v>
      </c>
      <c r="D6" s="1">
        <f ca="1">C6+Depreciation!D18</f>
        <v>854429402.76411426</v>
      </c>
      <c r="E6" s="1">
        <f ca="1">D6+Depreciation!E18</f>
        <v>907863354.99718249</v>
      </c>
      <c r="F6" s="1">
        <f ca="1">E6+Depreciation!F18</f>
        <v>963957495.17929769</v>
      </c>
      <c r="G6" s="1">
        <f ca="1">F6+Depreciation!G18</f>
        <v>1022827358.9721122</v>
      </c>
      <c r="H6" s="1">
        <f ca="1">G6+Depreciation!H18</f>
        <v>1084593152.2871642</v>
      </c>
      <c r="I6" s="1">
        <f ca="1">H6+Depreciation!I18</f>
        <v>1149379931.8733532</v>
      </c>
      <c r="J6" s="1">
        <f ca="1">I6+Depreciation!J18</f>
        <v>1217317792.6796775</v>
      </c>
      <c r="K6" s="1">
        <f ca="1">J6+Depreciation!K18</f>
        <v>1288542062.2419291</v>
      </c>
      <c r="L6" s="1">
        <f ca="1">K6+Depreciation!L18</f>
        <v>1363193502.3510218</v>
      </c>
      <c r="M6" s="1">
        <f ca="1">L6+Depreciation!M18</f>
        <v>1441418518.2699218</v>
      </c>
      <c r="N6" s="1">
        <f ca="1">M6+Depreciation!N18</f>
        <v>1523369375.775785</v>
      </c>
      <c r="O6" s="1">
        <f ca="1">N6+Depreciation!O18</f>
        <v>1609204426.3138762</v>
      </c>
      <c r="P6" s="1">
        <f ca="1">O6+Depreciation!P18</f>
        <v>1699088340.5601716</v>
      </c>
      <c r="Q6" s="1">
        <f ca="1">P6+Depreciation!Q18</f>
        <v>1793192350.7002456</v>
      </c>
      <c r="R6" s="1">
        <f ca="1">Q6+Depreciation!R18</f>
        <v>1891694501.7431118</v>
      </c>
      <c r="S6" s="1">
        <f ca="1">R6+Depreciation!S18</f>
        <v>1994779912.2001655</v>
      </c>
      <c r="T6" s="1">
        <f ca="1">S6+Depreciation!T18</f>
        <v>2102641044.4712467</v>
      </c>
      <c r="U6" s="1">
        <f ca="1">T6+Depreciation!U18</f>
        <v>2215477985.2921453</v>
      </c>
      <c r="V6" s="1">
        <f ca="1">U6+Depreciation!V18</f>
        <v>2333498736.6106038</v>
      </c>
      <c r="W6" s="1">
        <f ca="1">V6+Depreciation!W18</f>
        <v>2456919517.2710657</v>
      </c>
      <c r="X6" s="1">
        <f ca="1">W6+Depreciation!X18</f>
        <v>2585965075.9020686</v>
      </c>
      <c r="Y6" s="1">
        <f ca="1">X6+Depreciation!Y18</f>
        <v>2720869015.4143314</v>
      </c>
      <c r="Z6" s="1">
        <f ca="1">Y6+Depreciation!Z18</f>
        <v>2861874129.5322161</v>
      </c>
      <c r="AA6" s="1">
        <f ca="1">Z6+Depreciation!AA18</f>
        <v>3009232751.7964225</v>
      </c>
      <c r="AB6" s="1">
        <f ca="1">AA6+Depreciation!AB18</f>
        <v>3163207117.4914579</v>
      </c>
      <c r="AC6" s="1">
        <f ca="1">AB6+Depreciation!AC18</f>
        <v>3324069738.9676971</v>
      </c>
      <c r="AD6" s="1">
        <f ca="1">AC6+Depreciation!AD18</f>
        <v>3492103794.8446655</v>
      </c>
      <c r="AE6" s="1">
        <f ca="1">AD6+Depreciation!AE18</f>
        <v>3667603533.599618</v>
      </c>
      <c r="AF6" s="1"/>
      <c r="AG6" s="1"/>
      <c r="AH6" s="1"/>
      <c r="AI6" s="1"/>
      <c r="AJ6" s="1"/>
      <c r="AK6" s="1"/>
      <c r="AL6" s="1"/>
      <c r="AM6" s="1"/>
      <c r="AN6" s="1"/>
      <c r="AO6" s="1"/>
      <c r="AP6" s="1"/>
    </row>
    <row r="7" spans="1:42" x14ac:dyDescent="0.35">
      <c r="A7" t="s">
        <v>12</v>
      </c>
      <c r="B7" s="1">
        <f>Depreciation!C12</f>
        <v>407393028.86144578</v>
      </c>
      <c r="C7" s="1">
        <f>Depreciation!D12</f>
        <v>421099426.39559096</v>
      </c>
      <c r="D7" s="1">
        <f>Depreciation!E12</f>
        <v>436165263.41593421</v>
      </c>
      <c r="E7" s="1">
        <f>Depreciation!F12</f>
        <v>452663508.6985172</v>
      </c>
      <c r="F7" s="1">
        <f>Depreciation!G12</f>
        <v>470670408.95501447</v>
      </c>
      <c r="G7" s="1">
        <f>Depreciation!H12</f>
        <v>490265623.90058714</v>
      </c>
      <c r="H7" s="1">
        <f>Depreciation!I12</f>
        <v>511532366.60947341</v>
      </c>
      <c r="I7" s="1">
        <f>Depreciation!J12</f>
        <v>534557549.35842109</v>
      </c>
      <c r="J7" s="1">
        <f>Depreciation!K12</f>
        <v>559431935.16546023</v>
      </c>
      <c r="K7" s="1">
        <f>Depreciation!L12</f>
        <v>586250295.23917377</v>
      </c>
      <c r="L7" s="1">
        <f>Depreciation!M12</f>
        <v>615111572.5615623</v>
      </c>
      <c r="M7" s="1">
        <f>Depreciation!N12</f>
        <v>646119051.83582568</v>
      </c>
      <c r="N7" s="1">
        <f>Depreciation!O12</f>
        <v>679380536.03890574</v>
      </c>
      <c r="O7" s="1">
        <f>Depreciation!P12</f>
        <v>715008529.82746994</v>
      </c>
      <c r="P7" s="1">
        <f>Depreciation!Q12</f>
        <v>753120430.05516529</v>
      </c>
      <c r="Q7" s="1">
        <f>Depreciation!R12</f>
        <v>793838723.66845667</v>
      </c>
      <c r="R7" s="1">
        <f>Depreciation!S12</f>
        <v>837291193.25818908</v>
      </c>
      <c r="S7" s="1">
        <f>Depreciation!T12</f>
        <v>883611130.55419481</v>
      </c>
      <c r="T7" s="1">
        <f>Depreciation!U12</f>
        <v>932937558.16081524</v>
      </c>
      <c r="U7" s="1">
        <f>Depreciation!V12</f>
        <v>985415459.84213889</v>
      </c>
      <c r="V7" s="1">
        <f>Depreciation!W12</f>
        <v>1041196019.6770774</v>
      </c>
      <c r="W7" s="1">
        <f>Depreciation!X12</f>
        <v>1100436870.4161406</v>
      </c>
      <c r="X7" s="1">
        <f>Depreciation!Y12</f>
        <v>1163302351.3839211</v>
      </c>
      <c r="Y7" s="1">
        <f>Depreciation!Z12</f>
        <v>1229963776.2839007</v>
      </c>
      <c r="Z7" s="1">
        <f>Depreciation!AA12</f>
        <v>1300599711.2752285</v>
      </c>
      <c r="AA7" s="1">
        <f>Depreciation!AB12</f>
        <v>1375396263.7046535</v>
      </c>
      <c r="AB7" s="1">
        <f>Depreciation!AC12</f>
        <v>1454547381.8907828</v>
      </c>
      <c r="AC7" s="1">
        <f>Depreciation!AD12</f>
        <v>1538255166.3723576</v>
      </c>
      <c r="AD7" s="1">
        <f>Depreciation!AE12</f>
        <v>1626730193.0472639</v>
      </c>
      <c r="AE7" s="1">
        <f>Depreciation!AF12</f>
        <v>1720191848.6445656</v>
      </c>
      <c r="AF7" s="1"/>
      <c r="AG7" s="1"/>
      <c r="AH7" s="1"/>
      <c r="AI7" s="1"/>
      <c r="AJ7" s="1"/>
      <c r="AK7" s="1"/>
      <c r="AL7" s="1"/>
      <c r="AM7" s="1"/>
      <c r="AN7" s="1"/>
      <c r="AO7" s="1"/>
      <c r="AP7" s="1"/>
    </row>
    <row r="8" spans="1:42" x14ac:dyDescent="0.35">
      <c r="A8" t="s">
        <v>193</v>
      </c>
      <c r="B8" s="1">
        <f t="shared" ref="B8:AE8" si="1">B6-B7</f>
        <v>382559471.13855422</v>
      </c>
      <c r="C8" s="1">
        <f t="shared" ca="1" si="1"/>
        <v>382445172.62049729</v>
      </c>
      <c r="D8" s="1">
        <f ca="1">D6-D7</f>
        <v>418264139.34818006</v>
      </c>
      <c r="E8" s="1">
        <f t="shared" ca="1" si="1"/>
        <v>455199846.29866529</v>
      </c>
      <c r="F8" s="1">
        <f t="shared" ca="1" si="1"/>
        <v>493287086.22428322</v>
      </c>
      <c r="G8" s="1">
        <f t="shared" ca="1" si="1"/>
        <v>532561735.07152504</v>
      </c>
      <c r="H8" s="1">
        <f t="shared" ca="1" si="1"/>
        <v>573060785.67769074</v>
      </c>
      <c r="I8" s="1">
        <f t="shared" ca="1" si="1"/>
        <v>614822382.51493216</v>
      </c>
      <c r="J8" s="1">
        <f t="shared" ca="1" si="1"/>
        <v>657885857.51421726</v>
      </c>
      <c r="K8" s="1">
        <f t="shared" ca="1" si="1"/>
        <v>702291767.00275528</v>
      </c>
      <c r="L8" s="1">
        <f t="shared" ca="1" si="1"/>
        <v>748081929.78945947</v>
      </c>
      <c r="M8" s="1">
        <f t="shared" ca="1" si="1"/>
        <v>795299466.4340961</v>
      </c>
      <c r="N8" s="1">
        <f t="shared" ca="1" si="1"/>
        <v>843988839.73687923</v>
      </c>
      <c r="O8" s="1">
        <f t="shared" ca="1" si="1"/>
        <v>894195896.48640621</v>
      </c>
      <c r="P8" s="1">
        <f t="shared" ca="1" si="1"/>
        <v>945967910.50500631</v>
      </c>
      <c r="Q8" s="1">
        <f t="shared" ca="1" si="1"/>
        <v>999353627.03178895</v>
      </c>
      <c r="R8" s="1">
        <f t="shared" ca="1" si="1"/>
        <v>1054403308.4849228</v>
      </c>
      <c r="S8" s="1">
        <f t="shared" ca="1" si="1"/>
        <v>1111168781.6459708</v>
      </c>
      <c r="T8" s="1">
        <f t="shared" ca="1" si="1"/>
        <v>1169703486.3104315</v>
      </c>
      <c r="U8" s="1">
        <f t="shared" ca="1" si="1"/>
        <v>1230062525.4500065</v>
      </c>
      <c r="V8" s="1">
        <f t="shared" ca="1" si="1"/>
        <v>1292302716.9335265</v>
      </c>
      <c r="W8" s="1">
        <f t="shared" ca="1" si="1"/>
        <v>1356482646.8549252</v>
      </c>
      <c r="X8" s="1">
        <f t="shared" ca="1" si="1"/>
        <v>1422662724.5181475</v>
      </c>
      <c r="Y8" s="1">
        <f t="shared" ca="1" si="1"/>
        <v>1490905239.1304307</v>
      </c>
      <c r="Z8" s="1">
        <f t="shared" ca="1" si="1"/>
        <v>1561274418.2569876</v>
      </c>
      <c r="AA8" s="1">
        <f t="shared" ca="1" si="1"/>
        <v>1633836488.091769</v>
      </c>
      <c r="AB8" s="1">
        <f t="shared" ca="1" si="1"/>
        <v>1708659735.6006751</v>
      </c>
      <c r="AC8" s="1">
        <f t="shared" ca="1" si="1"/>
        <v>1785814572.5953395</v>
      </c>
      <c r="AD8" s="1">
        <f t="shared" ca="1" si="1"/>
        <v>1865373601.7974017</v>
      </c>
      <c r="AE8" s="1">
        <f t="shared" ca="1" si="1"/>
        <v>1947411684.9550524</v>
      </c>
      <c r="AF8" s="1"/>
      <c r="AG8" s="1"/>
      <c r="AH8" s="1"/>
      <c r="AI8" s="1"/>
      <c r="AJ8" s="1"/>
      <c r="AK8" s="1"/>
      <c r="AL8" s="1"/>
      <c r="AM8" s="1"/>
      <c r="AN8" s="1"/>
      <c r="AO8" s="1"/>
      <c r="AP8" s="1"/>
    </row>
    <row r="10" spans="1:42" x14ac:dyDescent="0.35">
      <c r="A10" t="s">
        <v>17</v>
      </c>
      <c r="B10" s="1">
        <f>B8-B11</f>
        <v>301690471.13855422</v>
      </c>
      <c r="C10" s="1">
        <f ca="1">C8-C11</f>
        <v>266725905.35858846</v>
      </c>
      <c r="D10" s="1">
        <f ca="1">D8-D11</f>
        <v>276454312.34336895</v>
      </c>
      <c r="E10" s="1">
        <f t="shared" ref="E10:AE10" ca="1" si="2">E8-E11</f>
        <v>292311139.4444657</v>
      </c>
      <c r="F10" s="1">
        <f t="shared" ca="1" si="2"/>
        <v>313558999.95933926</v>
      </c>
      <c r="G10" s="1">
        <f ca="1">G8-G11</f>
        <v>336917396.76082754</v>
      </c>
      <c r="H10" s="1">
        <f t="shared" ca="1" si="2"/>
        <v>362833885.23954761</v>
      </c>
      <c r="I10" s="1">
        <f t="shared" ca="1" si="2"/>
        <v>390172180.3504796</v>
      </c>
      <c r="J10" s="1">
        <f t="shared" ca="1" si="2"/>
        <v>419181012.39115578</v>
      </c>
      <c r="K10" s="1">
        <f t="shared" ca="1" si="2"/>
        <v>450139788.50551432</v>
      </c>
      <c r="L10" s="1">
        <f t="shared" ca="1" si="2"/>
        <v>482349364.32711476</v>
      </c>
      <c r="M10" s="1">
        <f t="shared" ca="1" si="2"/>
        <v>515988257.76251549</v>
      </c>
      <c r="N10" s="1">
        <f t="shared" ca="1" si="2"/>
        <v>550115201.43383873</v>
      </c>
      <c r="O10" s="1">
        <f t="shared" ca="1" si="2"/>
        <v>584781829.21384048</v>
      </c>
      <c r="P10" s="1">
        <f t="shared" ca="1" si="2"/>
        <v>620047182.73105693</v>
      </c>
      <c r="Q10" s="1">
        <f t="shared" ca="1" si="2"/>
        <v>655978417.59031391</v>
      </c>
      <c r="R10" s="1">
        <f t="shared" ca="1" si="2"/>
        <v>692651563.33991623</v>
      </c>
      <c r="S10" s="1">
        <f t="shared" ca="1" si="2"/>
        <v>730152340.78119659</v>
      </c>
      <c r="T10" s="1">
        <f t="shared" ca="1" si="2"/>
        <v>768577040.43812799</v>
      </c>
      <c r="U10" s="1">
        <f t="shared" ca="1" si="2"/>
        <v>808033466.23971856</v>
      </c>
      <c r="V10" s="1">
        <f t="shared" ca="1" si="2"/>
        <v>848641948.7166791</v>
      </c>
      <c r="W10" s="1">
        <f t="shared" ca="1" si="2"/>
        <v>890536432.27711916</v>
      </c>
      <c r="X10" s="1">
        <f t="shared" ca="1" si="2"/>
        <v>933865641.40463328</v>
      </c>
      <c r="Y10" s="1">
        <f t="shared" ca="1" si="2"/>
        <v>978794330.91692841</v>
      </c>
      <c r="Z10" s="1">
        <f t="shared" ca="1" si="2"/>
        <v>1025504625.735042</v>
      </c>
      <c r="AA10" s="1">
        <f t="shared" ca="1" si="2"/>
        <v>1074197455.9431515</v>
      </c>
      <c r="AB10" s="1">
        <f t="shared" ca="1" si="2"/>
        <v>1125094093.2680006</v>
      </c>
      <c r="AC10" s="1">
        <f t="shared" ca="1" si="2"/>
        <v>1176020805.0949247</v>
      </c>
      <c r="AD10" s="1">
        <f t="shared" ca="1" si="2"/>
        <v>1226933140.9167891</v>
      </c>
      <c r="AE10" s="1">
        <f t="shared" ca="1" si="2"/>
        <v>1276475149.0157132</v>
      </c>
      <c r="AF10" s="1"/>
      <c r="AG10" s="1"/>
      <c r="AH10" s="1"/>
      <c r="AI10" s="1"/>
      <c r="AJ10" s="1"/>
      <c r="AK10" s="1"/>
      <c r="AL10" s="1"/>
      <c r="AM10" s="1"/>
      <c r="AN10" s="1"/>
      <c r="AO10" s="1"/>
    </row>
    <row r="11" spans="1:42" x14ac:dyDescent="0.35">
      <c r="A11" t="s">
        <v>9</v>
      </c>
      <c r="B11" s="1">
        <f>Assumptions!$C$20</f>
        <v>80869000</v>
      </c>
      <c r="C11" s="1">
        <f ca="1">'Debt worksheet'!D5</f>
        <v>115719267.26190881</v>
      </c>
      <c r="D11" s="1">
        <f ca="1">'Debt worksheet'!E5</f>
        <v>141809827.00481111</v>
      </c>
      <c r="E11" s="1">
        <f ca="1">'Debt worksheet'!F5</f>
        <v>162888706.85419959</v>
      </c>
      <c r="F11" s="1">
        <f ca="1">'Debt worksheet'!G5</f>
        <v>179728086.26494396</v>
      </c>
      <c r="G11" s="1">
        <f ca="1">'Debt worksheet'!H5</f>
        <v>195644338.31069753</v>
      </c>
      <c r="H11" s="1">
        <f ca="1">'Debt worksheet'!I5</f>
        <v>210226900.43814313</v>
      </c>
      <c r="I11" s="1">
        <f ca="1">'Debt worksheet'!J5</f>
        <v>224650202.16445255</v>
      </c>
      <c r="J11" s="1">
        <f ca="1">'Debt worksheet'!K5</f>
        <v>238704845.12306148</v>
      </c>
      <c r="K11" s="1">
        <f ca="1">'Debt worksheet'!L5</f>
        <v>252151978.49724096</v>
      </c>
      <c r="L11" s="1">
        <f ca="1">'Debt worksheet'!M5</f>
        <v>265732565.46234471</v>
      </c>
      <c r="M11" s="1">
        <f ca="1">'Debt worksheet'!N5</f>
        <v>279311208.67158061</v>
      </c>
      <c r="N11" s="1">
        <f ca="1">'Debt worksheet'!O5</f>
        <v>293873638.3030405</v>
      </c>
      <c r="O11" s="1">
        <f ca="1">'Debt worksheet'!P5</f>
        <v>309414067.27256578</v>
      </c>
      <c r="P11" s="1">
        <f ca="1">'Debt worksheet'!Q5</f>
        <v>325920727.77394944</v>
      </c>
      <c r="Q11" s="1">
        <f ca="1">'Debt worksheet'!R5</f>
        <v>343375209.44147497</v>
      </c>
      <c r="R11" s="1">
        <f ca="1">'Debt worksheet'!S5</f>
        <v>361751745.1450066</v>
      </c>
      <c r="S11" s="1">
        <f ca="1">'Debt worksheet'!T5</f>
        <v>381016440.86477417</v>
      </c>
      <c r="T11" s="1">
        <f ca="1">'Debt worksheet'!U5</f>
        <v>401126445.87230355</v>
      </c>
      <c r="U11" s="1">
        <f ca="1">'Debt worksheet'!V5</f>
        <v>422029059.21028793</v>
      </c>
      <c r="V11" s="1">
        <f ca="1">'Debt worksheet'!W5</f>
        <v>443660768.21684748</v>
      </c>
      <c r="W11" s="1">
        <f ca="1">'Debt worksheet'!X5</f>
        <v>465946214.577806</v>
      </c>
      <c r="X11" s="1">
        <f ca="1">'Debt worksheet'!Y5</f>
        <v>488797083.11351418</v>
      </c>
      <c r="Y11" s="1">
        <f ca="1">'Debt worksheet'!Z5</f>
        <v>512110908.21350229</v>
      </c>
      <c r="Z11" s="1">
        <f ca="1">'Debt worksheet'!AA5</f>
        <v>535769792.5219456</v>
      </c>
      <c r="AA11" s="1">
        <f ca="1">'Debt worksheet'!AB5</f>
        <v>559639032.14861763</v>
      </c>
      <c r="AB11" s="1">
        <f ca="1">'Debt worksheet'!AC5</f>
        <v>583565642.33267462</v>
      </c>
      <c r="AC11" s="1">
        <f ca="1">'Debt worksheet'!AD5</f>
        <v>609793767.50041485</v>
      </c>
      <c r="AD11" s="1">
        <f ca="1">'Debt worksheet'!AE5</f>
        <v>638440460.88061273</v>
      </c>
      <c r="AE11" s="1">
        <f ca="1">'Debt worksheet'!AF5</f>
        <v>670936535.93933904</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167</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1175320.1546424073</v>
      </c>
      <c r="D5" s="4">
        <f ca="1">'Profit and Loss'!D9</f>
        <v>11087846.470978579</v>
      </c>
      <c r="E5" s="4">
        <f ca="1">'Profit and Loss'!E9</f>
        <v>17289235.363336567</v>
      </c>
      <c r="F5" s="4">
        <f ca="1">'Profit and Loss'!F9</f>
        <v>22756515.488787882</v>
      </c>
      <c r="G5" s="4">
        <f ca="1">'Profit and Loss'!G9</f>
        <v>24946711.49056372</v>
      </c>
      <c r="H5" s="4">
        <f ca="1">'Profit and Loss'!H9</f>
        <v>27588016.242033824</v>
      </c>
      <c r="I5" s="4">
        <f ca="1">'Profit and Loss'!I9</f>
        <v>29096735.15099337</v>
      </c>
      <c r="J5" s="4">
        <f ca="1">'Profit and Loss'!J9</f>
        <v>30858035.098767526</v>
      </c>
      <c r="K5" s="4">
        <f ca="1">'Profit and Loss'!K9</f>
        <v>32902750.381033011</v>
      </c>
      <c r="L5" s="4">
        <f ca="1">'Profit and Loss'!L9</f>
        <v>34252493.070275567</v>
      </c>
      <c r="M5" s="4">
        <f ca="1">'Profit and Loss'!M9</f>
        <v>35785095.38727551</v>
      </c>
      <c r="N5" s="4">
        <f ca="1">'Profit and Loss'!N9</f>
        <v>36380948.600139908</v>
      </c>
      <c r="O5" s="4">
        <f ca="1">'Profit and Loss'!O9</f>
        <v>37033137.365485758</v>
      </c>
      <c r="P5" s="4">
        <f ca="1">'Profit and Loss'!P9</f>
        <v>37749259.956347704</v>
      </c>
      <c r="Q5" s="4">
        <f ca="1">'Profit and Loss'!Q9</f>
        <v>38537628.244853213</v>
      </c>
      <c r="R5" s="4">
        <f ca="1">'Profit and Loss'!R9</f>
        <v>39407321.726043254</v>
      </c>
      <c r="S5" s="4">
        <f ca="1">'Profit and Loss'!S9</f>
        <v>40368245.147553697</v>
      </c>
      <c r="T5" s="4">
        <f ca="1">'Profit and Loss'!T9</f>
        <v>41431189.96754621</v>
      </c>
      <c r="U5" s="4">
        <f ca="1">'Profit and Loss'!U9</f>
        <v>42607899.876293555</v>
      </c>
      <c r="V5" s="4">
        <f ca="1">'Profit and Loss'!V9</f>
        <v>43911140.630575329</v>
      </c>
      <c r="W5" s="4">
        <f ca="1">'Profit and Loss'!W9</f>
        <v>45354774.464564718</v>
      </c>
      <c r="X5" s="4">
        <f ca="1">'Profit and Loss'!X9</f>
        <v>46953839.356231719</v>
      </c>
      <c r="Y5" s="4">
        <f ca="1">'Profit and Loss'!Y9</f>
        <v>48724633.444493853</v>
      </c>
      <c r="Z5" s="4">
        <f ca="1">'Profit and Loss'!Z9</f>
        <v>50684804.909462094</v>
      </c>
      <c r="AA5" s="4">
        <f ca="1">'Profit and Loss'!AA9</f>
        <v>52853447.646206386</v>
      </c>
      <c r="AB5" s="4">
        <f ca="1">'Profit and Loss'!AB9</f>
        <v>55251203.081553489</v>
      </c>
      <c r="AC5" s="4">
        <f ca="1">'Profit and Loss'!AC9</f>
        <v>55483378.122369856</v>
      </c>
      <c r="AD5" s="4">
        <f ca="1">'Profit and Loss'!AD9</f>
        <v>55679578.015195727</v>
      </c>
      <c r="AE5" s="4">
        <f ca="1">'Profit and Loss'!AE9</f>
        <v>54528637.021319896</v>
      </c>
      <c r="AF5" s="4">
        <f ca="1">'Profit and Loss'!AF9</f>
        <v>53190956.933619991</v>
      </c>
      <c r="AG5" s="4"/>
      <c r="AH5" s="4"/>
      <c r="AI5" s="4"/>
      <c r="AJ5" s="4"/>
      <c r="AK5" s="4"/>
      <c r="AL5" s="4"/>
      <c r="AM5" s="4"/>
      <c r="AN5" s="4"/>
      <c r="AO5" s="4"/>
      <c r="AP5" s="4"/>
    </row>
    <row r="6" spans="1:42" x14ac:dyDescent="0.35">
      <c r="A6" t="s">
        <v>21</v>
      </c>
      <c r="C6" s="4">
        <f>Depreciation!C8+Depreciation!C9</f>
        <v>12416778.861445773</v>
      </c>
      <c r="D6" s="4">
        <f>Depreciation!D8+Depreciation!D9</f>
        <v>13706397.534145176</v>
      </c>
      <c r="E6" s="4">
        <f>Depreciation!E8+Depreciation!E9</f>
        <v>15065837.020343222</v>
      </c>
      <c r="F6" s="4">
        <f>Depreciation!F8+Depreciation!F9</f>
        <v>16498245.28258298</v>
      </c>
      <c r="G6" s="4">
        <f>Depreciation!G8+Depreciation!G9</f>
        <v>18006900.256497253</v>
      </c>
      <c r="H6" s="4">
        <f>Depreciation!H8+Depreciation!H9</f>
        <v>19595214.945572671</v>
      </c>
      <c r="I6" s="4">
        <f>Depreciation!I8+Depreciation!I9</f>
        <v>21266742.708886258</v>
      </c>
      <c r="J6" s="4">
        <f>Depreciation!J8+Depreciation!J9</f>
        <v>23025182.748947658</v>
      </c>
      <c r="K6" s="4">
        <f>Depreciation!K8+Depreciation!K9</f>
        <v>24874385.807039086</v>
      </c>
      <c r="L6" s="4">
        <f>Depreciation!L8+Depreciation!L9</f>
        <v>26818360.073713437</v>
      </c>
      <c r="M6" s="4">
        <f>Depreciation!M8+Depreciation!M9</f>
        <v>28861277.322388545</v>
      </c>
      <c r="N6" s="4">
        <f>Depreciation!N8+Depreciation!N9</f>
        <v>31007479.274263375</v>
      </c>
      <c r="O6" s="4">
        <f>Depreciation!O8+Depreciation!O9</f>
        <v>33261484.203080066</v>
      </c>
      <c r="P6" s="4">
        <f>Depreciation!P8+Depreciation!P9</f>
        <v>35627993.788564175</v>
      </c>
      <c r="Q6" s="4">
        <f>Depreciation!Q8+Depreciation!Q9</f>
        <v>38111900.227695316</v>
      </c>
      <c r="R6" s="4">
        <f>Depreciation!R8+Depreciation!R9</f>
        <v>40718293.613291368</v>
      </c>
      <c r="S6" s="4">
        <f>Depreciation!S8+Depreciation!S9</f>
        <v>43452469.589732409</v>
      </c>
      <c r="T6" s="4">
        <f>Depreciation!T8+Depreciation!T9</f>
        <v>46319937.296005659</v>
      </c>
      <c r="U6" s="4">
        <f>Depreciation!U8+Depreciation!U9</f>
        <v>49326427.606620498</v>
      </c>
      <c r="V6" s="4">
        <f>Depreciation!V8+Depreciation!V9</f>
        <v>52477901.681323603</v>
      </c>
      <c r="W6" s="4">
        <f>Depreciation!W8+Depreciation!W9</f>
        <v>55780559.834938519</v>
      </c>
      <c r="X6" s="4">
        <f>Depreciation!X8+Depreciation!X9</f>
        <v>59240850.739063099</v>
      </c>
      <c r="Y6" s="4">
        <f>Depreciation!Y8+Depreciation!Y9</f>
        <v>62865480.967780679</v>
      </c>
      <c r="Z6" s="4">
        <f>Depreciation!Z8+Depreciation!Z9</f>
        <v>66661424.899979398</v>
      </c>
      <c r="AA6" s="4">
        <f>Depreciation!AA8+Depreciation!AA9</f>
        <v>70635934.991327837</v>
      </c>
      <c r="AB6" s="4">
        <f>Depreciation!AB8+Depreciation!AB9</f>
        <v>74796552.429424971</v>
      </c>
      <c r="AC6" s="4">
        <f>Depreciation!AC8+Depreciation!AC9</f>
        <v>79151118.186129212</v>
      </c>
      <c r="AD6" s="4">
        <f>Depreciation!AD8+Depreciation!AD9</f>
        <v>83707784.481574789</v>
      </c>
      <c r="AE6" s="4">
        <f>Depreciation!AE8+Depreciation!AE9</f>
        <v>88475026.674906284</v>
      </c>
      <c r="AF6" s="4">
        <f>Depreciation!AF8+Depreciation!AF9</f>
        <v>93461655.597301871</v>
      </c>
      <c r="AG6" s="4"/>
      <c r="AH6" s="4"/>
      <c r="AI6" s="4"/>
      <c r="AJ6" s="4"/>
      <c r="AK6" s="4"/>
      <c r="AL6" s="4"/>
      <c r="AM6" s="4"/>
      <c r="AN6" s="4"/>
      <c r="AO6" s="4"/>
      <c r="AP6" s="4"/>
    </row>
    <row r="7" spans="1:42" x14ac:dyDescent="0.35">
      <c r="A7" t="s">
        <v>23</v>
      </c>
      <c r="C7" s="4">
        <f ca="1">C6+C5</f>
        <v>13592099.01608818</v>
      </c>
      <c r="D7" s="4">
        <f ca="1">D6+D5</f>
        <v>24794244.005123757</v>
      </c>
      <c r="E7" s="4">
        <f t="shared" ref="E7:AF7" ca="1" si="1">E6+E5</f>
        <v>32355072.383679789</v>
      </c>
      <c r="F7" s="4">
        <f t="shared" ca="1" si="1"/>
        <v>39254760.771370858</v>
      </c>
      <c r="G7" s="4">
        <f ca="1">G6+G5</f>
        <v>42953611.747060969</v>
      </c>
      <c r="H7" s="4">
        <f t="shared" ca="1" si="1"/>
        <v>47183231.187606499</v>
      </c>
      <c r="I7" s="4">
        <f t="shared" ca="1" si="1"/>
        <v>50363477.859879628</v>
      </c>
      <c r="J7" s="4">
        <f t="shared" ca="1" si="1"/>
        <v>53883217.847715184</v>
      </c>
      <c r="K7" s="4">
        <f t="shared" ca="1" si="1"/>
        <v>57777136.1880721</v>
      </c>
      <c r="L7" s="4">
        <f t="shared" ca="1" si="1"/>
        <v>61070853.143989004</v>
      </c>
      <c r="M7" s="4">
        <f t="shared" ca="1" si="1"/>
        <v>64646372.709664054</v>
      </c>
      <c r="N7" s="4">
        <f t="shared" ca="1" si="1"/>
        <v>67388427.874403283</v>
      </c>
      <c r="O7" s="4">
        <f t="shared" ca="1" si="1"/>
        <v>70294621.568565816</v>
      </c>
      <c r="P7" s="4">
        <f t="shared" ca="1" si="1"/>
        <v>73377253.744911879</v>
      </c>
      <c r="Q7" s="4">
        <f t="shared" ca="1" si="1"/>
        <v>76649528.47254853</v>
      </c>
      <c r="R7" s="4">
        <f t="shared" ca="1" si="1"/>
        <v>80125615.339334622</v>
      </c>
      <c r="S7" s="4">
        <f t="shared" ca="1" si="1"/>
        <v>83820714.737286106</v>
      </c>
      <c r="T7" s="4">
        <f t="shared" ca="1" si="1"/>
        <v>87751127.263551861</v>
      </c>
      <c r="U7" s="4">
        <f t="shared" ca="1" si="1"/>
        <v>91934327.48291406</v>
      </c>
      <c r="V7" s="4">
        <f t="shared" ca="1" si="1"/>
        <v>96389042.311898932</v>
      </c>
      <c r="W7" s="4">
        <f t="shared" ca="1" si="1"/>
        <v>101135334.29950324</v>
      </c>
      <c r="X7" s="4">
        <f t="shared" ca="1" si="1"/>
        <v>106194690.09529482</v>
      </c>
      <c r="Y7" s="4">
        <f t="shared" ca="1" si="1"/>
        <v>111590114.41227454</v>
      </c>
      <c r="Z7" s="4">
        <f t="shared" ca="1" si="1"/>
        <v>117346229.80944149</v>
      </c>
      <c r="AA7" s="4">
        <f t="shared" ca="1" si="1"/>
        <v>123489382.63753423</v>
      </c>
      <c r="AB7" s="4">
        <f t="shared" ca="1" si="1"/>
        <v>130047755.51097846</v>
      </c>
      <c r="AC7" s="4">
        <f t="shared" ca="1" si="1"/>
        <v>134634496.30849907</v>
      </c>
      <c r="AD7" s="4">
        <f t="shared" ca="1" si="1"/>
        <v>139387362.4967705</v>
      </c>
      <c r="AE7" s="4">
        <f t="shared" ca="1" si="1"/>
        <v>143003663.69622618</v>
      </c>
      <c r="AF7" s="4">
        <f t="shared" ca="1" si="1"/>
        <v>146652612.53092188</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48442366.277996995</v>
      </c>
      <c r="D10" s="9">
        <f>Investment!D25</f>
        <v>50884803.748026036</v>
      </c>
      <c r="E10" s="9">
        <f>Investment!E25</f>
        <v>53433952.233068272</v>
      </c>
      <c r="F10" s="9">
        <f>Investment!F25</f>
        <v>56094140.182115234</v>
      </c>
      <c r="G10" s="9">
        <f>Investment!G25</f>
        <v>58869863.792814538</v>
      </c>
      <c r="H10" s="9">
        <f>Investment!H25</f>
        <v>61765793.3150521</v>
      </c>
      <c r="I10" s="9">
        <f>Investment!I25</f>
        <v>64786779.586189032</v>
      </c>
      <c r="J10" s="9">
        <f>Investment!J25</f>
        <v>67937860.806324124</v>
      </c>
      <c r="K10" s="9">
        <f>Investment!K25</f>
        <v>71224269.562251598</v>
      </c>
      <c r="L10" s="9">
        <f>Investment!L25</f>
        <v>74651440.109092757</v>
      </c>
      <c r="M10" s="9">
        <f>Investment!M25</f>
        <v>78225015.918899983</v>
      </c>
      <c r="N10" s="9">
        <f>Investment!N25</f>
        <v>81950857.50586319</v>
      </c>
      <c r="O10" s="9">
        <f>Investment!O25</f>
        <v>85835050.538091078</v>
      </c>
      <c r="P10" s="9">
        <f>Investment!P25</f>
        <v>89883914.246295527</v>
      </c>
      <c r="Q10" s="9">
        <f>Investment!Q25</f>
        <v>94104010.140074059</v>
      </c>
      <c r="R10" s="9">
        <f>Investment!R25</f>
        <v>98502151.04286626</v>
      </c>
      <c r="S10" s="9">
        <f>Investment!S25</f>
        <v>103085410.45705369</v>
      </c>
      <c r="T10" s="9">
        <f>Investment!T25</f>
        <v>107861132.27108122</v>
      </c>
      <c r="U10" s="9">
        <f>Investment!U25</f>
        <v>112836940.82089847</v>
      </c>
      <c r="V10" s="9">
        <f>Investment!V25</f>
        <v>118020751.31845848</v>
      </c>
      <c r="W10" s="9">
        <f>Investment!W25</f>
        <v>123420780.66046172</v>
      </c>
      <c r="X10" s="9">
        <f>Investment!X25</f>
        <v>129045558.63100302</v>
      </c>
      <c r="Y10" s="9">
        <f>Investment!Y25</f>
        <v>134903939.51226267</v>
      </c>
      <c r="Z10" s="9">
        <f>Investment!Z25</f>
        <v>141005114.11788481</v>
      </c>
      <c r="AA10" s="9">
        <f>Investment!AA25</f>
        <v>147358622.26420626</v>
      </c>
      <c r="AB10" s="9">
        <f>Investment!AB25</f>
        <v>153974365.69503549</v>
      </c>
      <c r="AC10" s="9">
        <f>Investment!AC25</f>
        <v>160862621.47623926</v>
      </c>
      <c r="AD10" s="9">
        <f>Investment!AD25</f>
        <v>168034055.87696838</v>
      </c>
      <c r="AE10" s="9">
        <f>Investment!AE25</f>
        <v>175499738.75495246</v>
      </c>
      <c r="AF10" s="9">
        <f>Investment!AF25</f>
        <v>183271158.46390951</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-34850267.261908814</v>
      </c>
      <c r="D12" s="1">
        <f t="shared" ref="D12:AF12" ca="1" si="2">D7-D9-D10</f>
        <v>-26090559.742902279</v>
      </c>
      <c r="E12" s="1">
        <f ca="1">E7-E9-E10</f>
        <v>-21078879.849388484</v>
      </c>
      <c r="F12" s="1">
        <f t="shared" ca="1" si="2"/>
        <v>-16839379.410744376</v>
      </c>
      <c r="G12" s="1">
        <f ca="1">G7-G9-G10</f>
        <v>-15916252.045753568</v>
      </c>
      <c r="H12" s="1">
        <f t="shared" ca="1" si="2"/>
        <v>-14582562.127445601</v>
      </c>
      <c r="I12" s="1">
        <f t="shared" ca="1" si="2"/>
        <v>-14423301.726309404</v>
      </c>
      <c r="J12" s="1">
        <f t="shared" ca="1" si="2"/>
        <v>-14054642.95860894</v>
      </c>
      <c r="K12" s="1">
        <f t="shared" ca="1" si="2"/>
        <v>-13447133.374179497</v>
      </c>
      <c r="L12" s="1">
        <f t="shared" ca="1" si="2"/>
        <v>-13580586.965103753</v>
      </c>
      <c r="M12" s="1">
        <f t="shared" ca="1" si="2"/>
        <v>-13578643.209235929</v>
      </c>
      <c r="N12" s="1">
        <f t="shared" ca="1" si="2"/>
        <v>-14562429.631459907</v>
      </c>
      <c r="O12" s="1">
        <f t="shared" ca="1" si="2"/>
        <v>-15540428.969525263</v>
      </c>
      <c r="P12" s="1">
        <f t="shared" ca="1" si="2"/>
        <v>-16506660.501383647</v>
      </c>
      <c r="Q12" s="1">
        <f t="shared" ca="1" si="2"/>
        <v>-17454481.66752553</v>
      </c>
      <c r="R12" s="1">
        <f t="shared" ca="1" si="2"/>
        <v>-18376535.703531638</v>
      </c>
      <c r="S12" s="1">
        <f t="shared" ca="1" si="2"/>
        <v>-19264695.719767585</v>
      </c>
      <c r="T12" s="1">
        <f t="shared" ca="1" si="2"/>
        <v>-20110005.007529363</v>
      </c>
      <c r="U12" s="1">
        <f t="shared" ca="1" si="2"/>
        <v>-20902613.337984413</v>
      </c>
      <c r="V12" s="1">
        <f t="shared" ca="1" si="2"/>
        <v>-21631709.006559551</v>
      </c>
      <c r="W12" s="1">
        <f t="shared" ca="1" si="2"/>
        <v>-22285446.360958487</v>
      </c>
      <c r="X12" s="1">
        <f t="shared" ca="1" si="2"/>
        <v>-22850868.535708204</v>
      </c>
      <c r="Y12" s="1">
        <f t="shared" ca="1" si="2"/>
        <v>-23313825.099988133</v>
      </c>
      <c r="Z12" s="1">
        <f t="shared" ca="1" si="2"/>
        <v>-23658884.308443323</v>
      </c>
      <c r="AA12" s="1">
        <f t="shared" ca="1" si="2"/>
        <v>-23869239.626672029</v>
      </c>
      <c r="AB12" s="1">
        <f t="shared" ca="1" si="2"/>
        <v>-23926610.184057027</v>
      </c>
      <c r="AC12" s="1">
        <f t="shared" ca="1" si="2"/>
        <v>-26228125.167740196</v>
      </c>
      <c r="AD12" s="1">
        <f t="shared" ca="1" si="2"/>
        <v>-28646693.380197883</v>
      </c>
      <c r="AE12" s="1">
        <f t="shared" ca="1" si="2"/>
        <v>-32496075.058726281</v>
      </c>
      <c r="AF12" s="1">
        <f t="shared" ca="1" si="2"/>
        <v>-36618545.93298763</v>
      </c>
      <c r="AG12" s="1"/>
      <c r="AH12" s="1"/>
      <c r="AI12" s="1"/>
      <c r="AJ12" s="1"/>
      <c r="AK12" s="1"/>
      <c r="AL12" s="1"/>
      <c r="AM12" s="1"/>
      <c r="AN12" s="1"/>
      <c r="AO12" s="1"/>
      <c r="AP12" s="1"/>
    </row>
    <row r="13" spans="1:42" x14ac:dyDescent="0.35">
      <c r="A13" t="s">
        <v>19</v>
      </c>
      <c r="C13" s="1">
        <f ca="1">C12</f>
        <v>-34850267.261908814</v>
      </c>
      <c r="D13" s="1">
        <f ca="1">D12</f>
        <v>-26090559.742902279</v>
      </c>
      <c r="E13" s="1">
        <f ca="1">E12</f>
        <v>-21078879.849388484</v>
      </c>
      <c r="F13" s="1">
        <f t="shared" ref="F13:AF13" ca="1" si="3">F12</f>
        <v>-16839379.410744376</v>
      </c>
      <c r="G13" s="1">
        <f ca="1">G12</f>
        <v>-15916252.045753568</v>
      </c>
      <c r="H13" s="1">
        <f t="shared" ca="1" si="3"/>
        <v>-14582562.127445601</v>
      </c>
      <c r="I13" s="1">
        <f t="shared" ca="1" si="3"/>
        <v>-14423301.726309404</v>
      </c>
      <c r="J13" s="1">
        <f t="shared" ca="1" si="3"/>
        <v>-14054642.95860894</v>
      </c>
      <c r="K13" s="1">
        <f t="shared" ca="1" si="3"/>
        <v>-13447133.374179497</v>
      </c>
      <c r="L13" s="1">
        <f t="shared" ca="1" si="3"/>
        <v>-13580586.965103753</v>
      </c>
      <c r="M13" s="1">
        <f t="shared" ca="1" si="3"/>
        <v>-13578643.209235929</v>
      </c>
      <c r="N13" s="1">
        <f t="shared" ca="1" si="3"/>
        <v>-14562429.631459907</v>
      </c>
      <c r="O13" s="1">
        <f t="shared" ca="1" si="3"/>
        <v>-15540428.969525263</v>
      </c>
      <c r="P13" s="1">
        <f t="shared" ca="1" si="3"/>
        <v>-16506660.501383647</v>
      </c>
      <c r="Q13" s="1">
        <f t="shared" ca="1" si="3"/>
        <v>-17454481.66752553</v>
      </c>
      <c r="R13" s="1">
        <f t="shared" ca="1" si="3"/>
        <v>-18376535.703531638</v>
      </c>
      <c r="S13" s="1">
        <f t="shared" ca="1" si="3"/>
        <v>-19264695.719767585</v>
      </c>
      <c r="T13" s="1">
        <f t="shared" ca="1" si="3"/>
        <v>-20110005.007529363</v>
      </c>
      <c r="U13" s="1">
        <f t="shared" ca="1" si="3"/>
        <v>-20902613.337984413</v>
      </c>
      <c r="V13" s="1">
        <f t="shared" ca="1" si="3"/>
        <v>-21631709.006559551</v>
      </c>
      <c r="W13" s="1">
        <f t="shared" ca="1" si="3"/>
        <v>-22285446.360958487</v>
      </c>
      <c r="X13" s="1">
        <f t="shared" ca="1" si="3"/>
        <v>-22850868.535708204</v>
      </c>
      <c r="Y13" s="1">
        <f t="shared" ca="1" si="3"/>
        <v>-23313825.099988133</v>
      </c>
      <c r="Z13" s="1">
        <f t="shared" ca="1" si="3"/>
        <v>-23658884.308443323</v>
      </c>
      <c r="AA13" s="1">
        <f t="shared" ca="1" si="3"/>
        <v>-23869239.626672029</v>
      </c>
      <c r="AB13" s="1">
        <f t="shared" ca="1" si="3"/>
        <v>-23926610.184057027</v>
      </c>
      <c r="AC13" s="1">
        <f t="shared" ca="1" si="3"/>
        <v>-26228125.167740196</v>
      </c>
      <c r="AD13" s="1">
        <f t="shared" ca="1" si="3"/>
        <v>-28646693.380197883</v>
      </c>
      <c r="AE13" s="1">
        <f t="shared" ca="1" si="3"/>
        <v>-32496075.058726281</v>
      </c>
      <c r="AF13" s="1">
        <f t="shared" ca="1" si="3"/>
        <v>-36618545.93298763</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141</v>
      </c>
      <c r="C6" s="9">
        <f>Assumptions!C17</f>
        <v>789952500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394976250</v>
      </c>
      <c r="D7" s="9">
        <f>C12</f>
        <v>407393028.86144578</v>
      </c>
      <c r="E7" s="9">
        <f>D12</f>
        <v>421099426.39559096</v>
      </c>
      <c r="F7" s="9">
        <f t="shared" ref="F7:H7" si="1">E12</f>
        <v>436165263.41593421</v>
      </c>
      <c r="G7" s="9">
        <f t="shared" si="1"/>
        <v>452663508.6985172</v>
      </c>
      <c r="H7" s="9">
        <f t="shared" si="1"/>
        <v>470670408.95501447</v>
      </c>
      <c r="I7" s="9">
        <f t="shared" ref="I7" si="2">H12</f>
        <v>490265623.90058714</v>
      </c>
      <c r="J7" s="9">
        <f t="shared" ref="J7" si="3">I12</f>
        <v>511532366.60947341</v>
      </c>
      <c r="K7" s="9">
        <f t="shared" ref="K7" si="4">J12</f>
        <v>534557549.35842109</v>
      </c>
      <c r="L7" s="9">
        <f t="shared" ref="L7" si="5">K12</f>
        <v>559431935.16546023</v>
      </c>
      <c r="M7" s="9">
        <f t="shared" ref="M7" si="6">L12</f>
        <v>586250295.23917377</v>
      </c>
      <c r="N7" s="9">
        <f t="shared" ref="N7" si="7">M12</f>
        <v>615111572.5615623</v>
      </c>
      <c r="O7" s="9">
        <f t="shared" ref="O7" si="8">N12</f>
        <v>646119051.83582568</v>
      </c>
      <c r="P7" s="9">
        <f t="shared" ref="P7" si="9">O12</f>
        <v>679380536.03890574</v>
      </c>
      <c r="Q7" s="9">
        <f t="shared" ref="Q7" si="10">P12</f>
        <v>715008529.82746994</v>
      </c>
      <c r="R7" s="9">
        <f t="shared" ref="R7" si="11">Q12</f>
        <v>753120430.05516529</v>
      </c>
      <c r="S7" s="9">
        <f t="shared" ref="S7" si="12">R12</f>
        <v>793838723.66845667</v>
      </c>
      <c r="T7" s="9">
        <f t="shared" ref="T7" si="13">S12</f>
        <v>837291193.25818908</v>
      </c>
      <c r="U7" s="9">
        <f t="shared" ref="U7" si="14">T12</f>
        <v>883611130.55419481</v>
      </c>
      <c r="V7" s="9">
        <f t="shared" ref="V7" si="15">U12</f>
        <v>932937558.16081524</v>
      </c>
      <c r="W7" s="9">
        <f t="shared" ref="W7" si="16">V12</f>
        <v>985415459.84213889</v>
      </c>
      <c r="X7" s="9">
        <f t="shared" ref="X7" si="17">W12</f>
        <v>1041196019.6770774</v>
      </c>
      <c r="Y7" s="9">
        <f t="shared" ref="Y7" si="18">X12</f>
        <v>1100436870.4161406</v>
      </c>
      <c r="Z7" s="9">
        <f t="shared" ref="Z7" si="19">Y12</f>
        <v>1163302351.3839211</v>
      </c>
      <c r="AA7" s="9">
        <f t="shared" ref="AA7" si="20">Z12</f>
        <v>1229963776.2839007</v>
      </c>
      <c r="AB7" s="9">
        <f t="shared" ref="AB7" si="21">AA12</f>
        <v>1300599711.2752285</v>
      </c>
      <c r="AC7" s="9">
        <f t="shared" ref="AC7" si="22">AB12</f>
        <v>1375396263.7046535</v>
      </c>
      <c r="AD7" s="9">
        <f t="shared" ref="AD7" si="23">AC12</f>
        <v>1454547381.8907828</v>
      </c>
      <c r="AE7" s="9">
        <f t="shared" ref="AE7" si="24">AD12</f>
        <v>1538255166.3723576</v>
      </c>
      <c r="AF7" s="9">
        <f t="shared" ref="AF7" si="25">AE12</f>
        <v>1626730193.0472639</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142</v>
      </c>
      <c r="C8" s="9">
        <f>Assumptions!D111*Assumptions!D11</f>
        <v>11552164.763448544</v>
      </c>
      <c r="D8" s="9">
        <f>Assumptions!E111*Assumptions!E11</f>
        <v>11921834.035878895</v>
      </c>
      <c r="E8" s="9">
        <f>Assumptions!F111*Assumptions!F11</f>
        <v>12303332.725027019</v>
      </c>
      <c r="F8" s="9">
        <f>Assumptions!G111*Assumptions!G11</f>
        <v>12697039.372227885</v>
      </c>
      <c r="G8" s="9">
        <f>Assumptions!H111*Assumptions!H11</f>
        <v>13103344.632139178</v>
      </c>
      <c r="H8" s="9">
        <f>Assumptions!I111*Assumptions!I11</f>
        <v>13522651.66036763</v>
      </c>
      <c r="I8" s="9">
        <f>Assumptions!J111*Assumptions!J11</f>
        <v>13955376.513499392</v>
      </c>
      <c r="J8" s="9">
        <f>Assumptions!K111*Assumptions!K11</f>
        <v>14401948.561931375</v>
      </c>
      <c r="K8" s="9">
        <f>Assumptions!L111*Assumptions!L11</f>
        <v>14862810.91591318</v>
      </c>
      <c r="L8" s="9">
        <f>Assumptions!M111*Assumptions!M11</f>
        <v>15338420.8652224</v>
      </c>
      <c r="M8" s="9">
        <f>Assumptions!N111*Assumptions!N11</f>
        <v>15829250.332909517</v>
      </c>
      <c r="N8" s="9">
        <f>Assumptions!O111*Assumptions!O11</f>
        <v>16335786.343562622</v>
      </c>
      <c r="O8" s="9">
        <f>Assumptions!P111*Assumptions!P11</f>
        <v>16858531.506556626</v>
      </c>
      <c r="P8" s="9">
        <f>Assumptions!Q111*Assumptions!Q11</f>
        <v>17398004.514766436</v>
      </c>
      <c r="Q8" s="9">
        <f>Assumptions!R111*Assumptions!R11</f>
        <v>17954740.659238961</v>
      </c>
      <c r="R8" s="9">
        <f>Assumptions!S111*Assumptions!S11</f>
        <v>18529292.360334609</v>
      </c>
      <c r="S8" s="9">
        <f>Assumptions!T111*Assumptions!T11</f>
        <v>19122229.715865318</v>
      </c>
      <c r="T8" s="9">
        <f>Assumptions!U111*Assumptions!U11</f>
        <v>19734141.066773009</v>
      </c>
      <c r="U8" s="9">
        <f>Assumptions!V111*Assumptions!V11</f>
        <v>20365633.58090974</v>
      </c>
      <c r="V8" s="9">
        <f>Assumptions!W111*Assumptions!W11</f>
        <v>21017333.855498854</v>
      </c>
      <c r="W8" s="9">
        <f>Assumptions!X111*Assumptions!X11</f>
        <v>21689888.53887482</v>
      </c>
      <c r="X8" s="9">
        <f>Assumptions!Y111*Assumptions!Y11</f>
        <v>22383964.972118814</v>
      </c>
      <c r="Y8" s="9">
        <f>Assumptions!Z111*Assumptions!Z11</f>
        <v>23100251.851226609</v>
      </c>
      <c r="Z8" s="9">
        <f>Assumptions!AA111*Assumptions!AA11</f>
        <v>23839459.910465863</v>
      </c>
      <c r="AA8" s="9">
        <f>Assumptions!AB111*Assumptions!AB11</f>
        <v>24602322.627600778</v>
      </c>
      <c r="AB8" s="9">
        <f>Assumptions!AC111*Assumptions!AC11</f>
        <v>25389596.951683998</v>
      </c>
      <c r="AC8" s="9">
        <f>Assumptions!AD111*Assumptions!AD11</f>
        <v>26202064.054137882</v>
      </c>
      <c r="AD8" s="9">
        <f>Assumptions!AE111*Assumptions!AE11</f>
        <v>27040530.103870299</v>
      </c>
      <c r="AE8" s="9">
        <f>Assumptions!AF111*Assumptions!AF11</f>
        <v>27905827.067194149</v>
      </c>
      <c r="AF8" s="9">
        <f>Assumptions!AG111*Assumptions!AG11</f>
        <v>28798813.533344354</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864614.09799722943</v>
      </c>
      <c r="D9" s="9">
        <f>Assumptions!E120*Assumptions!E11</f>
        <v>1784563.4982662813</v>
      </c>
      <c r="E9" s="9">
        <f>Assumptions!F120*Assumptions!F11</f>
        <v>2762504.2953162035</v>
      </c>
      <c r="F9" s="9">
        <f>Assumptions!G120*Assumptions!G11</f>
        <v>3801205.9103550958</v>
      </c>
      <c r="G9" s="9">
        <f>Assumptions!H120*Assumptions!H11</f>
        <v>4903555.6243580747</v>
      </c>
      <c r="H9" s="9">
        <f>Assumptions!I120*Assumptions!I11</f>
        <v>6072563.2852050392</v>
      </c>
      <c r="I9" s="9">
        <f>Assumptions!J120*Assumptions!J11</f>
        <v>7311366.1953868661</v>
      </c>
      <c r="J9" s="9">
        <f>Assumptions!K120*Assumptions!K11</f>
        <v>8623234.1870162822</v>
      </c>
      <c r="K9" s="9">
        <f>Assumptions!L120*Assumptions!L11</f>
        <v>10011574.891125906</v>
      </c>
      <c r="L9" s="9">
        <f>Assumptions!M120*Assumptions!M11</f>
        <v>11479939.208491039</v>
      </c>
      <c r="M9" s="9">
        <f>Assumptions!N120*Assumptions!N11</f>
        <v>13032026.989479026</v>
      </c>
      <c r="N9" s="9">
        <f>Assumptions!O120*Assumptions!O11</f>
        <v>14671692.930700751</v>
      </c>
      <c r="O9" s="9">
        <f>Assumptions!P120*Assumptions!P11</f>
        <v>16402952.696523439</v>
      </c>
      <c r="P9" s="9">
        <f>Assumptions!Q120*Assumptions!Q11</f>
        <v>18229989.273797739</v>
      </c>
      <c r="Q9" s="9">
        <f>Assumptions!R120*Assumptions!R11</f>
        <v>20157159.568456355</v>
      </c>
      <c r="R9" s="9">
        <f>Assumptions!S120*Assumptions!S11</f>
        <v>22189001.252956759</v>
      </c>
      <c r="S9" s="9">
        <f>Assumptions!T120*Assumptions!T11</f>
        <v>24330239.873867087</v>
      </c>
      <c r="T9" s="9">
        <f>Assumptions!U120*Assumptions!U11</f>
        <v>26585796.22923265</v>
      </c>
      <c r="U9" s="9">
        <f>Assumptions!V120*Assumptions!V11</f>
        <v>28960794.025710758</v>
      </c>
      <c r="V9" s="9">
        <f>Assumptions!W120*Assumptions!W11</f>
        <v>31460567.825824749</v>
      </c>
      <c r="W9" s="9">
        <f>Assumptions!X120*Assumptions!X11</f>
        <v>34090671.296063699</v>
      </c>
      <c r="X9" s="9">
        <f>Assumptions!Y120*Assumptions!Y11</f>
        <v>36856885.766944289</v>
      </c>
      <c r="Y9" s="9">
        <f>Assumptions!Z120*Assumptions!Z11</f>
        <v>39765229.116554074</v>
      </c>
      <c r="Z9" s="9">
        <f>Assumptions!AA120*Assumptions!AA11</f>
        <v>42821964.989513539</v>
      </c>
      <c r="AA9" s="9">
        <f>Assumptions!AB120*Assumptions!AB11</f>
        <v>46033612.363727055</v>
      </c>
      <c r="AB9" s="9">
        <f>Assumptions!AC120*Assumptions!AC11</f>
        <v>49406955.477740966</v>
      </c>
      <c r="AC9" s="9">
        <f>Assumptions!AD120*Assumptions!AD11</f>
        <v>52949054.131991327</v>
      </c>
      <c r="AD9" s="9">
        <f>Assumptions!AE120*Assumptions!AE11</f>
        <v>56667254.377704494</v>
      </c>
      <c r="AE9" s="9">
        <f>Assumptions!AF120*Assumptions!AF11</f>
        <v>60569199.607712142</v>
      </c>
      <c r="AF9" s="9">
        <f>Assumptions!AG120*Assumptions!AG11</f>
        <v>64662842.063957512</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12416778.861445773</v>
      </c>
      <c r="D10" s="9">
        <f>SUM($C$8:D9)</f>
        <v>26123176.39559095</v>
      </c>
      <c r="E10" s="9">
        <f>SUM($C$8:E9)</f>
        <v>41189013.415934168</v>
      </c>
      <c r="F10" s="9">
        <f>SUM($C$8:F9)</f>
        <v>57687258.698517151</v>
      </c>
      <c r="G10" s="9">
        <f>SUM($C$8:G9)</f>
        <v>75694158.955014393</v>
      </c>
      <c r="H10" s="9">
        <f>SUM($C$8:H9)</f>
        <v>95289373.900587067</v>
      </c>
      <c r="I10" s="9">
        <f>SUM($C$8:I9)</f>
        <v>116556116.60947333</v>
      </c>
      <c r="J10" s="9">
        <f>SUM($C$8:J9)</f>
        <v>139581299.358421</v>
      </c>
      <c r="K10" s="9">
        <f>SUM($C$8:K9)</f>
        <v>164455685.16546008</v>
      </c>
      <c r="L10" s="9">
        <f>SUM($C$8:L9)</f>
        <v>191274045.23917347</v>
      </c>
      <c r="M10" s="9">
        <f>SUM($C$8:M9)</f>
        <v>220135322.56156203</v>
      </c>
      <c r="N10" s="9">
        <f>SUM($C$8:N9)</f>
        <v>251142801.83582541</v>
      </c>
      <c r="O10" s="9">
        <f>SUM($C$8:O9)</f>
        <v>284404286.0389055</v>
      </c>
      <c r="P10" s="9">
        <f>SUM($C$8:P9)</f>
        <v>320032279.82746965</v>
      </c>
      <c r="Q10" s="9">
        <f>SUM($C$8:Q9)</f>
        <v>358144180.05516499</v>
      </c>
      <c r="R10" s="9">
        <f>SUM($C$8:R9)</f>
        <v>398862473.66845632</v>
      </c>
      <c r="S10" s="9">
        <f>SUM($C$8:S9)</f>
        <v>442314943.25818878</v>
      </c>
      <c r="T10" s="9">
        <f>SUM($C$8:T9)</f>
        <v>488634880.55419451</v>
      </c>
      <c r="U10" s="9">
        <f>SUM($C$8:U9)</f>
        <v>537961308.160815</v>
      </c>
      <c r="V10" s="9">
        <f>SUM($C$8:V9)</f>
        <v>590439209.84213853</v>
      </c>
      <c r="W10" s="9">
        <f>SUM($C$8:W9)</f>
        <v>646219769.67707694</v>
      </c>
      <c r="X10" s="9">
        <f>SUM($C$8:X9)</f>
        <v>705460620.41614008</v>
      </c>
      <c r="Y10" s="9">
        <f>SUM($C$8:Y9)</f>
        <v>768326101.38392067</v>
      </c>
      <c r="Z10" s="9">
        <f>SUM($C$8:Z9)</f>
        <v>834987526.28390002</v>
      </c>
      <c r="AA10" s="9">
        <f>SUM($C$8:AA9)</f>
        <v>905623461.2752279</v>
      </c>
      <c r="AB10" s="9">
        <f>SUM($C$8:AB9)</f>
        <v>980420013.70465291</v>
      </c>
      <c r="AC10" s="9">
        <f>SUM($C$8:AC9)</f>
        <v>1059571131.8907824</v>
      </c>
      <c r="AD10" s="9">
        <f>SUM($C$8:AD9)</f>
        <v>1143278916.3723569</v>
      </c>
      <c r="AE10" s="9">
        <f>SUM($C$8:AE9)</f>
        <v>1231753943.0472629</v>
      </c>
      <c r="AF10" s="9">
        <f>SUM($C$8:AF9)</f>
        <v>1325215598.6445649</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407393028.86144578</v>
      </c>
      <c r="D12" s="9">
        <f>D7+D8+D9</f>
        <v>421099426.39559096</v>
      </c>
      <c r="E12" s="9">
        <f>E7+E8+E9</f>
        <v>436165263.41593421</v>
      </c>
      <c r="F12" s="9">
        <f t="shared" ref="F12:H12" si="26">F7+F8+F9</f>
        <v>452663508.6985172</v>
      </c>
      <c r="G12" s="9">
        <f t="shared" si="26"/>
        <v>470670408.95501447</v>
      </c>
      <c r="H12" s="9">
        <f t="shared" si="26"/>
        <v>490265623.90058714</v>
      </c>
      <c r="I12" s="9">
        <f t="shared" ref="I12:AF12" si="27">I7+I8+I9</f>
        <v>511532366.60947341</v>
      </c>
      <c r="J12" s="9">
        <f t="shared" si="27"/>
        <v>534557549.35842109</v>
      </c>
      <c r="K12" s="9">
        <f t="shared" si="27"/>
        <v>559431935.16546023</v>
      </c>
      <c r="L12" s="9">
        <f t="shared" si="27"/>
        <v>586250295.23917377</v>
      </c>
      <c r="M12" s="9">
        <f t="shared" si="27"/>
        <v>615111572.5615623</v>
      </c>
      <c r="N12" s="9">
        <f t="shared" si="27"/>
        <v>646119051.83582568</v>
      </c>
      <c r="O12" s="9">
        <f t="shared" si="27"/>
        <v>679380536.03890574</v>
      </c>
      <c r="P12" s="9">
        <f t="shared" si="27"/>
        <v>715008529.82746994</v>
      </c>
      <c r="Q12" s="9">
        <f t="shared" si="27"/>
        <v>753120430.05516529</v>
      </c>
      <c r="R12" s="9">
        <f t="shared" si="27"/>
        <v>793838723.66845667</v>
      </c>
      <c r="S12" s="9">
        <f t="shared" si="27"/>
        <v>837291193.25818908</v>
      </c>
      <c r="T12" s="9">
        <f t="shared" si="27"/>
        <v>883611130.55419481</v>
      </c>
      <c r="U12" s="9">
        <f t="shared" si="27"/>
        <v>932937558.16081524</v>
      </c>
      <c r="V12" s="9">
        <f t="shared" si="27"/>
        <v>985415459.84213889</v>
      </c>
      <c r="W12" s="9">
        <f t="shared" si="27"/>
        <v>1041196019.6770774</v>
      </c>
      <c r="X12" s="9">
        <f t="shared" si="27"/>
        <v>1100436870.4161406</v>
      </c>
      <c r="Y12" s="9">
        <f t="shared" si="27"/>
        <v>1163302351.3839211</v>
      </c>
      <c r="Z12" s="9">
        <f t="shared" si="27"/>
        <v>1229963776.2839007</v>
      </c>
      <c r="AA12" s="9">
        <f t="shared" si="27"/>
        <v>1300599711.2752285</v>
      </c>
      <c r="AB12" s="9">
        <f t="shared" si="27"/>
        <v>1375396263.7046535</v>
      </c>
      <c r="AC12" s="9">
        <f t="shared" si="27"/>
        <v>1454547381.8907828</v>
      </c>
      <c r="AD12" s="9">
        <f t="shared" si="27"/>
        <v>1538255166.3723576</v>
      </c>
      <c r="AE12" s="9">
        <f t="shared" si="27"/>
        <v>1626730193.0472639</v>
      </c>
      <c r="AF12" s="9">
        <f t="shared" si="27"/>
        <v>1720191848.6445656</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48442366.277996995</v>
      </c>
      <c r="D18" s="9">
        <f>Investment!D25</f>
        <v>50884803.748026036</v>
      </c>
      <c r="E18" s="9">
        <f>Investment!E25</f>
        <v>53433952.233068272</v>
      </c>
      <c r="F18" s="9">
        <f>Investment!F25</f>
        <v>56094140.182115234</v>
      </c>
      <c r="G18" s="9">
        <f>Investment!G25</f>
        <v>58869863.792814538</v>
      </c>
      <c r="H18" s="9">
        <f>Investment!H25</f>
        <v>61765793.3150521</v>
      </c>
      <c r="I18" s="9">
        <f>Investment!I25</f>
        <v>64786779.586189032</v>
      </c>
      <c r="J18" s="9">
        <f>Investment!J25</f>
        <v>67937860.806324124</v>
      </c>
      <c r="K18" s="9">
        <f>Investment!K25</f>
        <v>71224269.562251598</v>
      </c>
      <c r="L18" s="9">
        <f>Investment!L25</f>
        <v>74651440.109092757</v>
      </c>
      <c r="M18" s="9">
        <f>Investment!M25</f>
        <v>78225015.918899983</v>
      </c>
      <c r="N18" s="9">
        <f>Investment!N25</f>
        <v>81950857.50586319</v>
      </c>
      <c r="O18" s="9">
        <f>Investment!O25</f>
        <v>85835050.538091078</v>
      </c>
      <c r="P18" s="9">
        <f>Investment!P25</f>
        <v>89883914.246295527</v>
      </c>
      <c r="Q18" s="9">
        <f>Investment!Q25</f>
        <v>94104010.140074059</v>
      </c>
      <c r="R18" s="9">
        <f>Investment!R25</f>
        <v>98502151.04286626</v>
      </c>
      <c r="S18" s="9">
        <f>Investment!S25</f>
        <v>103085410.45705369</v>
      </c>
      <c r="T18" s="9">
        <f>Investment!T25</f>
        <v>107861132.27108122</v>
      </c>
      <c r="U18" s="9">
        <f>Investment!U25</f>
        <v>112836940.82089847</v>
      </c>
      <c r="V18" s="9">
        <f>Investment!V25</f>
        <v>118020751.31845848</v>
      </c>
      <c r="W18" s="9">
        <f>Investment!W25</f>
        <v>123420780.66046172</v>
      </c>
      <c r="X18" s="9">
        <f>Investment!X25</f>
        <v>129045558.63100302</v>
      </c>
      <c r="Y18" s="9">
        <f>Investment!Y25</f>
        <v>134903939.51226267</v>
      </c>
      <c r="Z18" s="9">
        <f>Investment!Z25</f>
        <v>141005114.11788481</v>
      </c>
      <c r="AA18" s="9">
        <f>Investment!AA25</f>
        <v>147358622.26420626</v>
      </c>
      <c r="AB18" s="9">
        <f>Investment!AB25</f>
        <v>153974365.69503549</v>
      </c>
      <c r="AC18" s="9">
        <f>Investment!AC25</f>
        <v>160862621.47623926</v>
      </c>
      <c r="AD18" s="9">
        <f>Investment!AD25</f>
        <v>168034055.87696838</v>
      </c>
      <c r="AE18" s="9">
        <f>Investment!AE25</f>
        <v>175499738.75495246</v>
      </c>
      <c r="AF18" s="9">
        <f>Investment!AF25</f>
        <v>183271158.46390951</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443418616.27799702</v>
      </c>
      <c r="D19" s="9">
        <f>D18+C20</f>
        <v>481886641.16457725</v>
      </c>
      <c r="E19" s="9">
        <f>E18+D20</f>
        <v>521614195.86350036</v>
      </c>
      <c r="F19" s="9">
        <f t="shared" ref="F19:AF19" si="28">F18+E20</f>
        <v>562642499.02527237</v>
      </c>
      <c r="G19" s="9">
        <f t="shared" si="28"/>
        <v>605014117.53550386</v>
      </c>
      <c r="H19" s="9">
        <f t="shared" si="28"/>
        <v>648773010.59405875</v>
      </c>
      <c r="I19" s="9">
        <f t="shared" si="28"/>
        <v>693964575.23467517</v>
      </c>
      <c r="J19" s="9">
        <f t="shared" si="28"/>
        <v>740635693.33211303</v>
      </c>
      <c r="K19" s="9">
        <f t="shared" si="28"/>
        <v>788834780.14541698</v>
      </c>
      <c r="L19" s="9">
        <f t="shared" si="28"/>
        <v>838611834.44747055</v>
      </c>
      <c r="M19" s="9">
        <f t="shared" si="28"/>
        <v>890018490.29265702</v>
      </c>
      <c r="N19" s="9">
        <f t="shared" si="28"/>
        <v>943108070.47613168</v>
      </c>
      <c r="O19" s="9">
        <f t="shared" si="28"/>
        <v>997935641.73995936</v>
      </c>
      <c r="P19" s="9">
        <f t="shared" si="28"/>
        <v>1054558071.7831749</v>
      </c>
      <c r="Q19" s="9">
        <f t="shared" si="28"/>
        <v>1113034088.1346848</v>
      </c>
      <c r="R19" s="9">
        <f t="shared" si="28"/>
        <v>1173424338.9498556</v>
      </c>
      <c r="S19" s="9">
        <f t="shared" si="28"/>
        <v>1235791455.7936177</v>
      </c>
      <c r="T19" s="9">
        <f t="shared" si="28"/>
        <v>1300200118.4749665</v>
      </c>
      <c r="U19" s="9">
        <f t="shared" si="28"/>
        <v>1366717121.9998596</v>
      </c>
      <c r="V19" s="9">
        <f t="shared" si="28"/>
        <v>1435411445.7116976</v>
      </c>
      <c r="W19" s="9">
        <f t="shared" si="28"/>
        <v>1506354324.6908357</v>
      </c>
      <c r="X19" s="9">
        <f t="shared" si="28"/>
        <v>1579619323.4869003</v>
      </c>
      <c r="Y19" s="9">
        <f t="shared" si="28"/>
        <v>1655282412.2600996</v>
      </c>
      <c r="Z19" s="9">
        <f t="shared" si="28"/>
        <v>1733422045.4102039</v>
      </c>
      <c r="AA19" s="9">
        <f t="shared" si="28"/>
        <v>1814119242.7744305</v>
      </c>
      <c r="AB19" s="9">
        <f t="shared" si="28"/>
        <v>1897457673.4781382</v>
      </c>
      <c r="AC19" s="9">
        <f t="shared" si="28"/>
        <v>1983523742.5249524</v>
      </c>
      <c r="AD19" s="9">
        <f t="shared" si="28"/>
        <v>2072406680.2157915</v>
      </c>
      <c r="AE19" s="9">
        <f t="shared" si="28"/>
        <v>2164198634.4891691</v>
      </c>
      <c r="AF19" s="9">
        <f t="shared" si="28"/>
        <v>2258994766.2781725</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431001837.41655123</v>
      </c>
      <c r="D20" s="9">
        <f>D19-D8-D9</f>
        <v>468180243.63043207</v>
      </c>
      <c r="E20" s="9">
        <f t="shared" ref="E20:AF20" si="29">E19-E8-E9</f>
        <v>506548358.84315711</v>
      </c>
      <c r="F20" s="9">
        <f t="shared" si="29"/>
        <v>546144253.74268937</v>
      </c>
      <c r="G20" s="9">
        <f t="shared" si="29"/>
        <v>587007217.2790066</v>
      </c>
      <c r="H20" s="9">
        <f t="shared" si="29"/>
        <v>629177795.64848614</v>
      </c>
      <c r="I20" s="9">
        <f t="shared" si="29"/>
        <v>672697832.5257889</v>
      </c>
      <c r="J20" s="9">
        <f t="shared" si="29"/>
        <v>717610510.58316541</v>
      </c>
      <c r="K20" s="9">
        <f t="shared" si="29"/>
        <v>763960394.33837783</v>
      </c>
      <c r="L20" s="9">
        <f t="shared" si="29"/>
        <v>811793474.373757</v>
      </c>
      <c r="M20" s="9">
        <f t="shared" si="29"/>
        <v>861157212.97026849</v>
      </c>
      <c r="N20" s="9">
        <f t="shared" si="29"/>
        <v>912100591.2018683</v>
      </c>
      <c r="O20" s="9">
        <f t="shared" si="29"/>
        <v>964674157.5368793</v>
      </c>
      <c r="P20" s="9">
        <f t="shared" si="29"/>
        <v>1018930077.9946107</v>
      </c>
      <c r="Q20" s="9">
        <f t="shared" si="29"/>
        <v>1074922187.9069893</v>
      </c>
      <c r="R20" s="9">
        <f t="shared" si="29"/>
        <v>1132706045.3365641</v>
      </c>
      <c r="S20" s="9">
        <f t="shared" si="29"/>
        <v>1192338986.2038853</v>
      </c>
      <c r="T20" s="9">
        <f t="shared" si="29"/>
        <v>1253880181.178961</v>
      </c>
      <c r="U20" s="9">
        <f t="shared" si="29"/>
        <v>1317390694.393239</v>
      </c>
      <c r="V20" s="9">
        <f t="shared" si="29"/>
        <v>1382933544.0303741</v>
      </c>
      <c r="W20" s="9">
        <f t="shared" si="29"/>
        <v>1450573764.8558972</v>
      </c>
      <c r="X20" s="9">
        <f t="shared" si="29"/>
        <v>1520378472.7478371</v>
      </c>
      <c r="Y20" s="9">
        <f t="shared" si="29"/>
        <v>1592416931.2923191</v>
      </c>
      <c r="Z20" s="9">
        <f t="shared" si="29"/>
        <v>1666760620.5102243</v>
      </c>
      <c r="AA20" s="9">
        <f t="shared" si="29"/>
        <v>1743483307.7831028</v>
      </c>
      <c r="AB20" s="9">
        <f t="shared" si="29"/>
        <v>1822661121.0487132</v>
      </c>
      <c r="AC20" s="9">
        <f t="shared" si="29"/>
        <v>1904372624.3388231</v>
      </c>
      <c r="AD20" s="9">
        <f t="shared" si="29"/>
        <v>1988698895.7342167</v>
      </c>
      <c r="AE20" s="9">
        <f t="shared" si="29"/>
        <v>2075723607.8142629</v>
      </c>
      <c r="AF20" s="9">
        <f t="shared" si="29"/>
        <v>2165533110.6808705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80869000</v>
      </c>
      <c r="D22" s="9">
        <f ca="1">'Balance Sheet'!C11</f>
        <v>115719267.26190881</v>
      </c>
      <c r="E22" s="9">
        <f ca="1">'Balance Sheet'!D11</f>
        <v>141809827.00481111</v>
      </c>
      <c r="F22" s="9">
        <f ca="1">'Balance Sheet'!E11</f>
        <v>162888706.85419959</v>
      </c>
      <c r="G22" s="9">
        <f ca="1">'Balance Sheet'!F11</f>
        <v>179728086.26494396</v>
      </c>
      <c r="H22" s="9">
        <f ca="1">'Balance Sheet'!G11</f>
        <v>195644338.31069753</v>
      </c>
      <c r="I22" s="9">
        <f ca="1">'Balance Sheet'!H11</f>
        <v>210226900.43814313</v>
      </c>
      <c r="J22" s="9">
        <f ca="1">'Balance Sheet'!I11</f>
        <v>224650202.16445255</v>
      </c>
      <c r="K22" s="9">
        <f ca="1">'Balance Sheet'!J11</f>
        <v>238704845.12306148</v>
      </c>
      <c r="L22" s="9">
        <f ca="1">'Balance Sheet'!K11</f>
        <v>252151978.49724096</v>
      </c>
      <c r="M22" s="9">
        <f ca="1">'Balance Sheet'!L11</f>
        <v>265732565.46234471</v>
      </c>
      <c r="N22" s="9">
        <f ca="1">'Balance Sheet'!M11</f>
        <v>279311208.67158061</v>
      </c>
      <c r="O22" s="9">
        <f ca="1">'Balance Sheet'!N11</f>
        <v>293873638.3030405</v>
      </c>
      <c r="P22" s="9">
        <f ca="1">'Balance Sheet'!O11</f>
        <v>309414067.27256578</v>
      </c>
      <c r="Q22" s="9">
        <f ca="1">'Balance Sheet'!P11</f>
        <v>325920727.77394944</v>
      </c>
      <c r="R22" s="9">
        <f ca="1">'Balance Sheet'!Q11</f>
        <v>343375209.44147497</v>
      </c>
      <c r="S22" s="9">
        <f ca="1">'Balance Sheet'!R11</f>
        <v>361751745.1450066</v>
      </c>
      <c r="T22" s="9">
        <f ca="1">'Balance Sheet'!S11</f>
        <v>381016440.86477417</v>
      </c>
      <c r="U22" s="9">
        <f ca="1">'Balance Sheet'!T11</f>
        <v>401126445.87230355</v>
      </c>
      <c r="V22" s="9">
        <f ca="1">'Balance Sheet'!U11</f>
        <v>422029059.21028793</v>
      </c>
      <c r="W22" s="9">
        <f ca="1">'Balance Sheet'!V11</f>
        <v>443660768.21684748</v>
      </c>
      <c r="X22" s="9">
        <f ca="1">'Balance Sheet'!W11</f>
        <v>465946214.577806</v>
      </c>
      <c r="Y22" s="9">
        <f ca="1">'Balance Sheet'!X11</f>
        <v>488797083.11351418</v>
      </c>
      <c r="Z22" s="9">
        <f ca="1">'Balance Sheet'!Y11</f>
        <v>512110908.21350229</v>
      </c>
      <c r="AA22" s="9">
        <f ca="1">'Balance Sheet'!Z11</f>
        <v>535769792.5219456</v>
      </c>
      <c r="AB22" s="9">
        <f ca="1">'Balance Sheet'!AA11</f>
        <v>559639032.14861763</v>
      </c>
      <c r="AC22" s="9">
        <f ca="1">'Balance Sheet'!AB11</f>
        <v>583565642.33267462</v>
      </c>
      <c r="AD22" s="9">
        <f ca="1">'Balance Sheet'!AC11</f>
        <v>609793767.50041485</v>
      </c>
      <c r="AE22" s="9">
        <f ca="1">'Balance Sheet'!AD11</f>
        <v>638440460.88061273</v>
      </c>
      <c r="AF22" s="9">
        <f ca="1">'Balance Sheet'!AE11</f>
        <v>670936535.93933904</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350132837.41655123</v>
      </c>
      <c r="D23" s="9">
        <f t="shared" ref="D23:AF23" ca="1" si="30">D20-D22</f>
        <v>352460976.36852324</v>
      </c>
      <c r="E23" s="9">
        <f t="shared" ca="1" si="30"/>
        <v>364738531.838346</v>
      </c>
      <c r="F23" s="9">
        <f t="shared" ca="1" si="30"/>
        <v>383255546.88848978</v>
      </c>
      <c r="G23" s="9">
        <f t="shared" ca="1" si="30"/>
        <v>407279131.01406264</v>
      </c>
      <c r="H23" s="9">
        <f t="shared" ca="1" si="30"/>
        <v>433533457.33778858</v>
      </c>
      <c r="I23" s="9">
        <f t="shared" ca="1" si="30"/>
        <v>462470932.08764577</v>
      </c>
      <c r="J23" s="9">
        <f ca="1">J20-J22</f>
        <v>492960308.41871285</v>
      </c>
      <c r="K23" s="9">
        <f t="shared" ca="1" si="30"/>
        <v>525255549.21531636</v>
      </c>
      <c r="L23" s="9">
        <f t="shared" ca="1" si="30"/>
        <v>559641495.8765161</v>
      </c>
      <c r="M23" s="9">
        <f t="shared" ca="1" si="30"/>
        <v>595424647.50792384</v>
      </c>
      <c r="N23" s="9">
        <f t="shared" ca="1" si="30"/>
        <v>632789382.53028774</v>
      </c>
      <c r="O23" s="9">
        <f t="shared" ca="1" si="30"/>
        <v>670800519.2338388</v>
      </c>
      <c r="P23" s="9">
        <f t="shared" ca="1" si="30"/>
        <v>709516010.72204494</v>
      </c>
      <c r="Q23" s="9">
        <f t="shared" ca="1" si="30"/>
        <v>749001460.13303995</v>
      </c>
      <c r="R23" s="9">
        <f t="shared" ca="1" si="30"/>
        <v>789330835.89508915</v>
      </c>
      <c r="S23" s="9">
        <f t="shared" ca="1" si="30"/>
        <v>830587241.05887866</v>
      </c>
      <c r="T23" s="9">
        <f t="shared" ca="1" si="30"/>
        <v>872863740.31418681</v>
      </c>
      <c r="U23" s="9">
        <f t="shared" ca="1" si="30"/>
        <v>916264248.52093554</v>
      </c>
      <c r="V23" s="9">
        <f t="shared" ca="1" si="30"/>
        <v>960904484.82008612</v>
      </c>
      <c r="W23" s="9">
        <f t="shared" ca="1" si="30"/>
        <v>1006912996.6390498</v>
      </c>
      <c r="X23" s="9">
        <f t="shared" ca="1" si="30"/>
        <v>1054432258.1700311</v>
      </c>
      <c r="Y23" s="9">
        <f t="shared" ca="1" si="30"/>
        <v>1103619848.1788049</v>
      </c>
      <c r="Z23" s="9">
        <f t="shared" ca="1" si="30"/>
        <v>1154649712.2967219</v>
      </c>
      <c r="AA23" s="9">
        <f t="shared" ca="1" si="30"/>
        <v>1207713515.261157</v>
      </c>
      <c r="AB23" s="9">
        <f t="shared" ca="1" si="30"/>
        <v>1263022088.9000955</v>
      </c>
      <c r="AC23" s="9">
        <f t="shared" ca="1" si="30"/>
        <v>1320806982.0061483</v>
      </c>
      <c r="AD23" s="9">
        <f t="shared" ca="1" si="30"/>
        <v>1378905128.2338018</v>
      </c>
      <c r="AE23" s="9">
        <f t="shared" ca="1" si="30"/>
        <v>1437283146.93365</v>
      </c>
      <c r="AF23" s="9">
        <f t="shared" ca="1" si="30"/>
        <v>1494596574.7415314</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168</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80869000</v>
      </c>
      <c r="D5" s="1">
        <f ca="1">C5+C6</f>
        <v>115719267.26190881</v>
      </c>
      <c r="E5" s="1">
        <f t="shared" ref="E5:AF5" ca="1" si="1">D5+D6</f>
        <v>141809827.00481111</v>
      </c>
      <c r="F5" s="1">
        <f t="shared" ca="1" si="1"/>
        <v>162888706.85419959</v>
      </c>
      <c r="G5" s="1">
        <f t="shared" ca="1" si="1"/>
        <v>179728086.26494396</v>
      </c>
      <c r="H5" s="1">
        <f t="shared" ca="1" si="1"/>
        <v>195644338.31069753</v>
      </c>
      <c r="I5" s="1">
        <f t="shared" ca="1" si="1"/>
        <v>210226900.43814313</v>
      </c>
      <c r="J5" s="1">
        <f t="shared" ca="1" si="1"/>
        <v>224650202.16445255</v>
      </c>
      <c r="K5" s="1">
        <f t="shared" ca="1" si="1"/>
        <v>238704845.12306148</v>
      </c>
      <c r="L5" s="1">
        <f t="shared" ca="1" si="1"/>
        <v>252151978.49724096</v>
      </c>
      <c r="M5" s="1">
        <f t="shared" ca="1" si="1"/>
        <v>265732565.46234471</v>
      </c>
      <c r="N5" s="1">
        <f t="shared" ca="1" si="1"/>
        <v>279311208.67158061</v>
      </c>
      <c r="O5" s="1">
        <f t="shared" ca="1" si="1"/>
        <v>293873638.3030405</v>
      </c>
      <c r="P5" s="1">
        <f t="shared" ca="1" si="1"/>
        <v>309414067.27256578</v>
      </c>
      <c r="Q5" s="1">
        <f t="shared" ca="1" si="1"/>
        <v>325920727.77394944</v>
      </c>
      <c r="R5" s="1">
        <f t="shared" ca="1" si="1"/>
        <v>343375209.44147497</v>
      </c>
      <c r="S5" s="1">
        <f t="shared" ca="1" si="1"/>
        <v>361751745.1450066</v>
      </c>
      <c r="T5" s="1">
        <f t="shared" ca="1" si="1"/>
        <v>381016440.86477417</v>
      </c>
      <c r="U5" s="1">
        <f t="shared" ca="1" si="1"/>
        <v>401126445.87230355</v>
      </c>
      <c r="V5" s="1">
        <f t="shared" ca="1" si="1"/>
        <v>422029059.21028793</v>
      </c>
      <c r="W5" s="1">
        <f t="shared" ca="1" si="1"/>
        <v>443660768.21684748</v>
      </c>
      <c r="X5" s="1">
        <f t="shared" ca="1" si="1"/>
        <v>465946214.577806</v>
      </c>
      <c r="Y5" s="1">
        <f t="shared" ca="1" si="1"/>
        <v>488797083.11351418</v>
      </c>
      <c r="Z5" s="1">
        <f t="shared" ca="1" si="1"/>
        <v>512110908.21350229</v>
      </c>
      <c r="AA5" s="1">
        <f t="shared" ca="1" si="1"/>
        <v>535769792.5219456</v>
      </c>
      <c r="AB5" s="1">
        <f t="shared" ca="1" si="1"/>
        <v>559639032.14861763</v>
      </c>
      <c r="AC5" s="1">
        <f t="shared" ca="1" si="1"/>
        <v>583565642.33267462</v>
      </c>
      <c r="AD5" s="1">
        <f t="shared" ca="1" si="1"/>
        <v>609793767.50041485</v>
      </c>
      <c r="AE5" s="1">
        <f t="shared" ca="1" si="1"/>
        <v>638440460.88061273</v>
      </c>
      <c r="AF5" s="1">
        <f t="shared" ca="1" si="1"/>
        <v>670936535.93933904</v>
      </c>
      <c r="AG5" s="1"/>
      <c r="AH5" s="1"/>
      <c r="AI5" s="1"/>
      <c r="AJ5" s="1"/>
      <c r="AK5" s="1"/>
      <c r="AL5" s="1"/>
      <c r="AM5" s="1"/>
      <c r="AN5" s="1"/>
      <c r="AO5" s="1"/>
      <c r="AP5" s="1"/>
    </row>
    <row r="6" spans="1:42" x14ac:dyDescent="0.35">
      <c r="A6" s="63" t="s">
        <v>3</v>
      </c>
      <c r="C6" s="1">
        <f ca="1">-'Cash Flow'!C13</f>
        <v>34850267.261908814</v>
      </c>
      <c r="D6" s="1">
        <f ca="1">-'Cash Flow'!D13</f>
        <v>26090559.742902279</v>
      </c>
      <c r="E6" s="1">
        <f ca="1">-'Cash Flow'!E13</f>
        <v>21078879.849388484</v>
      </c>
      <c r="F6" s="1">
        <f ca="1">-'Cash Flow'!F13</f>
        <v>16839379.410744376</v>
      </c>
      <c r="G6" s="1">
        <f ca="1">-'Cash Flow'!G13</f>
        <v>15916252.045753568</v>
      </c>
      <c r="H6" s="1">
        <f ca="1">-'Cash Flow'!H13</f>
        <v>14582562.127445601</v>
      </c>
      <c r="I6" s="1">
        <f ca="1">-'Cash Flow'!I13</f>
        <v>14423301.726309404</v>
      </c>
      <c r="J6" s="1">
        <f ca="1">-'Cash Flow'!J13</f>
        <v>14054642.95860894</v>
      </c>
      <c r="K6" s="1">
        <f ca="1">-'Cash Flow'!K13</f>
        <v>13447133.374179497</v>
      </c>
      <c r="L6" s="1">
        <f ca="1">-'Cash Flow'!L13</f>
        <v>13580586.965103753</v>
      </c>
      <c r="M6" s="1">
        <f ca="1">-'Cash Flow'!M13</f>
        <v>13578643.209235929</v>
      </c>
      <c r="N6" s="1">
        <f ca="1">-'Cash Flow'!N13</f>
        <v>14562429.631459907</v>
      </c>
      <c r="O6" s="1">
        <f ca="1">-'Cash Flow'!O13</f>
        <v>15540428.969525263</v>
      </c>
      <c r="P6" s="1">
        <f ca="1">-'Cash Flow'!P13</f>
        <v>16506660.501383647</v>
      </c>
      <c r="Q6" s="1">
        <f ca="1">-'Cash Flow'!Q13</f>
        <v>17454481.66752553</v>
      </c>
      <c r="R6" s="1">
        <f ca="1">-'Cash Flow'!R13</f>
        <v>18376535.703531638</v>
      </c>
      <c r="S6" s="1">
        <f ca="1">-'Cash Flow'!S13</f>
        <v>19264695.719767585</v>
      </c>
      <c r="T6" s="1">
        <f ca="1">-'Cash Flow'!T13</f>
        <v>20110005.007529363</v>
      </c>
      <c r="U6" s="1">
        <f ca="1">-'Cash Flow'!U13</f>
        <v>20902613.337984413</v>
      </c>
      <c r="V6" s="1">
        <f ca="1">-'Cash Flow'!V13</f>
        <v>21631709.006559551</v>
      </c>
      <c r="W6" s="1">
        <f ca="1">-'Cash Flow'!W13</f>
        <v>22285446.360958487</v>
      </c>
      <c r="X6" s="1">
        <f ca="1">-'Cash Flow'!X13</f>
        <v>22850868.535708204</v>
      </c>
      <c r="Y6" s="1">
        <f ca="1">-'Cash Flow'!Y13</f>
        <v>23313825.099988133</v>
      </c>
      <c r="Z6" s="1">
        <f ca="1">-'Cash Flow'!Z13</f>
        <v>23658884.308443323</v>
      </c>
      <c r="AA6" s="1">
        <f ca="1">-'Cash Flow'!AA13</f>
        <v>23869239.626672029</v>
      </c>
      <c r="AB6" s="1">
        <f ca="1">-'Cash Flow'!AB13</f>
        <v>23926610.184057027</v>
      </c>
      <c r="AC6" s="1">
        <f ca="1">-'Cash Flow'!AC13</f>
        <v>26228125.167740196</v>
      </c>
      <c r="AD6" s="1">
        <f ca="1">-'Cash Flow'!AD13</f>
        <v>28646693.380197883</v>
      </c>
      <c r="AE6" s="1">
        <f ca="1">-'Cash Flow'!AE13</f>
        <v>32496075.058726281</v>
      </c>
      <c r="AF6" s="1">
        <f ca="1">-'Cash Flow'!AF13</f>
        <v>36618545.93298763</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4050174.354166809</v>
      </c>
      <c r="D8" s="1">
        <f ca="1">IF(SUM(D5:D6)&gt;0,Assumptions!$C$26*SUM(D5:D6),Assumptions!$C$27*(SUM(D5:D6)))</f>
        <v>4963343.945168389</v>
      </c>
      <c r="E8" s="1">
        <f ca="1">IF(SUM(E5:E6)&gt;0,Assumptions!$C$26*SUM(E5:E6),Assumptions!$C$27*(SUM(E5:E6)))</f>
        <v>5701104.7398969857</v>
      </c>
      <c r="F8" s="1">
        <f ca="1">IF(SUM(F5:F6)&gt;0,Assumptions!$C$26*SUM(F5:F6),Assumptions!$C$27*(SUM(F5:F6)))</f>
        <v>6290483.019273039</v>
      </c>
      <c r="G8" s="1">
        <f ca="1">IF(SUM(G5:G6)&gt;0,Assumptions!$C$26*SUM(G5:G6),Assumptions!$C$27*(SUM(G5:G6)))</f>
        <v>6847551.840874414</v>
      </c>
      <c r="H8" s="1">
        <f ca="1">IF(SUM(H5:H6)&gt;0,Assumptions!$C$26*SUM(H5:H6),Assumptions!$C$27*(SUM(H5:H6)))</f>
        <v>7357941.5153350104</v>
      </c>
      <c r="I8" s="1">
        <f ca="1">IF(SUM(I5:I6)&gt;0,Assumptions!$C$26*SUM(I5:I6),Assumptions!$C$27*(SUM(I5:I6)))</f>
        <v>7862757.0757558402</v>
      </c>
      <c r="J8" s="1">
        <f ca="1">IF(SUM(J5:J6)&gt;0,Assumptions!$C$26*SUM(J5:J6),Assumptions!$C$27*(SUM(J5:J6)))</f>
        <v>8354669.5793071529</v>
      </c>
      <c r="K8" s="1">
        <f ca="1">IF(SUM(K5:K6)&gt;0,Assumptions!$C$26*SUM(K5:K6),Assumptions!$C$27*(SUM(K5:K6)))</f>
        <v>8825319.2474034335</v>
      </c>
      <c r="L8" s="1">
        <f ca="1">IF(SUM(L5:L6)&gt;0,Assumptions!$C$26*SUM(L5:L6),Assumptions!$C$27*(SUM(L5:L6)))</f>
        <v>9300639.7911820654</v>
      </c>
      <c r="M8" s="1">
        <f ca="1">IF(SUM(M5:M6)&gt;0,Assumptions!$C$26*SUM(M5:M6),Assumptions!$C$27*(SUM(M5:M6)))</f>
        <v>9775892.303505322</v>
      </c>
      <c r="N8" s="1">
        <f ca="1">IF(SUM(N5:N6)&gt;0,Assumptions!$C$26*SUM(N5:N6),Assumptions!$C$27*(SUM(N5:N6)))</f>
        <v>10285577.340606419</v>
      </c>
      <c r="O8" s="1">
        <f ca="1">IF(SUM(O5:O6)&gt;0,Assumptions!$C$26*SUM(O5:O6),Assumptions!$C$27*(SUM(O5:O6)))</f>
        <v>10829492.354539804</v>
      </c>
      <c r="P8" s="1">
        <f ca="1">IF(SUM(P5:P6)&gt;0,Assumptions!$C$26*SUM(P5:P6),Assumptions!$C$27*(SUM(P5:P6)))</f>
        <v>11407225.472088231</v>
      </c>
      <c r="Q8" s="1">
        <f ca="1">IF(SUM(Q5:Q6)&gt;0,Assumptions!$C$26*SUM(Q5:Q6),Assumptions!$C$27*(SUM(Q5:Q6)))</f>
        <v>12018132.330451624</v>
      </c>
      <c r="R8" s="1">
        <f ca="1">IF(SUM(R5:R6)&gt;0,Assumptions!$C$26*SUM(R5:R6),Assumptions!$C$27*(SUM(R5:R6)))</f>
        <v>12661311.080075232</v>
      </c>
      <c r="S8" s="1">
        <f ca="1">IF(SUM(S5:S6)&gt;0,Assumptions!$C$26*SUM(S5:S6),Assumptions!$C$27*(SUM(S5:S6)))</f>
        <v>13335575.430267097</v>
      </c>
      <c r="T8" s="1">
        <f ca="1">IF(SUM(T5:T6)&gt;0,Assumptions!$C$26*SUM(T5:T6),Assumptions!$C$27*(SUM(T5:T6)))</f>
        <v>14039425.605530625</v>
      </c>
      <c r="U8" s="1">
        <f ca="1">IF(SUM(U5:U6)&gt;0,Assumptions!$C$26*SUM(U5:U6),Assumptions!$C$27*(SUM(U5:U6)))</f>
        <v>14771017.07236008</v>
      </c>
      <c r="V8" s="1">
        <f ca="1">IF(SUM(V5:V6)&gt;0,Assumptions!$C$26*SUM(V5:V6),Assumptions!$C$27*(SUM(V5:V6)))</f>
        <v>15528126.887589663</v>
      </c>
      <c r="W8" s="1">
        <f ca="1">IF(SUM(W5:W6)&gt;0,Assumptions!$C$26*SUM(W5:W6),Assumptions!$C$27*(SUM(W5:W6)))</f>
        <v>16308117.510223212</v>
      </c>
      <c r="X8" s="1">
        <f ca="1">IF(SUM(X5:X6)&gt;0,Assumptions!$C$26*SUM(X5:X6),Assumptions!$C$27*(SUM(X5:X6)))</f>
        <v>17107897.908972997</v>
      </c>
      <c r="Y8" s="1">
        <f ca="1">IF(SUM(Y5:Y6)&gt;0,Assumptions!$C$26*SUM(Y5:Y6),Assumptions!$C$27*(SUM(Y5:Y6)))</f>
        <v>17923881.787472583</v>
      </c>
      <c r="Z8" s="1">
        <f ca="1">IF(SUM(Z5:Z6)&gt;0,Assumptions!$C$26*SUM(Z5:Z6),Assumptions!$C$27*(SUM(Z5:Z6)))</f>
        <v>18751942.738268096</v>
      </c>
      <c r="AA8" s="1">
        <f ca="1">IF(SUM(AA5:AA6)&gt;0,Assumptions!$C$26*SUM(AA5:AA6),Assumptions!$C$27*(SUM(AA5:AA6)))</f>
        <v>19587366.12520162</v>
      </c>
      <c r="AB8" s="1">
        <f ca="1">IF(SUM(AB5:AB6)&gt;0,Assumptions!$C$26*SUM(AB5:AB6),Assumptions!$C$27*(SUM(AB5:AB6)))</f>
        <v>20424797.481643613</v>
      </c>
      <c r="AC8" s="1">
        <f ca="1">IF(SUM(AC5:AC6)&gt;0,Assumptions!$C$26*SUM(AC5:AC6),Assumptions!$C$27*(SUM(AC5:AC6)))</f>
        <v>21342781.862514522</v>
      </c>
      <c r="AD8" s="1">
        <f ca="1">IF(SUM(AD5:AD6)&gt;0,Assumptions!$C$26*SUM(AD5:AD6),Assumptions!$C$27*(SUM(AD5:AD6)))</f>
        <v>22345416.130821448</v>
      </c>
      <c r="AE8" s="1">
        <f ca="1">IF(SUM(AE5:AE6)&gt;0,Assumptions!$C$26*SUM(AE5:AE6),Assumptions!$C$27*(SUM(AE5:AE6)))</f>
        <v>23482778.757876869</v>
      </c>
      <c r="AF8" s="1">
        <f ca="1">IF(SUM(AF5:AF6)&gt;0,Assumptions!$C$26*SUM(AF5:AF6),Assumptions!$C$27*(SUM(AF5:AF6)))</f>
        <v>24764427.865531433</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7"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79.6640625" style="63" customWidth="1"/>
    <col min="4" max="16384" width="8.6640625" style="63"/>
  </cols>
  <sheetData>
    <row r="1" spans="1:3" ht="26" x14ac:dyDescent="0.6">
      <c r="A1" s="13" t="s">
        <v>187</v>
      </c>
    </row>
    <row r="2" spans="1:3" ht="26" x14ac:dyDescent="0.6">
      <c r="A2" s="13"/>
    </row>
    <row r="3" spans="1:3" ht="186" x14ac:dyDescent="0.35">
      <c r="A3" s="173" t="s">
        <v>190</v>
      </c>
    </row>
    <row r="4" spans="1:3" ht="26" x14ac:dyDescent="0.6">
      <c r="A4" s="13"/>
    </row>
    <row r="5" spans="1:3" ht="18.5" x14ac:dyDescent="0.45">
      <c r="A5" s="89" t="s">
        <v>179</v>
      </c>
      <c r="B5" s="90"/>
    </row>
    <row r="6" spans="1:3" ht="18.5" x14ac:dyDescent="0.45">
      <c r="A6" s="90"/>
      <c r="B6" s="90"/>
    </row>
    <row r="7" spans="1:3" ht="18.5" x14ac:dyDescent="0.45">
      <c r="A7" s="90" t="s">
        <v>97</v>
      </c>
      <c r="B7" s="91">
        <f>Assumptions!C24</f>
        <v>23321000</v>
      </c>
      <c r="C7" s="179" t="str">
        <f>[57]Assumptions!B24</f>
        <v>RFI Table F10; Lines F10.62 + F10.70</v>
      </c>
    </row>
    <row r="8" spans="1:3" ht="18.5" x14ac:dyDescent="0.45">
      <c r="A8" s="90" t="s">
        <v>176</v>
      </c>
      <c r="B8" s="92">
        <f>Assumptions!$C$133</f>
        <v>0.7</v>
      </c>
      <c r="C8" s="179" t="s">
        <v>200</v>
      </c>
    </row>
    <row r="9" spans="1:3" ht="18.5" x14ac:dyDescent="0.45">
      <c r="A9" s="90"/>
      <c r="B9" s="93"/>
      <c r="C9" s="179"/>
    </row>
    <row r="10" spans="1:3" ht="51" x14ac:dyDescent="0.45">
      <c r="A10" s="94" t="s">
        <v>103</v>
      </c>
      <c r="B10" s="95">
        <f>Assumptions!C135</f>
        <v>16481.481481481482</v>
      </c>
      <c r="C10" s="179" t="s">
        <v>201</v>
      </c>
    </row>
    <row r="11" spans="1:3" ht="18.5" x14ac:dyDescent="0.45">
      <c r="A11" s="94"/>
      <c r="B11" s="94"/>
      <c r="C11" s="179"/>
    </row>
    <row r="12" spans="1:3" ht="18.5" x14ac:dyDescent="0.45">
      <c r="A12" s="94" t="s">
        <v>186</v>
      </c>
      <c r="B12" s="91">
        <f>(B7*B8)/B10</f>
        <v>990.48741573033692</v>
      </c>
      <c r="C12" s="179"/>
    </row>
    <row r="13" spans="1:3" ht="18.5" x14ac:dyDescent="0.45">
      <c r="A13" s="96"/>
      <c r="B13" s="97"/>
      <c r="C13" s="179"/>
    </row>
    <row r="14" spans="1:3" ht="18.5" x14ac:dyDescent="0.45">
      <c r="A14" s="94" t="s">
        <v>104</v>
      </c>
      <c r="B14" s="98">
        <v>1</v>
      </c>
      <c r="C14" s="179"/>
    </row>
    <row r="15" spans="1:3" ht="18.5" x14ac:dyDescent="0.45">
      <c r="A15" s="96"/>
      <c r="B15" s="99"/>
      <c r="C15" s="179"/>
    </row>
    <row r="16" spans="1:3" ht="18.5" x14ac:dyDescent="0.45">
      <c r="A16" s="96" t="s">
        <v>181</v>
      </c>
      <c r="B16" s="100">
        <f>B12/B14</f>
        <v>990.48741573033692</v>
      </c>
      <c r="C16" s="179"/>
    </row>
    <row r="17" spans="1:3" ht="18.5" x14ac:dyDescent="0.45">
      <c r="A17" s="94"/>
      <c r="B17" s="101"/>
      <c r="C17" s="179"/>
    </row>
    <row r="18" spans="1:3" ht="18.5" x14ac:dyDescent="0.45">
      <c r="A18" s="102" t="s">
        <v>180</v>
      </c>
      <c r="B18" s="101"/>
      <c r="C18" s="179"/>
    </row>
    <row r="19" spans="1:3" ht="18.5" x14ac:dyDescent="0.45">
      <c r="A19" s="94"/>
      <c r="B19" s="101"/>
      <c r="C19" s="179"/>
    </row>
    <row r="20" spans="1:3" ht="18.5" x14ac:dyDescent="0.45">
      <c r="A20" s="94" t="s">
        <v>66</v>
      </c>
      <c r="B20" s="91">
        <f>'Profit and Loss'!L5</f>
        <v>102559532.88306145</v>
      </c>
      <c r="C20" s="179" t="s">
        <v>202</v>
      </c>
    </row>
    <row r="21" spans="1:3" ht="18.5" x14ac:dyDescent="0.45">
      <c r="A21" s="94" t="str">
        <f>A8</f>
        <v>Assumed revenue from households</v>
      </c>
      <c r="B21" s="92">
        <f>B8</f>
        <v>0.7</v>
      </c>
      <c r="C21" s="179" t="s">
        <v>200</v>
      </c>
    </row>
    <row r="22" spans="1:3" ht="18.5" x14ac:dyDescent="0.45">
      <c r="A22" s="94"/>
      <c r="B22" s="94"/>
      <c r="C22" s="179"/>
    </row>
    <row r="23" spans="1:3" ht="18.5" x14ac:dyDescent="0.45">
      <c r="A23" s="94" t="s">
        <v>102</v>
      </c>
      <c r="B23" s="95">
        <f>Assumptions!M135</f>
        <v>18371.116380470929</v>
      </c>
      <c r="C23" s="179" t="s">
        <v>203</v>
      </c>
    </row>
    <row r="24" spans="1:3" ht="18.5" x14ac:dyDescent="0.45">
      <c r="A24" s="94"/>
      <c r="B24" s="94"/>
      <c r="C24" s="179"/>
    </row>
    <row r="25" spans="1:3" ht="18.5" x14ac:dyDescent="0.45">
      <c r="A25" s="94" t="s">
        <v>185</v>
      </c>
      <c r="B25" s="91">
        <f>(B20*B21)/B23</f>
        <v>3907.8557628898266</v>
      </c>
      <c r="C25" s="179"/>
    </row>
    <row r="26" spans="1:3" ht="18.5" x14ac:dyDescent="0.45">
      <c r="A26" s="94"/>
      <c r="B26" s="91"/>
      <c r="C26" s="179"/>
    </row>
    <row r="27" spans="1:3" ht="18.5" x14ac:dyDescent="0.45">
      <c r="A27" s="94" t="s">
        <v>104</v>
      </c>
      <c r="B27" s="103">
        <f>1.022^11</f>
        <v>1.2704566586717592</v>
      </c>
      <c r="C27" s="179" t="s">
        <v>204</v>
      </c>
    </row>
    <row r="28" spans="1:3" ht="18.5" x14ac:dyDescent="0.45">
      <c r="A28" s="96"/>
      <c r="B28" s="97"/>
      <c r="C28" s="179"/>
    </row>
    <row r="29" spans="1:3" ht="18.5" x14ac:dyDescent="0.45">
      <c r="A29" s="96" t="s">
        <v>182</v>
      </c>
      <c r="B29" s="91">
        <f>B25/B27</f>
        <v>3075.945752431589</v>
      </c>
      <c r="C29" s="179"/>
    </row>
    <row r="30" spans="1:3" ht="18.5" x14ac:dyDescent="0.45">
      <c r="A30" s="96"/>
      <c r="B30" s="97"/>
      <c r="C30" s="179"/>
    </row>
    <row r="31" spans="1:3" ht="18.5" x14ac:dyDescent="0.45">
      <c r="A31" s="102" t="s">
        <v>188</v>
      </c>
      <c r="B31" s="96"/>
      <c r="C31" s="179"/>
    </row>
    <row r="32" spans="1:3" ht="18.5" x14ac:dyDescent="0.45">
      <c r="A32" s="94"/>
      <c r="B32" s="91"/>
      <c r="C32" s="179"/>
    </row>
    <row r="33" spans="1:3" ht="18.5" x14ac:dyDescent="0.45">
      <c r="A33" s="94" t="s">
        <v>67</v>
      </c>
      <c r="B33" s="91">
        <f>'Profit and Loss'!AF5</f>
        <v>268575384.45986003</v>
      </c>
      <c r="C33" s="179" t="s">
        <v>202</v>
      </c>
    </row>
    <row r="34" spans="1:3" ht="18.5" x14ac:dyDescent="0.45">
      <c r="A34" s="94" t="str">
        <f>A21</f>
        <v>Assumed revenue from households</v>
      </c>
      <c r="B34" s="92">
        <f>B21</f>
        <v>0.7</v>
      </c>
      <c r="C34" s="179" t="s">
        <v>200</v>
      </c>
    </row>
    <row r="35" spans="1:3" ht="18.5" x14ac:dyDescent="0.45">
      <c r="A35" s="94"/>
      <c r="B35" s="94"/>
      <c r="C35" s="179"/>
    </row>
    <row r="36" spans="1:3" ht="18.5" x14ac:dyDescent="0.45">
      <c r="A36" s="94" t="s">
        <v>101</v>
      </c>
      <c r="B36" s="95">
        <f>Assumptions!AG135</f>
        <v>22825.176874936133</v>
      </c>
      <c r="C36" s="179" t="s">
        <v>203</v>
      </c>
    </row>
    <row r="37" spans="1:3" ht="18.5" x14ac:dyDescent="0.45">
      <c r="A37" s="94"/>
      <c r="B37" s="94"/>
      <c r="C37" s="179"/>
    </row>
    <row r="38" spans="1:3" ht="18.5" x14ac:dyDescent="0.45">
      <c r="A38" s="94" t="s">
        <v>184</v>
      </c>
      <c r="B38" s="91">
        <f>(B33*B34)/B36</f>
        <v>8236.6401869307774</v>
      </c>
      <c r="C38" s="179"/>
    </row>
    <row r="39" spans="1:3" ht="18.5" x14ac:dyDescent="0.45">
      <c r="A39" s="94"/>
      <c r="B39" s="94"/>
      <c r="C39" s="179"/>
    </row>
    <row r="40" spans="1:3" ht="18.5" x14ac:dyDescent="0.45">
      <c r="A40" s="94" t="s">
        <v>104</v>
      </c>
      <c r="B40" s="103">
        <f>1.022^31</f>
        <v>1.9632597808456462</v>
      </c>
      <c r="C40" s="179" t="s">
        <v>204</v>
      </c>
    </row>
    <row r="41" spans="1:3" ht="18.5" x14ac:dyDescent="0.45">
      <c r="A41" s="96"/>
      <c r="B41" s="97"/>
    </row>
    <row r="42" spans="1:3" ht="18.5" x14ac:dyDescent="0.45">
      <c r="A42" s="96" t="s">
        <v>183</v>
      </c>
      <c r="B42" s="91">
        <f>B38/B40</f>
        <v>4195.3898650044985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163</v>
      </c>
    </row>
    <row r="2" spans="1:33" ht="26.5" thickBot="1" x14ac:dyDescent="0.4">
      <c r="A2" s="111"/>
      <c r="B2" s="111"/>
      <c r="D2" s="112"/>
    </row>
    <row r="3" spans="1:33" s="114" customFormat="1" ht="21.5" thickBot="1" x14ac:dyDescent="0.4">
      <c r="A3" s="84"/>
      <c r="B3" s="84"/>
      <c r="C3" s="113"/>
      <c r="D3" s="180" t="s">
        <v>28</v>
      </c>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row>
    <row r="4" spans="1:33" s="120" customFormat="1" ht="16" thickBot="1" x14ac:dyDescent="0.4">
      <c r="A4" s="115" t="s">
        <v>26</v>
      </c>
      <c r="B4" s="115" t="s">
        <v>198</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140</v>
      </c>
      <c r="C13" s="127">
        <v>1.0913346129018064E-2</v>
      </c>
      <c r="D13" s="128">
        <f t="shared" ref="D13:AG13" si="3">(1+$C$13)^D8</f>
        <v>1.0109133461290181</v>
      </c>
      <c r="E13" s="128">
        <f t="shared" si="3"/>
        <v>1.0219457933817679</v>
      </c>
      <c r="F13" s="128">
        <f t="shared" si="3"/>
        <v>1.0330986415500372</v>
      </c>
      <c r="G13" s="128">
        <f t="shared" si="3"/>
        <v>1.0443732046106911</v>
      </c>
      <c r="H13" s="128">
        <f t="shared" si="3"/>
        <v>1.0557708108804793</v>
      </c>
      <c r="I13" s="128">
        <f t="shared" si="3"/>
        <v>1.0672928031725322</v>
      </c>
      <c r="J13" s="128">
        <f t="shared" si="3"/>
        <v>1.0789405389545639</v>
      </c>
      <c r="K13" s="128">
        <f t="shared" si="3"/>
        <v>1.0907153905088043</v>
      </c>
      <c r="L13" s="128">
        <f t="shared" si="3"/>
        <v>1.102618745093674</v>
      </c>
      <c r="M13" s="128">
        <f t="shared" si="3"/>
        <v>1.1146520051072248</v>
      </c>
      <c r="N13" s="128">
        <f t="shared" si="3"/>
        <v>1.126816588252364</v>
      </c>
      <c r="O13" s="128">
        <f t="shared" si="3"/>
        <v>1.1391139277038813</v>
      </c>
      <c r="P13" s="128">
        <f t="shared" si="3"/>
        <v>1.1515454722772989</v>
      </c>
      <c r="Q13" s="128">
        <f t="shared" si="3"/>
        <v>1.1641126865995648</v>
      </c>
      <c r="R13" s="128">
        <f t="shared" si="3"/>
        <v>1.176817051281607</v>
      </c>
      <c r="S13" s="128">
        <f t="shared" si="3"/>
        <v>1.1896600630927734</v>
      </c>
      <c r="T13" s="128">
        <f t="shared" si="3"/>
        <v>1.2026432351371743</v>
      </c>
      <c r="U13" s="128">
        <f t="shared" si="3"/>
        <v>1.2157680970319484</v>
      </c>
      <c r="V13" s="128">
        <f t="shared" si="3"/>
        <v>1.2290361950874757</v>
      </c>
      <c r="W13" s="128">
        <f t="shared" si="3"/>
        <v>1.2424490924895566</v>
      </c>
      <c r="X13" s="128">
        <f t="shared" si="3"/>
        <v>1.2560083694835795</v>
      </c>
      <c r="Y13" s="128">
        <f t="shared" si="3"/>
        <v>1.2697156235606977</v>
      </c>
      <c r="Z13" s="128">
        <f t="shared" si="3"/>
        <v>1.2835724696460373</v>
      </c>
      <c r="AA13" s="128">
        <f t="shared" si="3"/>
        <v>1.2975805402889631</v>
      </c>
      <c r="AB13" s="128">
        <f t="shared" si="3"/>
        <v>1.3117414858554148</v>
      </c>
      <c r="AC13" s="128">
        <f t="shared" si="3"/>
        <v>1.3260569747223474</v>
      </c>
      <c r="AD13" s="128">
        <f t="shared" si="3"/>
        <v>1.340528693474291</v>
      </c>
      <c r="AE13" s="128">
        <f t="shared" si="3"/>
        <v>1.3551583471020563</v>
      </c>
      <c r="AF13" s="128">
        <f t="shared" si="3"/>
        <v>1.3699476592036088</v>
      </c>
      <c r="AG13" s="128">
        <f t="shared" si="3"/>
        <v>1.3848983721871362</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194</v>
      </c>
      <c r="B15" s="178" t="s">
        <v>195</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133</v>
      </c>
      <c r="B17" s="77" t="s">
        <v>172</v>
      </c>
      <c r="C17" s="136">
        <f>AVERAGE(C49:C50)</f>
        <v>789952500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394976250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139</v>
      </c>
      <c r="C20" s="137">
        <v>80869000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161</v>
      </c>
      <c r="B22" s="178" t="s">
        <v>195</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138</v>
      </c>
      <c r="C24" s="136">
        <v>23321000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197</v>
      </c>
      <c r="C25" s="136">
        <v>13834485</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132</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132</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162</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136</v>
      </c>
      <c r="C49" s="71">
        <v>702180000.00000012</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137</v>
      </c>
      <c r="C50" s="71">
        <v>877725000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173</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173</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2073919.4627335598</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3666401.1299518989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2870160.2963427296</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5652925.5658764979</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9402188.3824533112</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7527556.974164905</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11193958.104116805</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143</v>
      </c>
      <c r="B77" s="70" t="s">
        <v>178</v>
      </c>
      <c r="C77" s="87">
        <v>72699072.932330832</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144</v>
      </c>
      <c r="B79" s="69" t="s">
        <v>157</v>
      </c>
      <c r="C79" s="87">
        <v>1065237466.7219846</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145</v>
      </c>
      <c r="B80" s="69" t="s">
        <v>157</v>
      </c>
      <c r="C80" s="87">
        <v>883875283.72447157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146</v>
      </c>
      <c r="B82" s="69" t="s">
        <v>87</v>
      </c>
      <c r="C82" s="87">
        <f>C79+$C$77</f>
        <v>1137936539.6543155</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147</v>
      </c>
      <c r="B83" s="69" t="s">
        <v>87</v>
      </c>
      <c r="C83" s="87">
        <f>C80+$C$77</f>
        <v>956574356.65680242</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152</v>
      </c>
      <c r="B85" s="69" t="s">
        <v>134</v>
      </c>
      <c r="C85" s="150">
        <v>46000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153</v>
      </c>
      <c r="B86" s="69" t="s">
        <v>135</v>
      </c>
      <c r="C86" s="150">
        <v>43000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44500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148</v>
      </c>
      <c r="B89" s="69" t="s">
        <v>87</v>
      </c>
      <c r="C89" s="150">
        <f>C82/$C$87</f>
        <v>25571.607632681247</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148</v>
      </c>
      <c r="B90" s="69" t="s">
        <v>87</v>
      </c>
      <c r="C90" s="150">
        <f>C83/$C$87</f>
        <v>21496.052958579829</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149</v>
      </c>
      <c r="B92" s="69" t="s">
        <v>156</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150</v>
      </c>
      <c r="B94" s="69" t="s">
        <v>87</v>
      </c>
      <c r="C94" s="87">
        <f>IF(C89&lt;$C$92,C89*$C$87,$C$92*$C$87)</f>
        <v>1137936539.6543155</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151</v>
      </c>
      <c r="B95" s="69" t="s">
        <v>87</v>
      </c>
      <c r="C95" s="87">
        <f>IF(C90&lt;$C$92,C90*$C$87,$C$92*$C$87)</f>
        <v>956574356.65680242</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155</v>
      </c>
      <c r="B96" s="69" t="s">
        <v>87</v>
      </c>
      <c r="C96" s="87">
        <f>AVERAGE(C94:C95)</f>
        <v>1047255448.1555589</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1047255448.1555589</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34908514.938518628</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131</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130</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171</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171</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11193958.104116805</v>
      </c>
      <c r="E111" s="149">
        <f t="shared" si="9"/>
        <v>11193958.104116805</v>
      </c>
      <c r="F111" s="149">
        <f t="shared" si="9"/>
        <v>11193958.104116805</v>
      </c>
      <c r="G111" s="149">
        <f t="shared" si="9"/>
        <v>11193958.104116805</v>
      </c>
      <c r="H111" s="149">
        <f t="shared" si="9"/>
        <v>11193958.104116805</v>
      </c>
      <c r="I111" s="149">
        <f t="shared" si="9"/>
        <v>11193958.104116805</v>
      </c>
      <c r="J111" s="149">
        <f t="shared" si="9"/>
        <v>11193958.104116805</v>
      </c>
      <c r="K111" s="149">
        <f t="shared" si="9"/>
        <v>11193958.104116805</v>
      </c>
      <c r="L111" s="149">
        <f t="shared" si="9"/>
        <v>11193958.104116805</v>
      </c>
      <c r="M111" s="149">
        <f t="shared" si="9"/>
        <v>11193958.104116805</v>
      </c>
      <c r="N111" s="149">
        <f t="shared" si="9"/>
        <v>11193958.104116805</v>
      </c>
      <c r="O111" s="149">
        <f t="shared" si="9"/>
        <v>11193958.104116805</v>
      </c>
      <c r="P111" s="149">
        <f t="shared" si="9"/>
        <v>11193958.104116805</v>
      </c>
      <c r="Q111" s="149">
        <f t="shared" si="9"/>
        <v>11193958.104116805</v>
      </c>
      <c r="R111" s="149">
        <f t="shared" si="9"/>
        <v>11193958.104116805</v>
      </c>
      <c r="S111" s="149">
        <f t="shared" si="9"/>
        <v>11193958.104116805</v>
      </c>
      <c r="T111" s="149">
        <f t="shared" si="9"/>
        <v>11193958.104116805</v>
      </c>
      <c r="U111" s="149">
        <f t="shared" si="9"/>
        <v>11193958.104116805</v>
      </c>
      <c r="V111" s="149">
        <f t="shared" si="9"/>
        <v>11193958.104116805</v>
      </c>
      <c r="W111" s="149">
        <f t="shared" si="9"/>
        <v>11193958.104116805</v>
      </c>
      <c r="X111" s="149">
        <f t="shared" si="9"/>
        <v>11193958.104116805</v>
      </c>
      <c r="Y111" s="149">
        <f t="shared" si="9"/>
        <v>11193958.104116805</v>
      </c>
      <c r="Z111" s="149">
        <f t="shared" si="9"/>
        <v>11193958.104116805</v>
      </c>
      <c r="AA111" s="149">
        <f t="shared" si="9"/>
        <v>11193958.104116805</v>
      </c>
      <c r="AB111" s="149">
        <f t="shared" si="9"/>
        <v>11193958.104116805</v>
      </c>
      <c r="AC111" s="149">
        <f t="shared" si="9"/>
        <v>11193958.104116805</v>
      </c>
      <c r="AD111" s="149">
        <f t="shared" si="9"/>
        <v>11193958.104116805</v>
      </c>
      <c r="AE111" s="149">
        <f t="shared" si="9"/>
        <v>11193958.104116805</v>
      </c>
      <c r="AF111" s="149">
        <f t="shared" si="9"/>
        <v>11193958.104116805</v>
      </c>
      <c r="AG111" s="149">
        <f t="shared" si="9"/>
        <v>11193958.104116805</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1047255448.1555592</v>
      </c>
      <c r="D113" s="149">
        <f t="shared" ref="D113:AG113" si="10">$C$102</f>
        <v>34908514.938518628</v>
      </c>
      <c r="E113" s="149">
        <f t="shared" si="10"/>
        <v>34908514.938518628</v>
      </c>
      <c r="F113" s="149">
        <f t="shared" si="10"/>
        <v>34908514.938518628</v>
      </c>
      <c r="G113" s="149">
        <f t="shared" si="10"/>
        <v>34908514.938518628</v>
      </c>
      <c r="H113" s="149">
        <f t="shared" si="10"/>
        <v>34908514.938518628</v>
      </c>
      <c r="I113" s="149">
        <f t="shared" si="10"/>
        <v>34908514.938518628</v>
      </c>
      <c r="J113" s="149">
        <f t="shared" si="10"/>
        <v>34908514.938518628</v>
      </c>
      <c r="K113" s="149">
        <f t="shared" si="10"/>
        <v>34908514.938518628</v>
      </c>
      <c r="L113" s="149">
        <f t="shared" si="10"/>
        <v>34908514.938518628</v>
      </c>
      <c r="M113" s="149">
        <f t="shared" si="10"/>
        <v>34908514.938518628</v>
      </c>
      <c r="N113" s="149">
        <f t="shared" si="10"/>
        <v>34908514.938518628</v>
      </c>
      <c r="O113" s="149">
        <f t="shared" si="10"/>
        <v>34908514.938518628</v>
      </c>
      <c r="P113" s="149">
        <f t="shared" si="10"/>
        <v>34908514.938518628</v>
      </c>
      <c r="Q113" s="149">
        <f t="shared" si="10"/>
        <v>34908514.938518628</v>
      </c>
      <c r="R113" s="149">
        <f t="shared" si="10"/>
        <v>34908514.938518628</v>
      </c>
      <c r="S113" s="149">
        <f t="shared" si="10"/>
        <v>34908514.938518628</v>
      </c>
      <c r="T113" s="149">
        <f t="shared" si="10"/>
        <v>34908514.938518628</v>
      </c>
      <c r="U113" s="149">
        <f t="shared" si="10"/>
        <v>34908514.938518628</v>
      </c>
      <c r="V113" s="149">
        <f t="shared" si="10"/>
        <v>34908514.938518628</v>
      </c>
      <c r="W113" s="149">
        <f t="shared" si="10"/>
        <v>34908514.938518628</v>
      </c>
      <c r="X113" s="149">
        <f t="shared" si="10"/>
        <v>34908514.938518628</v>
      </c>
      <c r="Y113" s="149">
        <f t="shared" si="10"/>
        <v>34908514.938518628</v>
      </c>
      <c r="Z113" s="149">
        <f t="shared" si="10"/>
        <v>34908514.938518628</v>
      </c>
      <c r="AA113" s="149">
        <f t="shared" si="10"/>
        <v>34908514.938518628</v>
      </c>
      <c r="AB113" s="149">
        <f t="shared" si="10"/>
        <v>34908514.938518628</v>
      </c>
      <c r="AC113" s="149">
        <f t="shared" si="10"/>
        <v>34908514.938518628</v>
      </c>
      <c r="AD113" s="149">
        <f t="shared" si="10"/>
        <v>34908514.938518628</v>
      </c>
      <c r="AE113" s="149">
        <f t="shared" si="10"/>
        <v>34908514.938518628</v>
      </c>
      <c r="AF113" s="149">
        <f t="shared" si="10"/>
        <v>34908514.938518628</v>
      </c>
      <c r="AG113" s="149">
        <f t="shared" si="10"/>
        <v>34908514.938518628</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34908514.938518628</v>
      </c>
      <c r="E118" s="149">
        <f t="shared" ref="E118:AG118" si="13">E113+E115+E116</f>
        <v>34908514.938518628</v>
      </c>
      <c r="F118" s="149">
        <f>F113+F115+F116</f>
        <v>34908514.938518628</v>
      </c>
      <c r="G118" s="149">
        <f t="shared" si="13"/>
        <v>34908514.938518628</v>
      </c>
      <c r="H118" s="149">
        <f t="shared" si="13"/>
        <v>34908514.938518628</v>
      </c>
      <c r="I118" s="149">
        <f t="shared" si="13"/>
        <v>34908514.938518628</v>
      </c>
      <c r="J118" s="149">
        <f t="shared" si="13"/>
        <v>34908514.938518628</v>
      </c>
      <c r="K118" s="149">
        <f t="shared" si="13"/>
        <v>34908514.938518628</v>
      </c>
      <c r="L118" s="149">
        <f t="shared" si="13"/>
        <v>34908514.938518628</v>
      </c>
      <c r="M118" s="149">
        <f t="shared" si="13"/>
        <v>34908514.938518628</v>
      </c>
      <c r="N118" s="149">
        <f t="shared" si="13"/>
        <v>34908514.938518628</v>
      </c>
      <c r="O118" s="149">
        <f t="shared" si="13"/>
        <v>34908514.938518628</v>
      </c>
      <c r="P118" s="149">
        <f t="shared" si="13"/>
        <v>34908514.938518628</v>
      </c>
      <c r="Q118" s="149">
        <f t="shared" si="13"/>
        <v>34908514.938518628</v>
      </c>
      <c r="R118" s="149">
        <f t="shared" si="13"/>
        <v>34908514.938518628</v>
      </c>
      <c r="S118" s="149">
        <f t="shared" si="13"/>
        <v>34908514.938518628</v>
      </c>
      <c r="T118" s="149">
        <f t="shared" si="13"/>
        <v>34908514.938518628</v>
      </c>
      <c r="U118" s="149">
        <f t="shared" si="13"/>
        <v>34908514.938518628</v>
      </c>
      <c r="V118" s="149">
        <f t="shared" si="13"/>
        <v>34908514.938518628</v>
      </c>
      <c r="W118" s="149">
        <f t="shared" si="13"/>
        <v>34908514.938518628</v>
      </c>
      <c r="X118" s="149">
        <f t="shared" si="13"/>
        <v>34908514.938518628</v>
      </c>
      <c r="Y118" s="149">
        <f t="shared" si="13"/>
        <v>34908514.938518628</v>
      </c>
      <c r="Z118" s="149">
        <f t="shared" si="13"/>
        <v>34908514.938518628</v>
      </c>
      <c r="AA118" s="149">
        <f t="shared" si="13"/>
        <v>34908514.938518628</v>
      </c>
      <c r="AB118" s="149">
        <f t="shared" si="13"/>
        <v>34908514.938518628</v>
      </c>
      <c r="AC118" s="149">
        <f t="shared" si="13"/>
        <v>34908514.938518628</v>
      </c>
      <c r="AD118" s="149">
        <f t="shared" si="13"/>
        <v>34908514.938518628</v>
      </c>
      <c r="AE118" s="149">
        <f t="shared" si="13"/>
        <v>34908514.938518628</v>
      </c>
      <c r="AF118" s="149">
        <f t="shared" si="13"/>
        <v>34908514.938518628</v>
      </c>
      <c r="AG118" s="149">
        <f t="shared" si="13"/>
        <v>34908514.938518628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837804.35852444707</v>
      </c>
      <c r="E120" s="149">
        <f>(SUM($D$118:E118)*$C$104/$C$106)+(SUM($D$118:E118)*$C$105/$C$107)</f>
        <v>1675608.7170488941</v>
      </c>
      <c r="F120" s="149">
        <f>(SUM($D$118:F118)*$C$104/$C$106)+(SUM($D$118:F118)*$C$105/$C$107)</f>
        <v>2513413.0755733415</v>
      </c>
      <c r="G120" s="149">
        <f>(SUM($D$118:G118)*$C$104/$C$106)+(SUM($D$118:G118)*$C$105/$C$107)</f>
        <v>3351217.4340977883</v>
      </c>
      <c r="H120" s="149">
        <f>(SUM($D$118:H118)*$C$104/$C$106)+(SUM($D$118:H118)*$C$105/$C$107)</f>
        <v>4189021.7926222356</v>
      </c>
      <c r="I120" s="149">
        <f>(SUM($D$118:I118)*$C$104/$C$106)+(SUM($D$118:I118)*$C$105/$C$107)</f>
        <v>5026826.1511466829</v>
      </c>
      <c r="J120" s="149">
        <f>(SUM($D$118:J118)*$C$104/$C$106)+(SUM($D$118:J118)*$C$105/$C$107)</f>
        <v>5864630.5096711302</v>
      </c>
      <c r="K120" s="149">
        <f>(SUM($D$118:K118)*$C$104/$C$106)+(SUM($D$118:K118)*$C$105/$C$107)</f>
        <v>6702434.8681955775</v>
      </c>
      <c r="L120" s="149">
        <f>(SUM($D$118:L118)*$C$104/$C$106)+(SUM($D$118:L118)*$C$105/$C$107)</f>
        <v>7540239.2267200258</v>
      </c>
      <c r="M120" s="149">
        <f>(SUM($D$118:M118)*$C$104/$C$106)+(SUM($D$118:M118)*$C$105/$C$107)</f>
        <v>8378043.5852444731</v>
      </c>
      <c r="N120" s="149">
        <f>(SUM($D$118:N118)*$C$104/$C$106)+(SUM($D$118:N118)*$C$105/$C$107)</f>
        <v>9215847.9437689204</v>
      </c>
      <c r="O120" s="149">
        <f>(SUM($D$118:O118)*$C$104/$C$106)+(SUM($D$118:O118)*$C$105/$C$107)</f>
        <v>10053652.302293368</v>
      </c>
      <c r="P120" s="149">
        <f>(SUM($D$118:P118)*$C$104/$C$106)+(SUM($D$118:P118)*$C$105/$C$107)</f>
        <v>10891456.660817813</v>
      </c>
      <c r="Q120" s="149">
        <f>(SUM($D$118:Q118)*$C$104/$C$106)+(SUM($D$118:Q118)*$C$105/$C$107)</f>
        <v>11729261.019342262</v>
      </c>
      <c r="R120" s="149">
        <f>(SUM($D$118:R118)*$C$104/$C$106)+(SUM($D$118:R118)*$C$105/$C$107)</f>
        <v>12567065.37786671</v>
      </c>
      <c r="S120" s="149">
        <f>(SUM($D$118:S118)*$C$104/$C$106)+(SUM($D$118:S118)*$C$105/$C$107)</f>
        <v>13404869.736391155</v>
      </c>
      <c r="T120" s="149">
        <f>(SUM($D$118:T118)*$C$104/$C$106)+(SUM($D$118:T118)*$C$105/$C$107)</f>
        <v>14242674.094915602</v>
      </c>
      <c r="U120" s="149">
        <f>(SUM($D$118:U118)*$C$104/$C$106)+(SUM($D$118:U118)*$C$105/$C$107)</f>
        <v>15080478.453440052</v>
      </c>
      <c r="V120" s="149">
        <f>(SUM($D$118:V118)*$C$104/$C$106)+(SUM($D$118:V118)*$C$105/$C$107)</f>
        <v>15918282.811964497</v>
      </c>
      <c r="W120" s="149">
        <f>(SUM($D$118:W118)*$C$104/$C$106)+(SUM($D$118:W118)*$C$105/$C$107)</f>
        <v>16756087.170488946</v>
      </c>
      <c r="X120" s="149">
        <f>(SUM($D$118:X118)*$C$104/$C$106)+(SUM($D$118:X118)*$C$105/$C$107)</f>
        <v>17593891.529013392</v>
      </c>
      <c r="Y120" s="149">
        <f>(SUM($D$118:Y118)*$C$104/$C$106)+(SUM($D$118:Y118)*$C$105/$C$107)</f>
        <v>18431695.887537841</v>
      </c>
      <c r="Z120" s="149">
        <f>(SUM($D$118:Z118)*$C$104/$C$106)+(SUM($D$118:Z118)*$C$105/$C$107)</f>
        <v>19269500.24606229</v>
      </c>
      <c r="AA120" s="149">
        <f>(SUM($D$118:AA118)*$C$104/$C$106)+(SUM($D$118:AA118)*$C$105/$C$107)</f>
        <v>20107304.604586735</v>
      </c>
      <c r="AB120" s="149">
        <f>(SUM($D$118:AB118)*$C$104/$C$106)+(SUM($D$118:AB118)*$C$105/$C$107)</f>
        <v>20945108.963111181</v>
      </c>
      <c r="AC120" s="149">
        <f>(SUM($D$118:AC118)*$C$104/$C$106)+(SUM($D$118:AC118)*$C$105/$C$107)</f>
        <v>21782913.321635626</v>
      </c>
      <c r="AD120" s="149">
        <f>(SUM($D$118:AD118)*$C$104/$C$106)+(SUM($D$118:AD118)*$C$105/$C$107)</f>
        <v>22620717.680160079</v>
      </c>
      <c r="AE120" s="149">
        <f>(SUM($D$118:AE118)*$C$104/$C$106)+(SUM($D$118:AE118)*$C$105/$C$107)</f>
        <v>23458522.038684525</v>
      </c>
      <c r="AF120" s="149">
        <f>(SUM($D$118:AF118)*$C$104/$C$106)+(SUM($D$118:AF118)*$C$105/$C$107)</f>
        <v>24296326.39720897</v>
      </c>
      <c r="AG120" s="149">
        <f>(SUM($D$118:AG118)*$C$104/$C$106)+(SUM($D$118:AG118)*$C$105/$C$107)</f>
        <v>25134130.755733419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1047255.4481555588</v>
      </c>
      <c r="E122" s="72">
        <f>(SUM($D$118:E118)*$C$109)</f>
        <v>2094510.8963111176</v>
      </c>
      <c r="F122" s="72">
        <f>(SUM($D$118:F118)*$C$109)</f>
        <v>3141766.3444666765</v>
      </c>
      <c r="G122" s="72">
        <f>(SUM($D$118:G118)*$C$109)</f>
        <v>4189021.7926222351</v>
      </c>
      <c r="H122" s="72">
        <f>(SUM($D$118:H118)*$C$109)</f>
        <v>5236277.2407777943</v>
      </c>
      <c r="I122" s="72">
        <f>(SUM($D$118:I118)*$C$109)</f>
        <v>6283532.6889333539</v>
      </c>
      <c r="J122" s="72">
        <f>(SUM($D$118:J118)*$C$109)</f>
        <v>7330788.1370889135</v>
      </c>
      <c r="K122" s="72">
        <f>(SUM($D$118:K118)*$C$109)</f>
        <v>8378043.5852444721</v>
      </c>
      <c r="L122" s="72">
        <f>(SUM($D$118:L118)*$C$109)</f>
        <v>9425299.0334000308</v>
      </c>
      <c r="M122" s="72">
        <f>(SUM($D$118:M118)*$C$109)</f>
        <v>10472554.48155559</v>
      </c>
      <c r="N122" s="72">
        <f>(SUM($D$118:N118)*$C$109)</f>
        <v>11519809.92971115</v>
      </c>
      <c r="O122" s="72">
        <f>(SUM($D$118:O118)*$C$109)</f>
        <v>12567065.37786671</v>
      </c>
      <c r="P122" s="72">
        <f>(SUM($D$118:P118)*$C$109)</f>
        <v>13614320.826022269</v>
      </c>
      <c r="Q122" s="72">
        <f>(SUM($D$118:Q118)*$C$109)</f>
        <v>14661576.274177829</v>
      </c>
      <c r="R122" s="72">
        <f>(SUM($D$118:R118)*$C$109)</f>
        <v>15708831.722333387</v>
      </c>
      <c r="S122" s="72">
        <f>(SUM($D$118:S118)*$C$109)</f>
        <v>16756087.170488944</v>
      </c>
      <c r="T122" s="72">
        <f>(SUM($D$118:T118)*$C$109)</f>
        <v>17803342.618644506</v>
      </c>
      <c r="U122" s="72">
        <f>(SUM($D$118:U118)*$C$109)</f>
        <v>18850598.066800062</v>
      </c>
      <c r="V122" s="72">
        <f>(SUM($D$118:V118)*$C$109)</f>
        <v>19897853.514955621</v>
      </c>
      <c r="W122" s="72">
        <f>(SUM($D$118:W118)*$C$109)</f>
        <v>20945108.963111181</v>
      </c>
      <c r="X122" s="72">
        <f>(SUM($D$118:X118)*$C$109)</f>
        <v>21992364.41126674</v>
      </c>
      <c r="Y122" s="72">
        <f>(SUM($D$118:Y118)*$C$109)</f>
        <v>23039619.8594223</v>
      </c>
      <c r="Z122" s="72">
        <f>(SUM($D$118:Z118)*$C$109)</f>
        <v>24086875.30757786</v>
      </c>
      <c r="AA122" s="72">
        <f>(SUM($D$118:AA118)*$C$109)</f>
        <v>25134130.755733419</v>
      </c>
      <c r="AB122" s="72">
        <f>(SUM($D$118:AB118)*$C$109)</f>
        <v>26181386.203888979</v>
      </c>
      <c r="AC122" s="72">
        <f>(SUM($D$118:AC118)*$C$109)</f>
        <v>27228641.652044538</v>
      </c>
      <c r="AD122" s="72">
        <f>(SUM($D$118:AD118)*$C$109)</f>
        <v>28275897.100200098</v>
      </c>
      <c r="AE122" s="72">
        <f>(SUM($D$118:AE118)*$C$109)</f>
        <v>29323152.548355658</v>
      </c>
      <c r="AF122" s="72">
        <f>(SUM($D$118:AF118)*$C$109)</f>
        <v>30370407.996511213</v>
      </c>
      <c r="AG122" s="72">
        <f>(SUM($D$118:AG118)*$C$109)</f>
        <v>31417663.444666773</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154</v>
      </c>
      <c r="B126" s="77" t="s">
        <v>134</v>
      </c>
      <c r="C126" s="126">
        <v>46000</v>
      </c>
      <c r="D126" s="140"/>
    </row>
    <row r="127" spans="1:33" x14ac:dyDescent="0.35">
      <c r="A127" s="77" t="s">
        <v>153</v>
      </c>
      <c r="B127" s="77" t="s">
        <v>135</v>
      </c>
      <c r="C127" s="126">
        <v>43000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44500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158</v>
      </c>
      <c r="B133" s="77" t="s">
        <v>159</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16481.481481481482</v>
      </c>
      <c r="D135" s="157">
        <f t="shared" ref="D135:AG135" si="14">$C$135*D13</f>
        <v>16661.349593607891</v>
      </c>
      <c r="E135" s="157">
        <f t="shared" si="14"/>
        <v>16843.180668699508</v>
      </c>
      <c r="F135" s="157">
        <f t="shared" si="14"/>
        <v>17026.996129250612</v>
      </c>
      <c r="G135" s="157">
        <f t="shared" si="14"/>
        <v>17212.817631546575</v>
      </c>
      <c r="H135" s="157">
        <f t="shared" si="14"/>
        <v>17400.667068215309</v>
      </c>
      <c r="I135" s="157">
        <f t="shared" si="14"/>
        <v>17590.56657080655</v>
      </c>
      <c r="J135" s="157">
        <f t="shared" si="14"/>
        <v>17782.538512399293</v>
      </c>
      <c r="K135" s="157">
        <f t="shared" si="14"/>
        <v>17976.605510237699</v>
      </c>
      <c r="L135" s="157">
        <f t="shared" si="14"/>
        <v>18172.79042839574</v>
      </c>
      <c r="M135" s="157">
        <f t="shared" si="14"/>
        <v>18371.116380470929</v>
      </c>
      <c r="N135" s="157">
        <f t="shared" si="14"/>
        <v>18571.606732307482</v>
      </c>
      <c r="O135" s="157">
        <f t="shared" si="14"/>
        <v>18774.285104749157</v>
      </c>
      <c r="P135" s="157">
        <f t="shared" si="14"/>
        <v>18979.175376422147</v>
      </c>
      <c r="Q135" s="157">
        <f t="shared" si="14"/>
        <v>19186.301686548384</v>
      </c>
      <c r="R135" s="157">
        <f t="shared" si="14"/>
        <v>19395.688437789449</v>
      </c>
      <c r="S135" s="157">
        <f t="shared" si="14"/>
        <v>19607.360299121636</v>
      </c>
      <c r="T135" s="157">
        <f t="shared" si="14"/>
        <v>19821.342208742317</v>
      </c>
      <c r="U135" s="157">
        <f t="shared" si="14"/>
        <v>20037.65937700804</v>
      </c>
      <c r="V135" s="157">
        <f t="shared" si="14"/>
        <v>20256.337289404692</v>
      </c>
      <c r="W135" s="157">
        <f t="shared" si="14"/>
        <v>20477.4017095501</v>
      </c>
      <c r="X135" s="157">
        <f t="shared" si="14"/>
        <v>20700.878682229366</v>
      </c>
      <c r="Y135" s="157">
        <f t="shared" si="14"/>
        <v>20926.794536463352</v>
      </c>
      <c r="Z135" s="157">
        <f t="shared" si="14"/>
        <v>21155.175888610614</v>
      </c>
      <c r="AA135" s="157">
        <f t="shared" si="14"/>
        <v>21386.049645503281</v>
      </c>
      <c r="AB135" s="157">
        <f t="shared" si="14"/>
        <v>21619.443007617021</v>
      </c>
      <c r="AC135" s="157">
        <f t="shared" si="14"/>
        <v>21855.383472275727</v>
      </c>
      <c r="AD135" s="157">
        <f t="shared" si="14"/>
        <v>22093.898836891094</v>
      </c>
      <c r="AE135" s="157">
        <f t="shared" si="14"/>
        <v>22335.017202237595</v>
      </c>
      <c r="AF135" s="157">
        <f t="shared" si="14"/>
        <v>22578.766975763185</v>
      </c>
      <c r="AG135" s="157">
        <f t="shared" si="14"/>
        <v>22825.176874936133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0.4</v>
      </c>
      <c r="F4" s="65">
        <v>0.4</v>
      </c>
      <c r="G4" s="65">
        <v>0.2</v>
      </c>
      <c r="H4" s="65">
        <v>0.15</v>
      </c>
      <c r="I4" s="65">
        <v>0.08</v>
      </c>
      <c r="J4" s="65">
        <v>0.08</v>
      </c>
      <c r="K4" s="65">
        <v>0.06</v>
      </c>
      <c r="L4" s="65">
        <v>0.06</v>
      </c>
      <c r="M4" s="65">
        <v>0.06</v>
      </c>
      <c r="N4" s="65">
        <v>0.05</v>
      </c>
      <c r="O4" s="65">
        <v>0.05</v>
      </c>
      <c r="P4" s="65">
        <v>0.04</v>
      </c>
      <c r="Q4" s="65">
        <v>0.04</v>
      </c>
      <c r="R4" s="65">
        <v>0.04</v>
      </c>
      <c r="S4" s="65">
        <v>0.04</v>
      </c>
      <c r="T4" s="65">
        <v>0.04</v>
      </c>
      <c r="U4" s="65">
        <v>0.04</v>
      </c>
      <c r="V4" s="65">
        <v>0.04</v>
      </c>
      <c r="W4" s="65">
        <v>0.04</v>
      </c>
      <c r="X4" s="65">
        <v>0.04</v>
      </c>
      <c r="Y4" s="65">
        <v>0.04</v>
      </c>
      <c r="Z4" s="65">
        <v>0.04</v>
      </c>
      <c r="AA4" s="65">
        <v>0.04</v>
      </c>
      <c r="AB4" s="65">
        <v>0.04</v>
      </c>
      <c r="AC4" s="65">
        <v>0.04</v>
      </c>
      <c r="AD4" s="65">
        <v>0.04</v>
      </c>
      <c r="AE4" s="65">
        <v>0.03</v>
      </c>
      <c r="AF4" s="65">
        <v>0.03</v>
      </c>
      <c r="AG4" s="65">
        <v>2.5000000000000001E-2</v>
      </c>
      <c r="AH4" s="65">
        <v>2.5000000000000001E-2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2.5025343674804073</v>
      </c>
      <c r="C6" s="25"/>
      <c r="D6" s="25"/>
      <c r="E6" s="27">
        <f>'Debt worksheet'!C5/'Profit and Loss'!C5</f>
        <v>2.4501514950521166</v>
      </c>
      <c r="F6" s="28">
        <f ca="1">'Debt worksheet'!D5/'Profit and Loss'!D5</f>
        <v>2.4772770221297122</v>
      </c>
      <c r="G6" s="28">
        <f ca="1">'Debt worksheet'!E5/'Profit and Loss'!E5</f>
        <v>2.5025343674804073</v>
      </c>
      <c r="H6" s="28">
        <f ca="1">'Debt worksheet'!F5/'Profit and Loss'!F5</f>
        <v>2.4725946668473235</v>
      </c>
      <c r="I6" s="28">
        <f ca="1">'Debt worksheet'!G5/'Profit and Loss'!G5</f>
        <v>2.4988501711654574</v>
      </c>
      <c r="J6" s="28">
        <f ca="1">'Debt worksheet'!H5/'Profit and Loss'!H5</f>
        <v>2.4914596950002412</v>
      </c>
      <c r="K6" s="28">
        <f ca="1">'Debt worksheet'!I5/'Profit and Loss'!I5</f>
        <v>2.4983603169420028</v>
      </c>
      <c r="L6" s="28">
        <f ca="1">'Debt worksheet'!J5/'Profit and Loss'!J5</f>
        <v>2.4914593415923854</v>
      </c>
      <c r="M6" s="28">
        <f ca="1">'Debt worksheet'!K5/'Profit and Loss'!K5</f>
        <v>2.470520314240221</v>
      </c>
      <c r="N6" s="28">
        <f ca="1">'Debt worksheet'!L5/'Profit and Loss'!L5</f>
        <v>2.4585913313854992</v>
      </c>
      <c r="O6" s="28">
        <f ca="1">'Debt worksheet'!M5/'Profit and Loss'!M5</f>
        <v>2.4409872837682096</v>
      </c>
      <c r="P6" s="28">
        <f ca="1">'Debt worksheet'!N5/'Profit and Loss'!N5</f>
        <v>2.4404045796715095</v>
      </c>
      <c r="Q6" s="28">
        <f ca="1">'Debt worksheet'!O5/'Profit and Loss'!O5</f>
        <v>2.4422314943947181</v>
      </c>
      <c r="R6" s="28">
        <f ca="1">'Debt worksheet'!P5/'Profit and Loss'!P5</f>
        <v>2.4457889747234871</v>
      </c>
      <c r="S6" s="28">
        <f ca="1">'Debt worksheet'!Q5/'Profit and Loss'!Q5</f>
        <v>2.4504375575031707</v>
      </c>
      <c r="T6" s="28">
        <f ca="1">'Debt worksheet'!R5/'Profit and Loss'!R5</f>
        <v>2.4555756979685901</v>
      </c>
      <c r="U6" s="28">
        <f ca="1">'Debt worksheet'!S5/'Profit and Loss'!S5</f>
        <v>2.4606381596324658</v>
      </c>
      <c r="V6" s="28">
        <f ca="1">'Debt worksheet'!T5/'Profit and Loss'!T5</f>
        <v>2.4650944636199057</v>
      </c>
      <c r="W6" s="28">
        <f ca="1">'Debt worksheet'!U5/'Profit and Loss'!U5</f>
        <v>2.4684473954059833</v>
      </c>
      <c r="X6" s="28">
        <f ca="1">'Debt worksheet'!V5/'Profit and Loss'!V5</f>
        <v>2.4702315669807993</v>
      </c>
      <c r="Y6" s="28">
        <f ca="1">'Debt worksheet'!W5/'Profit and Loss'!W5</f>
        <v>2.4700120325316743</v>
      </c>
      <c r="Z6" s="28">
        <f ca="1">'Debt worksheet'!X5/'Profit and Loss'!X5</f>
        <v>2.4673829557952121</v>
      </c>
      <c r="AA6" s="28">
        <f ca="1">'Debt worksheet'!Y5/'Profit and Loss'!Y5</f>
        <v>2.461966327293089</v>
      </c>
      <c r="AB6" s="28">
        <f ca="1">'Debt worksheet'!Z5/'Profit and Loss'!Z5</f>
        <v>2.4534107297245438</v>
      </c>
      <c r="AC6" s="28">
        <f ca="1">'Debt worksheet'!AA5/'Profit and Loss'!AA5</f>
        <v>2.4413901498457395</v>
      </c>
      <c r="AD6" s="28">
        <f ca="1">'Debt worksheet'!AB5/'Profit and Loss'!AB5</f>
        <v>2.425602835221583</v>
      </c>
      <c r="AE6" s="28">
        <f ca="1">'Debt worksheet'!AC5/'Profit and Loss'!AC5</f>
        <v>2.429127186466701</v>
      </c>
      <c r="AF6" s="28">
        <f ca="1">'Debt worksheet'!AD5/'Profit and Loss'!AD5</f>
        <v>2.4377679686851521</v>
      </c>
      <c r="AG6" s="28">
        <f ca="1">'Debt worksheet'!AE5/'Profit and Loss'!AE5</f>
        <v>2.4631564188532997</v>
      </c>
      <c r="AH6" s="28">
        <f ca="1">'Debt worksheet'!AF5/'Profit and Loss'!AF5</f>
        <v>2.4981311570629585</v>
      </c>
      <c r="AI6" s="31"/>
    </row>
    <row r="7" spans="1:35" ht="21" x14ac:dyDescent="0.5">
      <c r="A7" s="19" t="s">
        <v>39</v>
      </c>
      <c r="B7" s="26">
        <f ca="1">MIN('Price and Financial ratios'!E7:AH7)</f>
        <v>0.16807551739341628</v>
      </c>
      <c r="C7" s="26"/>
      <c r="D7" s="26"/>
      <c r="E7" s="56">
        <f ca="1">'Cash Flow'!C7/'Debt worksheet'!C5</f>
        <v>0.16807551739341628</v>
      </c>
      <c r="F7" s="32">
        <f ca="1">'Cash Flow'!D7/'Debt worksheet'!D5</f>
        <v>0.21426202042056355</v>
      </c>
      <c r="G7" s="32">
        <f ca="1">'Cash Flow'!E7/'Debt worksheet'!E5</f>
        <v>0.22815818245502897</v>
      </c>
      <c r="H7" s="32">
        <f ca="1">'Cash Flow'!F7/'Debt worksheet'!F5</f>
        <v>0.24099129724510299</v>
      </c>
      <c r="I7" s="32">
        <f ca="1">'Cash Flow'!G7/'Debt worksheet'!G5</f>
        <v>0.23899220561299156</v>
      </c>
      <c r="J7" s="32">
        <f ca="1">'Cash Flow'!H7/'Debt worksheet'!H5</f>
        <v>0.24116839564596076</v>
      </c>
      <c r="K7" s="32">
        <f ca="1">'Cash Flow'!I7/'Debt worksheet'!I5</f>
        <v>0.23956723785069792</v>
      </c>
      <c r="L7" s="32">
        <f ca="1">'Cash Flow'!J7/'Debt worksheet'!J5</f>
        <v>0.239853858703722</v>
      </c>
      <c r="M7" s="17">
        <f ca="1">'Cash Flow'!K7/'Debt worksheet'!K5</f>
        <v>0.24204425410085739</v>
      </c>
      <c r="N7" s="17">
        <f ca="1">'Cash Flow'!L7/'Debt worksheet'!L5</f>
        <v>0.24219858796252611</v>
      </c>
      <c r="O7" s="17">
        <f ca="1">'Cash Flow'!M7/'Debt worksheet'!M5</f>
        <v>0.24327606440402461</v>
      </c>
      <c r="P7" s="17">
        <f ca="1">'Cash Flow'!N7/'Debt worksheet'!N5</f>
        <v>0.24126646472551649</v>
      </c>
      <c r="Q7" s="17">
        <f ca="1">'Cash Flow'!O7/'Debt worksheet'!O5</f>
        <v>0.23920016090752066</v>
      </c>
      <c r="R7" s="17">
        <f ca="1">'Cash Flow'!P7/'Debt worksheet'!P5</f>
        <v>0.23714905528284583</v>
      </c>
      <c r="S7" s="17">
        <f ca="1">'Cash Flow'!Q7/'Debt worksheet'!Q5</f>
        <v>0.23517844046332256</v>
      </c>
      <c r="T7" s="17">
        <f ca="1">'Cash Flow'!R7/'Debt worksheet'!R5</f>
        <v>0.23334711748604342</v>
      </c>
      <c r="U7" s="17">
        <f ca="1">'Cash Flow'!S7/'Debt worksheet'!S5</f>
        <v>0.23170783793644711</v>
      </c>
      <c r="V7" s="17">
        <f ca="1">'Cash Flow'!T7/'Debt worksheet'!T5</f>
        <v>0.23030798110545431</v>
      </c>
      <c r="W7" s="17">
        <f ca="1">'Cash Flow'!U7/'Debt worksheet'!U5</f>
        <v>0.22919039227889965</v>
      </c>
      <c r="X7" s="17">
        <f ca="1">'Cash Flow'!V7/'Debt worksheet'!V5</f>
        <v>0.22839432548143648</v>
      </c>
      <c r="Y7" s="17">
        <f ca="1">'Cash Flow'!W7/'Debt worksheet'!W5</f>
        <v>0.22795645129044056</v>
      </c>
      <c r="Z7" s="17">
        <f ca="1">'Cash Flow'!X7/'Debt worksheet'!X5</f>
        <v>0.22791190650946239</v>
      </c>
      <c r="AA7" s="17">
        <f ca="1">'Cash Flow'!Y7/'Debt worksheet'!Y5</f>
        <v>0.22829537709487471</v>
      </c>
      <c r="AB7" s="17">
        <f ca="1">'Cash Flow'!Z7/'Debt worksheet'!Z5</f>
        <v>0.22914221885802735</v>
      </c>
      <c r="AC7" s="17">
        <f ca="1">'Cash Flow'!AA7/'Debt worksheet'!AA5</f>
        <v>0.23048963260181562</v>
      </c>
      <c r="AD7" s="17">
        <f ca="1">'Cash Flow'!AB7/'Debt worksheet'!AB5</f>
        <v>0.23237792226837209</v>
      </c>
      <c r="AE7" s="17">
        <f ca="1">'Cash Flow'!AC7/'Debt worksheet'!AC5</f>
        <v>0.23071011475303349</v>
      </c>
      <c r="AF7" s="17">
        <f ca="1">'Cash Flow'!AD7/'Debt worksheet'!AD5</f>
        <v>0.22858115304806831</v>
      </c>
      <c r="AG7" s="17">
        <f ca="1">'Cash Flow'!AE7/'Debt worksheet'!AE5</f>
        <v>0.22398903650150648</v>
      </c>
      <c r="AH7" s="17">
        <f ca="1">'Cash Flow'!AF7/'Debt worksheet'!AF5</f>
        <v>0.21857896339718946</v>
      </c>
      <c r="AI7" s="29"/>
    </row>
    <row r="8" spans="1:35" ht="21" x14ac:dyDescent="0.5">
      <c r="A8" s="19" t="s">
        <v>34</v>
      </c>
      <c r="B8" s="26">
        <f ca="1">MAX('Price and Financial ratios'!E8:AH8)</f>
        <v>0.36736461789621772</v>
      </c>
      <c r="C8" s="26"/>
      <c r="D8" s="176"/>
      <c r="E8" s="17">
        <f>'Balance Sheet'!B11/'Balance Sheet'!B8</f>
        <v>0.21138935538394008</v>
      </c>
      <c r="F8" s="17">
        <f ca="1">'Balance Sheet'!C11/'Balance Sheet'!C8</f>
        <v>0.30257740336740441</v>
      </c>
      <c r="G8" s="17">
        <f ca="1">'Balance Sheet'!D11/'Balance Sheet'!D8</f>
        <v>0.33904371344339146</v>
      </c>
      <c r="H8" s="17">
        <f ca="1">'Balance Sheet'!E11/'Balance Sheet'!E8</f>
        <v>0.35783998649974325</v>
      </c>
      <c r="I8" s="17">
        <f ca="1">'Balance Sheet'!F11/'Balance Sheet'!F8</f>
        <v>0.36434784385015678</v>
      </c>
      <c r="J8" s="17">
        <f ca="1">'Balance Sheet'!G11/'Balance Sheet'!G8</f>
        <v>0.36736461789621772</v>
      </c>
      <c r="K8" s="17">
        <f ca="1">'Balance Sheet'!H11/'Balance Sheet'!H8</f>
        <v>0.36684921685843991</v>
      </c>
      <c r="L8" s="17">
        <f ca="1">'Balance Sheet'!I11/'Balance Sheet'!I8</f>
        <v>0.36539040957734892</v>
      </c>
      <c r="M8" s="17">
        <f ca="1">'Balance Sheet'!J11/'Balance Sheet'!J8</f>
        <v>0.36283626163510124</v>
      </c>
      <c r="N8" s="17">
        <f ca="1">'Balance Sheet'!K11/'Balance Sheet'!K8</f>
        <v>0.35904162677768042</v>
      </c>
      <c r="O8" s="17">
        <f ca="1">'Balance Sheet'!L11/'Balance Sheet'!L8</f>
        <v>0.35521853273094378</v>
      </c>
      <c r="P8" s="17">
        <f ca="1">'Balance Sheet'!M11/'Balance Sheet'!M8</f>
        <v>0.35120256011730422</v>
      </c>
      <c r="Q8" s="17">
        <f ca="1">'Balance Sheet'!N11/'Balance Sheet'!N8</f>
        <v>0.34819611879543116</v>
      </c>
      <c r="R8" s="17">
        <f ca="1">'Balance Sheet'!O11/'Balance Sheet'!O8</f>
        <v>0.34602492416746355</v>
      </c>
      <c r="S8" s="17">
        <f ca="1">'Balance Sheet'!P11/'Balance Sheet'!P8</f>
        <v>0.34453676932862998</v>
      </c>
      <c r="T8" s="17">
        <f ca="1">'Balance Sheet'!Q11/'Balance Sheet'!Q8</f>
        <v>0.3435973014490819</v>
      </c>
      <c r="U8" s="17">
        <f ca="1">'Balance Sheet'!R11/'Balance Sheet'!R8</f>
        <v>0.34308669389970847</v>
      </c>
      <c r="V8" s="17">
        <f ca="1">'Balance Sheet'!S11/'Balance Sheet'!S8</f>
        <v>0.34289699923028411</v>
      </c>
      <c r="W8" s="17">
        <f ca="1">'Balance Sheet'!T11/'Balance Sheet'!T8</f>
        <v>0.34293002505922882</v>
      </c>
      <c r="X8" s="17">
        <f ca="1">'Balance Sheet'!U11/'Balance Sheet'!U8</f>
        <v>0.34309561544921685</v>
      </c>
      <c r="Y8" s="17">
        <f ca="1">'Balance Sheet'!V11/'Balance Sheet'!V8</f>
        <v>0.34331024952853095</v>
      </c>
      <c r="Z8" s="17">
        <f ca="1">'Balance Sheet'!W11/'Balance Sheet'!W8</f>
        <v>0.34349589038837047</v>
      </c>
      <c r="AA8" s="17">
        <f ca="1">'Balance Sheet'!X11/'Balance Sheet'!X8</f>
        <v>0.34357903295671754</v>
      </c>
      <c r="AB8" s="17">
        <f ca="1">'Balance Sheet'!Y11/'Balance Sheet'!Y8</f>
        <v>0.34348991121138628</v>
      </c>
      <c r="AC8" s="17">
        <f ca="1">'Balance Sheet'!Z11/'Balance Sheet'!Z8</f>
        <v>0.34316183385626786</v>
      </c>
      <c r="AD8" s="17">
        <f ca="1">'Balance Sheet'!AA11/'Balance Sheet'!AA8</f>
        <v>0.34253062422558894</v>
      </c>
      <c r="AE8" s="17">
        <f ca="1">'Balance Sheet'!AB11/'Balance Sheet'!AB8</f>
        <v>0.34153414525655895</v>
      </c>
      <c r="AF8" s="17">
        <f ca="1">'Balance Sheet'!AC11/'Balance Sheet'!AC8</f>
        <v>0.34146533288402747</v>
      </c>
      <c r="AG8" s="17">
        <f ca="1">'Balance Sheet'!AD11/'Balance Sheet'!AD8</f>
        <v>0.34225876267651489</v>
      </c>
      <c r="AH8" s="17">
        <f ca="1">'Balance Sheet'!AE11/'Balance Sheet'!AE8</f>
        <v>0.34452732368955913</v>
      </c>
      <c r="AI8" s="29"/>
    </row>
    <row r="9" spans="1:35" ht="21.5" thickBot="1" x14ac:dyDescent="0.55000000000000004">
      <c r="A9" s="20" t="s">
        <v>33</v>
      </c>
      <c r="B9" s="21">
        <f ca="1">MIN('Price and Financial ratios'!E9:AH9)</f>
        <v>4.355929356992907</v>
      </c>
      <c r="C9" s="21"/>
      <c r="D9" s="177"/>
      <c r="E9" s="21">
        <f ca="1">('Cash Flow'!C7+'Profit and Loss'!C8)/('Profit and Loss'!C8)</f>
        <v>4.355929356992907</v>
      </c>
      <c r="F9" s="21">
        <f ca="1">('Cash Flow'!D7+'Profit and Loss'!D8)/('Profit and Loss'!D8)</f>
        <v>5.99547165762307</v>
      </c>
      <c r="G9" s="21">
        <f ca="1">('Cash Flow'!E7+'Profit and Loss'!E8)/('Profit and Loss'!E8)</f>
        <v>6.6752285495222141</v>
      </c>
      <c r="H9" s="21">
        <f ca="1">('Cash Flow'!F7+'Profit and Loss'!F8)/('Profit and Loss'!F8)</f>
        <v>7.2403412664974249</v>
      </c>
      <c r="I9" s="21">
        <f ca="1">('Cash Flow'!G7+'Profit and Loss'!G8)/('Profit and Loss'!G8)</f>
        <v>7.2728421405533901</v>
      </c>
      <c r="J9" s="21">
        <f ca="1">('Cash Flow'!H7+'Profit and Loss'!H8)/('Profit and Loss'!H8)</f>
        <v>7.4125586061359474</v>
      </c>
      <c r="K9" s="21">
        <f ca="1">('Cash Flow'!I7+'Profit and Loss'!I8)/('Profit and Loss'!I8)</f>
        <v>7.4053203443320461</v>
      </c>
      <c r="L9" s="21">
        <f ca="1">('Cash Flow'!J7+'Profit and Loss'!J8)/('Profit and Loss'!J8)</f>
        <v>7.4494732360419311</v>
      </c>
      <c r="M9" s="21">
        <f ca="1">('Cash Flow'!K7+'Profit and Loss'!K8)/('Profit and Loss'!K8)</f>
        <v>7.5467474397678211</v>
      </c>
      <c r="N9" s="21">
        <f ca="1">('Cash Flow'!L7+'Profit and Loss'!L8)/('Profit and Loss'!L8)</f>
        <v>7.5663066751483337</v>
      </c>
      <c r="O9" s="21">
        <f ca="1">('Cash Flow'!M7+'Profit and Loss'!M8)/('Profit and Loss'!M8)</f>
        <v>7.612836015642678</v>
      </c>
      <c r="P9" s="21">
        <f ca="1">('Cash Flow'!N7+'Profit and Loss'!N8)/('Profit and Loss'!N8)</f>
        <v>7.5517399405826824</v>
      </c>
      <c r="Q9" s="21">
        <f ca="1">('Cash Flow'!O7+'Profit and Loss'!O8)/('Profit and Loss'!O8)</f>
        <v>7.491035707606164</v>
      </c>
      <c r="R9" s="21">
        <f ca="1">('Cash Flow'!P7+'Profit and Loss'!P8)/('Profit and Loss'!P8)</f>
        <v>7.4325241860481333</v>
      </c>
      <c r="S9" s="21">
        <f ca="1">('Cash Flow'!Q7+'Profit and Loss'!Q8)/('Profit and Loss'!Q8)</f>
        <v>7.377823638897155</v>
      </c>
      <c r="T9" s="21">
        <f ca="1">('Cash Flow'!R7+'Profit and Loss'!R8)/('Profit and Loss'!R8)</f>
        <v>7.3283821740566957</v>
      </c>
      <c r="U9" s="21">
        <f ca="1">('Cash Flow'!S7+'Profit and Loss'!S8)/('Profit and Loss'!S8)</f>
        <v>7.2854966533384351</v>
      </c>
      <c r="V9" s="21">
        <f ca="1">('Cash Flow'!T7+'Profit and Loss'!T8)/('Profit and Loss'!T8)</f>
        <v>7.2503359987166132</v>
      </c>
      <c r="W9" s="21">
        <f ca="1">('Cash Flow'!U7+'Profit and Loss'!U8)/('Profit and Loss'!U8)</f>
        <v>7.2239673160316107</v>
      </c>
      <c r="X9" s="21">
        <f ca="1">('Cash Flow'!V7+'Profit and Loss'!V8)/('Profit and Loss'!V8)</f>
        <v>7.2073837372448732</v>
      </c>
      <c r="Y9" s="21">
        <f ca="1">('Cash Flow'!W7+'Profit and Loss'!W8)/('Profit and Loss'!W8)</f>
        <v>7.2015333306314258</v>
      </c>
      <c r="Z9" s="21">
        <f ca="1">('Cash Flow'!X7+'Profit and Loss'!X8)/('Profit and Loss'!X8)</f>
        <v>7.2073488315356551</v>
      </c>
      <c r="AA9" s="21">
        <f ca="1">('Cash Flow'!Y7+'Profit and Loss'!Y8)/('Profit and Loss'!Y8)</f>
        <v>7.2257783071447976</v>
      </c>
      <c r="AB9" s="21">
        <f ca="1">('Cash Flow'!Z7+'Profit and Loss'!Z8)/('Profit and Loss'!Z8)</f>
        <v>7.2578172004528758</v>
      </c>
      <c r="AC9" s="21">
        <f ca="1">('Cash Flow'!AA7+'Profit and Loss'!AA8)/('Profit and Loss'!AA8)</f>
        <v>7.3045425223685143</v>
      </c>
      <c r="AD9" s="21">
        <f ca="1">('Cash Flow'!AB7+'Profit and Loss'!AB8)/('Profit and Loss'!AB8)</f>
        <v>7.3671503048123901</v>
      </c>
      <c r="AE9" s="21">
        <f ca="1">('Cash Flow'!AC7+'Profit and Loss'!AC8)/('Profit and Loss'!AC8)</f>
        <v>7.3081981147436501</v>
      </c>
      <c r="AF9" s="21">
        <f ca="1">('Cash Flow'!AD7+'Profit and Loss'!AD8)/('Profit and Loss'!AD8)</f>
        <v>7.2378503797255718</v>
      </c>
      <c r="AG9" s="21">
        <f ca="1">('Cash Flow'!AE7+'Profit and Loss'!AE8)/('Profit and Loss'!AE8)</f>
        <v>7.0897249499596899</v>
      </c>
      <c r="AH9" s="21">
        <f ca="1">('Cash Flow'!AF7+'Profit and Loss'!AF8)/('Profit and Loss'!AF8)</f>
        <v>6.921905942153483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164</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11193958.104116805</v>
      </c>
      <c r="D5" s="1">
        <f>Assumptions!E111</f>
        <v>11193958.104116805</v>
      </c>
      <c r="E5" s="1">
        <f>Assumptions!F111</f>
        <v>11193958.104116805</v>
      </c>
      <c r="F5" s="1">
        <f>Assumptions!G111</f>
        <v>11193958.104116805</v>
      </c>
      <c r="G5" s="1">
        <f>Assumptions!H111</f>
        <v>11193958.104116805</v>
      </c>
      <c r="H5" s="1">
        <f>Assumptions!I111</f>
        <v>11193958.104116805</v>
      </c>
      <c r="I5" s="1">
        <f>Assumptions!J111</f>
        <v>11193958.104116805</v>
      </c>
      <c r="J5" s="1">
        <f>Assumptions!K111</f>
        <v>11193958.104116805</v>
      </c>
      <c r="K5" s="1">
        <f>Assumptions!L111</f>
        <v>11193958.104116805</v>
      </c>
      <c r="L5" s="1">
        <f>Assumptions!M111</f>
        <v>11193958.104116805</v>
      </c>
      <c r="M5" s="1">
        <f>Assumptions!N111</f>
        <v>11193958.104116805</v>
      </c>
      <c r="N5" s="1">
        <f>Assumptions!O111</f>
        <v>11193958.104116805</v>
      </c>
      <c r="O5" s="1">
        <f>Assumptions!P111</f>
        <v>11193958.104116805</v>
      </c>
      <c r="P5" s="1">
        <f>Assumptions!Q111</f>
        <v>11193958.104116805</v>
      </c>
      <c r="Q5" s="1">
        <f>Assumptions!R111</f>
        <v>11193958.104116805</v>
      </c>
      <c r="R5" s="1">
        <f>Assumptions!S111</f>
        <v>11193958.104116805</v>
      </c>
      <c r="S5" s="1">
        <f>Assumptions!T111</f>
        <v>11193958.104116805</v>
      </c>
      <c r="T5" s="1">
        <f>Assumptions!U111</f>
        <v>11193958.104116805</v>
      </c>
      <c r="U5" s="1">
        <f>Assumptions!V111</f>
        <v>11193958.104116805</v>
      </c>
      <c r="V5" s="1">
        <f>Assumptions!W111</f>
        <v>11193958.104116805</v>
      </c>
      <c r="W5" s="1">
        <f>Assumptions!X111</f>
        <v>11193958.104116805</v>
      </c>
      <c r="X5" s="1">
        <f>Assumptions!Y111</f>
        <v>11193958.104116805</v>
      </c>
      <c r="Y5" s="1">
        <f>Assumptions!Z111</f>
        <v>11193958.104116805</v>
      </c>
      <c r="Z5" s="1">
        <f>Assumptions!AA111</f>
        <v>11193958.104116805</v>
      </c>
      <c r="AA5" s="1">
        <f>Assumptions!AB111</f>
        <v>11193958.104116805</v>
      </c>
      <c r="AB5" s="1">
        <f>Assumptions!AC111</f>
        <v>11193958.104116805</v>
      </c>
      <c r="AC5" s="1">
        <f>Assumptions!AD111</f>
        <v>11193958.104116805</v>
      </c>
      <c r="AD5" s="1">
        <f>Assumptions!AE111</f>
        <v>11193958.104116805</v>
      </c>
      <c r="AE5" s="1">
        <f>Assumptions!AF111</f>
        <v>11193958.104116805</v>
      </c>
      <c r="AF5" s="1">
        <f>Assumptions!AG111</f>
        <v>11193958.104116805</v>
      </c>
    </row>
    <row r="6" spans="1:32" x14ac:dyDescent="0.35">
      <c r="A6" t="s">
        <v>69</v>
      </c>
      <c r="C6" s="1">
        <f>Assumptions!D113</f>
        <v>34908514.938518628</v>
      </c>
      <c r="D6" s="1">
        <f>Assumptions!E113</f>
        <v>34908514.938518628</v>
      </c>
      <c r="E6" s="1">
        <f>Assumptions!F113</f>
        <v>34908514.938518628</v>
      </c>
      <c r="F6" s="1">
        <f>Assumptions!G113</f>
        <v>34908514.938518628</v>
      </c>
      <c r="G6" s="1">
        <f>Assumptions!H113</f>
        <v>34908514.938518628</v>
      </c>
      <c r="H6" s="1">
        <f>Assumptions!I113</f>
        <v>34908514.938518628</v>
      </c>
      <c r="I6" s="1">
        <f>Assumptions!J113</f>
        <v>34908514.938518628</v>
      </c>
      <c r="J6" s="1">
        <f>Assumptions!K113</f>
        <v>34908514.938518628</v>
      </c>
      <c r="K6" s="1">
        <f>Assumptions!L113</f>
        <v>34908514.938518628</v>
      </c>
      <c r="L6" s="1">
        <f>Assumptions!M113</f>
        <v>34908514.938518628</v>
      </c>
      <c r="M6" s="1">
        <f>Assumptions!N113</f>
        <v>34908514.938518628</v>
      </c>
      <c r="N6" s="1">
        <f>Assumptions!O113</f>
        <v>34908514.938518628</v>
      </c>
      <c r="O6" s="1">
        <f>Assumptions!P113</f>
        <v>34908514.938518628</v>
      </c>
      <c r="P6" s="1">
        <f>Assumptions!Q113</f>
        <v>34908514.938518628</v>
      </c>
      <c r="Q6" s="1">
        <f>Assumptions!R113</f>
        <v>34908514.938518628</v>
      </c>
      <c r="R6" s="1">
        <f>Assumptions!S113</f>
        <v>34908514.938518628</v>
      </c>
      <c r="S6" s="1">
        <f>Assumptions!T113</f>
        <v>34908514.938518628</v>
      </c>
      <c r="T6" s="1">
        <f>Assumptions!U113</f>
        <v>34908514.938518628</v>
      </c>
      <c r="U6" s="1">
        <f>Assumptions!V113</f>
        <v>34908514.938518628</v>
      </c>
      <c r="V6" s="1">
        <f>Assumptions!W113</f>
        <v>34908514.938518628</v>
      </c>
      <c r="W6" s="1">
        <f>Assumptions!X113</f>
        <v>34908514.938518628</v>
      </c>
      <c r="X6" s="1">
        <f>Assumptions!Y113</f>
        <v>34908514.938518628</v>
      </c>
      <c r="Y6" s="1">
        <f>Assumptions!Z113</f>
        <v>34908514.938518628</v>
      </c>
      <c r="Z6" s="1">
        <f>Assumptions!AA113</f>
        <v>34908514.938518628</v>
      </c>
      <c r="AA6" s="1">
        <f>Assumptions!AB113</f>
        <v>34908514.938518628</v>
      </c>
      <c r="AB6" s="1">
        <f>Assumptions!AC113</f>
        <v>34908514.938518628</v>
      </c>
      <c r="AC6" s="1">
        <f>Assumptions!AD113</f>
        <v>34908514.938518628</v>
      </c>
      <c r="AD6" s="1">
        <f>Assumptions!AE113</f>
        <v>34908514.938518628</v>
      </c>
      <c r="AE6" s="1">
        <f>Assumptions!AF113</f>
        <v>34908514.938518628</v>
      </c>
      <c r="AF6" s="1">
        <f>Assumptions!AG113</f>
        <v>34908514.938518628</v>
      </c>
    </row>
    <row r="7" spans="1:32" x14ac:dyDescent="0.35">
      <c r="A7" t="s">
        <v>74</v>
      </c>
      <c r="C7" s="1">
        <f>Assumptions!D120</f>
        <v>837804.35852444707</v>
      </c>
      <c r="D7" s="1">
        <f>Assumptions!E120</f>
        <v>1675608.7170488941</v>
      </c>
      <c r="E7" s="1">
        <f>Assumptions!F120</f>
        <v>2513413.0755733415</v>
      </c>
      <c r="F7" s="1">
        <f>Assumptions!G120</f>
        <v>3351217.4340977883</v>
      </c>
      <c r="G7" s="1">
        <f>Assumptions!H120</f>
        <v>4189021.7926222356</v>
      </c>
      <c r="H7" s="1">
        <f>Assumptions!I120</f>
        <v>5026826.1511466829</v>
      </c>
      <c r="I7" s="1">
        <f>Assumptions!J120</f>
        <v>5864630.5096711302</v>
      </c>
      <c r="J7" s="1">
        <f>Assumptions!K120</f>
        <v>6702434.8681955775</v>
      </c>
      <c r="K7" s="1">
        <f>Assumptions!L120</f>
        <v>7540239.2267200258</v>
      </c>
      <c r="L7" s="1">
        <f>Assumptions!M120</f>
        <v>8378043.5852444731</v>
      </c>
      <c r="M7" s="1">
        <f>Assumptions!N120</f>
        <v>9215847.9437689204</v>
      </c>
      <c r="N7" s="1">
        <f>Assumptions!O120</f>
        <v>10053652.302293368</v>
      </c>
      <c r="O7" s="1">
        <f>Assumptions!P120</f>
        <v>10891456.660817813</v>
      </c>
      <c r="P7" s="1">
        <f>Assumptions!Q120</f>
        <v>11729261.019342262</v>
      </c>
      <c r="Q7" s="1">
        <f>Assumptions!R120</f>
        <v>12567065.37786671</v>
      </c>
      <c r="R7" s="1">
        <f>Assumptions!S120</f>
        <v>13404869.736391155</v>
      </c>
      <c r="S7" s="1">
        <f>Assumptions!T120</f>
        <v>14242674.094915602</v>
      </c>
      <c r="T7" s="1">
        <f>Assumptions!U120</f>
        <v>15080478.453440052</v>
      </c>
      <c r="U7" s="1">
        <f>Assumptions!V120</f>
        <v>15918282.811964497</v>
      </c>
      <c r="V7" s="1">
        <f>Assumptions!W120</f>
        <v>16756087.170488946</v>
      </c>
      <c r="W7" s="1">
        <f>Assumptions!X120</f>
        <v>17593891.529013392</v>
      </c>
      <c r="X7" s="1">
        <f>Assumptions!Y120</f>
        <v>18431695.887537841</v>
      </c>
      <c r="Y7" s="1">
        <f>Assumptions!Z120</f>
        <v>19269500.24606229</v>
      </c>
      <c r="Z7" s="1">
        <f>Assumptions!AA120</f>
        <v>20107304.604586735</v>
      </c>
      <c r="AA7" s="1">
        <f>Assumptions!AB120</f>
        <v>20945108.963111181</v>
      </c>
      <c r="AB7" s="1">
        <f>Assumptions!AC120</f>
        <v>21782913.321635626</v>
      </c>
      <c r="AC7" s="1">
        <f>Assumptions!AD120</f>
        <v>22620717.680160079</v>
      </c>
      <c r="AD7" s="1">
        <f>Assumptions!AE120</f>
        <v>23458522.038684525</v>
      </c>
      <c r="AE7" s="1">
        <f>Assumptions!AF120</f>
        <v>24296326.39720897</v>
      </c>
      <c r="AF7" s="1">
        <f>Assumptions!AG120</f>
        <v>25134130.755733419</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11552164.763448544</v>
      </c>
      <c r="D11" s="1">
        <f>D5*D$9</f>
        <v>11921834.035878895</v>
      </c>
      <c r="E11" s="1">
        <f t="shared" ref="D11:AF13" si="1">E5*E$9</f>
        <v>12303332.725027019</v>
      </c>
      <c r="F11" s="1">
        <f t="shared" si="1"/>
        <v>12697039.372227885</v>
      </c>
      <c r="G11" s="1">
        <f t="shared" si="1"/>
        <v>13103344.632139178</v>
      </c>
      <c r="H11" s="1">
        <f t="shared" si="1"/>
        <v>13522651.66036763</v>
      </c>
      <c r="I11" s="1">
        <f t="shared" si="1"/>
        <v>13955376.513499392</v>
      </c>
      <c r="J11" s="1">
        <f t="shared" si="1"/>
        <v>14401948.561931375</v>
      </c>
      <c r="K11" s="1">
        <f t="shared" si="1"/>
        <v>14862810.91591318</v>
      </c>
      <c r="L11" s="1">
        <f t="shared" si="1"/>
        <v>15338420.8652224</v>
      </c>
      <c r="M11" s="1">
        <f t="shared" si="1"/>
        <v>15829250.332909517</v>
      </c>
      <c r="N11" s="1">
        <f t="shared" si="1"/>
        <v>16335786.343562622</v>
      </c>
      <c r="O11" s="1">
        <f t="shared" si="1"/>
        <v>16858531.506556626</v>
      </c>
      <c r="P11" s="1">
        <f t="shared" si="1"/>
        <v>17398004.514766436</v>
      </c>
      <c r="Q11" s="1">
        <f t="shared" si="1"/>
        <v>17954740.659238961</v>
      </c>
      <c r="R11" s="1">
        <f t="shared" si="1"/>
        <v>18529292.360334609</v>
      </c>
      <c r="S11" s="1">
        <f t="shared" si="1"/>
        <v>19122229.715865318</v>
      </c>
      <c r="T11" s="1">
        <f t="shared" si="1"/>
        <v>19734141.066773009</v>
      </c>
      <c r="U11" s="1">
        <f t="shared" si="1"/>
        <v>20365633.58090974</v>
      </c>
      <c r="V11" s="1">
        <f t="shared" si="1"/>
        <v>21017333.855498854</v>
      </c>
      <c r="W11" s="1">
        <f t="shared" si="1"/>
        <v>21689888.53887482</v>
      </c>
      <c r="X11" s="1">
        <f t="shared" si="1"/>
        <v>22383964.972118814</v>
      </c>
      <c r="Y11" s="1">
        <f t="shared" si="1"/>
        <v>23100251.851226609</v>
      </c>
      <c r="Z11" s="1">
        <f t="shared" si="1"/>
        <v>23839459.910465863</v>
      </c>
      <c r="AA11" s="1">
        <f t="shared" si="1"/>
        <v>24602322.627600778</v>
      </c>
      <c r="AB11" s="1">
        <f t="shared" si="1"/>
        <v>25389596.951683998</v>
      </c>
      <c r="AC11" s="1">
        <f t="shared" si="1"/>
        <v>26202064.054137882</v>
      </c>
      <c r="AD11" s="1">
        <f t="shared" si="1"/>
        <v>27040530.103870299</v>
      </c>
      <c r="AE11" s="1">
        <f t="shared" si="1"/>
        <v>27905827.067194149</v>
      </c>
      <c r="AF11" s="1">
        <f t="shared" si="1"/>
        <v>28798813.533344354</v>
      </c>
    </row>
    <row r="12" spans="1:32" x14ac:dyDescent="0.35">
      <c r="A12" t="s">
        <v>72</v>
      </c>
      <c r="C12" s="1">
        <f t="shared" ref="C12:R12" si="2">C6*C$9</f>
        <v>36025587.416551225</v>
      </c>
      <c r="D12" s="1">
        <f t="shared" si="2"/>
        <v>37178406.213880859</v>
      </c>
      <c r="E12" s="1">
        <f t="shared" si="2"/>
        <v>38368115.212725051</v>
      </c>
      <c r="F12" s="1">
        <f t="shared" si="2"/>
        <v>39595894.899532251</v>
      </c>
      <c r="G12" s="1">
        <f t="shared" si="2"/>
        <v>40862963.536317289</v>
      </c>
      <c r="H12" s="1">
        <f t="shared" si="2"/>
        <v>42170578.369479433</v>
      </c>
      <c r="I12" s="1">
        <f t="shared" si="2"/>
        <v>43520036.877302773</v>
      </c>
      <c r="J12" s="1">
        <f t="shared" si="2"/>
        <v>44912678.057376467</v>
      </c>
      <c r="K12" s="1">
        <f t="shared" si="2"/>
        <v>46349883.755212516</v>
      </c>
      <c r="L12" s="1">
        <f t="shared" si="2"/>
        <v>47833080.035379313</v>
      </c>
      <c r="M12" s="1">
        <f t="shared" si="2"/>
        <v>49363738.596511446</v>
      </c>
      <c r="N12" s="1">
        <f t="shared" si="2"/>
        <v>50943378.231599815</v>
      </c>
      <c r="O12" s="1">
        <f t="shared" si="2"/>
        <v>52573566.335011013</v>
      </c>
      <c r="P12" s="1">
        <f t="shared" si="2"/>
        <v>54255920.457731359</v>
      </c>
      <c r="Q12" s="1">
        <f t="shared" si="2"/>
        <v>55992109.912378751</v>
      </c>
      <c r="R12" s="1">
        <f t="shared" si="2"/>
        <v>57783857.429574884</v>
      </c>
      <c r="S12" s="1">
        <f t="shared" si="1"/>
        <v>59632940.86732129</v>
      </c>
      <c r="T12" s="1">
        <f t="shared" si="1"/>
        <v>61541194.975075558</v>
      </c>
      <c r="U12" s="1">
        <f t="shared" si="1"/>
        <v>63510513.214277968</v>
      </c>
      <c r="V12" s="1">
        <f t="shared" si="1"/>
        <v>65542849.637134872</v>
      </c>
      <c r="W12" s="1">
        <f t="shared" si="1"/>
        <v>67640220.825523198</v>
      </c>
      <c r="X12" s="1">
        <f t="shared" si="1"/>
        <v>69804707.891939923</v>
      </c>
      <c r="Y12" s="1">
        <f t="shared" si="1"/>
        <v>72038458.544481993</v>
      </c>
      <c r="Z12" s="1">
        <f t="shared" si="1"/>
        <v>74343689.217905417</v>
      </c>
      <c r="AA12" s="1">
        <f t="shared" si="1"/>
        <v>76722687.272878423</v>
      </c>
      <c r="AB12" s="1">
        <f t="shared" si="1"/>
        <v>79177813.265610516</v>
      </c>
      <c r="AC12" s="1">
        <f t="shared" si="1"/>
        <v>81711503.290110037</v>
      </c>
      <c r="AD12" s="1">
        <f t="shared" si="1"/>
        <v>84326271.39539358</v>
      </c>
      <c r="AE12" s="1">
        <f t="shared" si="1"/>
        <v>87024712.080046162</v>
      </c>
      <c r="AF12" s="1">
        <f t="shared" si="1"/>
        <v>89809502.866607636</v>
      </c>
    </row>
    <row r="13" spans="1:32" x14ac:dyDescent="0.35">
      <c r="A13" t="s">
        <v>75</v>
      </c>
      <c r="C13" s="1">
        <f>C7*C$9</f>
        <v>864614.09799722943</v>
      </c>
      <c r="D13" s="1">
        <f t="shared" si="1"/>
        <v>1784563.4982662813</v>
      </c>
      <c r="E13" s="1">
        <f t="shared" si="1"/>
        <v>2762504.2953162035</v>
      </c>
      <c r="F13" s="1">
        <f t="shared" si="1"/>
        <v>3801205.9103550958</v>
      </c>
      <c r="G13" s="1">
        <f t="shared" si="1"/>
        <v>4903555.6243580747</v>
      </c>
      <c r="H13" s="1">
        <f t="shared" si="1"/>
        <v>6072563.2852050392</v>
      </c>
      <c r="I13" s="1">
        <f t="shared" si="1"/>
        <v>7311366.1953868661</v>
      </c>
      <c r="J13" s="1">
        <f t="shared" si="1"/>
        <v>8623234.1870162822</v>
      </c>
      <c r="K13" s="1">
        <f t="shared" si="1"/>
        <v>10011574.891125906</v>
      </c>
      <c r="L13" s="1">
        <f t="shared" si="1"/>
        <v>11479939.208491039</v>
      </c>
      <c r="M13" s="1">
        <f t="shared" si="1"/>
        <v>13032026.989479026</v>
      </c>
      <c r="N13" s="1">
        <f t="shared" si="1"/>
        <v>14671692.930700751</v>
      </c>
      <c r="O13" s="1">
        <f t="shared" si="1"/>
        <v>16402952.696523439</v>
      </c>
      <c r="P13" s="1">
        <f t="shared" si="1"/>
        <v>18229989.273797739</v>
      </c>
      <c r="Q13" s="1">
        <f t="shared" si="1"/>
        <v>20157159.568456355</v>
      </c>
      <c r="R13" s="1">
        <f t="shared" si="1"/>
        <v>22189001.252956759</v>
      </c>
      <c r="S13" s="1">
        <f t="shared" si="1"/>
        <v>24330239.873867087</v>
      </c>
      <c r="T13" s="1">
        <f t="shared" si="1"/>
        <v>26585796.22923265</v>
      </c>
      <c r="U13" s="1">
        <f t="shared" si="1"/>
        <v>28960794.025710758</v>
      </c>
      <c r="V13" s="1">
        <f t="shared" si="1"/>
        <v>31460567.825824749</v>
      </c>
      <c r="W13" s="1">
        <f t="shared" si="1"/>
        <v>34090671.296063699</v>
      </c>
      <c r="X13" s="1">
        <f t="shared" si="1"/>
        <v>36856885.766944289</v>
      </c>
      <c r="Y13" s="1">
        <f t="shared" si="1"/>
        <v>39765229.116554074</v>
      </c>
      <c r="Z13" s="1">
        <f t="shared" si="1"/>
        <v>42821964.989513539</v>
      </c>
      <c r="AA13" s="1">
        <f t="shared" si="1"/>
        <v>46033612.363727055</v>
      </c>
      <c r="AB13" s="1">
        <f t="shared" si="1"/>
        <v>49406955.477740966</v>
      </c>
      <c r="AC13" s="1">
        <f t="shared" si="1"/>
        <v>52949054.131991327</v>
      </c>
      <c r="AD13" s="1">
        <f t="shared" si="1"/>
        <v>56667254.377704494</v>
      </c>
      <c r="AE13" s="1">
        <f t="shared" si="1"/>
        <v>60569199.607712142</v>
      </c>
      <c r="AF13" s="1">
        <f t="shared" si="1"/>
        <v>64662842.063957512</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48442366.277996995</v>
      </c>
      <c r="D25" s="40">
        <f>SUM(D11:D13,D18:D23)</f>
        <v>50884803.748026036</v>
      </c>
      <c r="E25" s="40">
        <f t="shared" ref="E25:AF25" si="7">SUM(E11:E13,E18:E23)</f>
        <v>53433952.233068272</v>
      </c>
      <c r="F25" s="40">
        <f t="shared" si="7"/>
        <v>56094140.182115234</v>
      </c>
      <c r="G25" s="40">
        <f t="shared" si="7"/>
        <v>58869863.792814538</v>
      </c>
      <c r="H25" s="40">
        <f t="shared" si="7"/>
        <v>61765793.3150521</v>
      </c>
      <c r="I25" s="40">
        <f t="shared" si="7"/>
        <v>64786779.586189032</v>
      </c>
      <c r="J25" s="40">
        <f t="shared" si="7"/>
        <v>67937860.806324124</v>
      </c>
      <c r="K25" s="40">
        <f t="shared" si="7"/>
        <v>71224269.562251598</v>
      </c>
      <c r="L25" s="40">
        <f t="shared" si="7"/>
        <v>74651440.109092757</v>
      </c>
      <c r="M25" s="40">
        <f t="shared" si="7"/>
        <v>78225015.918899983</v>
      </c>
      <c r="N25" s="40">
        <f t="shared" si="7"/>
        <v>81950857.50586319</v>
      </c>
      <c r="O25" s="40">
        <f t="shared" si="7"/>
        <v>85835050.538091078</v>
      </c>
      <c r="P25" s="40">
        <f t="shared" si="7"/>
        <v>89883914.246295527</v>
      </c>
      <c r="Q25" s="40">
        <f t="shared" si="7"/>
        <v>94104010.140074059</v>
      </c>
      <c r="R25" s="40">
        <f t="shared" si="7"/>
        <v>98502151.04286626</v>
      </c>
      <c r="S25" s="40">
        <f t="shared" si="7"/>
        <v>103085410.45705369</v>
      </c>
      <c r="T25" s="40">
        <f t="shared" si="7"/>
        <v>107861132.27108122</v>
      </c>
      <c r="U25" s="40">
        <f t="shared" si="7"/>
        <v>112836940.82089847</v>
      </c>
      <c r="V25" s="40">
        <f t="shared" si="7"/>
        <v>118020751.31845848</v>
      </c>
      <c r="W25" s="40">
        <f t="shared" si="7"/>
        <v>123420780.66046172</v>
      </c>
      <c r="X25" s="40">
        <f t="shared" si="7"/>
        <v>129045558.63100302</v>
      </c>
      <c r="Y25" s="40">
        <f t="shared" si="7"/>
        <v>134903939.51226267</v>
      </c>
      <c r="Z25" s="40">
        <f t="shared" si="7"/>
        <v>141005114.11788481</v>
      </c>
      <c r="AA25" s="40">
        <f t="shared" si="7"/>
        <v>147358622.26420626</v>
      </c>
      <c r="AB25" s="40">
        <f t="shared" si="7"/>
        <v>153974365.69503549</v>
      </c>
      <c r="AC25" s="40">
        <f t="shared" si="7"/>
        <v>160862621.47623926</v>
      </c>
      <c r="AD25" s="40">
        <f t="shared" si="7"/>
        <v>168034055.87696838</v>
      </c>
      <c r="AE25" s="40">
        <f t="shared" si="7"/>
        <v>175499738.75495246</v>
      </c>
      <c r="AF25" s="40">
        <f t="shared" si="7"/>
        <v>183271158.46390951</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165</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33005714.203104757</v>
      </c>
      <c r="D5" s="59">
        <f>C5*('Price and Financial ratios'!F4+1)*(1+Assumptions!$C$13)</f>
        <v>46712283.781014159</v>
      </c>
      <c r="E5" s="59">
        <f>D5*('Price and Financial ratios'!G4+1)*(1+Assumptions!$C$13)</f>
        <v>56666485.322871938</v>
      </c>
      <c r="F5" s="59">
        <f>E5*('Price and Financial ratios'!H4+1)*(1+Assumptions!$C$13)</f>
        <v>65877642.234782659</v>
      </c>
      <c r="G5" s="59">
        <f>F5*('Price and Financial ratios'!I4+1)*(1+Assumptions!$C$13)</f>
        <v>71924314.766386822</v>
      </c>
      <c r="H5" s="59">
        <f>G5*('Price and Financial ratios'!J4+1)*(1+Assumptions!$C$13)</f>
        <v>78525989.685206845</v>
      </c>
      <c r="I5" s="59">
        <f>H5*('Price and Financial ratios'!K4+1)*(1+Assumptions!$C$13)</f>
        <v>84145949.25021112</v>
      </c>
      <c r="J5" s="59">
        <f>I5*('Price and Financial ratios'!L4+1)*(1+Assumptions!$C$13)</f>
        <v>90168118.906917483</v>
      </c>
      <c r="K5" s="59">
        <f>J5*('Price and Financial ratios'!M4+1)*(1+Assumptions!$C$13)</f>
        <v>96621284.086252213</v>
      </c>
      <c r="L5" s="59">
        <f>K5*('Price and Financial ratios'!N4+1)*(1+Assumptions!$C$13)</f>
        <v>102559532.88306145</v>
      </c>
      <c r="M5" s="59">
        <f>L5*('Price and Financial ratios'!O4+1)*(1+Assumptions!$C$13)</f>
        <v>108862740.59245695</v>
      </c>
      <c r="N5" s="59">
        <f>M5*('Price and Financial ratios'!P4+1)*(1+Assumptions!$C$13)</f>
        <v>114452829.25553977</v>
      </c>
      <c r="O5" s="59">
        <f>N5*('Price and Financial ratios'!Q4+1)*(1+Assumptions!$C$13)</f>
        <v>120329968.30051693</v>
      </c>
      <c r="P5" s="59">
        <f>O5*('Price and Financial ratios'!R4+1)*(1+Assumptions!$C$13)</f>
        <v>126508897.73004521</v>
      </c>
      <c r="Q5" s="59">
        <f>P5*('Price and Financial ratios'!S4+1)*(1+Assumptions!$C$13)</f>
        <v>133005114.4441487</v>
      </c>
      <c r="R5" s="59">
        <f>Q5*('Price and Financial ratios'!T4+1)*(1+Assumptions!$C$13)</f>
        <v>139834911.10680765</v>
      </c>
      <c r="S5" s="59">
        <f>R5*('Price and Financial ratios'!U4+1)*(1+Assumptions!$C$13)</f>
        <v>147015417.00834218</v>
      </c>
      <c r="T5" s="59">
        <f>S5*('Price and Financial ratios'!V4+1)*(1+Assumptions!$C$13)</f>
        <v>154564641.02607441</v>
      </c>
      <c r="U5" s="59">
        <f>T5*('Price and Financial ratios'!W4+1)*(1+Assumptions!$C$13)</f>
        <v>162501516.79101536</v>
      </c>
      <c r="V5" s="59">
        <f>U5*('Price and Financial ratios'!X4+1)*(1+Assumptions!$C$13)</f>
        <v>170845950.17385602</v>
      </c>
      <c r="W5" s="59">
        <f>V5*('Price and Financial ratios'!Y4+1)*(1+Assumptions!$C$13)</f>
        <v>179618869.20935807</v>
      </c>
      <c r="X5" s="59">
        <f>W5*('Price and Financial ratios'!Z4+1)*(1+Assumptions!$C$13)</f>
        <v>188842276.58435631</v>
      </c>
      <c r="Y5" s="59">
        <f>X5*('Price and Financial ratios'!AA4+1)*(1+Assumptions!$C$13)</f>
        <v>198539304.82101369</v>
      </c>
      <c r="Z5" s="59">
        <f>Y5*('Price and Financial ratios'!AB4+1)*(1+Assumptions!$C$13)</f>
        <v>208734274.29372963</v>
      </c>
      <c r="AA5" s="59">
        <f>Z5*('Price and Financial ratios'!AC4+1)*(1+Assumptions!$C$13)</f>
        <v>219452754.22520995</v>
      </c>
      <c r="AB5" s="59">
        <f>AA5*('Price and Financial ratios'!AD4+1)*(1+Assumptions!$C$13)</f>
        <v>230721626.81467745</v>
      </c>
      <c r="AC5" s="59">
        <f>AB5*('Price and Financial ratios'!AE4+1)*(1+Assumptions!$C$13)</f>
        <v>240236758.94118285</v>
      </c>
      <c r="AD5" s="59">
        <f>AC5*('Price and Financial ratios'!AF4+1)*(1+Assumptions!$C$13)</f>
        <v>250144302.21975413</v>
      </c>
      <c r="AE5" s="59">
        <f>AD5*('Price and Financial ratios'!AG4+1)*(1+Assumptions!$C$13)</f>
        <v>259196068.91138199</v>
      </c>
      <c r="AF5" s="59">
        <f>AE5*('Price and Financial ratios'!AH4+1)*(1+Assumptions!$C$13)</f>
        <v>268575384.45986003</v>
      </c>
    </row>
    <row r="6" spans="1:32" s="11" customFormat="1" x14ac:dyDescent="0.35">
      <c r="A6" s="11" t="s">
        <v>20</v>
      </c>
      <c r="C6" s="59">
        <f>C27</f>
        <v>15363440.832849767</v>
      </c>
      <c r="D6" s="59">
        <f t="shared" ref="D6:AF6" si="1">D27</f>
        <v>16954695.830722015</v>
      </c>
      <c r="E6" s="59">
        <f>E27</f>
        <v>18610308.199295163</v>
      </c>
      <c r="F6" s="59">
        <f t="shared" si="1"/>
        <v>20332398.444138758</v>
      </c>
      <c r="G6" s="59">
        <f t="shared" si="1"/>
        <v>22123151.17845143</v>
      </c>
      <c r="H6" s="59">
        <f t="shared" si="1"/>
        <v>23984816.982265335</v>
      </c>
      <c r="I6" s="59">
        <f t="shared" si="1"/>
        <v>25919714.31457565</v>
      </c>
      <c r="J6" s="59">
        <f t="shared" si="1"/>
        <v>27930231.479895148</v>
      </c>
      <c r="K6" s="59">
        <f t="shared" si="1"/>
        <v>30018828.650776677</v>
      </c>
      <c r="L6" s="59">
        <f t="shared" si="1"/>
        <v>32188039.947890379</v>
      </c>
      <c r="M6" s="59">
        <f t="shared" si="1"/>
        <v>34440475.579287574</v>
      </c>
      <c r="N6" s="59">
        <f t="shared" si="1"/>
        <v>36778824.040530071</v>
      </c>
      <c r="O6" s="59">
        <f t="shared" si="1"/>
        <v>39205854.377411313</v>
      </c>
      <c r="P6" s="59">
        <f t="shared" si="1"/>
        <v>41724418.513045102</v>
      </c>
      <c r="Q6" s="59">
        <f t="shared" si="1"/>
        <v>44337453.641148552</v>
      </c>
      <c r="R6" s="59">
        <f t="shared" si="1"/>
        <v>47047984.687397793</v>
      </c>
      <c r="S6" s="59">
        <f t="shared" si="1"/>
        <v>49859126.840788975</v>
      </c>
      <c r="T6" s="59">
        <f t="shared" si="1"/>
        <v>52774088.156991914</v>
      </c>
      <c r="U6" s="59">
        <f t="shared" si="1"/>
        <v>55796172.23574122</v>
      </c>
      <c r="V6" s="59">
        <f t="shared" si="1"/>
        <v>58928780.974367425</v>
      </c>
      <c r="W6" s="59">
        <f t="shared" si="1"/>
        <v>62175417.399631619</v>
      </c>
      <c r="X6" s="59">
        <f t="shared" si="1"/>
        <v>65539688.580088504</v>
      </c>
      <c r="Y6" s="59">
        <f t="shared" si="1"/>
        <v>69025308.621266574</v>
      </c>
      <c r="Z6" s="59">
        <f t="shared" si="1"/>
        <v>72636101.746020049</v>
      </c>
      <c r="AA6" s="59">
        <f t="shared" si="1"/>
        <v>76376005.462474123</v>
      </c>
      <c r="AB6" s="59">
        <f t="shared" si="1"/>
        <v>80249073.82205537</v>
      </c>
      <c r="AC6" s="59">
        <f t="shared" si="1"/>
        <v>84259480.770169273</v>
      </c>
      <c r="AD6" s="59">
        <f t="shared" si="1"/>
        <v>88411523.592162162</v>
      </c>
      <c r="AE6" s="59">
        <f t="shared" si="1"/>
        <v>92709626.457278937</v>
      </c>
      <c r="AF6" s="59">
        <f t="shared" si="1"/>
        <v>97158344.063406736</v>
      </c>
    </row>
    <row r="7" spans="1:32" x14ac:dyDescent="0.35">
      <c r="A7" t="s">
        <v>21</v>
      </c>
      <c r="C7" s="4">
        <f>Depreciation!C8+Depreciation!C9</f>
        <v>12416778.861445773</v>
      </c>
      <c r="D7" s="4">
        <f>Depreciation!D8+Depreciation!D9</f>
        <v>13706397.534145176</v>
      </c>
      <c r="E7" s="4">
        <f>Depreciation!E8+Depreciation!E9</f>
        <v>15065837.020343222</v>
      </c>
      <c r="F7" s="4">
        <f>Depreciation!F8+Depreciation!F9</f>
        <v>16498245.28258298</v>
      </c>
      <c r="G7" s="4">
        <f>Depreciation!G8+Depreciation!G9</f>
        <v>18006900.256497253</v>
      </c>
      <c r="H7" s="4">
        <f>Depreciation!H8+Depreciation!H9</f>
        <v>19595214.945572671</v>
      </c>
      <c r="I7" s="4">
        <f>Depreciation!I8+Depreciation!I9</f>
        <v>21266742.708886258</v>
      </c>
      <c r="J7" s="4">
        <f>Depreciation!J8+Depreciation!J9</f>
        <v>23025182.748947658</v>
      </c>
      <c r="K7" s="4">
        <f>Depreciation!K8+Depreciation!K9</f>
        <v>24874385.807039086</v>
      </c>
      <c r="L7" s="4">
        <f>Depreciation!L8+Depreciation!L9</f>
        <v>26818360.073713437</v>
      </c>
      <c r="M7" s="4">
        <f>Depreciation!M8+Depreciation!M9</f>
        <v>28861277.322388545</v>
      </c>
      <c r="N7" s="4">
        <f>Depreciation!N8+Depreciation!N9</f>
        <v>31007479.274263375</v>
      </c>
      <c r="O7" s="4">
        <f>Depreciation!O8+Depreciation!O9</f>
        <v>33261484.203080066</v>
      </c>
      <c r="P7" s="4">
        <f>Depreciation!P8+Depreciation!P9</f>
        <v>35627993.788564175</v>
      </c>
      <c r="Q7" s="4">
        <f>Depreciation!Q8+Depreciation!Q9</f>
        <v>38111900.227695316</v>
      </c>
      <c r="R7" s="4">
        <f>Depreciation!R8+Depreciation!R9</f>
        <v>40718293.613291368</v>
      </c>
      <c r="S7" s="4">
        <f>Depreciation!S8+Depreciation!S9</f>
        <v>43452469.589732409</v>
      </c>
      <c r="T7" s="4">
        <f>Depreciation!T8+Depreciation!T9</f>
        <v>46319937.296005659</v>
      </c>
      <c r="U7" s="4">
        <f>Depreciation!U8+Depreciation!U9</f>
        <v>49326427.606620498</v>
      </c>
      <c r="V7" s="4">
        <f>Depreciation!V8+Depreciation!V9</f>
        <v>52477901.681323603</v>
      </c>
      <c r="W7" s="4">
        <f>Depreciation!W8+Depreciation!W9</f>
        <v>55780559.834938519</v>
      </c>
      <c r="X7" s="4">
        <f>Depreciation!X8+Depreciation!X9</f>
        <v>59240850.739063099</v>
      </c>
      <c r="Y7" s="4">
        <f>Depreciation!Y8+Depreciation!Y9</f>
        <v>62865480.967780679</v>
      </c>
      <c r="Z7" s="4">
        <f>Depreciation!Z8+Depreciation!Z9</f>
        <v>66661424.899979398</v>
      </c>
      <c r="AA7" s="4">
        <f>Depreciation!AA8+Depreciation!AA9</f>
        <v>70635934.991327837</v>
      </c>
      <c r="AB7" s="4">
        <f>Depreciation!AB8+Depreciation!AB9</f>
        <v>74796552.429424971</v>
      </c>
      <c r="AC7" s="4">
        <f>Depreciation!AC8+Depreciation!AC9</f>
        <v>79151118.186129212</v>
      </c>
      <c r="AD7" s="4">
        <f>Depreciation!AD8+Depreciation!AD9</f>
        <v>83707784.481574789</v>
      </c>
      <c r="AE7" s="4">
        <f>Depreciation!AE8+Depreciation!AE9</f>
        <v>88475026.674906284</v>
      </c>
      <c r="AF7" s="4">
        <f>Depreciation!AF8+Depreciation!AF9</f>
        <v>93461655.597301871</v>
      </c>
    </row>
    <row r="8" spans="1:32" x14ac:dyDescent="0.35">
      <c r="A8" t="s">
        <v>6</v>
      </c>
      <c r="C8" s="4">
        <f ca="1">'Debt worksheet'!C8</f>
        <v>4050174.354166809</v>
      </c>
      <c r="D8" s="4">
        <f ca="1">'Debt worksheet'!D8</f>
        <v>4963343.945168389</v>
      </c>
      <c r="E8" s="4">
        <f ca="1">'Debt worksheet'!E8</f>
        <v>5701104.7398969857</v>
      </c>
      <c r="F8" s="4">
        <f ca="1">'Debt worksheet'!F8</f>
        <v>6290483.019273039</v>
      </c>
      <c r="G8" s="4">
        <f ca="1">'Debt worksheet'!G8</f>
        <v>6847551.840874414</v>
      </c>
      <c r="H8" s="4">
        <f ca="1">'Debt worksheet'!H8</f>
        <v>7357941.5153350104</v>
      </c>
      <c r="I8" s="4">
        <f ca="1">'Debt worksheet'!I8</f>
        <v>7862757.0757558402</v>
      </c>
      <c r="J8" s="4">
        <f ca="1">'Debt worksheet'!J8</f>
        <v>8354669.5793071529</v>
      </c>
      <c r="K8" s="4">
        <f ca="1">'Debt worksheet'!K8</f>
        <v>8825319.2474034335</v>
      </c>
      <c r="L8" s="4">
        <f ca="1">'Debt worksheet'!L8</f>
        <v>9300639.7911820654</v>
      </c>
      <c r="M8" s="4">
        <f ca="1">'Debt worksheet'!M8</f>
        <v>9775892.303505322</v>
      </c>
      <c r="N8" s="4">
        <f ca="1">'Debt worksheet'!N8</f>
        <v>10285577.340606419</v>
      </c>
      <c r="O8" s="4">
        <f ca="1">'Debt worksheet'!O8</f>
        <v>10829492.354539804</v>
      </c>
      <c r="P8" s="4">
        <f ca="1">'Debt worksheet'!P8</f>
        <v>11407225.472088231</v>
      </c>
      <c r="Q8" s="4">
        <f ca="1">'Debt worksheet'!Q8</f>
        <v>12018132.330451624</v>
      </c>
      <c r="R8" s="4">
        <f ca="1">'Debt worksheet'!R8</f>
        <v>12661311.080075232</v>
      </c>
      <c r="S8" s="4">
        <f ca="1">'Debt worksheet'!S8</f>
        <v>13335575.430267097</v>
      </c>
      <c r="T8" s="4">
        <f ca="1">'Debt worksheet'!T8</f>
        <v>14039425.605530625</v>
      </c>
      <c r="U8" s="4">
        <f ca="1">'Debt worksheet'!U8</f>
        <v>14771017.07236008</v>
      </c>
      <c r="V8" s="4">
        <f ca="1">'Debt worksheet'!V8</f>
        <v>15528126.887589663</v>
      </c>
      <c r="W8" s="4">
        <f ca="1">'Debt worksheet'!W8</f>
        <v>16308117.510223212</v>
      </c>
      <c r="X8" s="4">
        <f ca="1">'Debt worksheet'!X8</f>
        <v>17107897.908972997</v>
      </c>
      <c r="Y8" s="4">
        <f ca="1">'Debt worksheet'!Y8</f>
        <v>17923881.787472583</v>
      </c>
      <c r="Z8" s="4">
        <f ca="1">'Debt worksheet'!Z8</f>
        <v>18751942.738268096</v>
      </c>
      <c r="AA8" s="4">
        <f ca="1">'Debt worksheet'!AA8</f>
        <v>19587366.12520162</v>
      </c>
      <c r="AB8" s="4">
        <f ca="1">'Debt worksheet'!AB8</f>
        <v>20424797.481643613</v>
      </c>
      <c r="AC8" s="4">
        <f ca="1">'Debt worksheet'!AC8</f>
        <v>21342781.862514522</v>
      </c>
      <c r="AD8" s="4">
        <f ca="1">'Debt worksheet'!AD8</f>
        <v>22345416.130821448</v>
      </c>
      <c r="AE8" s="4">
        <f ca="1">'Debt worksheet'!AE8</f>
        <v>23482778.757876869</v>
      </c>
      <c r="AF8" s="4">
        <f ca="1">'Debt worksheet'!AF8</f>
        <v>24764427.865531433</v>
      </c>
    </row>
    <row r="9" spans="1:32" x14ac:dyDescent="0.35">
      <c r="A9" t="s">
        <v>22</v>
      </c>
      <c r="C9" s="4">
        <f ca="1">C5-C6-C7-C8</f>
        <v>1175320.1546424073</v>
      </c>
      <c r="D9" s="4">
        <f t="shared" ref="D9:AF9" ca="1" si="2">D5-D6-D7-D8</f>
        <v>11087846.470978579</v>
      </c>
      <c r="E9" s="4">
        <f t="shared" ca="1" si="2"/>
        <v>17289235.363336567</v>
      </c>
      <c r="F9" s="4">
        <f t="shared" ca="1" si="2"/>
        <v>22756515.488787882</v>
      </c>
      <c r="G9" s="4">
        <f t="shared" ca="1" si="2"/>
        <v>24946711.49056372</v>
      </c>
      <c r="H9" s="4">
        <f t="shared" ca="1" si="2"/>
        <v>27588016.242033824</v>
      </c>
      <c r="I9" s="4">
        <f t="shared" ca="1" si="2"/>
        <v>29096735.15099337</v>
      </c>
      <c r="J9" s="4">
        <f t="shared" ca="1" si="2"/>
        <v>30858035.098767526</v>
      </c>
      <c r="K9" s="4">
        <f t="shared" ca="1" si="2"/>
        <v>32902750.381033011</v>
      </c>
      <c r="L9" s="4">
        <f t="shared" ca="1" si="2"/>
        <v>34252493.070275567</v>
      </c>
      <c r="M9" s="4">
        <f t="shared" ca="1" si="2"/>
        <v>35785095.38727551</v>
      </c>
      <c r="N9" s="4">
        <f t="shared" ca="1" si="2"/>
        <v>36380948.600139908</v>
      </c>
      <c r="O9" s="4">
        <f t="shared" ca="1" si="2"/>
        <v>37033137.365485758</v>
      </c>
      <c r="P9" s="4">
        <f t="shared" ca="1" si="2"/>
        <v>37749259.956347704</v>
      </c>
      <c r="Q9" s="4">
        <f t="shared" ca="1" si="2"/>
        <v>38537628.244853213</v>
      </c>
      <c r="R9" s="4">
        <f t="shared" ca="1" si="2"/>
        <v>39407321.726043254</v>
      </c>
      <c r="S9" s="4">
        <f t="shared" ca="1" si="2"/>
        <v>40368245.147553697</v>
      </c>
      <c r="T9" s="4">
        <f t="shared" ca="1" si="2"/>
        <v>41431189.96754621</v>
      </c>
      <c r="U9" s="4">
        <f t="shared" ca="1" si="2"/>
        <v>42607899.876293555</v>
      </c>
      <c r="V9" s="4">
        <f t="shared" ca="1" si="2"/>
        <v>43911140.630575329</v>
      </c>
      <c r="W9" s="4">
        <f t="shared" ca="1" si="2"/>
        <v>45354774.464564718</v>
      </c>
      <c r="X9" s="4">
        <f t="shared" ca="1" si="2"/>
        <v>46953839.356231719</v>
      </c>
      <c r="Y9" s="4">
        <f t="shared" ca="1" si="2"/>
        <v>48724633.444493853</v>
      </c>
      <c r="Z9" s="4">
        <f t="shared" ca="1" si="2"/>
        <v>50684804.909462094</v>
      </c>
      <c r="AA9" s="4">
        <f t="shared" ca="1" si="2"/>
        <v>52853447.646206386</v>
      </c>
      <c r="AB9" s="4">
        <f t="shared" ca="1" si="2"/>
        <v>55251203.081553489</v>
      </c>
      <c r="AC9" s="4">
        <f t="shared" ca="1" si="2"/>
        <v>55483378.122369856</v>
      </c>
      <c r="AD9" s="4">
        <f t="shared" ca="1" si="2"/>
        <v>55679578.015195727</v>
      </c>
      <c r="AE9" s="4">
        <f t="shared" ca="1" si="2"/>
        <v>54528637.021319896</v>
      </c>
      <c r="AF9" s="4">
        <f t="shared" ca="1" si="2"/>
        <v>53190956.933619991</v>
      </c>
    </row>
    <row r="12" spans="1:32" x14ac:dyDescent="0.35">
      <c r="A12" t="s">
        <v>80</v>
      </c>
      <c r="C12" s="2">
        <f>Assumptions!$C$25*Assumptions!D9*Assumptions!D13</f>
        <v>14293145.764834786</v>
      </c>
      <c r="D12" s="2">
        <f>Assumptions!$C$25*Assumptions!E9*Assumptions!E13</f>
        <v>14767012.711699395</v>
      </c>
      <c r="E12" s="2">
        <f>Assumptions!$C$25*Assumptions!F9*Assumptions!F13</f>
        <v>15256589.977833483</v>
      </c>
      <c r="F12" s="2">
        <f>Assumptions!$C$25*Assumptions!G9*Assumptions!G13</f>
        <v>15762398.414360309</v>
      </c>
      <c r="G12" s="2">
        <f>Assumptions!$C$25*Assumptions!H9*Assumptions!H13</f>
        <v>16284976.140409462</v>
      </c>
      <c r="H12" s="2">
        <f>Assumptions!$C$25*Assumptions!I9*Assumptions!I13</f>
        <v>16824879.115610667</v>
      </c>
      <c r="I12" s="2">
        <f>Assumptions!$C$25*Assumptions!J9*Assumptions!J13</f>
        <v>17382681.731567733</v>
      </c>
      <c r="J12" s="2">
        <f>Assumptions!$C$25*Assumptions!K9*Assumptions!K13</f>
        <v>17958977.422941901</v>
      </c>
      <c r="K12" s="2">
        <f>Assumptions!$C$25*Assumptions!L9*Assumptions!L13</f>
        <v>18554379.298794683</v>
      </c>
      <c r="L12" s="2">
        <f>Assumptions!$C$25*Assumptions!M9*Assumptions!M13</f>
        <v>19169520.794861931</v>
      </c>
      <c r="M12" s="2">
        <f>Assumptions!$C$25*Assumptions!N9*Assumptions!N13</f>
        <v>19805056.347452991</v>
      </c>
      <c r="N12" s="2">
        <f>Assumptions!$C$25*Assumptions!O9*Assumptions!O13</f>
        <v>20461662.089691956</v>
      </c>
      <c r="O12" s="2">
        <f>Assumptions!$C$25*Assumptions!P9*Assumptions!P13</f>
        <v>21140036.570841707</v>
      </c>
      <c r="P12" s="2">
        <f>Assumptions!$C$25*Assumptions!Q9*Assumptions!Q13</f>
        <v>21840901.499476034</v>
      </c>
      <c r="Q12" s="2">
        <f>Assumptions!$C$25*Assumptions!R9*Assumptions!R13</f>
        <v>22565002.51129042</v>
      </c>
      <c r="R12" s="2">
        <f>Assumptions!$C$25*Assumptions!S9*Assumptions!S13</f>
        <v>23313109.962368451</v>
      </c>
      <c r="S12" s="2">
        <f>Assumptions!$C$25*Assumptions!T9*Assumptions!T13</f>
        <v>24086019.748747736</v>
      </c>
      <c r="T12" s="2">
        <f>Assumptions!$C$25*Assumptions!U9*Assumptions!U13</f>
        <v>24884554.153157182</v>
      </c>
      <c r="U12" s="2">
        <f>Assumptions!$C$25*Assumptions!V9*Assumptions!V13</f>
        <v>25709562.719826613</v>
      </c>
      <c r="V12" s="2">
        <f>Assumptions!$C$25*Assumptions!W9*Assumptions!W13</f>
        <v>26561923.158299282</v>
      </c>
      <c r="W12" s="2">
        <f>Assumptions!$C$25*Assumptions!X9*Assumptions!X13</f>
        <v>27442542.277208902</v>
      </c>
      <c r="X12" s="2">
        <f>Assumptions!$C$25*Assumptions!Y9*Assumptions!Y13</f>
        <v>28352356.949014582</v>
      </c>
      <c r="Y12" s="2">
        <f>Assumptions!$C$25*Assumptions!Z9*Assumptions!Z13</f>
        <v>29292335.106720041</v>
      </c>
      <c r="Z12" s="2">
        <f>Assumptions!$C$25*Assumptions!AA9*Assumptions!AA13</f>
        <v>30263476.773637541</v>
      </c>
      <c r="AA12" s="2">
        <f>Assumptions!$C$25*Assumptions!AB9*Assumptions!AB13</f>
        <v>31266815.127291929</v>
      </c>
      <c r="AB12" s="2">
        <f>Assumptions!$C$25*Assumptions!AC9*Assumptions!AC13</f>
        <v>32303417.598596904</v>
      </c>
      <c r="AC12" s="2">
        <f>Assumptions!$C$25*Assumptions!AD9*Assumptions!AD13</f>
        <v>33374387.007472623</v>
      </c>
      <c r="AD12" s="2">
        <f>Assumptions!$C$25*Assumptions!AE9*Assumptions!AE13</f>
        <v>34480862.736113012</v>
      </c>
      <c r="AE12" s="2">
        <f>Assumptions!$C$25*Assumptions!AF9*Assumptions!AF13</f>
        <v>35624021.941150919</v>
      </c>
      <c r="AF12" s="2">
        <f>Assumptions!$C$25*Assumptions!AG9*Assumptions!AG13</f>
        <v>36805080.806010686</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1070295.068014981</v>
      </c>
      <c r="D14" s="5">
        <f>Assumptions!E122*Assumptions!E9</f>
        <v>2187683.1190226213</v>
      </c>
      <c r="E14" s="5">
        <f>Assumptions!F122*Assumptions!F9</f>
        <v>3353718.2214616789</v>
      </c>
      <c r="F14" s="5">
        <f>Assumptions!G122*Assumptions!G9</f>
        <v>4570000.029778447</v>
      </c>
      <c r="G14" s="5">
        <f>Assumptions!H122*Assumptions!H9</f>
        <v>5838175.038041967</v>
      </c>
      <c r="H14" s="5">
        <f>Assumptions!I122*Assumptions!I9</f>
        <v>7159937.866654668</v>
      </c>
      <c r="I14" s="5">
        <f>Assumptions!J122*Assumptions!J9</f>
        <v>8537032.5830079168</v>
      </c>
      <c r="J14" s="5">
        <f>Assumptions!K122*Assumptions!K9</f>
        <v>9971254.0569532476</v>
      </c>
      <c r="K14" s="5">
        <f>Assumptions!L122*Assumptions!L9</f>
        <v>11464449.351981996</v>
      </c>
      <c r="L14" s="5">
        <f>Assumptions!M122*Assumptions!M9</f>
        <v>13018519.153028445</v>
      </c>
      <c r="M14" s="5">
        <f>Assumptions!N122*Assumptions!N9</f>
        <v>14635419.231834581</v>
      </c>
      <c r="N14" s="5">
        <f>Assumptions!O122*Assumptions!O9</f>
        <v>16317161.950838119</v>
      </c>
      <c r="O14" s="5">
        <f>Assumptions!P122*Assumptions!P9</f>
        <v>18065817.806569606</v>
      </c>
      <c r="P14" s="5">
        <f>Assumptions!Q122*Assumptions!Q9</f>
        <v>19883517.013569068</v>
      </c>
      <c r="Q14" s="5">
        <f>Assumptions!R122*Assumptions!R9</f>
        <v>21772451.129858129</v>
      </c>
      <c r="R14" s="5">
        <f>Assumptions!S122*Assumptions!S9</f>
        <v>23734874.725029342</v>
      </c>
      <c r="S14" s="5">
        <f>Assumptions!T122*Assumptions!T9</f>
        <v>25773107.092041239</v>
      </c>
      <c r="T14" s="5">
        <f>Assumptions!U122*Assumptions!U9</f>
        <v>27889534.003834736</v>
      </c>
      <c r="U14" s="5">
        <f>Assumptions!V122*Assumptions!V9</f>
        <v>30086609.515914608</v>
      </c>
      <c r="V14" s="5">
        <f>Assumptions!W122*Assumptions!W9</f>
        <v>32366857.816068139</v>
      </c>
      <c r="W14" s="5">
        <f>Assumptions!X122*Assumptions!X9</f>
        <v>34732875.122422718</v>
      </c>
      <c r="X14" s="5">
        <f>Assumptions!Y122*Assumptions!Y9</f>
        <v>37187331.631073922</v>
      </c>
      <c r="Y14" s="5">
        <f>Assumptions!Z122*Assumptions!Z9</f>
        <v>39732973.514546528</v>
      </c>
      <c r="Z14" s="5">
        <f>Assumptions!AA122*Assumptions!AA9</f>
        <v>42372624.972382501</v>
      </c>
      <c r="AA14" s="5">
        <f>Assumptions!AB122*Assumptions!AB9</f>
        <v>45109190.335182197</v>
      </c>
      <c r="AB14" s="5">
        <f>Assumptions!AC122*Assumptions!AC9</f>
        <v>47945656.223458461</v>
      </c>
      <c r="AC14" s="5">
        <f>Assumptions!AD122*Assumptions!AD9</f>
        <v>50885093.762696646</v>
      </c>
      <c r="AD14" s="5">
        <f>Assumptions!AE122*Assumptions!AE9</f>
        <v>53930660.856049158</v>
      </c>
      <c r="AE14" s="5">
        <f>Assumptions!AF122*Assumptions!AF9</f>
        <v>57085604.516128026</v>
      </c>
      <c r="AF14" s="5">
        <f>Assumptions!AG122*Assumptions!AG9</f>
        <v>60353263.257396042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196</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15363440.832849767</v>
      </c>
      <c r="D27" s="2">
        <f t="shared" ref="D27:AF27" si="8">D12+D13+D14+D19+D20+D22+D24+D25</f>
        <v>16954695.830722015</v>
      </c>
      <c r="E27" s="2">
        <f t="shared" si="8"/>
        <v>18610308.199295163</v>
      </c>
      <c r="F27" s="2">
        <f t="shared" si="8"/>
        <v>20332398.444138758</v>
      </c>
      <c r="G27" s="2">
        <f t="shared" si="8"/>
        <v>22123151.17845143</v>
      </c>
      <c r="H27" s="2">
        <f t="shared" si="8"/>
        <v>23984816.982265335</v>
      </c>
      <c r="I27" s="2">
        <f t="shared" si="8"/>
        <v>25919714.31457565</v>
      </c>
      <c r="J27" s="2">
        <f t="shared" si="8"/>
        <v>27930231.479895148</v>
      </c>
      <c r="K27" s="2">
        <f t="shared" si="8"/>
        <v>30018828.650776677</v>
      </c>
      <c r="L27" s="2">
        <f t="shared" si="8"/>
        <v>32188039.947890379</v>
      </c>
      <c r="M27" s="2">
        <f t="shared" si="8"/>
        <v>34440475.579287574</v>
      </c>
      <c r="N27" s="2">
        <f t="shared" si="8"/>
        <v>36778824.040530071</v>
      </c>
      <c r="O27" s="2">
        <f t="shared" si="8"/>
        <v>39205854.377411313</v>
      </c>
      <c r="P27" s="2">
        <f t="shared" si="8"/>
        <v>41724418.513045102</v>
      </c>
      <c r="Q27" s="2">
        <f t="shared" si="8"/>
        <v>44337453.641148552</v>
      </c>
      <c r="R27" s="2">
        <f t="shared" si="8"/>
        <v>47047984.687397793</v>
      </c>
      <c r="S27" s="2">
        <f t="shared" si="8"/>
        <v>49859126.840788975</v>
      </c>
      <c r="T27" s="2">
        <f t="shared" si="8"/>
        <v>52774088.156991914</v>
      </c>
      <c r="U27" s="2">
        <f t="shared" si="8"/>
        <v>55796172.23574122</v>
      </c>
      <c r="V27" s="2">
        <f t="shared" si="8"/>
        <v>58928780.974367425</v>
      </c>
      <c r="W27" s="2">
        <f t="shared" si="8"/>
        <v>62175417.399631619</v>
      </c>
      <c r="X27" s="2">
        <f t="shared" si="8"/>
        <v>65539688.580088504</v>
      </c>
      <c r="Y27" s="2">
        <f t="shared" si="8"/>
        <v>69025308.621266574</v>
      </c>
      <c r="Z27" s="2">
        <f t="shared" si="8"/>
        <v>72636101.746020049</v>
      </c>
      <c r="AA27" s="2">
        <f t="shared" si="8"/>
        <v>76376005.462474123</v>
      </c>
      <c r="AB27" s="2">
        <f t="shared" si="8"/>
        <v>80249073.82205537</v>
      </c>
      <c r="AC27" s="2">
        <f t="shared" si="8"/>
        <v>84259480.770169273</v>
      </c>
      <c r="AD27" s="2">
        <f t="shared" si="8"/>
        <v>88411523.592162162</v>
      </c>
      <c r="AE27" s="2">
        <f t="shared" si="8"/>
        <v>92709626.457278937</v>
      </c>
      <c r="AF27" s="2">
        <f t="shared" si="8"/>
        <v>97158344.063406736</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3W2DU3RAJ5R2-1900874439-851</_dlc_DocId>
    <_dlc_DocIdUrl xmlns="f54e2983-00ce-40fc-8108-18f351fc47bf">
      <Url>https://dia.cohesion.net.nz/Sites/LGV/TWRP/CAE/_layouts/15/DocIdRedir.aspx?ID=3W2DU3RAJ5R2-1900874439-851</Url>
      <Description>3W2DU3RAJ5R2-1900874439-851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104A68E5-DA65-4FDD-ADA6-0992976BCD37}"/>
</file>

<file path=customXml/itemProps3.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4.xml><?xml version="1.0" encoding="utf-8"?>
<ds:datastoreItem xmlns:ds="http://schemas.openxmlformats.org/officeDocument/2006/customXml" ds:itemID="{4F9C91A2-A9DA-4612-8CB3-3EB82E304E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2021-06-28T22:07:01Z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3619c8dd-05a1-47a9-a002-c75d5d952bef</vt:lpwstr>
  </property>
</Properties>
</file>