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6" documentId="8_{1582EC6A-1B4A-47A9-B399-4F3730FA4860}" xr6:coauthVersionLast="47" xr6:coauthVersionMax="47" xr10:uidLastSave="{0C5E08CF-2FD2-4F60-9DC9-76F9C657D82A}"/>
  <bookViews>
    <workbookView xWindow="1290" yWindow="-110" windowWidth="37220" windowHeight="21820" tabRatio="887"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2</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<sst xmlns="http://schemas.openxmlformats.org/spreadsheetml/2006/main" count="277" uniqueCount="204">
  <si>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</si>
  <si>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</si>
  <si>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</si>
  <si>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</si>
  <si>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</si>
  <si>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</si>
  <si>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</si>
  <si>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</si>
  <si>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</si>
  <si>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</si>
  <si>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</si>
  <si>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</si>
  <si>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</si>
  <si>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</si>
  <si>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</si>
  <si>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</si>
  <si>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</si>
  <si>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</si>
  <si>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</si>
  <si>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</si>
  <si>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</si>
  <si>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</si>
  <si>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</si>
  <si>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</si>
  <si>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</si>
  <si>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</si>
  <si>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</si>
  <si>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</si>
  <si>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</si>
  <si>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</si>
  <si>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</si>
  <si>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</si>
  <si>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</si>
  <si>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</si>
  <si>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</si>
  <si>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</si>
  <si>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</si>
  <si>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</si>
  <si>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</si>
  <si>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</si>
  <si>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</si>
  <si>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</si>
  <si>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</si>
  <si>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</si>
  <si>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</si>
  <si>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</si>
  <si>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</si>
  <si>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</si>
  <si>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</si>
  <si>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</si>
  <si>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</si>
  <si>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</si>
  <si>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</si>
  <si>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</si>
  <si>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</si>
  <si>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</si>
  <si>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</si>
  <si>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</si>
  <si>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</si>
  <si>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</si>
  <si>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</si>
  <si>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</si>
  <si>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</si>
  <si>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</si>
  <si>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</si>
  <si>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</si>
  <si>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</si>
  <si>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</si>
  <si>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</si>
  <si>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</si>
  <si>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</si>
  <si>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</si>
  <si>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</si>
  <si>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</si>
  <si>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</si>
  <si>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</si>
  <si>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</si>
  <si>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</si>
  <si>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</si>
  <si>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</si>
  <si>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</si>
  <si>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</si>
  <si>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</si>
  <si>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</si>
  <si>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</si>
  <si>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</si>
  <si>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</si>
  <si>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</si>
  <si>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</si>
  <si>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</si>
  <si>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</si>
  <si>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</si>
  <si>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</si>
  <si>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</si>
  <si>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</si>
  <si>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</si>
  <si>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</si>
  <si>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</si>
  <si>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</si>
  <si>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</si>
  <si>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</si>
  <si>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</si>
  <si>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</si>
  <si>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</si>
  <si>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</si>
  <si>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</si>
  <si>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</si>
  <si>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</si>
  <si>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</si>
  <si>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</si>
  <si>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</si>
  <si>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</si>
  <si>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</si>
  <si>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</si>
  <si>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</si>
  <si>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</si>
  <si>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</si>
  <si>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</si>
  <si>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</si>
  <si>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</si>
  <si>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</si>
  <si>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</si>
  <si>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</si>
  <si>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</si>
  <si>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</si>
  <si>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</si>
  <si>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</si>
  <si>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</si>
  <si>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</si>
  <si>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</si>
  <si>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</si>
  <si>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</si>
  <si>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</si>
  <si>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</si>
  <si>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</si>
  <si>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</si>
  <si>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</si>
  <si>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</si>
  <si>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</si>
  <si>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</si>
  <si>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</si>
  <si>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</si>
  <si>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</si>
  <si>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</si>
  <si>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</si>
  <si>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</si>
  <si>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</si>
  <si>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</si>
  <si>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</si>
  <si>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</si>
  <si>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</si>
  <si>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</si>
  <si>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</si>
  <si>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</si>
  <si>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</si>
  <si>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</si>
  <si>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</si>
  <si>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</si>
  <si>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</si>
  <si>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</si>
  <si>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</si>
  <si>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</si>
  <si>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</si>
  <si>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</si>
  <si>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</si>
  <si>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</si>
  <si>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</si>
  <si>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</si>
  <si>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</si>
  <si>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</si>
  <si>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</si>
  <si>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</si>
  <si>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</si>
  <si>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</si>
  <si>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</si>
  <si>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</si>
  <si>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</si>
  <si>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</si>
  <si>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</si>
  <si>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</si>
  <si>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</si>
  <si>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</si>
  <si>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</si>
  <si>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</si>
  <si>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</si>
  <si>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</si>
  <si>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</si>
  <si>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</si>
  <si>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</si>
  <si>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</si>
  <si>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</si>
  <si>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</si>
  <si>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</si>
  <si>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</si>
  <si>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</si>
  <si>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</si>
  <si>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</si>
  <si>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RFI Table F10; Lines F10.62 + F10.70 - F10.61</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</si>
  <si>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</si>
  <si>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</si>
  <si>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</si>
  <si>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</si>
  <si>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</si>
  <si>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Whakatāne Stand-alone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</si>
</sst>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5">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0" xfId="0" applyAlignment="1">
      <alignment wrapText="1"/>
    </xf>
    <xf numFmtId="0" fontId="0" fillId="0" borderId="0" xfId="0" applyAlignment="1">
      <alignment horizontal="right" vertical="center"/>
    </xf>
    <xf numFmtId="0" fontId="16" fillId="0" borderId="0" xfId="0" applyFont="1" applyAlignment="1">
      <alignment horizontal="right" vertical="center"/>
    </xf>
    <xf numFmtId="166" fontId="16" fillId="0" borderId="0" xfId="2" applyNumberFormat="1" applyFont="1" applyFill="1" applyAlignment="1">
      <alignment horizontal="right" vertical="center"/>
    </xf>
    <xf numFmtId="9" fontId="16" fillId="0" borderId="0" xfId="3" applyFont="1" applyFill="1" applyAlignment="1">
      <alignment horizontal="right" vertical="center"/>
    </xf>
    <xf numFmtId="167" fontId="16" fillId="0" borderId="0" xfId="0" applyNumberFormat="1" applyFont="1" applyAlignment="1">
      <alignment horizontal="right" vertical="center"/>
    </xf>
    <xf numFmtId="3" fontId="16" fillId="0" borderId="0" xfId="1" applyNumberFormat="1" applyFont="1" applyFill="1" applyAlignment="1">
      <alignment horizontal="right" vertical="center"/>
    </xf>
    <xf numFmtId="0" fontId="16" fillId="0" borderId="0" xfId="0" applyFont="1" applyFill="1" applyAlignment="1">
      <alignment horizontal="right" vertical="center"/>
    </xf>
    <xf numFmtId="166" fontId="17" fillId="0" borderId="0" xfId="2" applyNumberFormat="1" applyFont="1" applyFill="1" applyAlignment="1">
      <alignment horizontal="right" vertical="center"/>
    </xf>
    <xf numFmtId="2" fontId="16" fillId="0" borderId="0" xfId="2" applyNumberFormat="1" applyFont="1" applyFill="1" applyAlignment="1">
      <alignment horizontal="right" vertical="center"/>
    </xf>
    <xf numFmtId="1" fontId="17" fillId="0" borderId="0" xfId="2" applyNumberFormat="1" applyFont="1" applyFill="1" applyAlignment="1">
      <alignment horizontal="right" vertical="center"/>
    </xf>
    <xf numFmtId="173" fontId="16" fillId="0" borderId="0" xfId="0" applyNumberFormat="1" applyFont="1" applyFill="1" applyAlignment="1">
      <alignment horizontal="right" vertical="center"/>
    </xf>
    <xf numFmtId="167" fontId="16" fillId="0" borderId="0" xfId="0" applyNumberFormat="1" applyFont="1" applyFill="1" applyAlignment="1">
      <alignment horizontal="right" vertical="center"/>
    </xf>
    <xf numFmtId="0" fontId="17" fillId="0" borderId="0" xfId="0" applyFont="1" applyFill="1" applyAlignment="1">
      <alignment horizontal="right" vertical="center"/>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203</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451905718</v>
      </c>
      <c r="C6" s="12">
        <f ca="1">B6+Depreciation!C18+'Cash Flow'!C13</f>
        <v>464577779.93117064</v>
      </c>
      <c r="D6" s="1">
        <f ca="1">C6+Depreciation!D18</f>
        <v>514380384.38631624</v>
      </c>
      <c r="E6" s="1">
        <f ca="1">D6+Depreciation!E18</f>
        <v>566791071.94888008</v>
      </c>
      <c r="F6" s="1">
        <f ca="1">E6+Depreciation!F18</f>
        <v>621925762.07077479</v>
      </c>
      <c r="G6" s="1">
        <f ca="1">F6+Depreciation!G18</f>
        <v>679905122.37173355</v>
      </c>
      <c r="H6" s="1">
        <f ca="1">G6+Depreciation!H18</f>
        <v>740854753.82053149</v>
      </c>
      <c r="I6" s="1">
        <f ca="1">H6+Depreciation!I18</f>
        <v>804905382.90568233</v>
      </c>
      <c r="J6" s="1">
        <f ca="1">I6+Depreciation!J18</f>
        <v>872193061.05330896</v>
      </c>
      <c r="K6" s="1">
        <f ca="1">J6+Depreciation!K18</f>
        <v>942859371.55922675</v>
      </c>
      <c r="L6" s="1">
        <f ca="1">K6+Depreciation!L18</f>
        <v>1017051644.3119431</v>
      </c>
      <c r="M6" s="1">
        <f ca="1">L6+Depreciation!M18</f>
        <v>1094923178.5932949</v>
      </c>
      <c r="N6" s="1">
        <f ca="1">M6+Depreciation!N18</f>
        <v>1176633474.2538161</v>
      </c>
      <c r="O6" s="1">
        <f ca="1">N6+Depreciation!O18</f>
        <v>1262348471.5706697</v>
      </c>
      <c r="P6" s="1">
        <f ca="1">O6+Depreciation!P18</f>
        <v>1352240800.1071043</v>
      </c>
      <c r="Q6" s="1">
        <f ca="1">P6+Depreciation!Q18</f>
        <v>1446490036.9039209</v>
      </c>
      <c r="R6" s="1">
        <f ca="1">Q6+Depreciation!R18</f>
        <v>1545282974.3453624</v>
      </c>
      <c r="S6" s="1">
        <f ca="1">R6+Depreciation!S18</f>
        <v>1648813898.0542049</v>
      </c>
      <c r="T6" s="1">
        <f ca="1">S6+Depreciation!T18</f>
        <v>1757284875.1836221</v>
      </c>
      <c r="U6" s="1">
        <f ca="1">T6+Depreciation!U18</f>
        <v>1870906053.4866529</v>
      </c>
      <c r="V6" s="1">
        <f ca="1">U6+Depreciation!V18</f>
        <v>1989895971.5578279</v>
      </c>
      <c r="W6" s="1">
        <f ca="1">V6+Depreciation!W18</f>
        <v>2114481880.6557264</v>
      </c>
      <c r="X6" s="1">
        <f ca="1">W6+Depreciation!X18</f>
        <v>2244900078.5299535</v>
      </c>
      <c r="Y6" s="1">
        <f ca="1">X6+Depreciation!Y18</f>
        <v>2381396255.691278</v>
      </c>
      <c r="Z6" s="1">
        <f ca="1">Y6+Depreciation!Z18</f>
        <v>2524225854.5794511</v>
      </c>
      <c r="AA6" s="1">
        <f ca="1">Z6+Depreciation!AA18</f>
        <v>2673654442.0995779</v>
      </c>
      <c r="AB6" s="1">
        <f ca="1">AA6+Depreciation!AB18</f>
        <v>2829958096.0148416</v>
      </c>
      <c r="AC6" s="1">
        <f ca="1">AB6+Depreciation!AC18</f>
        <v>2993423805.7009106</v>
      </c>
      <c r="AD6" s="1">
        <f ca="1">AC6+Depreciation!AD18</f>
        <v>3164349887.7855072</v>
      </c>
      <c r="AE6" s="1">
        <f ca="1">AD6+Depreciation!AE18</f>
        <v>3343046417.2154188</v>
      </c>
      <c r="AF6" s="1"/>
      <c r="AG6" s="1"/>
      <c r="AH6" s="1"/>
      <c r="AI6" s="1"/>
      <c r="AJ6" s="1"/>
      <c r="AK6" s="1"/>
      <c r="AL6" s="1"/>
      <c r="AM6" s="1"/>
      <c r="AN6" s="1"/>
      <c r="AO6" s="1"/>
      <c r="AP6" s="1"/>
    </row>
    <row r="7" spans="1:42" x14ac:dyDescent="0.35">
      <c r="A7" t="s">
        <v>12</v>
      </c>
      <c r="B7" s="1">
        <f>Depreciation!C12</f>
        <v>233572622.65223631</v>
      </c>
      <c r="C7" s="1">
        <f>Depreciation!D12</f>
        <v>242419164.2499232</v>
      </c>
      <c r="D7" s="1">
        <f>Depreciation!E12</f>
        <v>252563194.9435896</v>
      </c>
      <c r="E7" s="1">
        <f>Depreciation!F12</f>
        <v>264078695.17678216</v>
      </c>
      <c r="F7" s="1">
        <f>Depreciation!G12</f>
        <v>277043051.51260024</v>
      </c>
      <c r="G7" s="1">
        <f>Depreciation!H12</f>
        <v>291537198.86937314</v>
      </c>
      <c r="H7" s="1">
        <f>Depreciation!I12</f>
        <v>307645768.37155408</v>
      </c>
      <c r="I7" s="1">
        <f>Depreciation!J12</f>
        <v>325457241.02955574</v>
      </c>
      <c r="J7" s="1">
        <f>Depreciation!K12</f>
        <v>345064107.47018051</v>
      </c>
      <c r="K7" s="1">
        <f>Depreciation!L12</f>
        <v>366563033.94751441</v>
      </c>
      <c r="L7" s="1">
        <f>Depreciation!M12</f>
        <v>390055034.87267166</v>
      </c>
      <c r="M7" s="1">
        <f>Depreciation!N12</f>
        <v>415645652.10960025</v>
      </c>
      <c r="N7" s="1">
        <f>Depreciation!O12</f>
        <v>443445141.29330605</v>
      </c>
      <c r="O7" s="1">
        <f>Depreciation!P12</f>
        <v>473568665.43633229</v>
      </c>
      <c r="P7" s="1">
        <f>Depreciation!Q12</f>
        <v>506136496.09915131</v>
      </c>
      <c r="Q7" s="1">
        <f>Depreciation!R12</f>
        <v>541274222.41030741</v>
      </c>
      <c r="R7" s="1">
        <f>Depreciation!S12</f>
        <v>579112968.23269534</v>
      </c>
      <c r="S7" s="1">
        <f>Depreciation!T12</f>
        <v>619789617.78329134</v>
      </c>
      <c r="T7" s="1">
        <f>Depreciation!U12</f>
        <v>663447050.02497864</v>
      </c>
      <c r="U7" s="1">
        <f>Depreciation!V12</f>
        <v>710234382.16084743</v>
      </c>
      <c r="V7" s="1">
        <f>Depreciation!W12</f>
        <v>760307222.57350957</v>
      </c>
      <c r="W7" s="1">
        <f>Depreciation!X12</f>
        <v>813827933.56457293</v>
      </c>
      <c r="X7" s="1">
        <f>Depreciation!Y12</f>
        <v>870965904.26247251</v>
      </c>
      <c r="Y7" s="1">
        <f>Depreciation!Z12</f>
        <v>931897834.08039093</v>
      </c>
      <c r="Z7" s="1">
        <f>Depreciation!AA12</f>
        <v>996808027.12001491</v>
      </c>
      <c r="AA7" s="1">
        <f>Depreciation!AB12</f>
        <v>1065888697.9313998</v>
      </c>
      <c r="AB7" s="1">
        <f>Depreciation!AC12</f>
        <v>1139340289.054266</v>
      </c>
      <c r="AC7" s="1">
        <f>Depreciation!AD12</f>
        <v>1217371800.7816372</v>
      </c>
      <c r="AD7" s="1">
        <f>Depreciation!AE12</f>
        <v>1300201133.6028922</v>
      </c>
      <c r="AE7" s="1">
        <f>Depreciation!AF12</f>
        <v>1388055443.8000305</v>
      </c>
      <c r="AF7" s="1"/>
      <c r="AG7" s="1"/>
      <c r="AH7" s="1"/>
      <c r="AI7" s="1"/>
      <c r="AJ7" s="1"/>
      <c r="AK7" s="1"/>
      <c r="AL7" s="1"/>
      <c r="AM7" s="1"/>
      <c r="AN7" s="1"/>
      <c r="AO7" s="1"/>
      <c r="AP7" s="1"/>
    </row>
    <row r="8" spans="1:42" x14ac:dyDescent="0.35">
      <c r="A8" t="s">
        <v>190</v>
      </c>
      <c r="B8" s="1">
        <f t="shared" ref="B8:AE8" si="1">B6-B7</f>
        <v>218333095.34776369</v>
      </c>
      <c r="C8" s="1">
        <f t="shared" ca="1" si="1"/>
        <v>222158615.68124744</v>
      </c>
      <c r="D8" s="1">
        <f ca="1">D6-D7</f>
        <v>261817189.44272664</v>
      </c>
      <c r="E8" s="1">
        <f t="shared" ca="1" si="1"/>
        <v>302712376.77209795</v>
      </c>
      <c r="F8" s="1">
        <f t="shared" ca="1" si="1"/>
        <v>344882710.55817455</v>
      </c>
      <c r="G8" s="1">
        <f t="shared" ca="1" si="1"/>
        <v>388367923.5023604</v>
      </c>
      <c r="H8" s="1">
        <f t="shared" ca="1" si="1"/>
        <v>433208985.44897741</v>
      </c>
      <c r="I8" s="1">
        <f t="shared" ca="1" si="1"/>
        <v>479448141.87612659</v>
      </c>
      <c r="J8" s="1">
        <f t="shared" ca="1" si="1"/>
        <v>527128953.58312845</v>
      </c>
      <c r="K8" s="1">
        <f t="shared" ca="1" si="1"/>
        <v>576296337.61171234</v>
      </c>
      <c r="L8" s="1">
        <f t="shared" ca="1" si="1"/>
        <v>626996609.43927145</v>
      </c>
      <c r="M8" s="1">
        <f t="shared" ca="1" si="1"/>
        <v>679277526.48369455</v>
      </c>
      <c r="N8" s="1">
        <f t="shared" ca="1" si="1"/>
        <v>733188332.96051002</v>
      </c>
      <c r="O8" s="1">
        <f t="shared" ca="1" si="1"/>
        <v>788779806.13433743</v>
      </c>
      <c r="P8" s="1">
        <f t="shared" ca="1" si="1"/>
        <v>846104304.00795293</v>
      </c>
      <c r="Q8" s="1">
        <f t="shared" ca="1" si="1"/>
        <v>905215814.49361348</v>
      </c>
      <c r="R8" s="1">
        <f t="shared" ca="1" si="1"/>
        <v>966170006.11266708</v>
      </c>
      <c r="S8" s="1">
        <f t="shared" ca="1" si="1"/>
        <v>1029024280.2709136</v>
      </c>
      <c r="T8" s="1">
        <f t="shared" ca="1" si="1"/>
        <v>1093837825.1586435</v>
      </c>
      <c r="U8" s="1">
        <f t="shared" ca="1" si="1"/>
        <v>1160671671.3258054</v>
      </c>
      <c r="V8" s="1">
        <f t="shared" ca="1" si="1"/>
        <v>1229588748.9843183</v>
      </c>
      <c r="W8" s="1">
        <f t="shared" ca="1" si="1"/>
        <v>1300653947.0911536</v>
      </c>
      <c r="X8" s="1">
        <f t="shared" ca="1" si="1"/>
        <v>1373934174.2674809</v>
      </c>
      <c r="Y8" s="1">
        <f t="shared" ca="1" si="1"/>
        <v>1449498421.6108871</v>
      </c>
      <c r="Z8" s="1">
        <f t="shared" ca="1" si="1"/>
        <v>1527417827.4594362</v>
      </c>
      <c r="AA8" s="1">
        <f t="shared" ca="1" si="1"/>
        <v>1607765744.1681781</v>
      </c>
      <c r="AB8" s="1">
        <f t="shared" ca="1" si="1"/>
        <v>1690617806.9605756</v>
      </c>
      <c r="AC8" s="1">
        <f t="shared" ca="1" si="1"/>
        <v>1776052004.9192734</v>
      </c>
      <c r="AD8" s="1">
        <f t="shared" ca="1" si="1"/>
        <v>1864148754.182615</v>
      </c>
      <c r="AE8" s="1">
        <f t="shared" ca="1" si="1"/>
        <v>1954990973.4153883</v>
      </c>
      <c r="AF8" s="1"/>
      <c r="AG8" s="1"/>
      <c r="AH8" s="1"/>
      <c r="AI8" s="1"/>
      <c r="AJ8" s="1"/>
      <c r="AK8" s="1"/>
      <c r="AL8" s="1"/>
      <c r="AM8" s="1"/>
      <c r="AN8" s="1"/>
      <c r="AO8" s="1"/>
      <c r="AP8" s="1"/>
    </row>
    <row r="10" spans="1:42" x14ac:dyDescent="0.35">
      <c r="A10" t="s">
        <v>17</v>
      </c>
      <c r="B10" s="1">
        <f>B8-B11</f>
        <v>171843195.34776369</v>
      </c>
      <c r="C10" s="1">
        <f ca="1">C8-C11</f>
        <v>141034906.54016358</v>
      </c>
      <c r="D10" s="1">
        <f ca="1">D8-D11</f>
        <v>150133282.82922468</v>
      </c>
      <c r="E10" s="1">
        <f t="shared" ref="E10:AE10" ca="1" si="2">E8-E11</f>
        <v>166204465.19140846</v>
      </c>
      <c r="F10" s="1">
        <f t="shared" ca="1" si="2"/>
        <v>190492715.35520747</v>
      </c>
      <c r="G10" s="1">
        <f ca="1">G8-G11</f>
        <v>217436694.68977284</v>
      </c>
      <c r="H10" s="1">
        <f t="shared" ca="1" si="2"/>
        <v>247689056.8316533</v>
      </c>
      <c r="I10" s="1">
        <f t="shared" ca="1" si="2"/>
        <v>279784431.38042945</v>
      </c>
      <c r="J10" s="1">
        <f t="shared" ca="1" si="2"/>
        <v>313273126.97156</v>
      </c>
      <c r="K10" s="1">
        <f t="shared" ca="1" si="2"/>
        <v>348399641.83062226</v>
      </c>
      <c r="L10" s="1">
        <f t="shared" ca="1" si="2"/>
        <v>384515389.93136686</v>
      </c>
      <c r="M10" s="1">
        <f t="shared" ca="1" si="2"/>
        <v>421770970.22847617</v>
      </c>
      <c r="N10" s="1">
        <f t="shared" ca="1" si="2"/>
        <v>460336257.36760521</v>
      </c>
      <c r="O10" s="1">
        <f t="shared" ca="1" si="2"/>
        <v>500402236.30689001</v>
      </c>
      <c r="P10" s="1">
        <f t="shared" ca="1" si="2"/>
        <v>542182985.02813148</v>
      </c>
      <c r="Q10" s="1">
        <f t="shared" ca="1" si="2"/>
        <v>584660474.09559655</v>
      </c>
      <c r="R10" s="1">
        <f t="shared" ca="1" si="2"/>
        <v>627909263.24390841</v>
      </c>
      <c r="S10" s="1">
        <f t="shared" ca="1" si="2"/>
        <v>672014111.11884725</v>
      </c>
      <c r="T10" s="1">
        <f t="shared" ca="1" si="2"/>
        <v>717070941.30354953</v>
      </c>
      <c r="U10" s="1">
        <f t="shared" ca="1" si="2"/>
        <v>763187882.43502378</v>
      </c>
      <c r="V10" s="1">
        <f t="shared" ca="1" si="2"/>
        <v>810486387.43961883</v>
      </c>
      <c r="W10" s="1">
        <f t="shared" ca="1" si="2"/>
        <v>859102437.23238611</v>
      </c>
      <c r="X10" s="1">
        <f t="shared" ca="1" si="2"/>
        <v>909187834.56051457</v>
      </c>
      <c r="Y10" s="1">
        <f t="shared" ca="1" si="2"/>
        <v>960911594.02628183</v>
      </c>
      <c r="Z10" s="1">
        <f t="shared" ca="1" si="2"/>
        <v>1014461434.7013886</v>
      </c>
      <c r="AA10" s="1">
        <f t="shared" ca="1" si="2"/>
        <v>1070045382.1434048</v>
      </c>
      <c r="AB10" s="1">
        <f t="shared" ca="1" si="2"/>
        <v>1127893487.0475681</v>
      </c>
      <c r="AC10" s="1">
        <f t="shared" ca="1" si="2"/>
        <v>1185915755.8350492</v>
      </c>
      <c r="AD10" s="1">
        <f t="shared" ca="1" si="2"/>
        <v>1244080945.5725086</v>
      </c>
      <c r="AE10" s="1">
        <f t="shared" ca="1" si="2"/>
        <v>1301082826.1144252</v>
      </c>
      <c r="AF10" s="1"/>
      <c r="AG10" s="1"/>
      <c r="AH10" s="1"/>
      <c r="AI10" s="1"/>
      <c r="AJ10" s="1"/>
      <c r="AK10" s="1"/>
      <c r="AL10" s="1"/>
      <c r="AM10" s="1"/>
      <c r="AN10" s="1"/>
      <c r="AO10" s="1"/>
    </row>
    <row r="11" spans="1:42" x14ac:dyDescent="0.35">
      <c r="A11" t="s">
        <v>9</v>
      </c>
      <c r="B11" s="1">
        <f>Assumptions!$C$20</f>
        <v>46489900</v>
      </c>
      <c r="C11" s="1">
        <f ca="1">'Debt worksheet'!D5</f>
        <v>81123709.141083851</v>
      </c>
      <c r="D11" s="1">
        <f ca="1">'Debt worksheet'!E5</f>
        <v>111683906.61350197</v>
      </c>
      <c r="E11" s="1">
        <f ca="1">'Debt worksheet'!F5</f>
        <v>136507911.58068949</v>
      </c>
      <c r="F11" s="1">
        <f ca="1">'Debt worksheet'!G5</f>
        <v>154389995.20296708</v>
      </c>
      <c r="G11" s="1">
        <f ca="1">'Debt worksheet'!H5</f>
        <v>170931228.81258756</v>
      </c>
      <c r="H11" s="1">
        <f ca="1">'Debt worksheet'!I5</f>
        <v>185519928.61732411</v>
      </c>
      <c r="I11" s="1">
        <f ca="1">'Debt worksheet'!J5</f>
        <v>199663710.49569714</v>
      </c>
      <c r="J11" s="1">
        <f ca="1">'Debt worksheet'!K5</f>
        <v>213855826.61156842</v>
      </c>
      <c r="K11" s="1">
        <f ca="1">'Debt worksheet'!L5</f>
        <v>227896695.78109008</v>
      </c>
      <c r="L11" s="1">
        <f ca="1">'Debt worksheet'!M5</f>
        <v>242481219.50790459</v>
      </c>
      <c r="M11" s="1">
        <f ca="1">'Debt worksheet'!N5</f>
        <v>257506556.25521839</v>
      </c>
      <c r="N11" s="1">
        <f ca="1">'Debt worksheet'!O5</f>
        <v>272852075.59290481</v>
      </c>
      <c r="O11" s="1">
        <f ca="1">'Debt worksheet'!P5</f>
        <v>288377569.82744741</v>
      </c>
      <c r="P11" s="1">
        <f ca="1">'Debt worksheet'!Q5</f>
        <v>303921318.97982144</v>
      </c>
      <c r="Q11" s="1">
        <f ca="1">'Debt worksheet'!R5</f>
        <v>320555340.39801693</v>
      </c>
      <c r="R11" s="1">
        <f ca="1">'Debt worksheet'!S5</f>
        <v>338260742.86875874</v>
      </c>
      <c r="S11" s="1">
        <f ca="1">'Debt worksheet'!T5</f>
        <v>357010169.15206635</v>
      </c>
      <c r="T11" s="1">
        <f ca="1">'Debt worksheet'!U5</f>
        <v>376766883.8550939</v>
      </c>
      <c r="U11" s="1">
        <f ca="1">'Debt worksheet'!V5</f>
        <v>397483788.89078158</v>
      </c>
      <c r="V11" s="1">
        <f ca="1">'Debt worksheet'!W5</f>
        <v>419102361.54469943</v>
      </c>
      <c r="W11" s="1">
        <f ca="1">'Debt worksheet'!X5</f>
        <v>441551509.85876751</v>
      </c>
      <c r="X11" s="1">
        <f ca="1">'Debt worksheet'!Y5</f>
        <v>464746339.70696628</v>
      </c>
      <c r="Y11" s="1">
        <f ca="1">'Debt worksheet'!Z5</f>
        <v>488586827.58460522</v>
      </c>
      <c r="Z11" s="1">
        <f ca="1">'Debt worksheet'!AA5</f>
        <v>512956392.75804758</v>
      </c>
      <c r="AA11" s="1">
        <f ca="1">'Debt worksheet'!AB5</f>
        <v>537720362.02477324</v>
      </c>
      <c r="AB11" s="1">
        <f ca="1">'Debt worksheet'!AC5</f>
        <v>562724319.9130075</v>
      </c>
      <c r="AC11" s="1">
        <f ca="1">'Debt worksheet'!AD5</f>
        <v>590136249.08422422</v>
      </c>
      <c r="AD11" s="1">
        <f ca="1">'Debt worksheet'!AE5</f>
        <v>620067808.61010647</v>
      </c>
      <c r="AE11" s="1">
        <f ca="1">'Debt worksheet'!AF5</f>
        <v>653908147.30096316</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5052298.278934313</v>
      </c>
      <c r="D5" s="4">
        <f ca="1">'Profit and Loss'!D9</f>
        <v>10395865.385040635</v>
      </c>
      <c r="E5" s="4">
        <f ca="1">'Profit and Loss'!E9</f>
        <v>17442651.901709884</v>
      </c>
      <c r="F5" s="4">
        <f ca="1">'Profit and Loss'!F9</f>
        <v>25737106.266424559</v>
      </c>
      <c r="G5" s="4">
        <f ca="1">'Profit and Loss'!G9</f>
        <v>28473770.355520133</v>
      </c>
      <c r="H5" s="4">
        <f ca="1">'Profit and Loss'!H9</f>
        <v>31866784.287288547</v>
      </c>
      <c r="I5" s="4">
        <f ca="1">'Profit and Loss'!I9</f>
        <v>33798277.70459687</v>
      </c>
      <c r="J5" s="4">
        <f ca="1">'Profit and Loss'!J9</f>
        <v>35284089.373753674</v>
      </c>
      <c r="K5" s="4">
        <f ca="1">'Profit and Loss'!K9</f>
        <v>37018574.89577131</v>
      </c>
      <c r="L5" s="4">
        <f ca="1">'Profit and Loss'!L9</f>
        <v>38108822.548567824</v>
      </c>
      <c r="M5" s="4">
        <f ca="1">'Profit and Loss'!M9</f>
        <v>39354196.608880773</v>
      </c>
      <c r="N5" s="4">
        <f ca="1">'Profit and Loss'!N9</f>
        <v>40774159.085906364</v>
      </c>
      <c r="O5" s="4">
        <f ca="1">'Profit and Loss'!O9</f>
        <v>42390013.89860516</v>
      </c>
      <c r="P5" s="4">
        <f ca="1">'Profit and Loss'!P9</f>
        <v>44225055.241034403</v>
      </c>
      <c r="Q5" s="4">
        <f ca="1">'Profit and Loss'!Q9</f>
        <v>45047384.715802059</v>
      </c>
      <c r="R5" s="4">
        <f ca="1">'Profit and Loss'!R9</f>
        <v>45949808.659543686</v>
      </c>
      <c r="S5" s="4">
        <f ca="1">'Profit and Loss'!S9</f>
        <v>46942751.603146985</v>
      </c>
      <c r="T5" s="4">
        <f ca="1">'Profit and Loss'!T9</f>
        <v>48037612.875793636</v>
      </c>
      <c r="U5" s="4">
        <f ca="1">'Profit and Loss'!U9</f>
        <v>49246841.025655717</v>
      </c>
      <c r="V5" s="4">
        <f ca="1">'Profit and Loss'!V9</f>
        <v>50584013.281388588</v>
      </c>
      <c r="W5" s="4">
        <f ca="1">'Profit and Loss'!W9</f>
        <v>52063920.371168151</v>
      </c>
      <c r="X5" s="4">
        <f ca="1">'Profit and Loss'!X9</f>
        <v>53702657.034964964</v>
      </c>
      <c r="Y5" s="4">
        <f ca="1">'Profit and Loss'!Y9</f>
        <v>55517718.585786059</v>
      </c>
      <c r="Z5" s="4">
        <f ca="1">'Profit and Loss'!Z9</f>
        <v>57528103.89681229</v>
      </c>
      <c r="AA5" s="4">
        <f ca="1">'Profit and Loss'!AA9</f>
        <v>59754425.21377708</v>
      </c>
      <c r="AB5" s="4">
        <f ca="1">'Profit and Loss'!AB9</f>
        <v>62219025.215644598</v>
      </c>
      <c r="AC5" s="4">
        <f ca="1">'Profit and Loss'!AC9</f>
        <v>62602189.391986184</v>
      </c>
      <c r="AD5" s="4">
        <f ca="1">'Profit and Loss'!AD9</f>
        <v>62963010.831343196</v>
      </c>
      <c r="AE5" s="4">
        <f ca="1">'Profit and Loss'!AE9</f>
        <v>62026857.917800009</v>
      </c>
      <c r="AF5" s="4">
        <f ca="1">'Profit and Loss'!AF9</f>
        <v>60125709.474471428</v>
      </c>
      <c r="AG5" s="4"/>
      <c r="AH5" s="4"/>
      <c r="AI5" s="4"/>
      <c r="AJ5" s="4"/>
      <c r="AK5" s="4"/>
      <c r="AL5" s="4"/>
      <c r="AM5" s="4"/>
      <c r="AN5" s="4"/>
      <c r="AO5" s="4"/>
      <c r="AP5" s="4"/>
    </row>
    <row r="6" spans="1:42" x14ac:dyDescent="0.35">
      <c r="A6" t="s">
        <v>21</v>
      </c>
      <c r="C6" s="4">
        <f>Depreciation!C8+Depreciation!C9</f>
        <v>7619763.6522363052</v>
      </c>
      <c r="D6" s="4">
        <f>Depreciation!D8+Depreciation!D9</f>
        <v>8846541.5976868756</v>
      </c>
      <c r="E6" s="4">
        <f>Depreciation!E8+Depreciation!E9</f>
        <v>10144030.693666393</v>
      </c>
      <c r="F6" s="4">
        <f>Depreciation!F8+Depreciation!F9</f>
        <v>11515500.233192571</v>
      </c>
      <c r="G6" s="4">
        <f>Depreciation!G8+Depreciation!G9</f>
        <v>12964356.335818108</v>
      </c>
      <c r="H6" s="4">
        <f>Depreciation!H8+Depreciation!H9</f>
        <v>14494147.356772888</v>
      </c>
      <c r="I6" s="4">
        <f>Depreciation!I8+Depreciation!I9</f>
        <v>16108569.502180897</v>
      </c>
      <c r="J6" s="4">
        <f>Depreciation!J8+Depreciation!J9</f>
        <v>17811472.658001691</v>
      </c>
      <c r="K6" s="4">
        <f>Depreciation!K8+Depreciation!K9</f>
        <v>19606866.440624774</v>
      </c>
      <c r="L6" s="4">
        <f>Depreciation!L8+Depreciation!L9</f>
        <v>21498926.477333941</v>
      </c>
      <c r="M6" s="4">
        <f>Depreciation!M8+Depreciation!M9</f>
        <v>23492000.925157297</v>
      </c>
      <c r="N6" s="4">
        <f>Depreciation!N8+Depreciation!N9</f>
        <v>25590617.23692856</v>
      </c>
      <c r="O6" s="4">
        <f>Depreciation!O8+Depreciation!O9</f>
        <v>27799489.183705822</v>
      </c>
      <c r="P6" s="4">
        <f>Depreciation!P8+Depreciation!P9</f>
        <v>30123524.143026203</v>
      </c>
      <c r="Q6" s="4">
        <f>Depreciation!Q8+Depreciation!Q9</f>
        <v>32567830.662818979</v>
      </c>
      <c r="R6" s="4">
        <f>Depreciation!R8+Depreciation!R9</f>
        <v>35137726.311156049</v>
      </c>
      <c r="S6" s="4">
        <f>Depreciation!S8+Depreciation!S9</f>
        <v>37838745.822387956</v>
      </c>
      <c r="T6" s="4">
        <f>Depreciation!T8+Depreciation!T9</f>
        <v>40676649.550596073</v>
      </c>
      <c r="U6" s="4">
        <f>Depreciation!U8+Depreciation!U9</f>
        <v>43657432.241687387</v>
      </c>
      <c r="V6" s="4">
        <f>Depreciation!V8+Depreciation!V9</f>
        <v>46787332.135868743</v>
      </c>
      <c r="W6" s="4">
        <f>Depreciation!W8+Depreciation!W9</f>
        <v>50072840.412662223</v>
      </c>
      <c r="X6" s="4">
        <f>Depreciation!X8+Depreciation!X9</f>
        <v>53520710.991063334</v>
      </c>
      <c r="Y6" s="4">
        <f>Depreciation!Y8+Depreciation!Y9</f>
        <v>57137970.697899543</v>
      </c>
      <c r="Z6" s="4">
        <f>Depreciation!Z8+Depreciation!Z9</f>
        <v>60931929.81791845</v>
      </c>
      <c r="AA6" s="4">
        <f>Depreciation!AA8+Depreciation!AA9</f>
        <v>64910193.039623916</v>
      </c>
      <c r="AB6" s="4">
        <f>Depreciation!AB8+Depreciation!AB9</f>
        <v>69080670.811384976</v>
      </c>
      <c r="AC6" s="4">
        <f>Depreciation!AC8+Depreciation!AC9</f>
        <v>73451591.122866154</v>
      </c>
      <c r="AD6" s="4">
        <f>Depreciation!AD8+Depreciation!AD9</f>
        <v>78031511.727371275</v>
      </c>
      <c r="AE6" s="4">
        <f>Depreciation!AE8+Depreciation!AE9</f>
        <v>82829332.821254924</v>
      </c>
      <c r="AF6" s="4">
        <f>Depreciation!AF8+Depreciation!AF9</f>
        <v>87854310.19713828</v>
      </c>
      <c r="AG6" s="4"/>
      <c r="AH6" s="4"/>
      <c r="AI6" s="4"/>
      <c r="AJ6" s="4"/>
      <c r="AK6" s="4"/>
      <c r="AL6" s="4"/>
      <c r="AM6" s="4"/>
      <c r="AN6" s="4"/>
      <c r="AO6" s="4"/>
      <c r="AP6" s="4"/>
    </row>
    <row r="7" spans="1:42" x14ac:dyDescent="0.35">
      <c r="A7" t="s">
        <v>23</v>
      </c>
      <c r="C7" s="4">
        <f ca="1">C6+C5</f>
        <v>12672061.931170618</v>
      </c>
      <c r="D7" s="4">
        <f ca="1">D6+D5</f>
        <v>19242406.982727513</v>
      </c>
      <c r="E7" s="4">
        <f t="shared" ref="E7:AF7" ca="1" si="1">E6+E5</f>
        <v>27586682.595376275</v>
      </c>
      <c r="F7" s="4">
        <f t="shared" ca="1" si="1"/>
        <v>37252606.49961713</v>
      </c>
      <c r="G7" s="4">
        <f ca="1">G6+G5</f>
        <v>41438126.691338241</v>
      </c>
      <c r="H7" s="4">
        <f t="shared" ca="1" si="1"/>
        <v>46360931.644061431</v>
      </c>
      <c r="I7" s="4">
        <f t="shared" ca="1" si="1"/>
        <v>49906847.206777766</v>
      </c>
      <c r="J7" s="4">
        <f t="shared" ca="1" si="1"/>
        <v>53095562.031755365</v>
      </c>
      <c r="K7" s="4">
        <f t="shared" ca="1" si="1"/>
        <v>56625441.336396083</v>
      </c>
      <c r="L7" s="4">
        <f t="shared" ca="1" si="1"/>
        <v>59607749.025901765</v>
      </c>
      <c r="M7" s="4">
        <f t="shared" ca="1" si="1"/>
        <v>62846197.534038067</v>
      </c>
      <c r="N7" s="4">
        <f t="shared" ca="1" si="1"/>
        <v>66364776.322834924</v>
      </c>
      <c r="O7" s="4">
        <f t="shared" ca="1" si="1"/>
        <v>70189503.082310975</v>
      </c>
      <c r="P7" s="4">
        <f t="shared" ca="1" si="1"/>
        <v>74348579.384060606</v>
      </c>
      <c r="Q7" s="4">
        <f t="shared" ca="1" si="1"/>
        <v>77615215.378621042</v>
      </c>
      <c r="R7" s="4">
        <f t="shared" ca="1" si="1"/>
        <v>81087534.970699728</v>
      </c>
      <c r="S7" s="4">
        <f t="shared" ca="1" si="1"/>
        <v>84781497.425534934</v>
      </c>
      <c r="T7" s="4">
        <f t="shared" ca="1" si="1"/>
        <v>88714262.426389709</v>
      </c>
      <c r="U7" s="4">
        <f t="shared" ca="1" si="1"/>
        <v>92904273.267343104</v>
      </c>
      <c r="V7" s="4">
        <f t="shared" ca="1" si="1"/>
        <v>97371345.417257339</v>
      </c>
      <c r="W7" s="4">
        <f t="shared" ca="1" si="1"/>
        <v>102136760.78383037</v>
      </c>
      <c r="X7" s="4">
        <f t="shared" ca="1" si="1"/>
        <v>107223368.02602831</v>
      </c>
      <c r="Y7" s="4">
        <f t="shared" ca="1" si="1"/>
        <v>112655689.28368559</v>
      </c>
      <c r="Z7" s="4">
        <f t="shared" ca="1" si="1"/>
        <v>118460033.71473074</v>
      </c>
      <c r="AA7" s="4">
        <f t="shared" ca="1" si="1"/>
        <v>124664618.253401</v>
      </c>
      <c r="AB7" s="4">
        <f t="shared" ca="1" si="1"/>
        <v>131299696.02702957</v>
      </c>
      <c r="AC7" s="4">
        <f t="shared" ca="1" si="1"/>
        <v>136053780.51485234</v>
      </c>
      <c r="AD7" s="4">
        <f t="shared" ca="1" si="1"/>
        <v>140994522.55871448</v>
      </c>
      <c r="AE7" s="4">
        <f t="shared" ca="1" si="1"/>
        <v>144856190.73905492</v>
      </c>
      <c r="AF7" s="4">
        <f t="shared" ca="1" si="1"/>
        <v>147980019.6716097</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47305871.072254471</v>
      </c>
      <c r="D10" s="9">
        <f>Investment!D25</f>
        <v>49802604.45514562</v>
      </c>
      <c r="E10" s="9">
        <f>Investment!E25</f>
        <v>52410687.562563814</v>
      </c>
      <c r="F10" s="9">
        <f>Investment!F25</f>
        <v>55134690.12189471</v>
      </c>
      <c r="G10" s="9">
        <f>Investment!G25</f>
        <v>57979360.300958723</v>
      </c>
      <c r="H10" s="9">
        <f>Investment!H25</f>
        <v>60949631.448797993</v>
      </c>
      <c r="I10" s="9">
        <f>Investment!I25</f>
        <v>64050629.085150801</v>
      </c>
      <c r="J10" s="9">
        <f>Investment!J25</f>
        <v>67287678.147626638</v>
      </c>
      <c r="K10" s="9">
        <f>Investment!K25</f>
        <v>70666310.505917728</v>
      </c>
      <c r="L10" s="9">
        <f>Investment!L25</f>
        <v>74192272.752716258</v>
      </c>
      <c r="M10" s="9">
        <f>Investment!M25</f>
        <v>77871534.281351849</v>
      </c>
      <c r="N10" s="9">
        <f>Investment!N25</f>
        <v>81710295.660521343</v>
      </c>
      <c r="O10" s="9">
        <f>Investment!O25</f>
        <v>85714997.316853583</v>
      </c>
      <c r="P10" s="9">
        <f>Investment!P25</f>
        <v>89892328.536434665</v>
      </c>
      <c r="Q10" s="9">
        <f>Investment!Q25</f>
        <v>94249236.796816498</v>
      </c>
      <c r="R10" s="9">
        <f>Investment!R25</f>
        <v>98792937.441441521</v>
      </c>
      <c r="S10" s="9">
        <f>Investment!S25</f>
        <v>103530923.70884258</v>
      </c>
      <c r="T10" s="9">
        <f>Investment!T25</f>
        <v>108470977.12941724</v>
      </c>
      <c r="U10" s="9">
        <f>Investment!U25</f>
        <v>113621178.3030308</v>
      </c>
      <c r="V10" s="9">
        <f>Investment!V25</f>
        <v>118989918.07117516</v>
      </c>
      <c r="W10" s="9">
        <f>Investment!W25</f>
        <v>124585909.09789845</v>
      </c>
      <c r="X10" s="9">
        <f>Investment!X25</f>
        <v>130418197.87422711</v>
      </c>
      <c r="Y10" s="9">
        <f>Investment!Y25</f>
        <v>136496177.16132456</v>
      </c>
      <c r="Z10" s="9">
        <f>Investment!Z25</f>
        <v>142829598.88817307</v>
      </c>
      <c r="AA10" s="9">
        <f>Investment!AA25</f>
        <v>149428587.5201267</v>
      </c>
      <c r="AB10" s="9">
        <f>Investment!AB25</f>
        <v>156303653.91526383</v>
      </c>
      <c r="AC10" s="9">
        <f>Investment!AC25</f>
        <v>163465709.6860691</v>
      </c>
      <c r="AD10" s="9">
        <f>Investment!AD25</f>
        <v>170926082.08459675</v>
      </c>
      <c r="AE10" s="9">
        <f>Investment!AE25</f>
        <v>178696529.42991161</v>
      </c>
      <c r="AF10" s="9">
        <f>Investment!AF25</f>
        <v>186789257.09727198</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-34633809.141083851</v>
      </c>
      <c r="D12" s="1">
        <f t="shared" ref="D12:AF12" ca="1" si="2">D7-D9-D10</f>
        <v>-30560197.472418107</v>
      </c>
      <c r="E12" s="1">
        <f ca="1">E7-E9-E10</f>
        <v>-24824004.967187539</v>
      </c>
      <c r="F12" s="1">
        <f t="shared" ca="1" si="2"/>
        <v>-17882083.62227758</v>
      </c>
      <c r="G12" s="1">
        <f ca="1">G7-G9-G10</f>
        <v>-16541233.609620482</v>
      </c>
      <c r="H12" s="1">
        <f t="shared" ca="1" si="2"/>
        <v>-14588699.804736562</v>
      </c>
      <c r="I12" s="1">
        <f t="shared" ca="1" si="2"/>
        <v>-14143781.878373034</v>
      </c>
      <c r="J12" s="1">
        <f t="shared" ca="1" si="2"/>
        <v>-14192116.115871273</v>
      </c>
      <c r="K12" s="1">
        <f t="shared" ca="1" si="2"/>
        <v>-14040869.169521645</v>
      </c>
      <c r="L12" s="1">
        <f t="shared" ca="1" si="2"/>
        <v>-14584523.726814494</v>
      </c>
      <c r="M12" s="1">
        <f t="shared" ca="1" si="2"/>
        <v>-15025336.747313783</v>
      </c>
      <c r="N12" s="1">
        <f t="shared" ca="1" si="2"/>
        <v>-15345519.337686419</v>
      </c>
      <c r="O12" s="1">
        <f t="shared" ca="1" si="2"/>
        <v>-15525494.234542608</v>
      </c>
      <c r="P12" s="1">
        <f t="shared" ca="1" si="2"/>
        <v>-15543749.152374059</v>
      </c>
      <c r="Q12" s="1">
        <f t="shared" ca="1" si="2"/>
        <v>-16634021.418195456</v>
      </c>
      <c r="R12" s="1">
        <f t="shared" ca="1" si="2"/>
        <v>-17705402.470741794</v>
      </c>
      <c r="S12" s="1">
        <f t="shared" ca="1" si="2"/>
        <v>-18749426.283307642</v>
      </c>
      <c r="T12" s="1">
        <f t="shared" ca="1" si="2"/>
        <v>-19756714.703027532</v>
      </c>
      <c r="U12" s="1">
        <f t="shared" ca="1" si="2"/>
        <v>-20716905.0356877</v>
      </c>
      <c r="V12" s="1">
        <f t="shared" ca="1" si="2"/>
        <v>-21618572.653917819</v>
      </c>
      <c r="W12" s="1">
        <f t="shared" ca="1" si="2"/>
        <v>-22449148.314068079</v>
      </c>
      <c r="X12" s="1">
        <f t="shared" ca="1" si="2"/>
        <v>-23194829.848198801</v>
      </c>
      <c r="Y12" s="1">
        <f t="shared" ca="1" si="2"/>
        <v>-23840487.877638966</v>
      </c>
      <c r="Z12" s="1">
        <f t="shared" ca="1" si="2"/>
        <v>-24369565.173442334</v>
      </c>
      <c r="AA12" s="1">
        <f t="shared" ca="1" si="2"/>
        <v>-24763969.266725704</v>
      </c>
      <c r="AB12" s="1">
        <f t="shared" ca="1" si="2"/>
        <v>-25003957.888234258</v>
      </c>
      <c r="AC12" s="1">
        <f t="shared" ca="1" si="2"/>
        <v>-27411929.171216756</v>
      </c>
      <c r="AD12" s="1">
        <f t="shared" ca="1" si="2"/>
        <v>-29931559.525882274</v>
      </c>
      <c r="AE12" s="1">
        <f t="shared" ca="1" si="2"/>
        <v>-33840338.690856695</v>
      </c>
      <c r="AF12" s="1">
        <f t="shared" ca="1" si="2"/>
        <v>-38809237.425662279</v>
      </c>
      <c r="AG12" s="1"/>
      <c r="AH12" s="1"/>
      <c r="AI12" s="1"/>
      <c r="AJ12" s="1"/>
      <c r="AK12" s="1"/>
      <c r="AL12" s="1"/>
      <c r="AM12" s="1"/>
      <c r="AN12" s="1"/>
      <c r="AO12" s="1"/>
      <c r="AP12" s="1"/>
    </row>
    <row r="13" spans="1:42" x14ac:dyDescent="0.35">
      <c r="A13" t="s">
        <v>19</v>
      </c>
      <c r="C13" s="1">
        <f ca="1">C12</f>
        <v>-34633809.141083851</v>
      </c>
      <c r="D13" s="1">
        <f ca="1">D12</f>
        <v>-30560197.472418107</v>
      </c>
      <c r="E13" s="1">
        <f ca="1">E12</f>
        <v>-24824004.967187539</v>
      </c>
      <c r="F13" s="1">
        <f t="shared" ref="F13:AF13" ca="1" si="3">F12</f>
        <v>-17882083.62227758</v>
      </c>
      <c r="G13" s="1">
        <f ca="1">G12</f>
        <v>-16541233.609620482</v>
      </c>
      <c r="H13" s="1">
        <f t="shared" ca="1" si="3"/>
        <v>-14588699.804736562</v>
      </c>
      <c r="I13" s="1">
        <f t="shared" ca="1" si="3"/>
        <v>-14143781.878373034</v>
      </c>
      <c r="J13" s="1">
        <f t="shared" ca="1" si="3"/>
        <v>-14192116.115871273</v>
      </c>
      <c r="K13" s="1">
        <f t="shared" ca="1" si="3"/>
        <v>-14040869.169521645</v>
      </c>
      <c r="L13" s="1">
        <f t="shared" ca="1" si="3"/>
        <v>-14584523.726814494</v>
      </c>
      <c r="M13" s="1">
        <f t="shared" ca="1" si="3"/>
        <v>-15025336.747313783</v>
      </c>
      <c r="N13" s="1">
        <f t="shared" ca="1" si="3"/>
        <v>-15345519.337686419</v>
      </c>
      <c r="O13" s="1">
        <f t="shared" ca="1" si="3"/>
        <v>-15525494.234542608</v>
      </c>
      <c r="P13" s="1">
        <f t="shared" ca="1" si="3"/>
        <v>-15543749.152374059</v>
      </c>
      <c r="Q13" s="1">
        <f t="shared" ca="1" si="3"/>
        <v>-16634021.418195456</v>
      </c>
      <c r="R13" s="1">
        <f t="shared" ca="1" si="3"/>
        <v>-17705402.470741794</v>
      </c>
      <c r="S13" s="1">
        <f t="shared" ca="1" si="3"/>
        <v>-18749426.283307642</v>
      </c>
      <c r="T13" s="1">
        <f t="shared" ca="1" si="3"/>
        <v>-19756714.703027532</v>
      </c>
      <c r="U13" s="1">
        <f t="shared" ca="1" si="3"/>
        <v>-20716905.0356877</v>
      </c>
      <c r="V13" s="1">
        <f t="shared" ca="1" si="3"/>
        <v>-21618572.653917819</v>
      </c>
      <c r="W13" s="1">
        <f t="shared" ca="1" si="3"/>
        <v>-22449148.314068079</v>
      </c>
      <c r="X13" s="1">
        <f t="shared" ca="1" si="3"/>
        <v>-23194829.848198801</v>
      </c>
      <c r="Y13" s="1">
        <f t="shared" ca="1" si="3"/>
        <v>-23840487.877638966</v>
      </c>
      <c r="Z13" s="1">
        <f t="shared" ca="1" si="3"/>
        <v>-24369565.173442334</v>
      </c>
      <c r="AA13" s="1">
        <f t="shared" ca="1" si="3"/>
        <v>-24763969.266725704</v>
      </c>
      <c r="AB13" s="1">
        <f t="shared" ca="1" si="3"/>
        <v>-25003957.888234258</v>
      </c>
      <c r="AC13" s="1">
        <f t="shared" ca="1" si="3"/>
        <v>-27411929.171216756</v>
      </c>
      <c r="AD13" s="1">
        <f t="shared" ca="1" si="3"/>
        <v>-29931559.525882274</v>
      </c>
      <c r="AE13" s="1">
        <f t="shared" ca="1" si="3"/>
        <v>-33840338.690856695</v>
      </c>
      <c r="AF13" s="1">
        <f t="shared" ca="1" si="3"/>
        <v>-38809237.425662279</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451905718</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225952859</v>
      </c>
      <c r="D7" s="9">
        <f>C12</f>
        <v>233572622.65223631</v>
      </c>
      <c r="E7" s="9">
        <f>D12</f>
        <v>242419164.2499232</v>
      </c>
      <c r="F7" s="9">
        <f t="shared" ref="F7:H7" si="1">E12</f>
        <v>252563194.9435896</v>
      </c>
      <c r="G7" s="9">
        <f t="shared" si="1"/>
        <v>264078695.17678216</v>
      </c>
      <c r="H7" s="9">
        <f t="shared" si="1"/>
        <v>277043051.51260024</v>
      </c>
      <c r="I7" s="9">
        <f t="shared" ref="I7" si="2">H12</f>
        <v>291537198.86937314</v>
      </c>
      <c r="J7" s="9">
        <f t="shared" ref="J7" si="3">I12</f>
        <v>307645768.37155408</v>
      </c>
      <c r="K7" s="9">
        <f t="shared" ref="K7" si="4">J12</f>
        <v>325457241.02955574</v>
      </c>
      <c r="L7" s="9">
        <f t="shared" ref="L7" si="5">K12</f>
        <v>345064107.47018051</v>
      </c>
      <c r="M7" s="9">
        <f t="shared" ref="M7" si="6">L12</f>
        <v>366563033.94751441</v>
      </c>
      <c r="N7" s="9">
        <f t="shared" ref="N7" si="7">M12</f>
        <v>390055034.87267166</v>
      </c>
      <c r="O7" s="9">
        <f t="shared" ref="O7" si="8">N12</f>
        <v>415645652.10960025</v>
      </c>
      <c r="P7" s="9">
        <f t="shared" ref="P7" si="9">O12</f>
        <v>443445141.29330605</v>
      </c>
      <c r="Q7" s="9">
        <f t="shared" ref="Q7" si="10">P12</f>
        <v>473568665.43633229</v>
      </c>
      <c r="R7" s="9">
        <f t="shared" ref="R7" si="11">Q12</f>
        <v>506136496.09915131</v>
      </c>
      <c r="S7" s="9">
        <f t="shared" ref="S7" si="12">R12</f>
        <v>541274222.41030741</v>
      </c>
      <c r="T7" s="9">
        <f t="shared" ref="T7" si="13">S12</f>
        <v>579112968.23269534</v>
      </c>
      <c r="U7" s="9">
        <f t="shared" ref="U7" si="14">T12</f>
        <v>619789617.78329134</v>
      </c>
      <c r="V7" s="9">
        <f t="shared" ref="V7" si="15">U12</f>
        <v>663447050.02497864</v>
      </c>
      <c r="W7" s="9">
        <f t="shared" ref="W7" si="16">V12</f>
        <v>710234382.16084743</v>
      </c>
      <c r="X7" s="9">
        <f t="shared" ref="X7" si="17">W12</f>
        <v>760307222.57350957</v>
      </c>
      <c r="Y7" s="9">
        <f t="shared" ref="Y7" si="18">X12</f>
        <v>813827933.56457293</v>
      </c>
      <c r="Z7" s="9">
        <f t="shared" ref="Z7" si="19">Y12</f>
        <v>870965904.26247251</v>
      </c>
      <c r="AA7" s="9">
        <f t="shared" ref="AA7" si="20">Z12</f>
        <v>931897834.08039093</v>
      </c>
      <c r="AB7" s="9">
        <f t="shared" ref="AB7" si="21">AA12</f>
        <v>996808027.12001491</v>
      </c>
      <c r="AC7" s="9">
        <f t="shared" ref="AC7" si="22">AB12</f>
        <v>1065888697.9313998</v>
      </c>
      <c r="AD7" s="9">
        <f t="shared" ref="AD7" si="23">AC12</f>
        <v>1139340289.054266</v>
      </c>
      <c r="AE7" s="9">
        <f t="shared" ref="AE7" si="24">AD12</f>
        <v>1217371800.7816372</v>
      </c>
      <c r="AF7" s="9">
        <f t="shared" ref="AF7" si="25">AE12</f>
        <v>1300201133.6028922</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6667297.074155869</v>
      </c>
      <c r="D8" s="9">
        <f>Assumptions!E111*Assumptions!E11</f>
        <v>6880650.5805288563</v>
      </c>
      <c r="E8" s="9">
        <f>Assumptions!F111*Assumptions!F11</f>
        <v>7100831.3991057789</v>
      </c>
      <c r="F8" s="9">
        <f>Assumptions!G111*Assumptions!G11</f>
        <v>7328058.0038771648</v>
      </c>
      <c r="G8" s="9">
        <f>Assumptions!H111*Assumptions!H11</f>
        <v>7562555.8600012343</v>
      </c>
      <c r="H8" s="9">
        <f>Assumptions!I111*Assumptions!I11</f>
        <v>7804557.6475212732</v>
      </c>
      <c r="I8" s="9">
        <f>Assumptions!J111*Assumptions!J11</f>
        <v>8054303.4922419526</v>
      </c>
      <c r="J8" s="9">
        <f>Assumptions!K111*Assumptions!K11</f>
        <v>8312041.2039936967</v>
      </c>
      <c r="K8" s="9">
        <f>Assumptions!L111*Assumptions!L11</f>
        <v>8578026.5225214958</v>
      </c>
      <c r="L8" s="9">
        <f>Assumptions!M111*Assumptions!M11</f>
        <v>8852523.3712421823</v>
      </c>
      <c r="M8" s="9">
        <f>Assumptions!N111*Assumptions!N11</f>
        <v>9135804.1191219315</v>
      </c>
      <c r="N8" s="9">
        <f>Assumptions!O111*Assumptions!O11</f>
        <v>9428149.850933833</v>
      </c>
      <c r="O8" s="9">
        <f>Assumptions!P111*Assumptions!P11</f>
        <v>9729850.6461637169</v>
      </c>
      <c r="P8" s="9">
        <f>Assumptions!Q111*Assumptions!Q11</f>
        <v>10041205.866840955</v>
      </c>
      <c r="Q8" s="9">
        <f>Assumptions!R111*Assumptions!R11</f>
        <v>10362524.454579864</v>
      </c>
      <c r="R8" s="9">
        <f>Assumptions!S111*Assumptions!S11</f>
        <v>10694125.237126421</v>
      </c>
      <c r="S8" s="9">
        <f>Assumptions!T111*Assumptions!T11</f>
        <v>11036337.244714469</v>
      </c>
      <c r="T8" s="9">
        <f>Assumptions!U111*Assumptions!U11</f>
        <v>11389500.036545329</v>
      </c>
      <c r="U8" s="9">
        <f>Assumptions!V111*Assumptions!V11</f>
        <v>11753964.037714779</v>
      </c>
      <c r="V8" s="9">
        <f>Assumptions!W111*Assumptions!W11</f>
        <v>12130090.886921654</v>
      </c>
      <c r="W8" s="9">
        <f>Assumptions!X111*Assumptions!X11</f>
        <v>12518253.795303147</v>
      </c>
      <c r="X8" s="9">
        <f>Assumptions!Y111*Assumptions!Y11</f>
        <v>12918837.916752847</v>
      </c>
      <c r="Y8" s="9">
        <f>Assumptions!Z111*Assumptions!Z11</f>
        <v>13332240.730088936</v>
      </c>
      <c r="Z8" s="9">
        <f>Assumptions!AA111*Assumptions!AA11</f>
        <v>13758872.433451781</v>
      </c>
      <c r="AA8" s="9">
        <f>Assumptions!AB111*Assumptions!AB11</f>
        <v>14199156.351322243</v>
      </c>
      <c r="AB8" s="9">
        <f>Assumptions!AC111*Assumptions!AC11</f>
        <v>14653529.354564551</v>
      </c>
      <c r="AC8" s="9">
        <f>Assumptions!AD111*Assumptions!AD11</f>
        <v>15122442.293910615</v>
      </c>
      <c r="AD8" s="9">
        <f>Assumptions!AE111*Assumptions!AE11</f>
        <v>15606360.447315758</v>
      </c>
      <c r="AE8" s="9">
        <f>Assumptions!AF111*Assumptions!AF11</f>
        <v>16105763.981629862</v>
      </c>
      <c r="AF8" s="9">
        <f>Assumptions!AG111*Assumptions!AG11</f>
        <v>16621148.429042015</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952466.5780804361</v>
      </c>
      <c r="D9" s="9">
        <f>Assumptions!E120*Assumptions!E11</f>
        <v>1965891.0171580198</v>
      </c>
      <c r="E9" s="9">
        <f>Assumptions!F120*Assumptions!F11</f>
        <v>3043199.294560614</v>
      </c>
      <c r="F9" s="9">
        <f>Assumptions!G120*Assumptions!G11</f>
        <v>4187442.2293154057</v>
      </c>
      <c r="G9" s="9">
        <f>Assumptions!H120*Assumptions!H11</f>
        <v>5401800.4758168738</v>
      </c>
      <c r="H9" s="9">
        <f>Assumptions!I120*Assumptions!I11</f>
        <v>6689589.7092516152</v>
      </c>
      <c r="I9" s="9">
        <f>Assumptions!J120*Assumptions!J11</f>
        <v>8054266.0099389451</v>
      </c>
      <c r="J9" s="9">
        <f>Assumptions!K120*Assumptions!K11</f>
        <v>9499431.4540079925</v>
      </c>
      <c r="K9" s="9">
        <f>Assumptions!L120*Assumptions!L11</f>
        <v>11028839.91810328</v>
      </c>
      <c r="L9" s="9">
        <f>Assumptions!M120*Assumptions!M11</f>
        <v>12646403.10609176</v>
      </c>
      <c r="M9" s="9">
        <f>Assumptions!N120*Assumptions!N11</f>
        <v>14356196.806035366</v>
      </c>
      <c r="N9" s="9">
        <f>Assumptions!O120*Assumptions!O11</f>
        <v>16162467.385994727</v>
      </c>
      <c r="O9" s="9">
        <f>Assumptions!P120*Assumptions!P11</f>
        <v>18069638.537542105</v>
      </c>
      <c r="P9" s="9">
        <f>Assumptions!Q120*Assumptions!Q11</f>
        <v>20082318.276185248</v>
      </c>
      <c r="Q9" s="9">
        <f>Assumptions!R120*Assumptions!R11</f>
        <v>22205306.208239116</v>
      </c>
      <c r="R9" s="9">
        <f>Assumptions!S120*Assumptions!S11</f>
        <v>24443601.074029624</v>
      </c>
      <c r="S9" s="9">
        <f>Assumptions!T120*Assumptions!T11</f>
        <v>26802408.577673487</v>
      </c>
      <c r="T9" s="9">
        <f>Assumptions!U120*Assumptions!U11</f>
        <v>29287149.514050744</v>
      </c>
      <c r="U9" s="9">
        <f>Assumptions!V120*Assumptions!V11</f>
        <v>31903468.203972608</v>
      </c>
      <c r="V9" s="9">
        <f>Assumptions!W120*Assumptions!W11</f>
        <v>34657241.248947091</v>
      </c>
      <c r="W9" s="9">
        <f>Assumptions!X120*Assumptions!X11</f>
        <v>37554586.617359072</v>
      </c>
      <c r="X9" s="9">
        <f>Assumptions!Y120*Assumptions!Y11</f>
        <v>40601873.074310489</v>
      </c>
      <c r="Y9" s="9">
        <f>Assumptions!Z120*Assumptions!Z11</f>
        <v>43805729.967810608</v>
      </c>
      <c r="Z9" s="9">
        <f>Assumptions!AA120*Assumptions!AA11</f>
        <v>47173057.38446667</v>
      </c>
      <c r="AA9" s="9">
        <f>Assumptions!AB120*Assumptions!AB11</f>
        <v>50711036.688301675</v>
      </c>
      <c r="AB9" s="9">
        <f>Assumptions!AC120*Assumptions!AC11</f>
        <v>54427141.456820421</v>
      </c>
      <c r="AC9" s="9">
        <f>Assumptions!AD120*Assumptions!AD11</f>
        <v>58329148.828955539</v>
      </c>
      <c r="AD9" s="9">
        <f>Assumptions!AE120*Assumptions!AE11</f>
        <v>62425151.280055523</v>
      </c>
      <c r="AE9" s="9">
        <f>Assumptions!AF120*Assumptions!AF11</f>
        <v>66723568.839625061</v>
      </c>
      <c r="AF9" s="9">
        <f>Assumptions!AG120*Assumptions!AG11</f>
        <v>71233161.768096268</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7619763.6522363052</v>
      </c>
      <c r="D10" s="9">
        <f>SUM($C$8:D9)</f>
        <v>16466305.249923183</v>
      </c>
      <c r="E10" s="9">
        <f>SUM($C$8:E9)</f>
        <v>26610335.943589576</v>
      </c>
      <c r="F10" s="9">
        <f>SUM($C$8:F9)</f>
        <v>38125836.176782146</v>
      </c>
      <c r="G10" s="9">
        <f>SUM($C$8:G9)</f>
        <v>51090192.512600258</v>
      </c>
      <c r="H10" s="9">
        <f>SUM($C$8:H9)</f>
        <v>65584339.869373143</v>
      </c>
      <c r="I10" s="9">
        <f>SUM($C$8:I9)</f>
        <v>81692909.371554032</v>
      </c>
      <c r="J10" s="9">
        <f>SUM($C$8:J9)</f>
        <v>99504382.029555723</v>
      </c>
      <c r="K10" s="9">
        <f>SUM($C$8:K9)</f>
        <v>119111248.47018048</v>
      </c>
      <c r="L10" s="9">
        <f>SUM($C$8:L9)</f>
        <v>140610174.94751441</v>
      </c>
      <c r="M10" s="9">
        <f>SUM($C$8:M9)</f>
        <v>164102175.87267172</v>
      </c>
      <c r="N10" s="9">
        <f>SUM($C$8:N9)</f>
        <v>189692793.10960028</v>
      </c>
      <c r="O10" s="9">
        <f>SUM($C$8:O9)</f>
        <v>217492282.29330611</v>
      </c>
      <c r="P10" s="9">
        <f>SUM($C$8:P9)</f>
        <v>247615806.43633232</v>
      </c>
      <c r="Q10" s="9">
        <f>SUM($C$8:Q9)</f>
        <v>280183637.09915131</v>
      </c>
      <c r="R10" s="9">
        <f>SUM($C$8:R9)</f>
        <v>315321363.41030741</v>
      </c>
      <c r="S10" s="9">
        <f>SUM($C$8:S9)</f>
        <v>353160109.23269534</v>
      </c>
      <c r="T10" s="9">
        <f>SUM($C$8:T9)</f>
        <v>393836758.7832914</v>
      </c>
      <c r="U10" s="9">
        <f>SUM($C$8:U9)</f>
        <v>437494191.02497888</v>
      </c>
      <c r="V10" s="9">
        <f>SUM($C$8:V9)</f>
        <v>484281523.16084749</v>
      </c>
      <c r="W10" s="9">
        <f>SUM($C$8:W9)</f>
        <v>534354363.57350981</v>
      </c>
      <c r="X10" s="9">
        <f>SUM($C$8:X9)</f>
        <v>587875074.56457317</v>
      </c>
      <c r="Y10" s="9">
        <f>SUM($C$8:Y9)</f>
        <v>645013045.26247275</v>
      </c>
      <c r="Z10" s="9">
        <f>SUM($C$8:Z9)</f>
        <v>705944975.08039117</v>
      </c>
      <c r="AA10" s="9">
        <f>SUM($C$8:AA9)</f>
        <v>770855168.12001503</v>
      </c>
      <c r="AB10" s="9">
        <f>SUM($C$8:AB9)</f>
        <v>839935838.93139994</v>
      </c>
      <c r="AC10" s="9">
        <f>SUM($C$8:AC9)</f>
        <v>913387430.0542661</v>
      </c>
      <c r="AD10" s="9">
        <f>SUM($C$8:AD9)</f>
        <v>991418941.78163731</v>
      </c>
      <c r="AE10" s="9">
        <f>SUM($C$8:AE9)</f>
        <v>1074248274.6028922</v>
      </c>
      <c r="AF10" s="9">
        <f>SUM($C$8:AF9)</f>
        <v>1162102584.8000305</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233572622.65223631</v>
      </c>
      <c r="D12" s="9">
        <f>D7+D8+D9</f>
        <v>242419164.2499232</v>
      </c>
      <c r="E12" s="9">
        <f>E7+E8+E9</f>
        <v>252563194.9435896</v>
      </c>
      <c r="F12" s="9">
        <f t="shared" ref="F12:H12" si="26">F7+F8+F9</f>
        <v>264078695.17678216</v>
      </c>
      <c r="G12" s="9">
        <f t="shared" si="26"/>
        <v>277043051.51260024</v>
      </c>
      <c r="H12" s="9">
        <f t="shared" si="26"/>
        <v>291537198.86937314</v>
      </c>
      <c r="I12" s="9">
        <f t="shared" ref="I12:AF12" si="27">I7+I8+I9</f>
        <v>307645768.37155408</v>
      </c>
      <c r="J12" s="9">
        <f t="shared" si="27"/>
        <v>325457241.02955574</v>
      </c>
      <c r="K12" s="9">
        <f t="shared" si="27"/>
        <v>345064107.47018051</v>
      </c>
      <c r="L12" s="9">
        <f t="shared" si="27"/>
        <v>366563033.94751441</v>
      </c>
      <c r="M12" s="9">
        <f t="shared" si="27"/>
        <v>390055034.87267166</v>
      </c>
      <c r="N12" s="9">
        <f t="shared" si="27"/>
        <v>415645652.10960025</v>
      </c>
      <c r="O12" s="9">
        <f t="shared" si="27"/>
        <v>443445141.29330605</v>
      </c>
      <c r="P12" s="9">
        <f t="shared" si="27"/>
        <v>473568665.43633229</v>
      </c>
      <c r="Q12" s="9">
        <f t="shared" si="27"/>
        <v>506136496.09915131</v>
      </c>
      <c r="R12" s="9">
        <f t="shared" si="27"/>
        <v>541274222.41030741</v>
      </c>
      <c r="S12" s="9">
        <f t="shared" si="27"/>
        <v>579112968.23269534</v>
      </c>
      <c r="T12" s="9">
        <f t="shared" si="27"/>
        <v>619789617.78329134</v>
      </c>
      <c r="U12" s="9">
        <f t="shared" si="27"/>
        <v>663447050.02497864</v>
      </c>
      <c r="V12" s="9">
        <f t="shared" si="27"/>
        <v>710234382.16084743</v>
      </c>
      <c r="W12" s="9">
        <f t="shared" si="27"/>
        <v>760307222.57350957</v>
      </c>
      <c r="X12" s="9">
        <f t="shared" si="27"/>
        <v>813827933.56457293</v>
      </c>
      <c r="Y12" s="9">
        <f t="shared" si="27"/>
        <v>870965904.26247251</v>
      </c>
      <c r="Z12" s="9">
        <f t="shared" si="27"/>
        <v>931897834.08039093</v>
      </c>
      <c r="AA12" s="9">
        <f t="shared" si="27"/>
        <v>996808027.12001491</v>
      </c>
      <c r="AB12" s="9">
        <f t="shared" si="27"/>
        <v>1065888697.9313998</v>
      </c>
      <c r="AC12" s="9">
        <f t="shared" si="27"/>
        <v>1139340289.054266</v>
      </c>
      <c r="AD12" s="9">
        <f t="shared" si="27"/>
        <v>1217371800.7816372</v>
      </c>
      <c r="AE12" s="9">
        <f t="shared" si="27"/>
        <v>1300201133.6028922</v>
      </c>
      <c r="AF12" s="9">
        <f t="shared" si="27"/>
        <v>1388055443.8000305</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47305871.072254471</v>
      </c>
      <c r="D18" s="9">
        <f>Investment!D25</f>
        <v>49802604.45514562</v>
      </c>
      <c r="E18" s="9">
        <f>Investment!E25</f>
        <v>52410687.562563814</v>
      </c>
      <c r="F18" s="9">
        <f>Investment!F25</f>
        <v>55134690.12189471</v>
      </c>
      <c r="G18" s="9">
        <f>Investment!G25</f>
        <v>57979360.300958723</v>
      </c>
      <c r="H18" s="9">
        <f>Investment!H25</f>
        <v>60949631.448797993</v>
      </c>
      <c r="I18" s="9">
        <f>Investment!I25</f>
        <v>64050629.085150801</v>
      </c>
      <c r="J18" s="9">
        <f>Investment!J25</f>
        <v>67287678.147626638</v>
      </c>
      <c r="K18" s="9">
        <f>Investment!K25</f>
        <v>70666310.505917728</v>
      </c>
      <c r="L18" s="9">
        <f>Investment!L25</f>
        <v>74192272.752716258</v>
      </c>
      <c r="M18" s="9">
        <f>Investment!M25</f>
        <v>77871534.281351849</v>
      </c>
      <c r="N18" s="9">
        <f>Investment!N25</f>
        <v>81710295.660521343</v>
      </c>
      <c r="O18" s="9">
        <f>Investment!O25</f>
        <v>85714997.316853583</v>
      </c>
      <c r="P18" s="9">
        <f>Investment!P25</f>
        <v>89892328.536434665</v>
      </c>
      <c r="Q18" s="9">
        <f>Investment!Q25</f>
        <v>94249236.796816498</v>
      </c>
      <c r="R18" s="9">
        <f>Investment!R25</f>
        <v>98792937.441441521</v>
      </c>
      <c r="S18" s="9">
        <f>Investment!S25</f>
        <v>103530923.70884258</v>
      </c>
      <c r="T18" s="9">
        <f>Investment!T25</f>
        <v>108470977.12941724</v>
      </c>
      <c r="U18" s="9">
        <f>Investment!U25</f>
        <v>113621178.3030308</v>
      </c>
      <c r="V18" s="9">
        <f>Investment!V25</f>
        <v>118989918.07117516</v>
      </c>
      <c r="W18" s="9">
        <f>Investment!W25</f>
        <v>124585909.09789845</v>
      </c>
      <c r="X18" s="9">
        <f>Investment!X25</f>
        <v>130418197.87422711</v>
      </c>
      <c r="Y18" s="9">
        <f>Investment!Y25</f>
        <v>136496177.16132456</v>
      </c>
      <c r="Z18" s="9">
        <f>Investment!Z25</f>
        <v>142829598.88817307</v>
      </c>
      <c r="AA18" s="9">
        <f>Investment!AA25</f>
        <v>149428587.5201267</v>
      </c>
      <c r="AB18" s="9">
        <f>Investment!AB25</f>
        <v>156303653.91526383</v>
      </c>
      <c r="AC18" s="9">
        <f>Investment!AC25</f>
        <v>163465709.6860691</v>
      </c>
      <c r="AD18" s="9">
        <f>Investment!AD25</f>
        <v>170926082.08459675</v>
      </c>
      <c r="AE18" s="9">
        <f>Investment!AE25</f>
        <v>178696529.42991161</v>
      </c>
      <c r="AF18" s="9">
        <f>Investment!AF25</f>
        <v>186789257.09727198</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273258730.07225448</v>
      </c>
      <c r="D19" s="9">
        <f>D18+C20</f>
        <v>315441570.87516379</v>
      </c>
      <c r="E19" s="9">
        <f>E18+D20</f>
        <v>359005716.84004074</v>
      </c>
      <c r="F19" s="9">
        <f t="shared" ref="F19:AF19" si="28">F18+E20</f>
        <v>403996376.26826906</v>
      </c>
      <c r="G19" s="9">
        <f t="shared" si="28"/>
        <v>450460236.33603525</v>
      </c>
      <c r="H19" s="9">
        <f t="shared" si="28"/>
        <v>498445511.4490152</v>
      </c>
      <c r="I19" s="9">
        <f t="shared" si="28"/>
        <v>548001993.17739308</v>
      </c>
      <c r="J19" s="9">
        <f t="shared" si="28"/>
        <v>599181101.82283878</v>
      </c>
      <c r="K19" s="9">
        <f t="shared" si="28"/>
        <v>652035939.67075491</v>
      </c>
      <c r="L19" s="9">
        <f t="shared" si="28"/>
        <v>706621345.98284638</v>
      </c>
      <c r="M19" s="9">
        <f t="shared" si="28"/>
        <v>762993953.78686428</v>
      </c>
      <c r="N19" s="9">
        <f t="shared" si="28"/>
        <v>821212248.52222836</v>
      </c>
      <c r="O19" s="9">
        <f t="shared" si="28"/>
        <v>881336628.60215354</v>
      </c>
      <c r="P19" s="9">
        <f t="shared" si="28"/>
        <v>943429467.95488238</v>
      </c>
      <c r="Q19" s="9">
        <f t="shared" si="28"/>
        <v>1007555180.6086726</v>
      </c>
      <c r="R19" s="9">
        <f t="shared" si="28"/>
        <v>1073780287.3872952</v>
      </c>
      <c r="S19" s="9">
        <f t="shared" si="28"/>
        <v>1142173484.7849817</v>
      </c>
      <c r="T19" s="9">
        <f t="shared" si="28"/>
        <v>1212805716.092011</v>
      </c>
      <c r="U19" s="9">
        <f t="shared" si="28"/>
        <v>1285750244.8444457</v>
      </c>
      <c r="V19" s="9">
        <f t="shared" si="28"/>
        <v>1361082730.6739335</v>
      </c>
      <c r="W19" s="9">
        <f t="shared" si="28"/>
        <v>1438881307.6359632</v>
      </c>
      <c r="X19" s="9">
        <f t="shared" si="28"/>
        <v>1519226665.097528</v>
      </c>
      <c r="Y19" s="9">
        <f t="shared" si="28"/>
        <v>1602202131.2677891</v>
      </c>
      <c r="Z19" s="9">
        <f t="shared" si="28"/>
        <v>1687893759.4580626</v>
      </c>
      <c r="AA19" s="9">
        <f t="shared" si="28"/>
        <v>1776390417.1602707</v>
      </c>
      <c r="AB19" s="9">
        <f t="shared" si="28"/>
        <v>1867783878.0359108</v>
      </c>
      <c r="AC19" s="9">
        <f t="shared" si="28"/>
        <v>1962168916.9105947</v>
      </c>
      <c r="AD19" s="9">
        <f t="shared" si="28"/>
        <v>2059643407.8723254</v>
      </c>
      <c r="AE19" s="9">
        <f t="shared" si="28"/>
        <v>2160308425.5748658</v>
      </c>
      <c r="AF19" s="9">
        <f t="shared" si="28"/>
        <v>2264268349.850883</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265638966.42001817</v>
      </c>
      <c r="D20" s="9">
        <f>D19-D8-D9</f>
        <v>306595029.27747691</v>
      </c>
      <c r="E20" s="9">
        <f t="shared" ref="E20:AF20" si="29">E19-E8-E9</f>
        <v>348861686.14637434</v>
      </c>
      <c r="F20" s="9">
        <f t="shared" si="29"/>
        <v>392480876.0350765</v>
      </c>
      <c r="G20" s="9">
        <f t="shared" si="29"/>
        <v>437495880.0002172</v>
      </c>
      <c r="H20" s="9">
        <f t="shared" si="29"/>
        <v>483951364.0922423</v>
      </c>
      <c r="I20" s="9">
        <f t="shared" si="29"/>
        <v>531893423.67521214</v>
      </c>
      <c r="J20" s="9">
        <f t="shared" si="29"/>
        <v>581369629.16483712</v>
      </c>
      <c r="K20" s="9">
        <f t="shared" si="29"/>
        <v>632429073.23013008</v>
      </c>
      <c r="L20" s="9">
        <f t="shared" si="29"/>
        <v>685122419.50551248</v>
      </c>
      <c r="M20" s="9">
        <f t="shared" si="29"/>
        <v>739501952.86170697</v>
      </c>
      <c r="N20" s="9">
        <f t="shared" si="29"/>
        <v>795621631.2852999</v>
      </c>
      <c r="O20" s="9">
        <f t="shared" si="29"/>
        <v>853537139.41844773</v>
      </c>
      <c r="P20" s="9">
        <f t="shared" si="29"/>
        <v>913305943.81185615</v>
      </c>
      <c r="Q20" s="9">
        <f t="shared" si="29"/>
        <v>974987349.94585371</v>
      </c>
      <c r="R20" s="9">
        <f t="shared" si="29"/>
        <v>1038642561.0761392</v>
      </c>
      <c r="S20" s="9">
        <f t="shared" si="29"/>
        <v>1104334738.9625938</v>
      </c>
      <c r="T20" s="9">
        <f t="shared" si="29"/>
        <v>1172129066.541415</v>
      </c>
      <c r="U20" s="9">
        <f t="shared" si="29"/>
        <v>1242092812.6027584</v>
      </c>
      <c r="V20" s="9">
        <f t="shared" si="29"/>
        <v>1314295398.5380647</v>
      </c>
      <c r="W20" s="9">
        <f t="shared" si="29"/>
        <v>1388808467.2233009</v>
      </c>
      <c r="X20" s="9">
        <f t="shared" si="29"/>
        <v>1465705954.1064646</v>
      </c>
      <c r="Y20" s="9">
        <f t="shared" si="29"/>
        <v>1545064160.5698895</v>
      </c>
      <c r="Z20" s="9">
        <f t="shared" si="29"/>
        <v>1626961829.6401441</v>
      </c>
      <c r="AA20" s="9">
        <f t="shared" si="29"/>
        <v>1711480224.120647</v>
      </c>
      <c r="AB20" s="9">
        <f t="shared" si="29"/>
        <v>1798703207.2245257</v>
      </c>
      <c r="AC20" s="9">
        <f t="shared" si="29"/>
        <v>1888717325.7877285</v>
      </c>
      <c r="AD20" s="9">
        <f t="shared" si="29"/>
        <v>1981611896.1449542</v>
      </c>
      <c r="AE20" s="9">
        <f t="shared" si="29"/>
        <v>2077479092.7536108</v>
      </c>
      <c r="AF20" s="9">
        <f t="shared" si="29"/>
        <v>2176414039.6537447</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46489900</v>
      </c>
      <c r="D22" s="9">
        <f ca="1">'Balance Sheet'!C11</f>
        <v>81123709.141083851</v>
      </c>
      <c r="E22" s="9">
        <f ca="1">'Balance Sheet'!D11</f>
        <v>111683906.61350197</v>
      </c>
      <c r="F22" s="9">
        <f ca="1">'Balance Sheet'!E11</f>
        <v>136507911.58068949</v>
      </c>
      <c r="G22" s="9">
        <f ca="1">'Balance Sheet'!F11</f>
        <v>154389995.20296708</v>
      </c>
      <c r="H22" s="9">
        <f ca="1">'Balance Sheet'!G11</f>
        <v>170931228.81258756</v>
      </c>
      <c r="I22" s="9">
        <f ca="1">'Balance Sheet'!H11</f>
        <v>185519928.61732411</v>
      </c>
      <c r="J22" s="9">
        <f ca="1">'Balance Sheet'!I11</f>
        <v>199663710.49569714</v>
      </c>
      <c r="K22" s="9">
        <f ca="1">'Balance Sheet'!J11</f>
        <v>213855826.61156842</v>
      </c>
      <c r="L22" s="9">
        <f ca="1">'Balance Sheet'!K11</f>
        <v>227896695.78109008</v>
      </c>
      <c r="M22" s="9">
        <f ca="1">'Balance Sheet'!L11</f>
        <v>242481219.50790459</v>
      </c>
      <c r="N22" s="9">
        <f ca="1">'Balance Sheet'!M11</f>
        <v>257506556.25521839</v>
      </c>
      <c r="O22" s="9">
        <f ca="1">'Balance Sheet'!N11</f>
        <v>272852075.59290481</v>
      </c>
      <c r="P22" s="9">
        <f ca="1">'Balance Sheet'!O11</f>
        <v>288377569.82744741</v>
      </c>
      <c r="Q22" s="9">
        <f ca="1">'Balance Sheet'!P11</f>
        <v>303921318.97982144</v>
      </c>
      <c r="R22" s="9">
        <f ca="1">'Balance Sheet'!Q11</f>
        <v>320555340.39801693</v>
      </c>
      <c r="S22" s="9">
        <f ca="1">'Balance Sheet'!R11</f>
        <v>338260742.86875874</v>
      </c>
      <c r="T22" s="9">
        <f ca="1">'Balance Sheet'!S11</f>
        <v>357010169.15206635</v>
      </c>
      <c r="U22" s="9">
        <f ca="1">'Balance Sheet'!T11</f>
        <v>376766883.8550939</v>
      </c>
      <c r="V22" s="9">
        <f ca="1">'Balance Sheet'!U11</f>
        <v>397483788.89078158</v>
      </c>
      <c r="W22" s="9">
        <f ca="1">'Balance Sheet'!V11</f>
        <v>419102361.54469943</v>
      </c>
      <c r="X22" s="9">
        <f ca="1">'Balance Sheet'!W11</f>
        <v>441551509.85876751</v>
      </c>
      <c r="Y22" s="9">
        <f ca="1">'Balance Sheet'!X11</f>
        <v>464746339.70696628</v>
      </c>
      <c r="Z22" s="9">
        <f ca="1">'Balance Sheet'!Y11</f>
        <v>488586827.58460522</v>
      </c>
      <c r="AA22" s="9">
        <f ca="1">'Balance Sheet'!Z11</f>
        <v>512956392.75804758</v>
      </c>
      <c r="AB22" s="9">
        <f ca="1">'Balance Sheet'!AA11</f>
        <v>537720362.02477324</v>
      </c>
      <c r="AC22" s="9">
        <f ca="1">'Balance Sheet'!AB11</f>
        <v>562724319.9130075</v>
      </c>
      <c r="AD22" s="9">
        <f ca="1">'Balance Sheet'!AC11</f>
        <v>590136249.08422422</v>
      </c>
      <c r="AE22" s="9">
        <f ca="1">'Balance Sheet'!AD11</f>
        <v>620067808.61010647</v>
      </c>
      <c r="AF22" s="9">
        <f ca="1">'Balance Sheet'!AE11</f>
        <v>653908147.30096316</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219149066.42001817</v>
      </c>
      <c r="D23" s="9">
        <f t="shared" ref="D23:AF23" ca="1" si="30">D20-D22</f>
        <v>225471320.13639307</v>
      </c>
      <c r="E23" s="9">
        <f t="shared" ca="1" si="30"/>
        <v>237177779.53287238</v>
      </c>
      <c r="F23" s="9">
        <f t="shared" ca="1" si="30"/>
        <v>255972964.45438701</v>
      </c>
      <c r="G23" s="9">
        <f t="shared" ca="1" si="30"/>
        <v>283105884.79725015</v>
      </c>
      <c r="H23" s="9">
        <f t="shared" ca="1" si="30"/>
        <v>313020135.27965474</v>
      </c>
      <c r="I23" s="9">
        <f t="shared" ca="1" si="30"/>
        <v>346373495.05788803</v>
      </c>
      <c r="J23" s="9">
        <f ca="1">J20-J22</f>
        <v>381705918.66913998</v>
      </c>
      <c r="K23" s="9">
        <f t="shared" ca="1" si="30"/>
        <v>418573246.61856163</v>
      </c>
      <c r="L23" s="9">
        <f t="shared" ca="1" si="30"/>
        <v>457225723.7244224</v>
      </c>
      <c r="M23" s="9">
        <f t="shared" ca="1" si="30"/>
        <v>497020733.35380238</v>
      </c>
      <c r="N23" s="9">
        <f t="shared" ca="1" si="30"/>
        <v>538115075.03008151</v>
      </c>
      <c r="O23" s="9">
        <f t="shared" ca="1" si="30"/>
        <v>580685063.82554293</v>
      </c>
      <c r="P23" s="9">
        <f t="shared" ca="1" si="30"/>
        <v>624928373.98440874</v>
      </c>
      <c r="Q23" s="9">
        <f t="shared" ca="1" si="30"/>
        <v>671066030.96603227</v>
      </c>
      <c r="R23" s="9">
        <f t="shared" ca="1" si="30"/>
        <v>718087220.67812228</v>
      </c>
      <c r="S23" s="9">
        <f t="shared" ca="1" si="30"/>
        <v>766073996.09383512</v>
      </c>
      <c r="T23" s="9">
        <f t="shared" ca="1" si="30"/>
        <v>815118897.38934863</v>
      </c>
      <c r="U23" s="9">
        <f t="shared" ca="1" si="30"/>
        <v>865325928.74766445</v>
      </c>
      <c r="V23" s="9">
        <f t="shared" ca="1" si="30"/>
        <v>916811609.64728308</v>
      </c>
      <c r="W23" s="9">
        <f t="shared" ca="1" si="30"/>
        <v>969706105.6786015</v>
      </c>
      <c r="X23" s="9">
        <f t="shared" ca="1" si="30"/>
        <v>1024154444.2476971</v>
      </c>
      <c r="Y23" s="9">
        <f t="shared" ca="1" si="30"/>
        <v>1080317820.8629231</v>
      </c>
      <c r="Z23" s="9">
        <f t="shared" ca="1" si="30"/>
        <v>1138375002.0555389</v>
      </c>
      <c r="AA23" s="9">
        <f t="shared" ca="1" si="30"/>
        <v>1198523831.3625994</v>
      </c>
      <c r="AB23" s="9">
        <f t="shared" ca="1" si="30"/>
        <v>1260982845.1997523</v>
      </c>
      <c r="AC23" s="9">
        <f t="shared" ca="1" si="30"/>
        <v>1325993005.8747211</v>
      </c>
      <c r="AD23" s="9">
        <f t="shared" ca="1" si="30"/>
        <v>1391475647.06073</v>
      </c>
      <c r="AE23" s="9">
        <f t="shared" ca="1" si="30"/>
        <v>1457411284.1435044</v>
      </c>
      <c r="AF23" s="9">
        <f t="shared" ca="1" si="30"/>
        <v>1522505892.3527815</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46489900</v>
      </c>
      <c r="D5" s="1">
        <f ca="1">C5+C6</f>
        <v>81123709.141083851</v>
      </c>
      <c r="E5" s="1">
        <f t="shared" ref="E5:AF5" ca="1" si="1">D5+D6</f>
        <v>111683906.61350197</v>
      </c>
      <c r="F5" s="1">
        <f t="shared" ca="1" si="1"/>
        <v>136507911.58068949</v>
      </c>
      <c r="G5" s="1">
        <f t="shared" ca="1" si="1"/>
        <v>154389995.20296708</v>
      </c>
      <c r="H5" s="1">
        <f t="shared" ca="1" si="1"/>
        <v>170931228.81258756</v>
      </c>
      <c r="I5" s="1">
        <f t="shared" ca="1" si="1"/>
        <v>185519928.61732411</v>
      </c>
      <c r="J5" s="1">
        <f t="shared" ca="1" si="1"/>
        <v>199663710.49569714</v>
      </c>
      <c r="K5" s="1">
        <f t="shared" ca="1" si="1"/>
        <v>213855826.61156842</v>
      </c>
      <c r="L5" s="1">
        <f t="shared" ca="1" si="1"/>
        <v>227896695.78109008</v>
      </c>
      <c r="M5" s="1">
        <f t="shared" ca="1" si="1"/>
        <v>242481219.50790459</v>
      </c>
      <c r="N5" s="1">
        <f t="shared" ca="1" si="1"/>
        <v>257506556.25521839</v>
      </c>
      <c r="O5" s="1">
        <f t="shared" ca="1" si="1"/>
        <v>272852075.59290481</v>
      </c>
      <c r="P5" s="1">
        <f t="shared" ca="1" si="1"/>
        <v>288377569.82744741</v>
      </c>
      <c r="Q5" s="1">
        <f t="shared" ca="1" si="1"/>
        <v>303921318.97982144</v>
      </c>
      <c r="R5" s="1">
        <f t="shared" ca="1" si="1"/>
        <v>320555340.39801693</v>
      </c>
      <c r="S5" s="1">
        <f t="shared" ca="1" si="1"/>
        <v>338260742.86875874</v>
      </c>
      <c r="T5" s="1">
        <f t="shared" ca="1" si="1"/>
        <v>357010169.15206635</v>
      </c>
      <c r="U5" s="1">
        <f t="shared" ca="1" si="1"/>
        <v>376766883.8550939</v>
      </c>
      <c r="V5" s="1">
        <f t="shared" ca="1" si="1"/>
        <v>397483788.89078158</v>
      </c>
      <c r="W5" s="1">
        <f t="shared" ca="1" si="1"/>
        <v>419102361.54469943</v>
      </c>
      <c r="X5" s="1">
        <f t="shared" ca="1" si="1"/>
        <v>441551509.85876751</v>
      </c>
      <c r="Y5" s="1">
        <f t="shared" ca="1" si="1"/>
        <v>464746339.70696628</v>
      </c>
      <c r="Z5" s="1">
        <f t="shared" ca="1" si="1"/>
        <v>488586827.58460522</v>
      </c>
      <c r="AA5" s="1">
        <f t="shared" ca="1" si="1"/>
        <v>512956392.75804758</v>
      </c>
      <c r="AB5" s="1">
        <f t="shared" ca="1" si="1"/>
        <v>537720362.02477324</v>
      </c>
      <c r="AC5" s="1">
        <f t="shared" ca="1" si="1"/>
        <v>562724319.9130075</v>
      </c>
      <c r="AD5" s="1">
        <f t="shared" ca="1" si="1"/>
        <v>590136249.08422422</v>
      </c>
      <c r="AE5" s="1">
        <f t="shared" ca="1" si="1"/>
        <v>620067808.61010647</v>
      </c>
      <c r="AF5" s="1">
        <f t="shared" ca="1" si="1"/>
        <v>653908147.30096316</v>
      </c>
      <c r="AG5" s="1"/>
      <c r="AH5" s="1"/>
      <c r="AI5" s="1"/>
      <c r="AJ5" s="1"/>
      <c r="AK5" s="1"/>
      <c r="AL5" s="1"/>
      <c r="AM5" s="1"/>
      <c r="AN5" s="1"/>
      <c r="AO5" s="1"/>
      <c r="AP5" s="1"/>
    </row>
    <row r="6" spans="1:42" x14ac:dyDescent="0.35">
      <c r="A6" s="63" t="s">
        <v>3</v>
      </c>
      <c r="C6" s="1">
        <f ca="1">-'Cash Flow'!C13</f>
        <v>34633809.141083851</v>
      </c>
      <c r="D6" s="1">
        <f ca="1">-'Cash Flow'!D13</f>
        <v>30560197.472418107</v>
      </c>
      <c r="E6" s="1">
        <f ca="1">-'Cash Flow'!E13</f>
        <v>24824004.967187539</v>
      </c>
      <c r="F6" s="1">
        <f ca="1">-'Cash Flow'!F13</f>
        <v>17882083.62227758</v>
      </c>
      <c r="G6" s="1">
        <f ca="1">-'Cash Flow'!G13</f>
        <v>16541233.609620482</v>
      </c>
      <c r="H6" s="1">
        <f ca="1">-'Cash Flow'!H13</f>
        <v>14588699.804736562</v>
      </c>
      <c r="I6" s="1">
        <f ca="1">-'Cash Flow'!I13</f>
        <v>14143781.878373034</v>
      </c>
      <c r="J6" s="1">
        <f ca="1">-'Cash Flow'!J13</f>
        <v>14192116.115871273</v>
      </c>
      <c r="K6" s="1">
        <f ca="1">-'Cash Flow'!K13</f>
        <v>14040869.169521645</v>
      </c>
      <c r="L6" s="1">
        <f ca="1">-'Cash Flow'!L13</f>
        <v>14584523.726814494</v>
      </c>
      <c r="M6" s="1">
        <f ca="1">-'Cash Flow'!M13</f>
        <v>15025336.747313783</v>
      </c>
      <c r="N6" s="1">
        <f ca="1">-'Cash Flow'!N13</f>
        <v>15345519.337686419</v>
      </c>
      <c r="O6" s="1">
        <f ca="1">-'Cash Flow'!O13</f>
        <v>15525494.234542608</v>
      </c>
      <c r="P6" s="1">
        <f ca="1">-'Cash Flow'!P13</f>
        <v>15543749.152374059</v>
      </c>
      <c r="Q6" s="1">
        <f ca="1">-'Cash Flow'!Q13</f>
        <v>16634021.418195456</v>
      </c>
      <c r="R6" s="1">
        <f ca="1">-'Cash Flow'!R13</f>
        <v>17705402.470741794</v>
      </c>
      <c r="S6" s="1">
        <f ca="1">-'Cash Flow'!S13</f>
        <v>18749426.283307642</v>
      </c>
      <c r="T6" s="1">
        <f ca="1">-'Cash Flow'!T13</f>
        <v>19756714.703027532</v>
      </c>
      <c r="U6" s="1">
        <f ca="1">-'Cash Flow'!U13</f>
        <v>20716905.0356877</v>
      </c>
      <c r="V6" s="1">
        <f ca="1">-'Cash Flow'!V13</f>
        <v>21618572.653917819</v>
      </c>
      <c r="W6" s="1">
        <f ca="1">-'Cash Flow'!W13</f>
        <v>22449148.314068079</v>
      </c>
      <c r="X6" s="1">
        <f ca="1">-'Cash Flow'!X13</f>
        <v>23194829.848198801</v>
      </c>
      <c r="Y6" s="1">
        <f ca="1">-'Cash Flow'!Y13</f>
        <v>23840487.877638966</v>
      </c>
      <c r="Z6" s="1">
        <f ca="1">-'Cash Flow'!Z13</f>
        <v>24369565.173442334</v>
      </c>
      <c r="AA6" s="1">
        <f ca="1">-'Cash Flow'!AA13</f>
        <v>24763969.266725704</v>
      </c>
      <c r="AB6" s="1">
        <f ca="1">-'Cash Flow'!AB13</f>
        <v>25003957.888234258</v>
      </c>
      <c r="AC6" s="1">
        <f ca="1">-'Cash Flow'!AC13</f>
        <v>27411929.171216756</v>
      </c>
      <c r="AD6" s="1">
        <f ca="1">-'Cash Flow'!AD13</f>
        <v>29931559.525882274</v>
      </c>
      <c r="AE6" s="1">
        <f ca="1">-'Cash Flow'!AE13</f>
        <v>33840338.690856695</v>
      </c>
      <c r="AF6" s="1">
        <f ca="1">-'Cash Flow'!AF13</f>
        <v>38809237.425662279</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2839329.8199379351</v>
      </c>
      <c r="D8" s="1">
        <f ca="1">IF(SUM(D5:D6)&gt;0,Assumptions!$C$26*SUM(D5:D6),Assumptions!$C$27*(SUM(D5:D6)))</f>
        <v>3908936.7314725691</v>
      </c>
      <c r="E8" s="1">
        <f ca="1">IF(SUM(E5:E6)&gt;0,Assumptions!$C$26*SUM(E5:E6),Assumptions!$C$27*(SUM(E5:E6)))</f>
        <v>4777776.9053241322</v>
      </c>
      <c r="F8" s="1">
        <f ca="1">IF(SUM(F5:F6)&gt;0,Assumptions!$C$26*SUM(F5:F6),Assumptions!$C$27*(SUM(F5:F6)))</f>
        <v>5403649.8321038485</v>
      </c>
      <c r="G8" s="1">
        <f ca="1">IF(SUM(G5:G6)&gt;0,Assumptions!$C$26*SUM(G5:G6),Assumptions!$C$27*(SUM(G5:G6)))</f>
        <v>5982593.0084405653</v>
      </c>
      <c r="H8" s="1">
        <f ca="1">IF(SUM(H5:H6)&gt;0,Assumptions!$C$26*SUM(H5:H6),Assumptions!$C$27*(SUM(H5:H6)))</f>
        <v>6493197.5016063442</v>
      </c>
      <c r="I8" s="1">
        <f ca="1">IF(SUM(I5:I6)&gt;0,Assumptions!$C$26*SUM(I5:I6),Assumptions!$C$27*(SUM(I5:I6)))</f>
        <v>6988229.8673494002</v>
      </c>
      <c r="J8" s="1">
        <f ca="1">IF(SUM(J5:J6)&gt;0,Assumptions!$C$26*SUM(J5:J6),Assumptions!$C$27*(SUM(J5:J6)))</f>
        <v>7484953.9314048951</v>
      </c>
      <c r="K8" s="1">
        <f ca="1">IF(SUM(K5:K6)&gt;0,Assumptions!$C$26*SUM(K5:K6),Assumptions!$C$27*(SUM(K5:K6)))</f>
        <v>7976384.3523381539</v>
      </c>
      <c r="L8" s="1">
        <f ca="1">IF(SUM(L5:L6)&gt;0,Assumptions!$C$26*SUM(L5:L6),Assumptions!$C$27*(SUM(L5:L6)))</f>
        <v>8486842.6827766616</v>
      </c>
      <c r="M8" s="1">
        <f ca="1">IF(SUM(M5:M6)&gt;0,Assumptions!$C$26*SUM(M5:M6),Assumptions!$C$27*(SUM(M5:M6)))</f>
        <v>9012729.4689326435</v>
      </c>
      <c r="N8" s="1">
        <f ca="1">IF(SUM(N5:N6)&gt;0,Assumptions!$C$26*SUM(N5:N6),Assumptions!$C$27*(SUM(N5:N6)))</f>
        <v>9549822.64575167</v>
      </c>
      <c r="O8" s="1">
        <f ca="1">IF(SUM(O5:O6)&gt;0,Assumptions!$C$26*SUM(O5:O6),Assumptions!$C$27*(SUM(O5:O6)))</f>
        <v>10093214.943960661</v>
      </c>
      <c r="P8" s="1">
        <f ca="1">IF(SUM(P5:P6)&gt;0,Assumptions!$C$26*SUM(P5:P6),Assumptions!$C$27*(SUM(P5:P6)))</f>
        <v>10637246.164293751</v>
      </c>
      <c r="Q8" s="1">
        <f ca="1">IF(SUM(Q5:Q6)&gt;0,Assumptions!$C$26*SUM(Q5:Q6),Assumptions!$C$27*(SUM(Q5:Q6)))</f>
        <v>11219436.913930593</v>
      </c>
      <c r="R8" s="1">
        <f ca="1">IF(SUM(R5:R6)&gt;0,Assumptions!$C$26*SUM(R5:R6),Assumptions!$C$27*(SUM(R5:R6)))</f>
        <v>11839126.000406558</v>
      </c>
      <c r="S8" s="1">
        <f ca="1">IF(SUM(S5:S6)&gt;0,Assumptions!$C$26*SUM(S5:S6),Assumptions!$C$27*(SUM(S5:S6)))</f>
        <v>12495355.920322323</v>
      </c>
      <c r="T8" s="1">
        <f ca="1">IF(SUM(T5:T6)&gt;0,Assumptions!$C$26*SUM(T5:T6),Assumptions!$C$27*(SUM(T5:T6)))</f>
        <v>13186840.934928287</v>
      </c>
      <c r="U8" s="1">
        <f ca="1">IF(SUM(U5:U6)&gt;0,Assumptions!$C$26*SUM(U5:U6),Assumptions!$C$27*(SUM(U5:U6)))</f>
        <v>13911932.611177357</v>
      </c>
      <c r="V8" s="1">
        <f ca="1">IF(SUM(V5:V6)&gt;0,Assumptions!$C$26*SUM(V5:V6),Assumptions!$C$27*(SUM(V5:V6)))</f>
        <v>14668582.654064482</v>
      </c>
      <c r="W8" s="1">
        <f ca="1">IF(SUM(W5:W6)&gt;0,Assumptions!$C$26*SUM(W5:W6),Assumptions!$C$27*(SUM(W5:W6)))</f>
        <v>15454302.845056864</v>
      </c>
      <c r="X8" s="1">
        <f ca="1">IF(SUM(X5:X6)&gt;0,Assumptions!$C$26*SUM(X5:X6),Assumptions!$C$27*(SUM(X5:X6)))</f>
        <v>16266121.889743822</v>
      </c>
      <c r="Y8" s="1">
        <f ca="1">IF(SUM(Y5:Y6)&gt;0,Assumptions!$C$26*SUM(Y5:Y6),Assumptions!$C$27*(SUM(Y5:Y6)))</f>
        <v>17100538.965461183</v>
      </c>
      <c r="Z8" s="1">
        <f ca="1">IF(SUM(Z5:Z6)&gt;0,Assumptions!$C$26*SUM(Z5:Z6),Assumptions!$C$27*(SUM(Z5:Z6)))</f>
        <v>17953473.746531665</v>
      </c>
      <c r="AA8" s="1">
        <f ca="1">IF(SUM(AA5:AA6)&gt;0,Assumptions!$C$26*SUM(AA5:AA6),Assumptions!$C$27*(SUM(AA5:AA6)))</f>
        <v>18820212.670867067</v>
      </c>
      <c r="AB8" s="1">
        <f ca="1">IF(SUM(AB5:AB6)&gt;0,Assumptions!$C$26*SUM(AB5:AB6),Assumptions!$C$27*(SUM(AB5:AB6)))</f>
        <v>19695351.196955264</v>
      </c>
      <c r="AC8" s="1">
        <f ca="1">IF(SUM(AC5:AC6)&gt;0,Assumptions!$C$26*SUM(AC5:AC6),Assumptions!$C$27*(SUM(AC5:AC6)))</f>
        <v>20654768.717947848</v>
      </c>
      <c r="AD8" s="1">
        <f ca="1">IF(SUM(AD5:AD6)&gt;0,Assumptions!$C$26*SUM(AD5:AD6),Assumptions!$C$27*(SUM(AD5:AD6)))</f>
        <v>21702373.30135373</v>
      </c>
      <c r="AE8" s="1">
        <f ca="1">IF(SUM(AE5:AE6)&gt;0,Assumptions!$C$26*SUM(AE5:AE6),Assumptions!$C$27*(SUM(AE5:AE6)))</f>
        <v>22886785.155533712</v>
      </c>
      <c r="AF8" s="1">
        <f ca="1">IF(SUM(AF5:AF6)&gt;0,Assumptions!$C$26*SUM(AF5:AF6),Assumptions!$C$27*(SUM(AF5:AF6)))</f>
        <v>24245108.465431891</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108" zoomScaleNormal="108" workbookViewId="0">
      <selection sqref="A1:XFD1048576"/>
    </sheetView>
  </sheetViews>
  <sheetFormatPr defaultRowHeight="15.5" x14ac:dyDescent="0.35"/>
  <cols>
    <col min="1" max="1" width="107.9140625" style="63" customWidth="1"/>
    <col min="2" max="2" width="18.1640625" style="180" bestFit="1" customWidth="1"/>
    <col min="3" max="3" width="50.414062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181"/>
    </row>
    <row r="6" spans="1:3" ht="18.5" x14ac:dyDescent="0.45">
      <c r="A6" s="90"/>
      <c r="B6" s="181"/>
    </row>
    <row r="7" spans="1:3" ht="18.5" x14ac:dyDescent="0.45">
      <c r="A7" s="90" t="s">
        <v>96</v>
      </c>
      <c r="B7" s="182">
        <f>Assumptions!C24</f>
        <v>14927000</v>
      </c>
      <c r="C7" s="179" t="s">
        <v>197</v>
      </c>
    </row>
    <row r="8" spans="1:3" ht="32" x14ac:dyDescent="0.45">
      <c r="A8" s="90" t="s">
        <v>173</v>
      </c>
      <c r="B8" s="183">
        <f>Assumptions!$C$133</f>
        <v>0.7</v>
      </c>
      <c r="C8" s="179" t="s">
        <v>198</v>
      </c>
    </row>
    <row r="9" spans="1:3" ht="18.5" x14ac:dyDescent="0.45">
      <c r="A9" s="90"/>
      <c r="B9" s="184"/>
      <c r="C9" s="179"/>
    </row>
    <row r="10" spans="1:3" ht="63" x14ac:dyDescent="0.45">
      <c r="A10" s="94" t="s">
        <v>102</v>
      </c>
      <c r="B10" s="185">
        <f>Assumptions!C135</f>
        <v>10177.777777777777</v>
      </c>
      <c r="C10" s="179" t="s">
        <v>199</v>
      </c>
    </row>
    <row r="11" spans="1:3" ht="18.5" x14ac:dyDescent="0.45">
      <c r="A11" s="94"/>
      <c r="B11" s="186"/>
      <c r="C11" s="179"/>
    </row>
    <row r="12" spans="1:3" ht="18.5" x14ac:dyDescent="0.45">
      <c r="A12" s="94" t="s">
        <v>183</v>
      </c>
      <c r="B12" s="182">
        <f>(B7*B8)/B10</f>
        <v>1026.6386462882097</v>
      </c>
      <c r="C12" s="179"/>
    </row>
    <row r="13" spans="1:3" ht="18.5" x14ac:dyDescent="0.45">
      <c r="A13" s="96"/>
      <c r="B13" s="187"/>
      <c r="C13" s="179"/>
    </row>
    <row r="14" spans="1:3" ht="18.5" x14ac:dyDescent="0.45">
      <c r="A14" s="94" t="s">
        <v>103</v>
      </c>
      <c r="B14" s="188">
        <v>1</v>
      </c>
      <c r="C14" s="179"/>
    </row>
    <row r="15" spans="1:3" ht="18.5" x14ac:dyDescent="0.45">
      <c r="A15" s="96"/>
      <c r="B15" s="189"/>
      <c r="C15" s="179"/>
    </row>
    <row r="16" spans="1:3" ht="18.5" x14ac:dyDescent="0.45">
      <c r="A16" s="96" t="s">
        <v>178</v>
      </c>
      <c r="B16" s="190">
        <f>B12/B14</f>
        <v>1026.6386462882097</v>
      </c>
      <c r="C16" s="179"/>
    </row>
    <row r="17" spans="1:3" ht="18.5" x14ac:dyDescent="0.45">
      <c r="A17" s="94"/>
      <c r="B17" s="191"/>
      <c r="C17" s="179"/>
    </row>
    <row r="18" spans="1:3" ht="18.5" x14ac:dyDescent="0.45">
      <c r="A18" s="102" t="s">
        <v>177</v>
      </c>
      <c r="B18" s="191"/>
      <c r="C18" s="179"/>
    </row>
    <row r="19" spans="1:3" ht="18.5" x14ac:dyDescent="0.45">
      <c r="A19" s="94"/>
      <c r="B19" s="191"/>
      <c r="C19" s="179"/>
    </row>
    <row r="20" spans="1:3" ht="32" x14ac:dyDescent="0.45">
      <c r="A20" s="94" t="s">
        <v>65</v>
      </c>
      <c r="B20" s="182">
        <f>'Profit and Loss'!L5</f>
        <v>93688650.782990396</v>
      </c>
      <c r="C20" s="179" t="s">
        <v>200</v>
      </c>
    </row>
    <row r="21" spans="1:3" ht="32" x14ac:dyDescent="0.45">
      <c r="A21" s="94" t="str">
        <f>A8</f>
        <v>Assumed revenue from households</v>
      </c>
      <c r="B21" s="183">
        <f>B8</f>
        <v>0.7</v>
      </c>
      <c r="C21" s="179" t="s">
        <v>198</v>
      </c>
    </row>
    <row r="22" spans="1:3" ht="18.5" x14ac:dyDescent="0.45">
      <c r="A22" s="94"/>
      <c r="B22" s="186"/>
      <c r="C22" s="179"/>
    </row>
    <row r="23" spans="1:3" ht="32" x14ac:dyDescent="0.45">
      <c r="A23" s="94" t="s">
        <v>101</v>
      </c>
      <c r="B23" s="185">
        <f>Assumptions!M135</f>
        <v>11553.834983300039</v>
      </c>
      <c r="C23" s="179" t="s">
        <v>201</v>
      </c>
    </row>
    <row r="24" spans="1:3" ht="18.5" x14ac:dyDescent="0.45">
      <c r="A24" s="94"/>
      <c r="B24" s="186"/>
      <c r="C24" s="179"/>
    </row>
    <row r="25" spans="1:3" ht="18.5" x14ac:dyDescent="0.45">
      <c r="A25" s="94" t="s">
        <v>182</v>
      </c>
      <c r="B25" s="182">
        <f>(B20*B21)/B23</f>
        <v>5676.2153555841714</v>
      </c>
      <c r="C25" s="179"/>
    </row>
    <row r="26" spans="1:3" ht="18.5" x14ac:dyDescent="0.45">
      <c r="A26" s="94"/>
      <c r="B26" s="182"/>
      <c r="C26" s="179"/>
    </row>
    <row r="27" spans="1:3" ht="32" x14ac:dyDescent="0.45">
      <c r="A27" s="94" t="s">
        <v>103</v>
      </c>
      <c r="B27" s="188">
        <f>1.022^11</f>
        <v>1.2704566586717592</v>
      </c>
      <c r="C27" s="179" t="s">
        <v>202</v>
      </c>
    </row>
    <row r="28" spans="1:3" ht="18.5" x14ac:dyDescent="0.45">
      <c r="A28" s="96"/>
      <c r="B28" s="187"/>
      <c r="C28" s="179"/>
    </row>
    <row r="29" spans="1:3" ht="18.5" x14ac:dyDescent="0.45">
      <c r="A29" s="96" t="s">
        <v>179</v>
      </c>
      <c r="B29" s="182">
        <f>B25/B27</f>
        <v>4467.854386719936</v>
      </c>
      <c r="C29" s="179"/>
    </row>
    <row r="30" spans="1:3" ht="18.5" x14ac:dyDescent="0.45">
      <c r="A30" s="96"/>
      <c r="B30" s="187"/>
      <c r="C30" s="179"/>
    </row>
    <row r="31" spans="1:3" ht="18.5" x14ac:dyDescent="0.45">
      <c r="A31" s="102" t="s">
        <v>185</v>
      </c>
      <c r="B31" s="192"/>
      <c r="C31" s="179"/>
    </row>
    <row r="32" spans="1:3" ht="18.5" x14ac:dyDescent="0.45">
      <c r="A32" s="94"/>
      <c r="B32" s="182"/>
      <c r="C32" s="179"/>
    </row>
    <row r="33" spans="1:3" ht="32" x14ac:dyDescent="0.45">
      <c r="A33" s="94" t="s">
        <v>66</v>
      </c>
      <c r="B33" s="182">
        <f>'Profit and Loss'!AF5</f>
        <v>261119830.7915841</v>
      </c>
      <c r="C33" s="179" t="s">
        <v>200</v>
      </c>
    </row>
    <row r="34" spans="1:3" ht="32" x14ac:dyDescent="0.45">
      <c r="A34" s="94" t="str">
        <f>A21</f>
        <v>Assumed revenue from households</v>
      </c>
      <c r="B34" s="183">
        <f>B21</f>
        <v>0.7</v>
      </c>
      <c r="C34" s="179" t="s">
        <v>198</v>
      </c>
    </row>
    <row r="35" spans="1:3" ht="18.5" x14ac:dyDescent="0.45">
      <c r="A35" s="94"/>
      <c r="B35" s="186"/>
      <c r="C35" s="179"/>
    </row>
    <row r="36" spans="1:3" ht="32" x14ac:dyDescent="0.45">
      <c r="A36" s="94" t="s">
        <v>100</v>
      </c>
      <c r="B36" s="185">
        <f>Assumptions!AG135</f>
        <v>14889.240774470973</v>
      </c>
      <c r="C36" s="179" t="s">
        <v>201</v>
      </c>
    </row>
    <row r="37" spans="1:3" ht="18.5" x14ac:dyDescent="0.45">
      <c r="A37" s="94"/>
      <c r="B37" s="186"/>
      <c r="C37" s="179"/>
    </row>
    <row r="38" spans="1:3" ht="18.5" x14ac:dyDescent="0.45">
      <c r="A38" s="94" t="s">
        <v>181</v>
      </c>
      <c r="B38" s="182">
        <f>(B33*B34)/B36</f>
        <v>12276.239220169595</v>
      </c>
      <c r="C38" s="179"/>
    </row>
    <row r="39" spans="1:3" ht="18.5" x14ac:dyDescent="0.45">
      <c r="A39" s="94"/>
      <c r="B39" s="186"/>
      <c r="C39" s="179"/>
    </row>
    <row r="40" spans="1:3" ht="32" x14ac:dyDescent="0.45">
      <c r="A40" s="94" t="s">
        <v>103</v>
      </c>
      <c r="B40" s="188">
        <f>1.022^31</f>
        <v>1.9632597808456462</v>
      </c>
      <c r="C40" s="179" t="s">
        <v>202</v>
      </c>
    </row>
    <row r="41" spans="1:3" ht="18.5" x14ac:dyDescent="0.45">
      <c r="A41" s="96"/>
      <c r="B41" s="187"/>
    </row>
    <row r="42" spans="1:3" ht="18.5" x14ac:dyDescent="0.45">
      <c r="A42" s="96" t="s">
        <v>180</v>
      </c>
      <c r="B42" s="182">
        <f>B38/B40</f>
        <v>6252.9876789315058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3" t="s">
        <v>27</v>
      </c>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137</v>
      </c>
      <c r="C13" s="127">
        <v>1.2761817817572796E-2</v>
      </c>
      <c r="D13" s="128">
        <f t="shared" ref="D13:AG13" si="3">(1+$C$13)^D8</f>
        <v>1.0127618178175728</v>
      </c>
      <c r="E13" s="128">
        <f t="shared" si="3"/>
        <v>1.0256864996291546</v>
      </c>
      <c r="F13" s="128">
        <f t="shared" si="3"/>
        <v>1.0387761238753659</v>
      </c>
      <c r="G13" s="128">
        <f t="shared" si="3"/>
        <v>1.0520327955215076</v>
      </c>
      <c r="H13" s="128">
        <f t="shared" si="3"/>
        <v>1.0654586463960649</v>
      </c>
      <c r="I13" s="128">
        <f t="shared" si="3"/>
        <v>1.0790558355335294</v>
      </c>
      <c r="J13" s="128">
        <f t="shared" si="3"/>
        <v>1.0928265495215972</v>
      </c>
      <c r="K13" s="128">
        <f t="shared" si="3"/>
        <v>1.1067730028527982</v>
      </c>
      <c r="L13" s="128">
        <f t="shared" si="3"/>
        <v>1.1208974382806136</v>
      </c>
      <c r="M13" s="128">
        <f t="shared" si="3"/>
        <v>1.1352021271801349</v>
      </c>
      <c r="N13" s="128">
        <f t="shared" si="3"/>
        <v>1.149689369913329</v>
      </c>
      <c r="O13" s="128">
        <f t="shared" si="3"/>
        <v>1.1643614961989628</v>
      </c>
      <c r="P13" s="128">
        <f t="shared" si="3"/>
        <v>1.1792208654872505</v>
      </c>
      <c r="Q13" s="128">
        <f t="shared" si="3"/>
        <v>1.1942698673392795</v>
      </c>
      <c r="R13" s="128">
        <f t="shared" si="3"/>
        <v>1.2095109218112803</v>
      </c>
      <c r="S13" s="128">
        <f t="shared" si="3"/>
        <v>1.2249464798438001</v>
      </c>
      <c r="T13" s="128">
        <f t="shared" si="3"/>
        <v>1.2405790236558438</v>
      </c>
      <c r="U13" s="128">
        <f t="shared" si="3"/>
        <v>1.256411067144042</v>
      </c>
      <c r="V13" s="128">
        <f t="shared" si="3"/>
        <v>1.2724451562869168</v>
      </c>
      <c r="W13" s="128">
        <f t="shared" si="3"/>
        <v>1.2886838695543033</v>
      </c>
      <c r="X13" s="128">
        <f t="shared" si="3"/>
        <v>1.3051298183219999</v>
      </c>
      <c r="Y13" s="128">
        <f t="shared" si="3"/>
        <v>1.3217856472917073</v>
      </c>
      <c r="Z13" s="128">
        <f t="shared" si="3"/>
        <v>1.3386540349163267</v>
      </c>
      <c r="AA13" s="128">
        <f t="shared" si="3"/>
        <v>1.3557376938306873</v>
      </c>
      <c r="AB13" s="128">
        <f t="shared" si="3"/>
        <v>1.3730393712877709</v>
      </c>
      <c r="AC13" s="128">
        <f t="shared" si="3"/>
        <v>1.3905618496005001</v>
      </c>
      <c r="AD13" s="128">
        <f t="shared" si="3"/>
        <v>1.408307946589169</v>
      </c>
      <c r="AE13" s="128">
        <f t="shared" si="3"/>
        <v>1.4262805160345797</v>
      </c>
      <c r="AF13" s="128">
        <f t="shared" si="3"/>
        <v>1.4444824481369667</v>
      </c>
      <c r="AG13" s="128">
        <f t="shared" si="3"/>
        <v>1.4629166699807725</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451905718</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225952859</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136</v>
      </c>
      <c r="C20" s="137">
        <v>46489900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197</v>
      </c>
      <c r="C24" s="136">
        <v>14927000</v>
      </c>
      <c r="D24" s="64"/>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7974000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391369573</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512441863</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1155927.2188988901</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2140553.6193430247</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1648240.4191209574</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3150734.9467627504</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5489276.1753183873</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4320005.5610405691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6460559.1803835938</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140</v>
      </c>
      <c r="B77" s="70" t="s">
        <v>175</v>
      </c>
      <c r="C77" s="87">
        <v>5493000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1056119086.7460042</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1240226739.9992378</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1061612086.7460042</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1245719739.9992378</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196</v>
      </c>
      <c r="C85" s="150">
        <v>30854</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24106</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27480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38632.172006768713</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45331.868267803409</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1061612086.7460042</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1245719739.9992378</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1153665913.3726211</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1153665913.3726201</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38455530.445754036</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6460559.1803835938</v>
      </c>
      <c r="E111" s="149">
        <f t="shared" si="9"/>
        <v>6460559.1803835938</v>
      </c>
      <c r="F111" s="149">
        <f t="shared" si="9"/>
        <v>6460559.1803835938</v>
      </c>
      <c r="G111" s="149">
        <f t="shared" si="9"/>
        <v>6460559.1803835938</v>
      </c>
      <c r="H111" s="149">
        <f t="shared" si="9"/>
        <v>6460559.1803835938</v>
      </c>
      <c r="I111" s="149">
        <f t="shared" si="9"/>
        <v>6460559.1803835938</v>
      </c>
      <c r="J111" s="149">
        <f t="shared" si="9"/>
        <v>6460559.1803835938</v>
      </c>
      <c r="K111" s="149">
        <f t="shared" si="9"/>
        <v>6460559.1803835938</v>
      </c>
      <c r="L111" s="149">
        <f t="shared" si="9"/>
        <v>6460559.1803835938</v>
      </c>
      <c r="M111" s="149">
        <f t="shared" si="9"/>
        <v>6460559.1803835938</v>
      </c>
      <c r="N111" s="149">
        <f t="shared" si="9"/>
        <v>6460559.1803835938</v>
      </c>
      <c r="O111" s="149">
        <f t="shared" si="9"/>
        <v>6460559.1803835938</v>
      </c>
      <c r="P111" s="149">
        <f t="shared" si="9"/>
        <v>6460559.1803835938</v>
      </c>
      <c r="Q111" s="149">
        <f t="shared" si="9"/>
        <v>6460559.1803835938</v>
      </c>
      <c r="R111" s="149">
        <f t="shared" si="9"/>
        <v>6460559.1803835938</v>
      </c>
      <c r="S111" s="149">
        <f t="shared" si="9"/>
        <v>6460559.1803835938</v>
      </c>
      <c r="T111" s="149">
        <f t="shared" si="9"/>
        <v>6460559.1803835938</v>
      </c>
      <c r="U111" s="149">
        <f t="shared" si="9"/>
        <v>6460559.1803835938</v>
      </c>
      <c r="V111" s="149">
        <f t="shared" si="9"/>
        <v>6460559.1803835938</v>
      </c>
      <c r="W111" s="149">
        <f t="shared" si="9"/>
        <v>6460559.1803835938</v>
      </c>
      <c r="X111" s="149">
        <f t="shared" si="9"/>
        <v>6460559.1803835938</v>
      </c>
      <c r="Y111" s="149">
        <f t="shared" si="9"/>
        <v>6460559.1803835938</v>
      </c>
      <c r="Z111" s="149">
        <f t="shared" si="9"/>
        <v>6460559.1803835938</v>
      </c>
      <c r="AA111" s="149">
        <f t="shared" si="9"/>
        <v>6460559.1803835938</v>
      </c>
      <c r="AB111" s="149">
        <f t="shared" si="9"/>
        <v>6460559.1803835938</v>
      </c>
      <c r="AC111" s="149">
        <f t="shared" si="9"/>
        <v>6460559.1803835938</v>
      </c>
      <c r="AD111" s="149">
        <f t="shared" si="9"/>
        <v>6460559.1803835938</v>
      </c>
      <c r="AE111" s="149">
        <f t="shared" si="9"/>
        <v>6460559.1803835938</v>
      </c>
      <c r="AF111" s="149">
        <f t="shared" si="9"/>
        <v>6460559.1803835938</v>
      </c>
      <c r="AG111" s="149">
        <f t="shared" si="9"/>
        <v>6460559.1803835938</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1153665913.3726213</v>
      </c>
      <c r="D113" s="149">
        <f t="shared" ref="D113:AG113" si="10">$C$102</f>
        <v>38455530.445754036</v>
      </c>
      <c r="E113" s="149">
        <f t="shared" si="10"/>
        <v>38455530.445754036</v>
      </c>
      <c r="F113" s="149">
        <f t="shared" si="10"/>
        <v>38455530.445754036</v>
      </c>
      <c r="G113" s="149">
        <f t="shared" si="10"/>
        <v>38455530.445754036</v>
      </c>
      <c r="H113" s="149">
        <f t="shared" si="10"/>
        <v>38455530.445754036</v>
      </c>
      <c r="I113" s="149">
        <f t="shared" si="10"/>
        <v>38455530.445754036</v>
      </c>
      <c r="J113" s="149">
        <f t="shared" si="10"/>
        <v>38455530.445754036</v>
      </c>
      <c r="K113" s="149">
        <f t="shared" si="10"/>
        <v>38455530.445754036</v>
      </c>
      <c r="L113" s="149">
        <f t="shared" si="10"/>
        <v>38455530.445754036</v>
      </c>
      <c r="M113" s="149">
        <f t="shared" si="10"/>
        <v>38455530.445754036</v>
      </c>
      <c r="N113" s="149">
        <f t="shared" si="10"/>
        <v>38455530.445754036</v>
      </c>
      <c r="O113" s="149">
        <f t="shared" si="10"/>
        <v>38455530.445754036</v>
      </c>
      <c r="P113" s="149">
        <f t="shared" si="10"/>
        <v>38455530.445754036</v>
      </c>
      <c r="Q113" s="149">
        <f t="shared" si="10"/>
        <v>38455530.445754036</v>
      </c>
      <c r="R113" s="149">
        <f t="shared" si="10"/>
        <v>38455530.445754036</v>
      </c>
      <c r="S113" s="149">
        <f t="shared" si="10"/>
        <v>38455530.445754036</v>
      </c>
      <c r="T113" s="149">
        <f t="shared" si="10"/>
        <v>38455530.445754036</v>
      </c>
      <c r="U113" s="149">
        <f t="shared" si="10"/>
        <v>38455530.445754036</v>
      </c>
      <c r="V113" s="149">
        <f t="shared" si="10"/>
        <v>38455530.445754036</v>
      </c>
      <c r="W113" s="149">
        <f t="shared" si="10"/>
        <v>38455530.445754036</v>
      </c>
      <c r="X113" s="149">
        <f t="shared" si="10"/>
        <v>38455530.445754036</v>
      </c>
      <c r="Y113" s="149">
        <f t="shared" si="10"/>
        <v>38455530.445754036</v>
      </c>
      <c r="Z113" s="149">
        <f t="shared" si="10"/>
        <v>38455530.445754036</v>
      </c>
      <c r="AA113" s="149">
        <f t="shared" si="10"/>
        <v>38455530.445754036</v>
      </c>
      <c r="AB113" s="149">
        <f t="shared" si="10"/>
        <v>38455530.445754036</v>
      </c>
      <c r="AC113" s="149">
        <f t="shared" si="10"/>
        <v>38455530.445754036</v>
      </c>
      <c r="AD113" s="149">
        <f t="shared" si="10"/>
        <v>38455530.445754036</v>
      </c>
      <c r="AE113" s="149">
        <f t="shared" si="10"/>
        <v>38455530.445754036</v>
      </c>
      <c r="AF113" s="149">
        <f t="shared" si="10"/>
        <v>38455530.445754036</v>
      </c>
      <c r="AG113" s="149">
        <f t="shared" si="10"/>
        <v>38455530.445754036</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38455530.445754036</v>
      </c>
      <c r="E118" s="149">
        <f t="shared" ref="E118:AG118" si="13">E113+E115+E116</f>
        <v>38455530.445754036</v>
      </c>
      <c r="F118" s="149">
        <f>F113+F115+F116</f>
        <v>38455530.445754036</v>
      </c>
      <c r="G118" s="149">
        <f t="shared" si="13"/>
        <v>38455530.445754036</v>
      </c>
      <c r="H118" s="149">
        <f t="shared" si="13"/>
        <v>38455530.445754036</v>
      </c>
      <c r="I118" s="149">
        <f t="shared" si="13"/>
        <v>38455530.445754036</v>
      </c>
      <c r="J118" s="149">
        <f t="shared" si="13"/>
        <v>38455530.445754036</v>
      </c>
      <c r="K118" s="149">
        <f t="shared" si="13"/>
        <v>38455530.445754036</v>
      </c>
      <c r="L118" s="149">
        <f t="shared" si="13"/>
        <v>38455530.445754036</v>
      </c>
      <c r="M118" s="149">
        <f t="shared" si="13"/>
        <v>38455530.445754036</v>
      </c>
      <c r="N118" s="149">
        <f t="shared" si="13"/>
        <v>38455530.445754036</v>
      </c>
      <c r="O118" s="149">
        <f t="shared" si="13"/>
        <v>38455530.445754036</v>
      </c>
      <c r="P118" s="149">
        <f t="shared" si="13"/>
        <v>38455530.445754036</v>
      </c>
      <c r="Q118" s="149">
        <f t="shared" si="13"/>
        <v>38455530.445754036</v>
      </c>
      <c r="R118" s="149">
        <f t="shared" si="13"/>
        <v>38455530.445754036</v>
      </c>
      <c r="S118" s="149">
        <f t="shared" si="13"/>
        <v>38455530.445754036</v>
      </c>
      <c r="T118" s="149">
        <f t="shared" si="13"/>
        <v>38455530.445754036</v>
      </c>
      <c r="U118" s="149">
        <f t="shared" si="13"/>
        <v>38455530.445754036</v>
      </c>
      <c r="V118" s="149">
        <f t="shared" si="13"/>
        <v>38455530.445754036</v>
      </c>
      <c r="W118" s="149">
        <f t="shared" si="13"/>
        <v>38455530.445754036</v>
      </c>
      <c r="X118" s="149">
        <f t="shared" si="13"/>
        <v>38455530.445754036</v>
      </c>
      <c r="Y118" s="149">
        <f t="shared" si="13"/>
        <v>38455530.445754036</v>
      </c>
      <c r="Z118" s="149">
        <f t="shared" si="13"/>
        <v>38455530.445754036</v>
      </c>
      <c r="AA118" s="149">
        <f t="shared" si="13"/>
        <v>38455530.445754036</v>
      </c>
      <c r="AB118" s="149">
        <f t="shared" si="13"/>
        <v>38455530.445754036</v>
      </c>
      <c r="AC118" s="149">
        <f t="shared" si="13"/>
        <v>38455530.445754036</v>
      </c>
      <c r="AD118" s="149">
        <f t="shared" si="13"/>
        <v>38455530.445754036</v>
      </c>
      <c r="AE118" s="149">
        <f t="shared" si="13"/>
        <v>38455530.445754036</v>
      </c>
      <c r="AF118" s="149">
        <f t="shared" si="13"/>
        <v>38455530.445754036</v>
      </c>
      <c r="AG118" s="149">
        <f t="shared" si="13"/>
        <v>38455530.445754036</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922932.73069809692</v>
      </c>
      <c r="E120" s="149">
        <f>(SUM($D$118:E118)*$C$104/$C$106)+(SUM($D$118:E118)*$C$105/$C$107)</f>
        <v>1845865.4613961938</v>
      </c>
      <c r="F120" s="149">
        <f>(SUM($D$118:F118)*$C$104/$C$106)+(SUM($D$118:F118)*$C$105/$C$107)</f>
        <v>2768798.1920942902</v>
      </c>
      <c r="G120" s="149">
        <f>(SUM($D$118:G118)*$C$104/$C$106)+(SUM($D$118:G118)*$C$105/$C$107)</f>
        <v>3691730.9227923877</v>
      </c>
      <c r="H120" s="149">
        <f>(SUM($D$118:H118)*$C$104/$C$106)+(SUM($D$118:H118)*$C$105/$C$107)</f>
        <v>4614663.6534904847</v>
      </c>
      <c r="I120" s="149">
        <f>(SUM($D$118:I118)*$C$104/$C$106)+(SUM($D$118:I118)*$C$105/$C$107)</f>
        <v>5537596.3841885813</v>
      </c>
      <c r="J120" s="149">
        <f>(SUM($D$118:J118)*$C$104/$C$106)+(SUM($D$118:J118)*$C$105/$C$107)</f>
        <v>6460529.1148866788</v>
      </c>
      <c r="K120" s="149">
        <f>(SUM($D$118:K118)*$C$104/$C$106)+(SUM($D$118:K118)*$C$105/$C$107)</f>
        <v>7383461.8455847763</v>
      </c>
      <c r="L120" s="149">
        <f>(SUM($D$118:L118)*$C$104/$C$106)+(SUM($D$118:L118)*$C$105/$C$107)</f>
        <v>8306394.5762828737</v>
      </c>
      <c r="M120" s="149">
        <f>(SUM($D$118:M118)*$C$104/$C$106)+(SUM($D$118:M118)*$C$105/$C$107)</f>
        <v>9229327.3069809712</v>
      </c>
      <c r="N120" s="149">
        <f>(SUM($D$118:N118)*$C$104/$C$106)+(SUM($D$118:N118)*$C$105/$C$107)</f>
        <v>10152260.037679069</v>
      </c>
      <c r="O120" s="149">
        <f>(SUM($D$118:O118)*$C$104/$C$106)+(SUM($D$118:O118)*$C$105/$C$107)</f>
        <v>11075192.768377166</v>
      </c>
      <c r="P120" s="149">
        <f>(SUM($D$118:P118)*$C$104/$C$106)+(SUM($D$118:P118)*$C$105/$C$107)</f>
        <v>11998125.499075264</v>
      </c>
      <c r="Q120" s="149">
        <f>(SUM($D$118:Q118)*$C$104/$C$106)+(SUM($D$118:Q118)*$C$105/$C$107)</f>
        <v>12921058.229773358</v>
      </c>
      <c r="R120" s="149">
        <f>(SUM($D$118:R118)*$C$104/$C$106)+(SUM($D$118:R118)*$C$105/$C$107)</f>
        <v>13843990.960471455</v>
      </c>
      <c r="S120" s="149">
        <f>(SUM($D$118:S118)*$C$104/$C$106)+(SUM($D$118:S118)*$C$105/$C$107)</f>
        <v>14766923.691169553</v>
      </c>
      <c r="T120" s="149">
        <f>(SUM($D$118:T118)*$C$104/$C$106)+(SUM($D$118:T118)*$C$105/$C$107)</f>
        <v>15689856.42186765</v>
      </c>
      <c r="U120" s="149">
        <f>(SUM($D$118:U118)*$C$104/$C$106)+(SUM($D$118:U118)*$C$105/$C$107)</f>
        <v>16612789.152565747</v>
      </c>
      <c r="V120" s="149">
        <f>(SUM($D$118:V118)*$C$104/$C$106)+(SUM($D$118:V118)*$C$105/$C$107)</f>
        <v>17535721.883263845</v>
      </c>
      <c r="W120" s="149">
        <f>(SUM($D$118:W118)*$C$104/$C$106)+(SUM($D$118:W118)*$C$105/$C$107)</f>
        <v>18458654.613961942</v>
      </c>
      <c r="X120" s="149">
        <f>(SUM($D$118:X118)*$C$104/$C$106)+(SUM($D$118:X118)*$C$105/$C$107)</f>
        <v>19381587.34466004</v>
      </c>
      <c r="Y120" s="149">
        <f>(SUM($D$118:Y118)*$C$104/$C$106)+(SUM($D$118:Y118)*$C$105/$C$107)</f>
        <v>20304520.075358137</v>
      </c>
      <c r="Z120" s="149">
        <f>(SUM($D$118:Z118)*$C$104/$C$106)+(SUM($D$118:Z118)*$C$105/$C$107)</f>
        <v>21227452.806056231</v>
      </c>
      <c r="AA120" s="149">
        <f>(SUM($D$118:AA118)*$C$104/$C$106)+(SUM($D$118:AA118)*$C$105/$C$107)</f>
        <v>22150385.536754332</v>
      </c>
      <c r="AB120" s="149">
        <f>(SUM($D$118:AB118)*$C$104/$C$106)+(SUM($D$118:AB118)*$C$105/$C$107)</f>
        <v>23073318.267452426</v>
      </c>
      <c r="AC120" s="149">
        <f>(SUM($D$118:AC118)*$C$104/$C$106)+(SUM($D$118:AC118)*$C$105/$C$107)</f>
        <v>23996250.998150527</v>
      </c>
      <c r="AD120" s="149">
        <f>(SUM($D$118:AD118)*$C$104/$C$106)+(SUM($D$118:AD118)*$C$105/$C$107)</f>
        <v>24919183.728848621</v>
      </c>
      <c r="AE120" s="149">
        <f>(SUM($D$118:AE118)*$C$104/$C$106)+(SUM($D$118:AE118)*$C$105/$C$107)</f>
        <v>25842116.459546715</v>
      </c>
      <c r="AF120" s="149">
        <f>(SUM($D$118:AF118)*$C$104/$C$106)+(SUM($D$118:AF118)*$C$105/$C$107)</f>
        <v>26765049.190244813</v>
      </c>
      <c r="AG120" s="149">
        <f>(SUM($D$118:AG118)*$C$104/$C$106)+(SUM($D$118:AG118)*$C$105/$C$107)</f>
        <v>27687981.92094291</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1153665.9133726209</v>
      </c>
      <c r="E122" s="72">
        <f>(SUM($D$118:E118)*$C$109)</f>
        <v>2307331.8267452419</v>
      </c>
      <c r="F122" s="72">
        <f>(SUM($D$118:F118)*$C$109)</f>
        <v>3460997.7401178633</v>
      </c>
      <c r="G122" s="72">
        <f>(SUM($D$118:G118)*$C$109)</f>
        <v>4614663.6534904838</v>
      </c>
      <c r="H122" s="72">
        <f>(SUM($D$118:H118)*$C$109)</f>
        <v>5768329.5668631056</v>
      </c>
      <c r="I122" s="72">
        <f>(SUM($D$118:I118)*$C$109)</f>
        <v>6921995.4802357275</v>
      </c>
      <c r="J122" s="72">
        <f>(SUM($D$118:J118)*$C$109)</f>
        <v>8075661.3936083484</v>
      </c>
      <c r="K122" s="72">
        <f>(SUM($D$118:K118)*$C$109)</f>
        <v>9229327.3069809694</v>
      </c>
      <c r="L122" s="72">
        <f>(SUM($D$118:L118)*$C$109)</f>
        <v>10382993.220353592</v>
      </c>
      <c r="M122" s="72">
        <f>(SUM($D$118:M118)*$C$109)</f>
        <v>11536659.133726213</v>
      </c>
      <c r="N122" s="72">
        <f>(SUM($D$118:N118)*$C$109)</f>
        <v>12690325.047098834</v>
      </c>
      <c r="O122" s="72">
        <f>(SUM($D$118:O118)*$C$109)</f>
        <v>13843990.960471457</v>
      </c>
      <c r="P122" s="72">
        <f>(SUM($D$118:P118)*$C$109)</f>
        <v>14997656.873844078</v>
      </c>
      <c r="Q122" s="72">
        <f>(SUM($D$118:Q118)*$C$109)</f>
        <v>16151322.787216697</v>
      </c>
      <c r="R122" s="72">
        <f>(SUM($D$118:R118)*$C$109)</f>
        <v>17304988.700589318</v>
      </c>
      <c r="S122" s="72">
        <f>(SUM($D$118:S118)*$C$109)</f>
        <v>18458654.613961939</v>
      </c>
      <c r="T122" s="72">
        <f>(SUM($D$118:T118)*$C$109)</f>
        <v>19612320.527334563</v>
      </c>
      <c r="U122" s="72">
        <f>(SUM($D$118:U118)*$C$109)</f>
        <v>20765986.440707184</v>
      </c>
      <c r="V122" s="72">
        <f>(SUM($D$118:V118)*$C$109)</f>
        <v>21919652.354079805</v>
      </c>
      <c r="W122" s="72">
        <f>(SUM($D$118:W118)*$C$109)</f>
        <v>23073318.267452426</v>
      </c>
      <c r="X122" s="72">
        <f>(SUM($D$118:X118)*$C$109)</f>
        <v>24226984.180825047</v>
      </c>
      <c r="Y122" s="72">
        <f>(SUM($D$118:Y118)*$C$109)</f>
        <v>25380650.094197668</v>
      </c>
      <c r="Z122" s="72">
        <f>(SUM($D$118:Z118)*$C$109)</f>
        <v>26534316.007570289</v>
      </c>
      <c r="AA122" s="72">
        <f>(SUM($D$118:AA118)*$C$109)</f>
        <v>27687981.920942914</v>
      </c>
      <c r="AB122" s="72">
        <f>(SUM($D$118:AB118)*$C$109)</f>
        <v>28841647.834315535</v>
      </c>
      <c r="AC122" s="72">
        <f>(SUM($D$118:AC118)*$C$109)</f>
        <v>29995313.747688156</v>
      </c>
      <c r="AD122" s="72">
        <f>(SUM($D$118:AD118)*$C$109)</f>
        <v>31148979.661060777</v>
      </c>
      <c r="AE122" s="72">
        <f>(SUM($D$118:AE118)*$C$109)</f>
        <v>32302645.574433394</v>
      </c>
      <c r="AF122" s="72">
        <f>(SUM($D$118:AF118)*$C$109)</f>
        <v>33456311.487806015</v>
      </c>
      <c r="AG122" s="72">
        <f>(SUM($D$118:AG118)*$C$109)</f>
        <v>34609977.401178636</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196</v>
      </c>
      <c r="C126" s="126">
        <v>30854</v>
      </c>
      <c r="D126" s="140"/>
    </row>
    <row r="127" spans="1:33" x14ac:dyDescent="0.35">
      <c r="A127" s="77" t="s">
        <v>150</v>
      </c>
      <c r="B127" s="77" t="s">
        <v>133</v>
      </c>
      <c r="C127" s="126">
        <v>24106</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27480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10177.777777777777</v>
      </c>
      <c r="D135" s="157">
        <f t="shared" ref="D135:AG135" si="14">$C$135*D13</f>
        <v>10307.664723565518</v>
      </c>
      <c r="E135" s="157">
        <f t="shared" si="14"/>
        <v>10439.209262892284</v>
      </c>
      <c r="F135" s="157">
        <f t="shared" si="14"/>
        <v>10572.432549664834</v>
      </c>
      <c r="G135" s="157">
        <f t="shared" si="14"/>
        <v>10707.356007752232</v>
      </c>
      <c r="H135" s="157">
        <f t="shared" si="14"/>
        <v>10844.001334431061</v>
      </c>
      <c r="I135" s="157">
        <f t="shared" si="14"/>
        <v>10982.390503874587</v>
      </c>
      <c r="J135" s="157">
        <f t="shared" si="14"/>
        <v>11122.545770686478</v>
      </c>
      <c r="K135" s="157">
        <f t="shared" si="14"/>
        <v>11264.489673479591</v>
      </c>
      <c r="L135" s="157">
        <f t="shared" si="14"/>
        <v>11408.245038500467</v>
      </c>
      <c r="M135" s="157">
        <f t="shared" si="14"/>
        <v>11553.834983300039</v>
      </c>
      <c r="N135" s="157">
        <f t="shared" si="14"/>
        <v>11701.282920451215</v>
      </c>
      <c r="O135" s="157">
        <f t="shared" si="14"/>
        <v>11850.612561313887</v>
      </c>
      <c r="P135" s="157">
        <f t="shared" si="14"/>
        <v>12001.847919848016</v>
      </c>
      <c r="Q135" s="157">
        <f t="shared" si="14"/>
        <v>12155.013316475333</v>
      </c>
      <c r="R135" s="157">
        <f t="shared" si="14"/>
        <v>12310.133381990363</v>
      </c>
      <c r="S135" s="157">
        <f t="shared" si="14"/>
        <v>12467.233061521343</v>
      </c>
      <c r="T135" s="157">
        <f t="shared" si="14"/>
        <v>12626.337618541698</v>
      </c>
      <c r="U135" s="157">
        <f t="shared" si="14"/>
        <v>12787.472638932693</v>
      </c>
      <c r="V135" s="157">
        <f t="shared" si="14"/>
        <v>12950.664035097952</v>
      </c>
      <c r="W135" s="157">
        <f t="shared" si="14"/>
        <v>13115.938050130464</v>
      </c>
      <c r="X135" s="157">
        <f t="shared" si="14"/>
        <v>13283.321262032799</v>
      </c>
      <c r="Y135" s="157">
        <f t="shared" si="14"/>
        <v>13452.840587991153</v>
      </c>
      <c r="Z135" s="157">
        <f t="shared" si="14"/>
        <v>13624.523288703947</v>
      </c>
      <c r="AA135" s="157">
        <f t="shared" si="14"/>
        <v>13798.396972765662</v>
      </c>
      <c r="AB135" s="157">
        <f t="shared" si="14"/>
        <v>13974.489601106645</v>
      </c>
      <c r="AC135" s="157">
        <f t="shared" si="14"/>
        <v>14152.829491489534</v>
      </c>
      <c r="AD135" s="157">
        <f t="shared" si="14"/>
        <v>14333.445323063097</v>
      </c>
      <c r="AE135" s="157">
        <f t="shared" si="14"/>
        <v>14516.366140974167</v>
      </c>
      <c r="AF135" s="157">
        <f t="shared" si="14"/>
        <v>14701.62136103846</v>
      </c>
      <c r="AG135" s="157">
        <f t="shared" si="14"/>
        <v>14889.240774470973</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0.65</v>
      </c>
      <c r="F4" s="65">
        <v>0.35</v>
      </c>
      <c r="G4" s="65">
        <v>0.3</v>
      </c>
      <c r="H4" s="65">
        <v>0.25</v>
      </c>
      <c r="I4" s="65">
        <v>0.1</v>
      </c>
      <c r="J4" s="65">
        <v>0.1</v>
      </c>
      <c r="K4" s="65">
        <v>7.0000000000000007E-2</v>
      </c>
      <c r="L4" s="65">
        <v>0.06</v>
      </c>
      <c r="M4" s="65">
        <v>0.06</v>
      </c>
      <c r="N4" s="65">
        <v>0.05</v>
      </c>
      <c r="O4" s="65">
        <v>0.05</v>
      </c>
      <c r="P4" s="65">
        <v>0.05</v>
      </c>
      <c r="Q4" s="65">
        <v>0.05</v>
      </c>
      <c r="R4" s="65">
        <v>0.05</v>
      </c>
      <c r="S4" s="65">
        <v>0.04</v>
      </c>
      <c r="T4" s="65">
        <v>0.04</v>
      </c>
      <c r="U4" s="65">
        <v>0.04</v>
      </c>
      <c r="V4" s="65">
        <v>0.04</v>
      </c>
      <c r="W4" s="65">
        <v>0.04</v>
      </c>
      <c r="X4" s="65">
        <v>0.04</v>
      </c>
      <c r="Y4" s="65">
        <v>0.04</v>
      </c>
      <c r="Z4" s="65">
        <v>0.04</v>
      </c>
      <c r="AA4" s="65">
        <v>0.04</v>
      </c>
      <c r="AB4" s="65">
        <v>0.04</v>
      </c>
      <c r="AC4" s="65">
        <v>0.04</v>
      </c>
      <c r="AD4" s="65">
        <v>0.04</v>
      </c>
      <c r="AE4" s="65">
        <v>0.03</v>
      </c>
      <c r="AF4" s="65">
        <v>0.03</v>
      </c>
      <c r="AG4" s="65">
        <v>2.5000000000000001E-2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2.5042454466925865</v>
      </c>
      <c r="C6" s="25"/>
      <c r="D6" s="25"/>
      <c r="E6" s="27">
        <f>'Debt worksheet'!C5/'Profit and Loss'!C5</f>
        <v>1.8637807222516192</v>
      </c>
      <c r="F6" s="28">
        <f ca="1">'Debt worksheet'!D5/'Profit and Loss'!D5</f>
        <v>2.3787177565984865</v>
      </c>
      <c r="G6" s="28">
        <f ca="1">'Debt worksheet'!E5/'Profit and Loss'!E5</f>
        <v>2.4873393477174846</v>
      </c>
      <c r="H6" s="28">
        <f ca="1">'Debt worksheet'!F5/'Profit and Loss'!F5</f>
        <v>2.4015129514334337</v>
      </c>
      <c r="I6" s="28">
        <f ca="1">'Debt worksheet'!G5/'Profit and Loss'!G5</f>
        <v>2.4380704996274094</v>
      </c>
      <c r="J6" s="28">
        <f ca="1">'Debt worksheet'!H5/'Profit and Loss'!H5</f>
        <v>2.4229726717803897</v>
      </c>
      <c r="K6" s="28">
        <f ca="1">'Debt worksheet'!I5/'Profit and Loss'!I5</f>
        <v>2.4267585717781781</v>
      </c>
      <c r="L6" s="28">
        <f ca="1">'Debt worksheet'!J5/'Profit and Loss'!J5</f>
        <v>2.4328871052008991</v>
      </c>
      <c r="M6" s="28">
        <f ca="1">'Debt worksheet'!K5/'Profit and Loss'!K5</f>
        <v>2.4273406073726953</v>
      </c>
      <c r="N6" s="28">
        <f ca="1">'Debt worksheet'!L5/'Profit and Loss'!L5</f>
        <v>2.4324898893993443</v>
      </c>
      <c r="O6" s="28">
        <f ca="1">'Debt worksheet'!M5/'Profit and Loss'!M5</f>
        <v>2.4338538968436692</v>
      </c>
      <c r="P6" s="28">
        <f ca="1">'Debt worksheet'!N5/'Profit and Loss'!N5</f>
        <v>2.4305696396548169</v>
      </c>
      <c r="Q6" s="28">
        <f ca="1">'Debt worksheet'!O5/'Profit and Loss'!O5</f>
        <v>2.4218677329691976</v>
      </c>
      <c r="R6" s="28">
        <f ca="1">'Debt worksheet'!P5/'Profit and Loss'!P5</f>
        <v>2.4070661094268155</v>
      </c>
      <c r="S6" s="28">
        <f ca="1">'Debt worksheet'!Q5/'Profit and Loss'!Q5</f>
        <v>2.4085021977522247</v>
      </c>
      <c r="T6" s="28">
        <f ca="1">'Debt worksheet'!R5/'Profit and Loss'!R5</f>
        <v>2.4118385874632926</v>
      </c>
      <c r="U6" s="28">
        <f ca="1">'Debt worksheet'!S5/'Profit and Loss'!S5</f>
        <v>2.4163295334546584</v>
      </c>
      <c r="V6" s="28">
        <f ca="1">'Debt worksheet'!T5/'Profit and Loss'!T5</f>
        <v>2.421277083793111</v>
      </c>
      <c r="W6" s="28">
        <f ca="1">'Debt worksheet'!U5/'Profit and Loss'!U5</f>
        <v>2.4260288947824122</v>
      </c>
      <c r="X6" s="28">
        <f ca="1">'Debt worksheet'!V5/'Profit and Loss'!V5</f>
        <v>2.4299761325458262</v>
      </c>
      <c r="Y6" s="28">
        <f ca="1">'Debt worksheet'!W5/'Profit and Loss'!W5</f>
        <v>2.4325514579473344</v>
      </c>
      <c r="Z6" s="28">
        <f ca="1">'Debt worksheet'!X5/'Profit and Loss'!X5</f>
        <v>2.4332270917843291</v>
      </c>
      <c r="AA6" s="28">
        <f ca="1">'Debt worksheet'!Y5/'Profit and Loss'!Y5</f>
        <v>2.4315129572926564</v>
      </c>
      <c r="AB6" s="28">
        <f ca="1">'Debt worksheet'!Z5/'Profit and Loss'!Z5</f>
        <v>2.4269548971091877</v>
      </c>
      <c r="AC6" s="28">
        <f ca="1">'Debt worksheet'!AA5/'Profit and Loss'!AA5</f>
        <v>2.4191329619378523</v>
      </c>
      <c r="AD6" s="28">
        <f ca="1">'Debt worksheet'!AB5/'Profit and Loss'!AB5</f>
        <v>2.4076597682623748</v>
      </c>
      <c r="AE6" s="28">
        <f ca="1">'Debt worksheet'!AC5/'Profit and Loss'!AC5</f>
        <v>2.415403960625842</v>
      </c>
      <c r="AF6" s="28">
        <f ca="1">'Debt worksheet'!AD5/'Profit and Loss'!AD5</f>
        <v>2.4282971870300383</v>
      </c>
      <c r="AG6" s="28">
        <f ca="1">'Debt worksheet'!AE5/'Profit and Loss'!AE5</f>
        <v>2.4578622814472744</v>
      </c>
      <c r="AH6" s="28">
        <f ca="1">'Debt worksheet'!AF5/'Profit and Loss'!AF5</f>
        <v>2.5042454466925865</v>
      </c>
      <c r="AI6" s="31"/>
    </row>
    <row r="7" spans="1:35" ht="21" x14ac:dyDescent="0.5">
      <c r="A7" s="19" t="s">
        <v>38</v>
      </c>
      <c r="B7" s="26">
        <f ca="1">MIN('Price and Financial ratios'!E7:AH7)</f>
        <v>0.2263009266399329</v>
      </c>
      <c r="C7" s="26"/>
      <c r="D7" s="26"/>
      <c r="E7" s="56">
        <f ca="1">'Cash Flow'!C7/'Debt worksheet'!C5</f>
        <v>0.27257666570955452</v>
      </c>
      <c r="F7" s="32">
        <f ca="1">'Cash Flow'!D7/'Debt worksheet'!D5</f>
        <v>0.23719831337177472</v>
      </c>
      <c r="G7" s="32">
        <f ca="1">'Cash Flow'!E7/'Debt worksheet'!E5</f>
        <v>0.24700678398405163</v>
      </c>
      <c r="H7" s="32">
        <f ca="1">'Cash Flow'!F7/'Debt worksheet'!F5</f>
        <v>0.27289705093464278</v>
      </c>
      <c r="I7" s="32">
        <f ca="1">'Cash Flow'!G7/'Debt worksheet'!G5</f>
        <v>0.26839904125174741</v>
      </c>
      <c r="J7" s="32">
        <f ca="1">'Cash Flow'!H7/'Debt worksheet'!H5</f>
        <v>0.27122563832319074</v>
      </c>
      <c r="K7" s="32">
        <f ca="1">'Cash Flow'!I7/'Debt worksheet'!I5</f>
        <v>0.26901070725248971</v>
      </c>
      <c r="L7" s="32">
        <f ca="1">'Cash Flow'!J7/'Debt worksheet'!J5</f>
        <v>0.26592494900519043</v>
      </c>
      <c r="M7" s="17">
        <f ca="1">'Cash Flow'!K7/'Debt worksheet'!K5</f>
        <v>0.26478325250050944</v>
      </c>
      <c r="N7" s="17">
        <f ca="1">'Cash Flow'!L7/'Debt worksheet'!L5</f>
        <v>0.26155600379199428</v>
      </c>
      <c r="O7" s="17">
        <f ca="1">'Cash Flow'!M7/'Debt worksheet'!M5</f>
        <v>0.25917964971299295</v>
      </c>
      <c r="P7" s="17">
        <f ca="1">'Cash Flow'!N7/'Debt worksheet'!N5</f>
        <v>0.25772072481548725</v>
      </c>
      <c r="Q7" s="17">
        <f ca="1">'Cash Flow'!O7/'Debt worksheet'!O5</f>
        <v>0.25724379383880402</v>
      </c>
      <c r="R7" s="17">
        <f ca="1">'Cash Flow'!P7/'Debt worksheet'!P5</f>
        <v>0.2578167900802672</v>
      </c>
      <c r="S7" s="17">
        <f ca="1">'Cash Flow'!Q7/'Debt worksheet'!Q5</f>
        <v>0.25537930553589833</v>
      </c>
      <c r="T7" s="17">
        <f ca="1">'Cash Flow'!R7/'Debt worksheet'!R5</f>
        <v>0.25295955097805434</v>
      </c>
      <c r="U7" s="17">
        <f ca="1">'Cash Flow'!S7/'Debt worksheet'!S5</f>
        <v>0.25063948215365084</v>
      </c>
      <c r="V7" s="17">
        <f ca="1">'Cash Flow'!T7/'Debt worksheet'!T5</f>
        <v>0.24849225622086524</v>
      </c>
      <c r="W7" s="17">
        <f ca="1">'Cash Flow'!U7/'Debt worksheet'!U5</f>
        <v>0.24658290642941558</v>
      </c>
      <c r="X7" s="17">
        <f ca="1">'Cash Flow'!V7/'Debt worksheet'!V5</f>
        <v>0.24496935004313472</v>
      </c>
      <c r="Y7" s="17">
        <f ca="1">'Cash Flow'!W7/'Debt worksheet'!W5</f>
        <v>0.24370361552576689</v>
      </c>
      <c r="Z7" s="17">
        <f ca="1">'Cash Flow'!X7/'Debt worksheet'!X5</f>
        <v>0.24283320435326841</v>
      </c>
      <c r="AA7" s="17">
        <f ca="1">'Cash Flow'!Y7/'Debt worksheet'!Y5</f>
        <v>0.2424025315717768</v>
      </c>
      <c r="AB7" s="17">
        <f ca="1">'Cash Flow'!Z7/'Debt worksheet'!Z5</f>
        <v>0.24245441552395891</v>
      </c>
      <c r="AC7" s="17">
        <f ca="1">'Cash Flow'!AA7/'Debt worksheet'!AA5</f>
        <v>0.24303161051002456</v>
      </c>
      <c r="AD7" s="17">
        <f ca="1">'Cash Flow'!AB7/'Debt worksheet'!AB5</f>
        <v>0.24417839698802496</v>
      </c>
      <c r="AE7" s="17">
        <f ca="1">'Cash Flow'!AC7/'Debt worksheet'!AC5</f>
        <v>0.2417769691131976</v>
      </c>
      <c r="AF7" s="17">
        <f ca="1">'Cash Flow'!AD7/'Debt worksheet'!AD5</f>
        <v>0.23891859342229924</v>
      </c>
      <c r="AG7" s="17">
        <f ca="1">'Cash Flow'!AE7/'Debt worksheet'!AE5</f>
        <v>0.23361346731376487</v>
      </c>
      <c r="AH7" s="17">
        <f ca="1">'Cash Flow'!AF7/'Debt worksheet'!AF5</f>
        <v>0.2263009266399329</v>
      </c>
      <c r="AI7" s="29"/>
    </row>
    <row r="8" spans="1:35" ht="21" x14ac:dyDescent="0.5">
      <c r="A8" s="19" t="s">
        <v>33</v>
      </c>
      <c r="B8" s="26">
        <f ca="1">MAX('Price and Financial ratios'!E8:AH8)</f>
        <v>0.45094922459500802</v>
      </c>
      <c r="C8" s="26"/>
      <c r="D8" s="176"/>
      <c r="E8" s="17">
        <f>'Balance Sheet'!B11/'Balance Sheet'!B8</f>
        <v>0.21293107179170573</v>
      </c>
      <c r="F8" s="17">
        <f ca="1">'Balance Sheet'!C11/'Balance Sheet'!C8</f>
        <v>0.36516121102176796</v>
      </c>
      <c r="G8" s="17">
        <f ca="1">'Balance Sheet'!D11/'Balance Sheet'!D8</f>
        <v>0.42657209349477482</v>
      </c>
      <c r="H8" s="17">
        <f ca="1">'Balance Sheet'!E11/'Balance Sheet'!E8</f>
        <v>0.45094922459500802</v>
      </c>
      <c r="I8" s="17">
        <f ca="1">'Balance Sheet'!F11/'Balance Sheet'!F8</f>
        <v>0.44765942297627787</v>
      </c>
      <c r="J8" s="17">
        <f ca="1">'Balance Sheet'!G11/'Balance Sheet'!G8</f>
        <v>0.44012705084164522</v>
      </c>
      <c r="K8" s="17">
        <f ca="1">'Balance Sheet'!H11/'Balance Sheet'!H8</f>
        <v>0.42824580017667785</v>
      </c>
      <c r="L8" s="17">
        <f ca="1">'Balance Sheet'!I11/'Balance Sheet'!I8</f>
        <v>0.41644485202173043</v>
      </c>
      <c r="M8" s="17">
        <f ca="1">'Balance Sheet'!J11/'Balance Sheet'!J8</f>
        <v>0.40569926041416593</v>
      </c>
      <c r="N8" s="17">
        <f ca="1">'Balance Sheet'!K11/'Balance Sheet'!K8</f>
        <v>0.39545053630835086</v>
      </c>
      <c r="O8" s="17">
        <f ca="1">'Balance Sheet'!L11/'Balance Sheet'!L8</f>
        <v>0.38673449881133753</v>
      </c>
      <c r="P8" s="17">
        <f ca="1">'Balance Sheet'!M11/'Balance Sheet'!M8</f>
        <v>0.37908887931006741</v>
      </c>
      <c r="Q8" s="17">
        <f ca="1">'Balance Sheet'!N11/'Balance Sheet'!N8</f>
        <v>0.37214459549726742</v>
      </c>
      <c r="R8" s="17">
        <f ca="1">'Balance Sheet'!O11/'Balance Sheet'!O8</f>
        <v>0.36559958506130125</v>
      </c>
      <c r="S8" s="17">
        <f ca="1">'Balance Sheet'!P11/'Balance Sheet'!P8</f>
        <v>0.35920077174901682</v>
      </c>
      <c r="T8" s="17">
        <f ca="1">'Balance Sheet'!Q11/'Balance Sheet'!Q8</f>
        <v>0.35412034927531477</v>
      </c>
      <c r="U8" s="17">
        <f ca="1">'Balance Sheet'!R11/'Balance Sheet'!R8</f>
        <v>0.35010478562642677</v>
      </c>
      <c r="V8" s="17">
        <f ca="1">'Balance Sheet'!S11/'Balance Sheet'!S8</f>
        <v>0.34694047166513453</v>
      </c>
      <c r="W8" s="17">
        <f ca="1">'Balance Sheet'!T11/'Balance Sheet'!T8</f>
        <v>0.34444492153162648</v>
      </c>
      <c r="X8" s="17">
        <f ca="1">'Balance Sheet'!U11/'Balance Sheet'!U8</f>
        <v>0.3424601450268413</v>
      </c>
      <c r="Y8" s="17">
        <f ca="1">'Balance Sheet'!V11/'Balance Sheet'!V8</f>
        <v>0.34084758980666674</v>
      </c>
      <c r="Z8" s="17">
        <f ca="1">'Balance Sheet'!W11/'Balance Sheet'!W8</f>
        <v>0.33948423471614031</v>
      </c>
      <c r="AA8" s="17">
        <f ca="1">'Balance Sheet'!X11/'Balance Sheet'!X8</f>
        <v>0.33825953849262674</v>
      </c>
      <c r="AB8" s="17">
        <f ca="1">'Balance Sheet'!Y11/'Balance Sheet'!Y8</f>
        <v>0.33707303181580467</v>
      </c>
      <c r="AC8" s="17">
        <f ca="1">'Balance Sheet'!Z11/'Balance Sheet'!Z8</f>
        <v>0.33583239866412401</v>
      </c>
      <c r="AD8" s="17">
        <f ca="1">'Balance Sheet'!AA11/'Balance Sheet'!AA8</f>
        <v>0.3344519336695892</v>
      </c>
      <c r="AE8" s="17">
        <f ca="1">'Balance Sheet'!AB11/'Balance Sheet'!AB8</f>
        <v>0.33285129116478657</v>
      </c>
      <c r="AF8" s="17">
        <f ca="1">'Balance Sheet'!AC11/'Balance Sheet'!AC8</f>
        <v>0.33227419436462258</v>
      </c>
      <c r="AG8" s="17">
        <f ca="1">'Balance Sheet'!AD11/'Balance Sheet'!AD8</f>
        <v>0.33262785881161694</v>
      </c>
      <c r="AH8" s="17">
        <f ca="1">'Balance Sheet'!AE11/'Balance Sheet'!AE8</f>
        <v>0.33448141510268931</v>
      </c>
      <c r="AI8" s="29"/>
    </row>
    <row r="9" spans="1:35" ht="21.5" thickBot="1" x14ac:dyDescent="0.55000000000000004">
      <c r="A9" s="20" t="s">
        <v>32</v>
      </c>
      <c r="B9" s="21">
        <f ca="1">MIN('Price and Financial ratios'!E9:AH9)</f>
        <v>5.4630468225940785</v>
      </c>
      <c r="C9" s="21"/>
      <c r="D9" s="177"/>
      <c r="E9" s="21">
        <f ca="1">('Cash Flow'!C7+'Profit and Loss'!C8)/('Profit and Loss'!C8)</f>
        <v>5.4630468225940785</v>
      </c>
      <c r="F9" s="21">
        <f ca="1">('Cash Flow'!D7+'Profit and Loss'!D8)/('Profit and Loss'!D8)</f>
        <v>5.9226703588723835</v>
      </c>
      <c r="G9" s="21">
        <f ca="1">('Cash Flow'!E7+'Profit and Loss'!E8)/('Profit and Loss'!E8)</f>
        <v>6.7739578766507407</v>
      </c>
      <c r="H9" s="21">
        <f ca="1">('Cash Flow'!F7+'Profit and Loss'!F8)/('Profit and Loss'!F8)</f>
        <v>7.8939712337194985</v>
      </c>
      <c r="I9" s="21">
        <f ca="1">('Cash Flow'!G7+'Profit and Loss'!G8)/('Profit and Loss'!G8)</f>
        <v>7.9264492224149459</v>
      </c>
      <c r="J9" s="21">
        <f ca="1">('Cash Flow'!H7+'Profit and Loss'!H8)/('Profit and Loss'!H8)</f>
        <v>8.1399232246658535</v>
      </c>
      <c r="K9" s="21">
        <f ca="1">('Cash Flow'!I7+'Profit and Loss'!I8)/('Profit and Loss'!I8)</f>
        <v>8.1415577555560823</v>
      </c>
      <c r="L9" s="21">
        <f ca="1">('Cash Flow'!J7+'Profit and Loss'!J8)/('Profit and Loss'!J8)</f>
        <v>8.093639121675869</v>
      </c>
      <c r="M9" s="21">
        <f ca="1">('Cash Flow'!K7+'Profit and Loss'!K8)/('Profit and Loss'!K8)</f>
        <v>8.0991365053512254</v>
      </c>
      <c r="N9" s="21">
        <f ca="1">('Cash Flow'!L7+'Profit and Loss'!L8)/('Profit and Loss'!L8)</f>
        <v>8.0235482444927033</v>
      </c>
      <c r="O9" s="21">
        <f ca="1">('Cash Flow'!M7+'Profit and Loss'!M8)/('Profit and Loss'!M8)</f>
        <v>7.9730482592062977</v>
      </c>
      <c r="P9" s="21">
        <f ca="1">('Cash Flow'!N7+'Profit and Loss'!N8)/('Profit and Loss'!N8)</f>
        <v>7.9493202946923764</v>
      </c>
      <c r="Q9" s="21">
        <f ca="1">('Cash Flow'!O7+'Profit and Loss'!O8)/('Profit and Loss'!O8)</f>
        <v>7.9541274481932351</v>
      </c>
      <c r="R9" s="21">
        <f ca="1">('Cash Flow'!P7+'Profit and Loss'!P8)/('Profit and Loss'!P8)</f>
        <v>7.9894574437534329</v>
      </c>
      <c r="S9" s="21">
        <f ca="1">('Cash Flow'!Q7+'Profit and Loss'!Q8)/('Profit and Loss'!Q8)</f>
        <v>7.9179243106443478</v>
      </c>
      <c r="T9" s="21">
        <f ca="1">('Cash Flow'!R7+'Profit and Loss'!R8)/('Profit and Loss'!R8)</f>
        <v>7.8491149572962708</v>
      </c>
      <c r="U9" s="21">
        <f ca="1">('Cash Flow'!S7+'Profit and Loss'!S8)/('Profit and Loss'!S8)</f>
        <v>7.7850406155815977</v>
      </c>
      <c r="V9" s="21">
        <f ca="1">('Cash Flow'!T7+'Profit and Loss'!T8)/('Profit and Loss'!T8)</f>
        <v>7.7274840778135276</v>
      </c>
      <c r="W9" s="21">
        <f ca="1">('Cash Flow'!U7+'Profit and Loss'!U8)/('Profit and Loss'!U8)</f>
        <v>7.6780278386843541</v>
      </c>
      <c r="X9" s="21">
        <f ca="1">('Cash Flow'!V7+'Profit and Loss'!V8)/('Profit and Loss'!V8)</f>
        <v>7.638088199358303</v>
      </c>
      <c r="Y9" s="21">
        <f ca="1">('Cash Flow'!W7+'Profit and Loss'!W8)/('Profit and Loss'!W8)</f>
        <v>7.6089529762579575</v>
      </c>
      <c r="Z9" s="21">
        <f ca="1">('Cash Flow'!X7+'Profit and Loss'!X8)/('Profit and Loss'!X8)</f>
        <v>7.5918212560324658</v>
      </c>
      <c r="AA9" s="21">
        <f ca="1">('Cash Flow'!Y7+'Profit and Loss'!Y8)/('Profit and Loss'!Y8)</f>
        <v>7.5878443662636563</v>
      </c>
      <c r="AB9" s="21">
        <f ca="1">('Cash Flow'!Z7+'Profit and Loss'!Z8)/('Profit and Loss'!Z8)</f>
        <v>7.5981678747610273</v>
      </c>
      <c r="AC9" s="21">
        <f ca="1">('Cash Flow'!AA7+'Profit and Loss'!AA8)/('Profit and Loss'!AA8)</f>
        <v>7.6239750014290122</v>
      </c>
      <c r="AD9" s="21">
        <f ca="1">('Cash Flow'!AB7+'Profit and Loss'!AB8)/('Profit and Loss'!AB8)</f>
        <v>7.6665323564947352</v>
      </c>
      <c r="AE9" s="21">
        <f ca="1">('Cash Flow'!AC7+'Profit and Loss'!AC8)/('Profit and Loss'!AC8)</f>
        <v>7.5870396503945914</v>
      </c>
      <c r="AF9" s="21">
        <f ca="1">('Cash Flow'!AD7+'Profit and Loss'!AD8)/('Profit and Loss'!AD8)</f>
        <v>7.4967328964855495</v>
      </c>
      <c r="AG9" s="21">
        <f ca="1">('Cash Flow'!AE7+'Profit and Loss'!AE8)/('Profit and Loss'!AE8)</f>
        <v>7.3292502531326758</v>
      </c>
      <c r="AH9" s="21">
        <f ca="1">('Cash Flow'!AF7+'Profit and Loss'!AF8)/('Profit and Loss'!AF8)</f>
        <v>7.1035000063042064</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6460559.1803835938</v>
      </c>
      <c r="D5" s="1">
        <f>Assumptions!E111</f>
        <v>6460559.1803835938</v>
      </c>
      <c r="E5" s="1">
        <f>Assumptions!F111</f>
        <v>6460559.1803835938</v>
      </c>
      <c r="F5" s="1">
        <f>Assumptions!G111</f>
        <v>6460559.1803835938</v>
      </c>
      <c r="G5" s="1">
        <f>Assumptions!H111</f>
        <v>6460559.1803835938</v>
      </c>
      <c r="H5" s="1">
        <f>Assumptions!I111</f>
        <v>6460559.1803835938</v>
      </c>
      <c r="I5" s="1">
        <f>Assumptions!J111</f>
        <v>6460559.1803835938</v>
      </c>
      <c r="J5" s="1">
        <f>Assumptions!K111</f>
        <v>6460559.1803835938</v>
      </c>
      <c r="K5" s="1">
        <f>Assumptions!L111</f>
        <v>6460559.1803835938</v>
      </c>
      <c r="L5" s="1">
        <f>Assumptions!M111</f>
        <v>6460559.1803835938</v>
      </c>
      <c r="M5" s="1">
        <f>Assumptions!N111</f>
        <v>6460559.1803835938</v>
      </c>
      <c r="N5" s="1">
        <f>Assumptions!O111</f>
        <v>6460559.1803835938</v>
      </c>
      <c r="O5" s="1">
        <f>Assumptions!P111</f>
        <v>6460559.1803835938</v>
      </c>
      <c r="P5" s="1">
        <f>Assumptions!Q111</f>
        <v>6460559.1803835938</v>
      </c>
      <c r="Q5" s="1">
        <f>Assumptions!R111</f>
        <v>6460559.1803835938</v>
      </c>
      <c r="R5" s="1">
        <f>Assumptions!S111</f>
        <v>6460559.1803835938</v>
      </c>
      <c r="S5" s="1">
        <f>Assumptions!T111</f>
        <v>6460559.1803835938</v>
      </c>
      <c r="T5" s="1">
        <f>Assumptions!U111</f>
        <v>6460559.1803835938</v>
      </c>
      <c r="U5" s="1">
        <f>Assumptions!V111</f>
        <v>6460559.1803835938</v>
      </c>
      <c r="V5" s="1">
        <f>Assumptions!W111</f>
        <v>6460559.1803835938</v>
      </c>
      <c r="W5" s="1">
        <f>Assumptions!X111</f>
        <v>6460559.1803835938</v>
      </c>
      <c r="X5" s="1">
        <f>Assumptions!Y111</f>
        <v>6460559.1803835938</v>
      </c>
      <c r="Y5" s="1">
        <f>Assumptions!Z111</f>
        <v>6460559.1803835938</v>
      </c>
      <c r="Z5" s="1">
        <f>Assumptions!AA111</f>
        <v>6460559.1803835938</v>
      </c>
      <c r="AA5" s="1">
        <f>Assumptions!AB111</f>
        <v>6460559.1803835938</v>
      </c>
      <c r="AB5" s="1">
        <f>Assumptions!AC111</f>
        <v>6460559.1803835938</v>
      </c>
      <c r="AC5" s="1">
        <f>Assumptions!AD111</f>
        <v>6460559.1803835938</v>
      </c>
      <c r="AD5" s="1">
        <f>Assumptions!AE111</f>
        <v>6460559.1803835938</v>
      </c>
      <c r="AE5" s="1">
        <f>Assumptions!AF111</f>
        <v>6460559.1803835938</v>
      </c>
      <c r="AF5" s="1">
        <f>Assumptions!AG111</f>
        <v>6460559.1803835938</v>
      </c>
    </row>
    <row r="6" spans="1:32" x14ac:dyDescent="0.35">
      <c r="A6" t="s">
        <v>68</v>
      </c>
      <c r="C6" s="1">
        <f>Assumptions!D113</f>
        <v>38455530.445754036</v>
      </c>
      <c r="D6" s="1">
        <f>Assumptions!E113</f>
        <v>38455530.445754036</v>
      </c>
      <c r="E6" s="1">
        <f>Assumptions!F113</f>
        <v>38455530.445754036</v>
      </c>
      <c r="F6" s="1">
        <f>Assumptions!G113</f>
        <v>38455530.445754036</v>
      </c>
      <c r="G6" s="1">
        <f>Assumptions!H113</f>
        <v>38455530.445754036</v>
      </c>
      <c r="H6" s="1">
        <f>Assumptions!I113</f>
        <v>38455530.445754036</v>
      </c>
      <c r="I6" s="1">
        <f>Assumptions!J113</f>
        <v>38455530.445754036</v>
      </c>
      <c r="J6" s="1">
        <f>Assumptions!K113</f>
        <v>38455530.445754036</v>
      </c>
      <c r="K6" s="1">
        <f>Assumptions!L113</f>
        <v>38455530.445754036</v>
      </c>
      <c r="L6" s="1">
        <f>Assumptions!M113</f>
        <v>38455530.445754036</v>
      </c>
      <c r="M6" s="1">
        <f>Assumptions!N113</f>
        <v>38455530.445754036</v>
      </c>
      <c r="N6" s="1">
        <f>Assumptions!O113</f>
        <v>38455530.445754036</v>
      </c>
      <c r="O6" s="1">
        <f>Assumptions!P113</f>
        <v>38455530.445754036</v>
      </c>
      <c r="P6" s="1">
        <f>Assumptions!Q113</f>
        <v>38455530.445754036</v>
      </c>
      <c r="Q6" s="1">
        <f>Assumptions!R113</f>
        <v>38455530.445754036</v>
      </c>
      <c r="R6" s="1">
        <f>Assumptions!S113</f>
        <v>38455530.445754036</v>
      </c>
      <c r="S6" s="1">
        <f>Assumptions!T113</f>
        <v>38455530.445754036</v>
      </c>
      <c r="T6" s="1">
        <f>Assumptions!U113</f>
        <v>38455530.445754036</v>
      </c>
      <c r="U6" s="1">
        <f>Assumptions!V113</f>
        <v>38455530.445754036</v>
      </c>
      <c r="V6" s="1">
        <f>Assumptions!W113</f>
        <v>38455530.445754036</v>
      </c>
      <c r="W6" s="1">
        <f>Assumptions!X113</f>
        <v>38455530.445754036</v>
      </c>
      <c r="X6" s="1">
        <f>Assumptions!Y113</f>
        <v>38455530.445754036</v>
      </c>
      <c r="Y6" s="1">
        <f>Assumptions!Z113</f>
        <v>38455530.445754036</v>
      </c>
      <c r="Z6" s="1">
        <f>Assumptions!AA113</f>
        <v>38455530.445754036</v>
      </c>
      <c r="AA6" s="1">
        <f>Assumptions!AB113</f>
        <v>38455530.445754036</v>
      </c>
      <c r="AB6" s="1">
        <f>Assumptions!AC113</f>
        <v>38455530.445754036</v>
      </c>
      <c r="AC6" s="1">
        <f>Assumptions!AD113</f>
        <v>38455530.445754036</v>
      </c>
      <c r="AD6" s="1">
        <f>Assumptions!AE113</f>
        <v>38455530.445754036</v>
      </c>
      <c r="AE6" s="1">
        <f>Assumptions!AF113</f>
        <v>38455530.445754036</v>
      </c>
      <c r="AF6" s="1">
        <f>Assumptions!AG113</f>
        <v>38455530.445754036</v>
      </c>
    </row>
    <row r="7" spans="1:32" x14ac:dyDescent="0.35">
      <c r="A7" t="s">
        <v>73</v>
      </c>
      <c r="C7" s="1">
        <f>Assumptions!D120</f>
        <v>922932.73069809692</v>
      </c>
      <c r="D7" s="1">
        <f>Assumptions!E120</f>
        <v>1845865.4613961938</v>
      </c>
      <c r="E7" s="1">
        <f>Assumptions!F120</f>
        <v>2768798.1920942902</v>
      </c>
      <c r="F7" s="1">
        <f>Assumptions!G120</f>
        <v>3691730.9227923877</v>
      </c>
      <c r="G7" s="1">
        <f>Assumptions!H120</f>
        <v>4614663.6534904847</v>
      </c>
      <c r="H7" s="1">
        <f>Assumptions!I120</f>
        <v>5537596.3841885813</v>
      </c>
      <c r="I7" s="1">
        <f>Assumptions!J120</f>
        <v>6460529.1148866788</v>
      </c>
      <c r="J7" s="1">
        <f>Assumptions!K120</f>
        <v>7383461.8455847763</v>
      </c>
      <c r="K7" s="1">
        <f>Assumptions!L120</f>
        <v>8306394.5762828737</v>
      </c>
      <c r="L7" s="1">
        <f>Assumptions!M120</f>
        <v>9229327.3069809712</v>
      </c>
      <c r="M7" s="1">
        <f>Assumptions!N120</f>
        <v>10152260.037679069</v>
      </c>
      <c r="N7" s="1">
        <f>Assumptions!O120</f>
        <v>11075192.768377166</v>
      </c>
      <c r="O7" s="1">
        <f>Assumptions!P120</f>
        <v>11998125.499075264</v>
      </c>
      <c r="P7" s="1">
        <f>Assumptions!Q120</f>
        <v>12921058.229773358</v>
      </c>
      <c r="Q7" s="1">
        <f>Assumptions!R120</f>
        <v>13843990.960471455</v>
      </c>
      <c r="R7" s="1">
        <f>Assumptions!S120</f>
        <v>14766923.691169553</v>
      </c>
      <c r="S7" s="1">
        <f>Assumptions!T120</f>
        <v>15689856.42186765</v>
      </c>
      <c r="T7" s="1">
        <f>Assumptions!U120</f>
        <v>16612789.152565747</v>
      </c>
      <c r="U7" s="1">
        <f>Assumptions!V120</f>
        <v>17535721.883263845</v>
      </c>
      <c r="V7" s="1">
        <f>Assumptions!W120</f>
        <v>18458654.613961942</v>
      </c>
      <c r="W7" s="1">
        <f>Assumptions!X120</f>
        <v>19381587.34466004</v>
      </c>
      <c r="X7" s="1">
        <f>Assumptions!Y120</f>
        <v>20304520.075358137</v>
      </c>
      <c r="Y7" s="1">
        <f>Assumptions!Z120</f>
        <v>21227452.806056231</v>
      </c>
      <c r="Z7" s="1">
        <f>Assumptions!AA120</f>
        <v>22150385.536754332</v>
      </c>
      <c r="AA7" s="1">
        <f>Assumptions!AB120</f>
        <v>23073318.267452426</v>
      </c>
      <c r="AB7" s="1">
        <f>Assumptions!AC120</f>
        <v>23996250.998150527</v>
      </c>
      <c r="AC7" s="1">
        <f>Assumptions!AD120</f>
        <v>24919183.728848621</v>
      </c>
      <c r="AD7" s="1">
        <f>Assumptions!AE120</f>
        <v>25842116.459546715</v>
      </c>
      <c r="AE7" s="1">
        <f>Assumptions!AF120</f>
        <v>26765049.190244813</v>
      </c>
      <c r="AF7" s="1">
        <f>Assumptions!AG120</f>
        <v>27687981.92094291</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6667297.074155869</v>
      </c>
      <c r="D11" s="1">
        <f>D5*D$9</f>
        <v>6880650.5805288563</v>
      </c>
      <c r="E11" s="1">
        <f t="shared" ref="D11:AF13" si="1">E5*E$9</f>
        <v>7100831.3991057789</v>
      </c>
      <c r="F11" s="1">
        <f t="shared" si="1"/>
        <v>7328058.0038771648</v>
      </c>
      <c r="G11" s="1">
        <f t="shared" si="1"/>
        <v>7562555.8600012343</v>
      </c>
      <c r="H11" s="1">
        <f t="shared" si="1"/>
        <v>7804557.6475212732</v>
      </c>
      <c r="I11" s="1">
        <f t="shared" si="1"/>
        <v>8054303.4922419526</v>
      </c>
      <c r="J11" s="1">
        <f t="shared" si="1"/>
        <v>8312041.2039936967</v>
      </c>
      <c r="K11" s="1">
        <f t="shared" si="1"/>
        <v>8578026.5225214958</v>
      </c>
      <c r="L11" s="1">
        <f t="shared" si="1"/>
        <v>8852523.3712421823</v>
      </c>
      <c r="M11" s="1">
        <f t="shared" si="1"/>
        <v>9135804.1191219315</v>
      </c>
      <c r="N11" s="1">
        <f t="shared" si="1"/>
        <v>9428149.850933833</v>
      </c>
      <c r="O11" s="1">
        <f t="shared" si="1"/>
        <v>9729850.6461637169</v>
      </c>
      <c r="P11" s="1">
        <f t="shared" si="1"/>
        <v>10041205.866840955</v>
      </c>
      <c r="Q11" s="1">
        <f t="shared" si="1"/>
        <v>10362524.454579864</v>
      </c>
      <c r="R11" s="1">
        <f t="shared" si="1"/>
        <v>10694125.237126421</v>
      </c>
      <c r="S11" s="1">
        <f t="shared" si="1"/>
        <v>11036337.244714469</v>
      </c>
      <c r="T11" s="1">
        <f t="shared" si="1"/>
        <v>11389500.036545329</v>
      </c>
      <c r="U11" s="1">
        <f t="shared" si="1"/>
        <v>11753964.037714779</v>
      </c>
      <c r="V11" s="1">
        <f t="shared" si="1"/>
        <v>12130090.886921654</v>
      </c>
      <c r="W11" s="1">
        <f t="shared" si="1"/>
        <v>12518253.795303147</v>
      </c>
      <c r="X11" s="1">
        <f t="shared" si="1"/>
        <v>12918837.916752847</v>
      </c>
      <c r="Y11" s="1">
        <f t="shared" si="1"/>
        <v>13332240.730088936</v>
      </c>
      <c r="Z11" s="1">
        <f t="shared" si="1"/>
        <v>13758872.433451781</v>
      </c>
      <c r="AA11" s="1">
        <f t="shared" si="1"/>
        <v>14199156.351322243</v>
      </c>
      <c r="AB11" s="1">
        <f t="shared" si="1"/>
        <v>14653529.354564551</v>
      </c>
      <c r="AC11" s="1">
        <f t="shared" si="1"/>
        <v>15122442.293910615</v>
      </c>
      <c r="AD11" s="1">
        <f t="shared" si="1"/>
        <v>15606360.447315758</v>
      </c>
      <c r="AE11" s="1">
        <f t="shared" si="1"/>
        <v>16105763.981629862</v>
      </c>
      <c r="AF11" s="1">
        <f t="shared" si="1"/>
        <v>16621148.429042015</v>
      </c>
    </row>
    <row r="12" spans="1:32" x14ac:dyDescent="0.35">
      <c r="A12" t="s">
        <v>71</v>
      </c>
      <c r="C12" s="1">
        <f t="shared" ref="C12:R12" si="2">C6*C$9</f>
        <v>39686107.420018166</v>
      </c>
      <c r="D12" s="1">
        <f t="shared" si="2"/>
        <v>40956062.857458748</v>
      </c>
      <c r="E12" s="1">
        <f t="shared" si="2"/>
        <v>42266656.868897423</v>
      </c>
      <c r="F12" s="1">
        <f t="shared" si="2"/>
        <v>43619189.888702139</v>
      </c>
      <c r="G12" s="1">
        <f t="shared" si="2"/>
        <v>45015003.965140611</v>
      </c>
      <c r="H12" s="1">
        <f t="shared" si="2"/>
        <v>46455484.092025109</v>
      </c>
      <c r="I12" s="1">
        <f t="shared" si="2"/>
        <v>47942059.582969904</v>
      </c>
      <c r="J12" s="1">
        <f t="shared" si="2"/>
        <v>49476205.489624947</v>
      </c>
      <c r="K12" s="1">
        <f t="shared" si="2"/>
        <v>51059444.065292954</v>
      </c>
      <c r="L12" s="1">
        <f t="shared" si="2"/>
        <v>52693346.275382318</v>
      </c>
      <c r="M12" s="1">
        <f t="shared" si="2"/>
        <v>54379533.356194556</v>
      </c>
      <c r="N12" s="1">
        <f t="shared" si="2"/>
        <v>56119678.423592784</v>
      </c>
      <c r="O12" s="1">
        <f t="shared" si="2"/>
        <v>57915508.133147754</v>
      </c>
      <c r="P12" s="1">
        <f t="shared" si="2"/>
        <v>59768804.39340847</v>
      </c>
      <c r="Q12" s="1">
        <f t="shared" si="2"/>
        <v>61681406.13399753</v>
      </c>
      <c r="R12" s="1">
        <f t="shared" si="2"/>
        <v>63655211.130285472</v>
      </c>
      <c r="S12" s="1">
        <f t="shared" si="1"/>
        <v>65692177.886454612</v>
      </c>
      <c r="T12" s="1">
        <f t="shared" si="1"/>
        <v>67794327.578821152</v>
      </c>
      <c r="U12" s="1">
        <f t="shared" si="1"/>
        <v>69963746.061343417</v>
      </c>
      <c r="V12" s="1">
        <f t="shared" si="1"/>
        <v>72202585.935306415</v>
      </c>
      <c r="W12" s="1">
        <f t="shared" si="1"/>
        <v>74513068.68523623</v>
      </c>
      <c r="X12" s="1">
        <f t="shared" si="1"/>
        <v>76897486.88316378</v>
      </c>
      <c r="Y12" s="1">
        <f t="shared" si="1"/>
        <v>79358206.46342501</v>
      </c>
      <c r="Z12" s="1">
        <f t="shared" si="1"/>
        <v>81897669.070254609</v>
      </c>
      <c r="AA12" s="1">
        <f t="shared" si="1"/>
        <v>84518394.480502784</v>
      </c>
      <c r="AB12" s="1">
        <f t="shared" si="1"/>
        <v>87222983.103878856</v>
      </c>
      <c r="AC12" s="1">
        <f t="shared" si="1"/>
        <v>90014118.563202962</v>
      </c>
      <c r="AD12" s="1">
        <f t="shared" si="1"/>
        <v>92894570.357225478</v>
      </c>
      <c r="AE12" s="1">
        <f t="shared" si="1"/>
        <v>95867196.60865669</v>
      </c>
      <c r="AF12" s="1">
        <f t="shared" si="1"/>
        <v>98934946.900133684</v>
      </c>
    </row>
    <row r="13" spans="1:32" x14ac:dyDescent="0.35">
      <c r="A13" t="s">
        <v>74</v>
      </c>
      <c r="C13" s="1">
        <f>C7*C$9</f>
        <v>952466.5780804361</v>
      </c>
      <c r="D13" s="1">
        <f t="shared" si="1"/>
        <v>1965891.0171580198</v>
      </c>
      <c r="E13" s="1">
        <f t="shared" si="1"/>
        <v>3043199.294560614</v>
      </c>
      <c r="F13" s="1">
        <f t="shared" si="1"/>
        <v>4187442.2293154057</v>
      </c>
      <c r="G13" s="1">
        <f t="shared" si="1"/>
        <v>5401800.4758168738</v>
      </c>
      <c r="H13" s="1">
        <f t="shared" si="1"/>
        <v>6689589.7092516152</v>
      </c>
      <c r="I13" s="1">
        <f t="shared" si="1"/>
        <v>8054266.0099389451</v>
      </c>
      <c r="J13" s="1">
        <f t="shared" si="1"/>
        <v>9499431.4540079925</v>
      </c>
      <c r="K13" s="1">
        <f t="shared" si="1"/>
        <v>11028839.91810328</v>
      </c>
      <c r="L13" s="1">
        <f t="shared" si="1"/>
        <v>12646403.10609176</v>
      </c>
      <c r="M13" s="1">
        <f t="shared" si="1"/>
        <v>14356196.806035366</v>
      </c>
      <c r="N13" s="1">
        <f t="shared" si="1"/>
        <v>16162467.385994727</v>
      </c>
      <c r="O13" s="1">
        <f t="shared" si="1"/>
        <v>18069638.537542105</v>
      </c>
      <c r="P13" s="1">
        <f t="shared" si="1"/>
        <v>20082318.276185248</v>
      </c>
      <c r="Q13" s="1">
        <f t="shared" si="1"/>
        <v>22205306.208239116</v>
      </c>
      <c r="R13" s="1">
        <f t="shared" si="1"/>
        <v>24443601.074029624</v>
      </c>
      <c r="S13" s="1">
        <f t="shared" si="1"/>
        <v>26802408.577673487</v>
      </c>
      <c r="T13" s="1">
        <f t="shared" si="1"/>
        <v>29287149.514050744</v>
      </c>
      <c r="U13" s="1">
        <f t="shared" si="1"/>
        <v>31903468.203972608</v>
      </c>
      <c r="V13" s="1">
        <f t="shared" si="1"/>
        <v>34657241.248947091</v>
      </c>
      <c r="W13" s="1">
        <f t="shared" si="1"/>
        <v>37554586.617359072</v>
      </c>
      <c r="X13" s="1">
        <f t="shared" si="1"/>
        <v>40601873.074310489</v>
      </c>
      <c r="Y13" s="1">
        <f t="shared" si="1"/>
        <v>43805729.967810608</v>
      </c>
      <c r="Z13" s="1">
        <f t="shared" si="1"/>
        <v>47173057.38446667</v>
      </c>
      <c r="AA13" s="1">
        <f t="shared" si="1"/>
        <v>50711036.688301675</v>
      </c>
      <c r="AB13" s="1">
        <f t="shared" si="1"/>
        <v>54427141.456820421</v>
      </c>
      <c r="AC13" s="1">
        <f t="shared" si="1"/>
        <v>58329148.828955539</v>
      </c>
      <c r="AD13" s="1">
        <f t="shared" si="1"/>
        <v>62425151.280055523</v>
      </c>
      <c r="AE13" s="1">
        <f t="shared" si="1"/>
        <v>66723568.839625061</v>
      </c>
      <c r="AF13" s="1">
        <f t="shared" si="1"/>
        <v>71233161.768096268</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47305871.072254471</v>
      </c>
      <c r="D25" s="40">
        <f>SUM(D11:D13,D18:D23)</f>
        <v>49802604.45514562</v>
      </c>
      <c r="E25" s="40">
        <f t="shared" ref="E25:AF25" si="7">SUM(E11:E13,E18:E23)</f>
        <v>52410687.562563814</v>
      </c>
      <c r="F25" s="40">
        <f t="shared" si="7"/>
        <v>55134690.12189471</v>
      </c>
      <c r="G25" s="40">
        <f t="shared" si="7"/>
        <v>57979360.300958723</v>
      </c>
      <c r="H25" s="40">
        <f t="shared" si="7"/>
        <v>60949631.448797993</v>
      </c>
      <c r="I25" s="40">
        <f t="shared" si="7"/>
        <v>64050629.085150801</v>
      </c>
      <c r="J25" s="40">
        <f t="shared" si="7"/>
        <v>67287678.147626638</v>
      </c>
      <c r="K25" s="40">
        <f t="shared" si="7"/>
        <v>70666310.505917728</v>
      </c>
      <c r="L25" s="40">
        <f t="shared" si="7"/>
        <v>74192272.752716258</v>
      </c>
      <c r="M25" s="40">
        <f t="shared" si="7"/>
        <v>77871534.281351849</v>
      </c>
      <c r="N25" s="40">
        <f t="shared" si="7"/>
        <v>81710295.660521343</v>
      </c>
      <c r="O25" s="40">
        <f t="shared" si="7"/>
        <v>85714997.316853583</v>
      </c>
      <c r="P25" s="40">
        <f t="shared" si="7"/>
        <v>89892328.536434665</v>
      </c>
      <c r="Q25" s="40">
        <f t="shared" si="7"/>
        <v>94249236.796816498</v>
      </c>
      <c r="R25" s="40">
        <f t="shared" si="7"/>
        <v>98792937.441441521</v>
      </c>
      <c r="S25" s="40">
        <f t="shared" si="7"/>
        <v>103530923.70884258</v>
      </c>
      <c r="T25" s="40">
        <f t="shared" si="7"/>
        <v>108470977.12941724</v>
      </c>
      <c r="U25" s="40">
        <f t="shared" si="7"/>
        <v>113621178.3030308</v>
      </c>
      <c r="V25" s="40">
        <f t="shared" si="7"/>
        <v>118989918.07117516</v>
      </c>
      <c r="W25" s="40">
        <f t="shared" si="7"/>
        <v>124585909.09789845</v>
      </c>
      <c r="X25" s="40">
        <f t="shared" si="7"/>
        <v>130418197.87422711</v>
      </c>
      <c r="Y25" s="40">
        <f t="shared" si="7"/>
        <v>136496177.16132456</v>
      </c>
      <c r="Z25" s="40">
        <f t="shared" si="7"/>
        <v>142829598.88817307</v>
      </c>
      <c r="AA25" s="40">
        <f t="shared" si="7"/>
        <v>149428587.5201267</v>
      </c>
      <c r="AB25" s="40">
        <f t="shared" si="7"/>
        <v>156303653.91526383</v>
      </c>
      <c r="AC25" s="40">
        <f t="shared" si="7"/>
        <v>163465709.6860691</v>
      </c>
      <c r="AD25" s="40">
        <f t="shared" si="7"/>
        <v>170926082.08459675</v>
      </c>
      <c r="AE25" s="40">
        <f t="shared" si="7"/>
        <v>178696529.42991161</v>
      </c>
      <c r="AF25" s="40">
        <f t="shared" si="7"/>
        <v>186789257.09727198</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24943867.830028798</v>
      </c>
      <c r="D5" s="59">
        <f>C5*('Price and Financial ratios'!F4+1)*(1+Assumptions!$C$13)</f>
        <v>34103965.851370677</v>
      </c>
      <c r="E5" s="59">
        <f>D5*('Price and Financial ratios'!G4+1)*(1+Assumptions!$C$13)</f>
        <v>44900952.78554938</v>
      </c>
      <c r="F5" s="59">
        <f>E5*('Price and Financial ratios'!H4+1)*(1+Assumptions!$C$13)</f>
        <v>56842463.206042498</v>
      </c>
      <c r="G5" s="59">
        <f>F5*('Price and Financial ratios'!I4+1)*(1+Assumptions!$C$13)</f>
        <v>63324664.002358116</v>
      </c>
      <c r="H5" s="59">
        <f>G5*('Price and Financial ratios'!J4+1)*(1+Assumptions!$C$13)</f>
        <v>70546082.010486752</v>
      </c>
      <c r="I5" s="59">
        <f>H5*('Price and Financial ratios'!K4+1)*(1+Assumptions!$C$13)</f>
        <v>76447624.734827504</v>
      </c>
      <c r="J5" s="59">
        <f>I5*('Price and Financial ratios'!L4+1)*(1+Assumptions!$C$13)</f>
        <v>82068629.517936319</v>
      </c>
      <c r="K5" s="59">
        <f>J5*('Price and Financial ratios'!M4+1)*(1+Assumptions!$C$13)</f>
        <v>88102932.881365031</v>
      </c>
      <c r="L5" s="59">
        <f>K5*('Price and Financial ratios'!N4+1)*(1+Assumptions!$C$13)</f>
        <v>93688650.782990396</v>
      </c>
      <c r="M5" s="59">
        <f>L5*('Price and Financial ratios'!O4+1)*(1+Assumptions!$C$13)</f>
        <v>99628502.689649984</v>
      </c>
      <c r="N5" s="59">
        <f>M5*('Price and Financial ratios'!P4+1)*(1+Assumptions!$C$13)</f>
        <v>105944940.6649335</v>
      </c>
      <c r="O5" s="59">
        <f>N5*('Price and Financial ratios'!Q4+1)*(1+Assumptions!$C$13)</f>
        <v>112661840.2312126</v>
      </c>
      <c r="P5" s="59">
        <f>O5*('Price and Financial ratios'!R4+1)*(1+Assumptions!$C$13)</f>
        <v>119804590.61679763</v>
      </c>
      <c r="Q5" s="59">
        <f>P5*('Price and Financial ratios'!S4+1)*(1+Assumptions!$C$13)</f>
        <v>126186855.57499641</v>
      </c>
      <c r="R5" s="59">
        <f>Q5*('Price and Financial ratios'!T4+1)*(1+Assumptions!$C$13)</f>
        <v>132909118.40628956</v>
      </c>
      <c r="S5" s="59">
        <f>R5*('Price and Financial ratios'!U4+1)*(1+Assumptions!$C$13)</f>
        <v>139989491.57615224</v>
      </c>
      <c r="T5" s="59">
        <f>S5*('Price and Financial ratios'!V4+1)*(1+Assumptions!$C$13)</f>
        <v>147447052.44258261</v>
      </c>
      <c r="U5" s="59">
        <f>T5*('Price and Financial ratios'!W4+1)*(1+Assumptions!$C$13)</f>
        <v>155301894.65813667</v>
      </c>
      <c r="V5" s="59">
        <f>U5*('Price and Financial ratios'!X4+1)*(1+Assumptions!$C$13)</f>
        <v>163575182.31026721</v>
      </c>
      <c r="W5" s="59">
        <f>V5*('Price and Financial ratios'!Y4+1)*(1+Assumptions!$C$13)</f>
        <v>172289206.94584259</v>
      </c>
      <c r="X5" s="59">
        <f>W5*('Price and Financial ratios'!Z4+1)*(1+Assumptions!$C$13)</f>
        <v>181467447.63349232</v>
      </c>
      <c r="Y5" s="59">
        <f>X5*('Price and Financial ratios'!AA4+1)*(1+Assumptions!$C$13)</f>
        <v>191134634.2256113</v>
      </c>
      <c r="Z5" s="59">
        <f>Y5*('Price and Financial ratios'!AB4+1)*(1+Assumptions!$C$13)</f>
        <v>201316813.99047604</v>
      </c>
      <c r="AA5" s="59">
        <f>Z5*('Price and Financial ratios'!AC4+1)*(1+Assumptions!$C$13)</f>
        <v>212041421.79400614</v>
      </c>
      <c r="AB5" s="59">
        <f>AA5*('Price and Financial ratios'!AD4+1)*(1+Assumptions!$C$13)</f>
        <v>223337354.02026919</v>
      </c>
      <c r="AC5" s="59">
        <f>AB5*('Price and Financial ratios'!AE4+1)*(1+Assumptions!$C$13)</f>
        <v>232973170.98345867</v>
      </c>
      <c r="AD5" s="59">
        <f>AC5*('Price and Financial ratios'!AF4+1)*(1+Assumptions!$C$13)</f>
        <v>243024722.11236975</v>
      </c>
      <c r="AE5" s="59">
        <f>AD5*('Price and Financial ratios'!AG4+1)*(1+Assumptions!$C$13)</f>
        <v>252279313.32466239</v>
      </c>
      <c r="AF5" s="59">
        <f>AE5*('Price and Financial ratios'!AH4+1)*(1+Assumptions!$C$13)</f>
        <v>261119830.7915841</v>
      </c>
    </row>
    <row r="6" spans="1:32" s="11" customFormat="1" x14ac:dyDescent="0.35">
      <c r="A6" s="11" t="s">
        <v>20</v>
      </c>
      <c r="C6" s="59">
        <f>C27</f>
        <v>9432476.0789202452</v>
      </c>
      <c r="D6" s="59">
        <f t="shared" ref="D6:AF6" si="1">D27</f>
        <v>10952622.137170596</v>
      </c>
      <c r="E6" s="59">
        <f>E27</f>
        <v>12536493.284848973</v>
      </c>
      <c r="F6" s="59">
        <f t="shared" si="1"/>
        <v>14186206.874321517</v>
      </c>
      <c r="G6" s="59">
        <f t="shared" si="1"/>
        <v>15903944.302579304</v>
      </c>
      <c r="H6" s="59">
        <f t="shared" si="1"/>
        <v>17691952.864818968</v>
      </c>
      <c r="I6" s="59">
        <f t="shared" si="1"/>
        <v>19552547.66070034</v>
      </c>
      <c r="J6" s="59">
        <f t="shared" si="1"/>
        <v>21488113.554776058</v>
      </c>
      <c r="K6" s="59">
        <f t="shared" si="1"/>
        <v>23501107.192630801</v>
      </c>
      <c r="L6" s="59">
        <f t="shared" si="1"/>
        <v>25594059.074311979</v>
      </c>
      <c r="M6" s="59">
        <f t="shared" si="1"/>
        <v>27769575.68667927</v>
      </c>
      <c r="N6" s="59">
        <f t="shared" si="1"/>
        <v>30030341.696346905</v>
      </c>
      <c r="O6" s="59">
        <f t="shared" si="1"/>
        <v>32379122.204940956</v>
      </c>
      <c r="P6" s="59">
        <f t="shared" si="1"/>
        <v>34818765.068443269</v>
      </c>
      <c r="Q6" s="59">
        <f t="shared" si="1"/>
        <v>37352203.282444775</v>
      </c>
      <c r="R6" s="59">
        <f t="shared" si="1"/>
        <v>39982457.435183272</v>
      </c>
      <c r="S6" s="59">
        <f t="shared" si="1"/>
        <v>42712638.23029498</v>
      </c>
      <c r="T6" s="59">
        <f t="shared" si="1"/>
        <v>45545949.081264615</v>
      </c>
      <c r="U6" s="59">
        <f t="shared" si="1"/>
        <v>48485688.779616207</v>
      </c>
      <c r="V6" s="59">
        <f t="shared" si="1"/>
        <v>51535254.238945387</v>
      </c>
      <c r="W6" s="59">
        <f t="shared" si="1"/>
        <v>54698143.316955358</v>
      </c>
      <c r="X6" s="59">
        <f t="shared" si="1"/>
        <v>57977957.717720211</v>
      </c>
      <c r="Y6" s="59">
        <f t="shared" si="1"/>
        <v>61378405.976464503</v>
      </c>
      <c r="Z6" s="59">
        <f t="shared" si="1"/>
        <v>64903306.529213652</v>
      </c>
      <c r="AA6" s="59">
        <f t="shared" si="1"/>
        <v>68556590.869738072</v>
      </c>
      <c r="AB6" s="59">
        <f t="shared" si="1"/>
        <v>72342306.796284333</v>
      </c>
      <c r="AC6" s="59">
        <f t="shared" si="1"/>
        <v>76264621.750658467</v>
      </c>
      <c r="AD6" s="59">
        <f t="shared" si="1"/>
        <v>80327826.252301529</v>
      </c>
      <c r="AE6" s="59">
        <f t="shared" si="1"/>
        <v>84536337.430073738</v>
      </c>
      <c r="AF6" s="59">
        <f t="shared" si="1"/>
        <v>88894702.654542506</v>
      </c>
    </row>
    <row r="7" spans="1:32" x14ac:dyDescent="0.35">
      <c r="A7" t="s">
        <v>21</v>
      </c>
      <c r="C7" s="4">
        <f>Depreciation!C8+Depreciation!C9</f>
        <v>7619763.6522363052</v>
      </c>
      <c r="D7" s="4">
        <f>Depreciation!D8+Depreciation!D9</f>
        <v>8846541.5976868756</v>
      </c>
      <c r="E7" s="4">
        <f>Depreciation!E8+Depreciation!E9</f>
        <v>10144030.693666393</v>
      </c>
      <c r="F7" s="4">
        <f>Depreciation!F8+Depreciation!F9</f>
        <v>11515500.233192571</v>
      </c>
      <c r="G7" s="4">
        <f>Depreciation!G8+Depreciation!G9</f>
        <v>12964356.335818108</v>
      </c>
      <c r="H7" s="4">
        <f>Depreciation!H8+Depreciation!H9</f>
        <v>14494147.356772888</v>
      </c>
      <c r="I7" s="4">
        <f>Depreciation!I8+Depreciation!I9</f>
        <v>16108569.502180897</v>
      </c>
      <c r="J7" s="4">
        <f>Depreciation!J8+Depreciation!J9</f>
        <v>17811472.658001691</v>
      </c>
      <c r="K7" s="4">
        <f>Depreciation!K8+Depreciation!K9</f>
        <v>19606866.440624774</v>
      </c>
      <c r="L7" s="4">
        <f>Depreciation!L8+Depreciation!L9</f>
        <v>21498926.477333941</v>
      </c>
      <c r="M7" s="4">
        <f>Depreciation!M8+Depreciation!M9</f>
        <v>23492000.925157297</v>
      </c>
      <c r="N7" s="4">
        <f>Depreciation!N8+Depreciation!N9</f>
        <v>25590617.23692856</v>
      </c>
      <c r="O7" s="4">
        <f>Depreciation!O8+Depreciation!O9</f>
        <v>27799489.183705822</v>
      </c>
      <c r="P7" s="4">
        <f>Depreciation!P8+Depreciation!P9</f>
        <v>30123524.143026203</v>
      </c>
      <c r="Q7" s="4">
        <f>Depreciation!Q8+Depreciation!Q9</f>
        <v>32567830.662818979</v>
      </c>
      <c r="R7" s="4">
        <f>Depreciation!R8+Depreciation!R9</f>
        <v>35137726.311156049</v>
      </c>
      <c r="S7" s="4">
        <f>Depreciation!S8+Depreciation!S9</f>
        <v>37838745.822387956</v>
      </c>
      <c r="T7" s="4">
        <f>Depreciation!T8+Depreciation!T9</f>
        <v>40676649.550596073</v>
      </c>
      <c r="U7" s="4">
        <f>Depreciation!U8+Depreciation!U9</f>
        <v>43657432.241687387</v>
      </c>
      <c r="V7" s="4">
        <f>Depreciation!V8+Depreciation!V9</f>
        <v>46787332.135868743</v>
      </c>
      <c r="W7" s="4">
        <f>Depreciation!W8+Depreciation!W9</f>
        <v>50072840.412662223</v>
      </c>
      <c r="X7" s="4">
        <f>Depreciation!X8+Depreciation!X9</f>
        <v>53520710.991063334</v>
      </c>
      <c r="Y7" s="4">
        <f>Depreciation!Y8+Depreciation!Y9</f>
        <v>57137970.697899543</v>
      </c>
      <c r="Z7" s="4">
        <f>Depreciation!Z8+Depreciation!Z9</f>
        <v>60931929.81791845</v>
      </c>
      <c r="AA7" s="4">
        <f>Depreciation!AA8+Depreciation!AA9</f>
        <v>64910193.039623916</v>
      </c>
      <c r="AB7" s="4">
        <f>Depreciation!AB8+Depreciation!AB9</f>
        <v>69080670.811384976</v>
      </c>
      <c r="AC7" s="4">
        <f>Depreciation!AC8+Depreciation!AC9</f>
        <v>73451591.122866154</v>
      </c>
      <c r="AD7" s="4">
        <f>Depreciation!AD8+Depreciation!AD9</f>
        <v>78031511.727371275</v>
      </c>
      <c r="AE7" s="4">
        <f>Depreciation!AE8+Depreciation!AE9</f>
        <v>82829332.821254924</v>
      </c>
      <c r="AF7" s="4">
        <f>Depreciation!AF8+Depreciation!AF9</f>
        <v>87854310.19713828</v>
      </c>
    </row>
    <row r="8" spans="1:32" x14ac:dyDescent="0.35">
      <c r="A8" t="s">
        <v>6</v>
      </c>
      <c r="C8" s="4">
        <f ca="1">'Debt worksheet'!C8</f>
        <v>2839329.8199379351</v>
      </c>
      <c r="D8" s="4">
        <f ca="1">'Debt worksheet'!D8</f>
        <v>3908936.7314725691</v>
      </c>
      <c r="E8" s="4">
        <f ca="1">'Debt worksheet'!E8</f>
        <v>4777776.9053241322</v>
      </c>
      <c r="F8" s="4">
        <f ca="1">'Debt worksheet'!F8</f>
        <v>5403649.8321038485</v>
      </c>
      <c r="G8" s="4">
        <f ca="1">'Debt worksheet'!G8</f>
        <v>5982593.0084405653</v>
      </c>
      <c r="H8" s="4">
        <f ca="1">'Debt worksheet'!H8</f>
        <v>6493197.5016063442</v>
      </c>
      <c r="I8" s="4">
        <f ca="1">'Debt worksheet'!I8</f>
        <v>6988229.8673494002</v>
      </c>
      <c r="J8" s="4">
        <f ca="1">'Debt worksheet'!J8</f>
        <v>7484953.9314048951</v>
      </c>
      <c r="K8" s="4">
        <f ca="1">'Debt worksheet'!K8</f>
        <v>7976384.3523381539</v>
      </c>
      <c r="L8" s="4">
        <f ca="1">'Debt worksheet'!L8</f>
        <v>8486842.6827766616</v>
      </c>
      <c r="M8" s="4">
        <f ca="1">'Debt worksheet'!M8</f>
        <v>9012729.4689326435</v>
      </c>
      <c r="N8" s="4">
        <f ca="1">'Debt worksheet'!N8</f>
        <v>9549822.64575167</v>
      </c>
      <c r="O8" s="4">
        <f ca="1">'Debt worksheet'!O8</f>
        <v>10093214.943960661</v>
      </c>
      <c r="P8" s="4">
        <f ca="1">'Debt worksheet'!P8</f>
        <v>10637246.164293751</v>
      </c>
      <c r="Q8" s="4">
        <f ca="1">'Debt worksheet'!Q8</f>
        <v>11219436.913930593</v>
      </c>
      <c r="R8" s="4">
        <f ca="1">'Debt worksheet'!R8</f>
        <v>11839126.000406558</v>
      </c>
      <c r="S8" s="4">
        <f ca="1">'Debt worksheet'!S8</f>
        <v>12495355.920322323</v>
      </c>
      <c r="T8" s="4">
        <f ca="1">'Debt worksheet'!T8</f>
        <v>13186840.934928287</v>
      </c>
      <c r="U8" s="4">
        <f ca="1">'Debt worksheet'!U8</f>
        <v>13911932.611177357</v>
      </c>
      <c r="V8" s="4">
        <f ca="1">'Debt worksheet'!V8</f>
        <v>14668582.654064482</v>
      </c>
      <c r="W8" s="4">
        <f ca="1">'Debt worksheet'!W8</f>
        <v>15454302.845056864</v>
      </c>
      <c r="X8" s="4">
        <f ca="1">'Debt worksheet'!X8</f>
        <v>16266121.889743822</v>
      </c>
      <c r="Y8" s="4">
        <f ca="1">'Debt worksheet'!Y8</f>
        <v>17100538.965461183</v>
      </c>
      <c r="Z8" s="4">
        <f ca="1">'Debt worksheet'!Z8</f>
        <v>17953473.746531665</v>
      </c>
      <c r="AA8" s="4">
        <f ca="1">'Debt worksheet'!AA8</f>
        <v>18820212.670867067</v>
      </c>
      <c r="AB8" s="4">
        <f ca="1">'Debt worksheet'!AB8</f>
        <v>19695351.196955264</v>
      </c>
      <c r="AC8" s="4">
        <f ca="1">'Debt worksheet'!AC8</f>
        <v>20654768.717947848</v>
      </c>
      <c r="AD8" s="4">
        <f ca="1">'Debt worksheet'!AD8</f>
        <v>21702373.30135373</v>
      </c>
      <c r="AE8" s="4">
        <f ca="1">'Debt worksheet'!AE8</f>
        <v>22886785.155533712</v>
      </c>
      <c r="AF8" s="4">
        <f ca="1">'Debt worksheet'!AF8</f>
        <v>24245108.465431891</v>
      </c>
    </row>
    <row r="9" spans="1:32" x14ac:dyDescent="0.35">
      <c r="A9" t="s">
        <v>22</v>
      </c>
      <c r="C9" s="4">
        <f ca="1">C5-C6-C7-C8</f>
        <v>5052298.278934313</v>
      </c>
      <c r="D9" s="4">
        <f t="shared" ref="D9:AF9" ca="1" si="2">D5-D6-D7-D8</f>
        <v>10395865.385040635</v>
      </c>
      <c r="E9" s="4">
        <f t="shared" ca="1" si="2"/>
        <v>17442651.901709884</v>
      </c>
      <c r="F9" s="4">
        <f t="shared" ca="1" si="2"/>
        <v>25737106.266424559</v>
      </c>
      <c r="G9" s="4">
        <f t="shared" ca="1" si="2"/>
        <v>28473770.355520133</v>
      </c>
      <c r="H9" s="4">
        <f t="shared" ca="1" si="2"/>
        <v>31866784.287288547</v>
      </c>
      <c r="I9" s="4">
        <f t="shared" ca="1" si="2"/>
        <v>33798277.70459687</v>
      </c>
      <c r="J9" s="4">
        <f t="shared" ca="1" si="2"/>
        <v>35284089.373753674</v>
      </c>
      <c r="K9" s="4">
        <f t="shared" ca="1" si="2"/>
        <v>37018574.89577131</v>
      </c>
      <c r="L9" s="4">
        <f t="shared" ca="1" si="2"/>
        <v>38108822.548567824</v>
      </c>
      <c r="M9" s="4">
        <f t="shared" ca="1" si="2"/>
        <v>39354196.608880773</v>
      </c>
      <c r="N9" s="4">
        <f t="shared" ca="1" si="2"/>
        <v>40774159.085906364</v>
      </c>
      <c r="O9" s="4">
        <f t="shared" ca="1" si="2"/>
        <v>42390013.89860516</v>
      </c>
      <c r="P9" s="4">
        <f t="shared" ca="1" si="2"/>
        <v>44225055.241034403</v>
      </c>
      <c r="Q9" s="4">
        <f t="shared" ca="1" si="2"/>
        <v>45047384.715802059</v>
      </c>
      <c r="R9" s="4">
        <f t="shared" ca="1" si="2"/>
        <v>45949808.659543686</v>
      </c>
      <c r="S9" s="4">
        <f t="shared" ca="1" si="2"/>
        <v>46942751.603146985</v>
      </c>
      <c r="T9" s="4">
        <f t="shared" ca="1" si="2"/>
        <v>48037612.875793636</v>
      </c>
      <c r="U9" s="4">
        <f t="shared" ca="1" si="2"/>
        <v>49246841.025655717</v>
      </c>
      <c r="V9" s="4">
        <f t="shared" ca="1" si="2"/>
        <v>50584013.281388588</v>
      </c>
      <c r="W9" s="4">
        <f t="shared" ca="1" si="2"/>
        <v>52063920.371168151</v>
      </c>
      <c r="X9" s="4">
        <f t="shared" ca="1" si="2"/>
        <v>53702657.034964964</v>
      </c>
      <c r="Y9" s="4">
        <f t="shared" ca="1" si="2"/>
        <v>55517718.585786059</v>
      </c>
      <c r="Z9" s="4">
        <f t="shared" ca="1" si="2"/>
        <v>57528103.89681229</v>
      </c>
      <c r="AA9" s="4">
        <f t="shared" ca="1" si="2"/>
        <v>59754425.21377708</v>
      </c>
      <c r="AB9" s="4">
        <f t="shared" ca="1" si="2"/>
        <v>62219025.215644598</v>
      </c>
      <c r="AC9" s="4">
        <f t="shared" ca="1" si="2"/>
        <v>62602189.391986184</v>
      </c>
      <c r="AD9" s="4">
        <f t="shared" ca="1" si="2"/>
        <v>62963010.831343196</v>
      </c>
      <c r="AE9" s="4">
        <f t="shared" ca="1" si="2"/>
        <v>62026857.917800009</v>
      </c>
      <c r="AF9" s="4">
        <f t="shared" ca="1" si="2"/>
        <v>60125709.474471428</v>
      </c>
    </row>
    <row r="12" spans="1:32" x14ac:dyDescent="0.35">
      <c r="A12" t="s">
        <v>79</v>
      </c>
      <c r="C12" s="2">
        <f>Assumptions!$C$25*Assumptions!D9*Assumptions!D13</f>
        <v>8253429.5154534271</v>
      </c>
      <c r="D12" s="2">
        <f>Assumptions!$C$25*Assumptions!E9*Assumptions!E13</f>
        <v>8542650.9614444189</v>
      </c>
      <c r="E12" s="2">
        <f>Assumptions!$C$25*Assumptions!F9*Assumptions!F13</f>
        <v>8842007.472460743</v>
      </c>
      <c r="F12" s="2">
        <f>Assumptions!$C$25*Assumptions!G9*Assumptions!G13</f>
        <v>9151854.2073071543</v>
      </c>
      <c r="G12" s="2">
        <f>Assumptions!$C$25*Assumptions!H9*Assumptions!H13</f>
        <v>9472558.7704684567</v>
      </c>
      <c r="H12" s="2">
        <f>Assumptions!$C$25*Assumptions!I9*Assumptions!I13</f>
        <v>9804501.648238223</v>
      </c>
      <c r="I12" s="2">
        <f>Assumptions!$C$25*Assumptions!J9*Assumptions!J13</f>
        <v>10148076.660130566</v>
      </c>
      <c r="J12" s="2">
        <f>Assumptions!$C$25*Assumptions!K9*Assumptions!K13</f>
        <v>10503691.426110564</v>
      </c>
      <c r="K12" s="2">
        <f>Assumptions!$C$25*Assumptions!L9*Assumptions!L13</f>
        <v>10871767.850197645</v>
      </c>
      <c r="L12" s="2">
        <f>Assumptions!$C$25*Assumptions!M9*Assumptions!M13</f>
        <v>11252742.621015662</v>
      </c>
      <c r="M12" s="2">
        <f>Assumptions!$C$25*Assumptions!N9*Assumptions!N13</f>
        <v>11647067.72988355</v>
      </c>
      <c r="N12" s="2">
        <f>Assumptions!$C$25*Assumptions!O9*Assumptions!O13</f>
        <v>12055211.007061202</v>
      </c>
      <c r="O12" s="2">
        <f>Assumptions!$C$25*Assumptions!P9*Assumptions!P13</f>
        <v>12477656.676786803</v>
      </c>
      <c r="P12" s="2">
        <f>Assumptions!$C$25*Assumptions!Q9*Assumptions!Q13</f>
        <v>12914905.931764074</v>
      </c>
      <c r="Q12" s="2">
        <f>Assumptions!$C$25*Assumptions!R9*Assumptions!R13</f>
        <v>13367477.527781058</v>
      </c>
      <c r="R12" s="2">
        <f>Assumptions!$C$25*Assumptions!S9*Assumptions!S13</f>
        <v>13835908.399165859</v>
      </c>
      <c r="S12" s="2">
        <f>Assumptions!$C$25*Assumptions!T9*Assumptions!T13</f>
        <v>14320754.295809565</v>
      </c>
      <c r="T12" s="2">
        <f>Assumptions!$C$25*Assumptions!U9*Assumptions!U13</f>
        <v>14822590.442512052</v>
      </c>
      <c r="U12" s="2">
        <f>Assumptions!$C$25*Assumptions!V9*Assumptions!V13</f>
        <v>15342012.221433017</v>
      </c>
      <c r="V12" s="2">
        <f>Assumptions!$C$25*Assumptions!W9*Assumptions!W13</f>
        <v>15879635.878457794</v>
      </c>
      <c r="W12" s="2">
        <f>Assumptions!$C$25*Assumptions!X9*Assumptions!X13</f>
        <v>16436099.254316121</v>
      </c>
      <c r="X12" s="2">
        <f>Assumptions!$C$25*Assumptions!Y9*Assumptions!Y13</f>
        <v>17012062.541321136</v>
      </c>
      <c r="Y12" s="2">
        <f>Assumptions!$C$25*Assumptions!Z9*Assumptions!Z13</f>
        <v>17608209.066626474</v>
      </c>
      <c r="Z12" s="2">
        <f>Assumptions!$C$25*Assumptions!AA9*Assumptions!AA13</f>
        <v>18225246.102930721</v>
      </c>
      <c r="AA12" s="2">
        <f>Assumptions!$C$25*Assumptions!AB9*Assumptions!AB13</f>
        <v>18863905.707591038</v>
      </c>
      <c r="AB12" s="2">
        <f>Assumptions!$C$25*Assumptions!AC9*Assumptions!AC13</f>
        <v>19524945.591141488</v>
      </c>
      <c r="AC12" s="2">
        <f>Assumptions!$C$25*Assumptions!AD9*Assumptions!AD13</f>
        <v>20209150.016246483</v>
      </c>
      <c r="AD12" s="2">
        <f>Assumptions!$C$25*Assumptions!AE9*Assumptions!AE13</f>
        <v>20917330.728155855</v>
      </c>
      <c r="AE12" s="2">
        <f>Assumptions!$C$25*Assumptions!AF9*Assumptions!AF13</f>
        <v>21650327.917765543</v>
      </c>
      <c r="AF12" s="2">
        <f>Assumptions!$C$25*Assumptions!AG9*Assumptions!AG13</f>
        <v>22409011.218426324</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1179046.5634668185</v>
      </c>
      <c r="D14" s="5">
        <f>Assumptions!E122*Assumptions!E9</f>
        <v>2409971.1757261772</v>
      </c>
      <c r="E14" s="5">
        <f>Assumptions!F122*Assumptions!F9</f>
        <v>3694485.8123882301</v>
      </c>
      <c r="F14" s="5">
        <f>Assumptions!G122*Assumptions!G9</f>
        <v>5034352.6670143614</v>
      </c>
      <c r="G14" s="5">
        <f>Assumptions!H122*Assumptions!H9</f>
        <v>6431385.5321108475</v>
      </c>
      <c r="H14" s="5">
        <f>Assumptions!I122*Assumptions!I9</f>
        <v>7887451.216580743</v>
      </c>
      <c r="I14" s="5">
        <f>Assumptions!J122*Assumptions!J9</f>
        <v>9404471.0005697738</v>
      </c>
      <c r="J14" s="5">
        <f>Assumptions!K122*Assumptions!K9</f>
        <v>10984422.128665496</v>
      </c>
      <c r="K14" s="5">
        <f>Assumptions!L122*Assumptions!L9</f>
        <v>12629339.342433156</v>
      </c>
      <c r="L14" s="5">
        <f>Assumptions!M122*Assumptions!M9</f>
        <v>14341316.453296317</v>
      </c>
      <c r="M14" s="5">
        <f>Assumptions!N122*Assumptions!N9</f>
        <v>16122507.95679572</v>
      </c>
      <c r="N14" s="5">
        <f>Assumptions!O122*Assumptions!O9</f>
        <v>17975130.689285703</v>
      </c>
      <c r="O14" s="5">
        <f>Assumptions!P122*Assumptions!P9</f>
        <v>19901465.528154153</v>
      </c>
      <c r="P14" s="5">
        <f>Assumptions!Q122*Assumptions!Q9</f>
        <v>21903859.136679195</v>
      </c>
      <c r="Q14" s="5">
        <f>Assumptions!R122*Assumptions!R9</f>
        <v>23984725.754663721</v>
      </c>
      <c r="R14" s="5">
        <f>Assumptions!S122*Assumptions!S9</f>
        <v>26146549.03601741</v>
      </c>
      <c r="S14" s="5">
        <f>Assumptions!T122*Assumptions!T9</f>
        <v>28391883.934485413</v>
      </c>
      <c r="T14" s="5">
        <f>Assumptions!U122*Assumptions!U9</f>
        <v>30723358.638752565</v>
      </c>
      <c r="U14" s="5">
        <f>Assumptions!V122*Assumptions!V9</f>
        <v>33143676.558183186</v>
      </c>
      <c r="V14" s="5">
        <f>Assumptions!W122*Assumptions!W9</f>
        <v>35655618.360487595</v>
      </c>
      <c r="W14" s="5">
        <f>Assumptions!X122*Assumptions!X9</f>
        <v>38262044.062639236</v>
      </c>
      <c r="X14" s="5">
        <f>Assumptions!Y122*Assumptions!Y9</f>
        <v>40965895.176399074</v>
      </c>
      <c r="Y14" s="5">
        <f>Assumptions!Z122*Assumptions!Z9</f>
        <v>43770196.909838028</v>
      </c>
      <c r="Z14" s="5">
        <f>Assumptions!AA122*Assumptions!AA9</f>
        <v>46678060.426282927</v>
      </c>
      <c r="AA14" s="5">
        <f>Assumptions!AB122*Assumptions!AB9</f>
        <v>49692685.162147038</v>
      </c>
      <c r="AB14" s="5">
        <f>Assumptions!AC122*Assumptions!AC9</f>
        <v>52817361.205142841</v>
      </c>
      <c r="AC14" s="5">
        <f>Assumptions!AD122*Assumptions!AD9</f>
        <v>56055471.734411985</v>
      </c>
      <c r="AD14" s="5">
        <f>Assumptions!AE122*Assumptions!AE9</f>
        <v>59410495.52414567</v>
      </c>
      <c r="AE14" s="5">
        <f>Assumptions!AF122*Assumptions!AF9</f>
        <v>62886009.512308195</v>
      </c>
      <c r="AF14" s="5">
        <f>Assumptions!AG122*Assumptions!AG9</f>
        <v>66485691.436116174</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9432476.0789202452</v>
      </c>
      <c r="D27" s="2">
        <f t="shared" ref="D27:AF27" si="8">D12+D13+D14+D19+D20+D22+D24+D25</f>
        <v>10952622.137170596</v>
      </c>
      <c r="E27" s="2">
        <f t="shared" si="8"/>
        <v>12536493.284848973</v>
      </c>
      <c r="F27" s="2">
        <f t="shared" si="8"/>
        <v>14186206.874321517</v>
      </c>
      <c r="G27" s="2">
        <f t="shared" si="8"/>
        <v>15903944.302579304</v>
      </c>
      <c r="H27" s="2">
        <f t="shared" si="8"/>
        <v>17691952.864818968</v>
      </c>
      <c r="I27" s="2">
        <f t="shared" si="8"/>
        <v>19552547.66070034</v>
      </c>
      <c r="J27" s="2">
        <f t="shared" si="8"/>
        <v>21488113.554776058</v>
      </c>
      <c r="K27" s="2">
        <f t="shared" si="8"/>
        <v>23501107.192630801</v>
      </c>
      <c r="L27" s="2">
        <f t="shared" si="8"/>
        <v>25594059.074311979</v>
      </c>
      <c r="M27" s="2">
        <f t="shared" si="8"/>
        <v>27769575.68667927</v>
      </c>
      <c r="N27" s="2">
        <f t="shared" si="8"/>
        <v>30030341.696346905</v>
      </c>
      <c r="O27" s="2">
        <f t="shared" si="8"/>
        <v>32379122.204940956</v>
      </c>
      <c r="P27" s="2">
        <f t="shared" si="8"/>
        <v>34818765.068443269</v>
      </c>
      <c r="Q27" s="2">
        <f t="shared" si="8"/>
        <v>37352203.282444775</v>
      </c>
      <c r="R27" s="2">
        <f t="shared" si="8"/>
        <v>39982457.435183272</v>
      </c>
      <c r="S27" s="2">
        <f t="shared" si="8"/>
        <v>42712638.23029498</v>
      </c>
      <c r="T27" s="2">
        <f t="shared" si="8"/>
        <v>45545949.081264615</v>
      </c>
      <c r="U27" s="2">
        <f t="shared" si="8"/>
        <v>48485688.779616207</v>
      </c>
      <c r="V27" s="2">
        <f t="shared" si="8"/>
        <v>51535254.238945387</v>
      </c>
      <c r="W27" s="2">
        <f t="shared" si="8"/>
        <v>54698143.316955358</v>
      </c>
      <c r="X27" s="2">
        <f t="shared" si="8"/>
        <v>57977957.717720211</v>
      </c>
      <c r="Y27" s="2">
        <f t="shared" si="8"/>
        <v>61378405.976464503</v>
      </c>
      <c r="Z27" s="2">
        <f t="shared" si="8"/>
        <v>64903306.529213652</v>
      </c>
      <c r="AA27" s="2">
        <f t="shared" si="8"/>
        <v>68556590.869738072</v>
      </c>
      <c r="AB27" s="2">
        <f t="shared" si="8"/>
        <v>72342306.796284333</v>
      </c>
      <c r="AC27" s="2">
        <f t="shared" si="8"/>
        <v>76264621.750658467</v>
      </c>
      <c r="AD27" s="2">
        <f t="shared" si="8"/>
        <v>80327826.252301529</v>
      </c>
      <c r="AE27" s="2">
        <f t="shared" si="8"/>
        <v>84536337.430073738</v>
      </c>
      <c r="AF27" s="2">
        <f t="shared" si="8"/>
        <v>88894702.654542506</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3W2DU3RAJ5R2-1900874439-849</_dlc_DocId>
    <_dlc_DocIdUrl xmlns="f54e2983-00ce-40fc-8108-18f351fc47bf">
      <Url>https://dia.cohesion.net.nz/Sites/LGV/TWRP/CAE/_layouts/15/DocIdRedir.aspx?ID=3W2DU3RAJ5R2-1900874439-849</Url>
      <Description>3W2DU3RAJ5R2-1900874439-849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5B2D58C-9A53-44A6-8BB5-BBFD7ACFDFD1}"/>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CBCC2D2A-763C-48F8-A3E5-6B0A81386C39}">
  <ds:schemaRefs>
    <ds:schemaRef ds:uri="65b6d800-2dda-48d6-88d8-9e2b35e6f7ea"/>
    <ds:schemaRef ds:uri="08a23fc5-e034-477c-ac83-93bc1440f322"/>
    <ds:schemaRef ds:uri="http://schemas.microsoft.com/office/2006/documentManagement/types"/>
    <ds:schemaRef ds:uri="http://schemas.microsoft.com/sharepoint/v3"/>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86FBED8B-1B4C-497F-9ADB-3DBEC4F817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2021-07-06T14:39:28Z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bc0e0f99-fadf-443d-b434-5f52379fff53</vt:lpwstr>
  </property>
</Properties>
</file>