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9" documentId="8_{52A203F1-24A0-4C52-B7AB-B44364DEAC9C}" xr6:coauthVersionLast="47" xr6:coauthVersionMax="47" xr10:uidLastSave="{EDA87847-CEEF-4686-8764-88E36F4163A2}"/>
  <bookViews>
    <workbookView xWindow="0" yWindow="380" windowWidth="38620" windowHeight="2122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<sst xmlns="http://schemas.openxmlformats.org/spreadsheetml/2006/main" count="277" uniqueCount="204">
  <si>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</si>
  <si>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</si>
  <si>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</si>
  <si>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</si>
  <si>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</si>
  <si>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</si>
  <si>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</si>
  <si>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</si>
  <si>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</si>
  <si>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</si>
  <si>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</si>
  <si>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</si>
  <si>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</si>
  <si>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</si>
  <si>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</si>
  <si>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</si>
  <si>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</si>
  <si>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</si>
  <si>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</si>
  <si>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</si>
  <si>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</si>
  <si>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</si>
  <si>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</si>
  <si>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</si>
  <si>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</si>
  <si>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</si>
  <si>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</si>
  <si>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</si>
  <si>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</si>
  <si>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</si>
  <si>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</si>
  <si>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</si>
  <si>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</si>
  <si>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</si>
  <si>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</si>
  <si>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</si>
  <si>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</si>
  <si>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</si>
  <si>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</si>
  <si>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</si>
  <si>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</si>
  <si>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</si>
  <si>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</si>
  <si>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</si>
  <si>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</si>
  <si>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</si>
  <si>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</si>
  <si>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</si>
  <si>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</si>
  <si>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</si>
  <si>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</si>
  <si>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</si>
  <si>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</si>
  <si>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</si>
  <si>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</si>
  <si>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</si>
  <si>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</si>
  <si>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</si>
  <si>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</si>
  <si>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</si>
  <si>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</si>
  <si>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</si>
  <si>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</si>
  <si>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</si>
  <si>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</si>
  <si>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</si>
  <si>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</si>
  <si>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</si>
  <si>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</si>
  <si>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</si>
  <si>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</si>
  <si>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</si>
  <si>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</si>
  <si>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</si>
  <si>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</si>
  <si>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</si>
  <si>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</si>
  <si>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</si>
  <si>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</si>
  <si>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</si>
  <si>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</si>
  <si>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</si>
  <si>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</si>
  <si>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</si>
  <si>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</si>
  <si>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</si>
  <si>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</si>
  <si>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</si>
  <si>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</si>
  <si>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</si>
  <si>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</si>
  <si>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</si>
  <si>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</si>
  <si>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</si>
  <si>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</si>
  <si>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</si>
  <si>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</si>
  <si>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</si>
  <si>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</si>
  <si>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</si>
  <si>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</si>
  <si>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</si>
  <si>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</si>
  <si>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</si>
  <si>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</si>
  <si>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</si>
  <si>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</si>
  <si>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</si>
  <si>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</si>
  <si>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</si>
  <si>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</si>
  <si>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</si>
  <si>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</si>
  <si>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</si>
  <si>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</si>
  <si>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</si>
  <si>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</si>
  <si>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</si>
  <si>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</si>
  <si>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</si>
  <si>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</si>
  <si>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</si>
  <si>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</si>
  <si>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</si>
  <si>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</si>
  <si>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</si>
  <si>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</si>
  <si>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</si>
  <si>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</si>
  <si>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</si>
  <si>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</si>
  <si>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</si>
  <si>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</si>
  <si>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</si>
  <si>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</si>
  <si>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</si>
  <si>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</si>
  <si>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</si>
  <si>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</si>
  <si>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</si>
  <si>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</si>
  <si>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</si>
  <si>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</si>
  <si>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</si>
  <si>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</si>
  <si>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</si>
  <si>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</si>
  <si>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</si>
  <si>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</si>
  <si>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</si>
  <si>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</si>
  <si>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</si>
  <si>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</si>
  <si>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</si>
  <si>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</si>
  <si>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</si>
  <si>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</si>
  <si>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</si>
  <si>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</si>
  <si>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</si>
  <si>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</si>
  <si>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</si>
  <si>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</si>
  <si>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</si>
  <si>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</si>
  <si>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</si>
  <si>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</si>
  <si>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</si>
  <si>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</si>
  <si>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</si>
  <si>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</si>
  <si>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</si>
  <si>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</si>
  <si>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</si>
  <si>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</si>
  <si>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</si>
  <si>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</si>
  <si>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</si>
  <si>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</si>
  <si>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</si>
  <si>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</si>
  <si>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</si>
  <si>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</si>
  <si>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</si>
  <si>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</si>
  <si>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</si>
  <si>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</si>
  <si>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</si>
  <si>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</si>
  <si>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</si>
  <si>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</si>
  <si>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</si>
  <si>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</si>
  <si>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</si>
  <si>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</si>
  <si>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</si>
  <si>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</si>
  <si>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</si>
  <si>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Western Bay of Plenty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</si>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</sst>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627535000</v>
      </c>
      <c r="C6" s="12">
        <f ca="1">B6+Depreciation!C18+'Cash Flow'!C13</f>
        <v>645966544.42951703</v>
      </c>
      <c r="D6" s="1">
        <f ca="1">C6+Depreciation!D18</f>
        <v>687213411.31738257</v>
      </c>
      <c r="E6" s="1">
        <f ca="1">D6+Depreciation!E18</f>
        <v>730536688.60459566</v>
      </c>
      <c r="F6" s="1">
        <f ca="1">E6+Depreciation!F18</f>
        <v>776027029.76502132</v>
      </c>
      <c r="G6" s="1">
        <f ca="1">F6+Depreciation!G18</f>
        <v>823778763.8506031</v>
      </c>
      <c r="H6" s="1">
        <f ca="1">G6+Depreciation!H18</f>
        <v>873890037.89920282</v>
      </c>
      <c r="I6" s="1">
        <f ca="1">H6+Depreciation!I18</f>
        <v>926462964.69274986</v>
      </c>
      <c r="J6" s="1">
        <f ca="1">I6+Depreciation!J18</f>
        <v>981603776.06229508</v>
      </c>
      <c r="K6" s="1">
        <f ca="1">J6+Depreciation!K18</f>
        <v>1039422981.9436659</v>
      </c>
      <c r="L6" s="1">
        <f ca="1">K6+Depreciation!L18</f>
        <v>1100035535.3947766</v>
      </c>
      <c r="M6" s="1">
        <f ca="1">L6+Depreciation!M18</f>
        <v>1163561003.793268</v>
      </c>
      <c r="N6" s="1">
        <f ca="1">M6+Depreciation!N18</f>
        <v>1230123746.4410386</v>
      </c>
      <c r="O6" s="1">
        <f ca="1">N6+Depreciation!O18</f>
        <v>1299853098.8104022</v>
      </c>
      <c r="P6" s="1">
        <f ca="1">O6+Depreciation!P18</f>
        <v>1372883563.6750693</v>
      </c>
      <c r="Q6" s="1">
        <f ca="1">P6+Depreciation!Q18</f>
        <v>1449355009.3779135</v>
      </c>
      <c r="R6" s="1">
        <f ca="1">Q6+Depreciation!R18</f>
        <v>1529412875.4965563</v>
      </c>
      <c r="S6" s="1">
        <f ca="1">R6+Depreciation!S18</f>
        <v>1613208386.1772094</v>
      </c>
      <c r="T6" s="1">
        <f ca="1">S6+Depreciation!T18</f>
        <v>1700898771.4169357</v>
      </c>
      <c r="U6" s="1">
        <f ca="1">T6+Depreciation!U18</f>
        <v>1792647496.584579</v>
      </c>
      <c r="V6" s="1">
        <f ca="1">U6+Depreciation!V18</f>
        <v>1888624500.4810405</v>
      </c>
      <c r="W6" s="1">
        <f ca="1">V6+Depreciation!W18</f>
        <v>1989006442.2503929</v>
      </c>
      <c r="X6" s="1">
        <f ca="1">W6+Depreciation!X18</f>
        <v>2093976957.4645114</v>
      </c>
      <c r="Y6" s="1">
        <f ca="1">X6+Depreciation!Y18</f>
        <v>2203726923.7154889</v>
      </c>
      <c r="Z6" s="1">
        <f ca="1">Y6+Depreciation!Z18</f>
        <v>2318454736.0621057</v>
      </c>
      <c r="AA6" s="1">
        <f ca="1">Z6+Depreciation!AA18</f>
        <v>2438366592.6890411</v>
      </c>
      <c r="AB6" s="1">
        <f ca="1">AA6+Depreciation!AB18</f>
        <v>2563676791.1503925</v>
      </c>
      <c r="AC6" s="1">
        <f ca="1">AB6+Depreciation!AC18</f>
        <v>2694608035.582377</v>
      </c>
      <c r="AD6" s="1">
        <f ca="1">AC6+Depreciation!AD18</f>
        <v>2831391755.2838907</v>
      </c>
      <c r="AE6" s="1">
        <f ca="1">AD6+Depreciation!AE18</f>
        <v>2974268435.0778847</v>
      </c>
      <c r="AF6" s="1"/>
      <c r="AG6" s="1"/>
      <c r="AH6" s="1"/>
      <c r="AI6" s="1"/>
      <c r="AJ6" s="1"/>
      <c r="AK6" s="1"/>
      <c r="AL6" s="1"/>
      <c r="AM6" s="1"/>
      <c r="AN6" s="1"/>
      <c r="AO6" s="1"/>
      <c r="AP6" s="1"/>
    </row>
    <row r="7" spans="1:42" x14ac:dyDescent="0.35">
      <c r="A7" t="s">
        <v>12</v>
      </c>
      <c r="B7" s="1">
        <f>Depreciation!C12</f>
        <v>323428294.98084575</v>
      </c>
      <c r="C7" s="1">
        <f>Depreciation!D12</f>
        <v>334131288.36516374</v>
      </c>
      <c r="D7" s="1">
        <f>Depreciation!E12</f>
        <v>345933288.19671577</v>
      </c>
      <c r="E7" s="1">
        <f>Depreciation!F12</f>
        <v>358893671.02289927</v>
      </c>
      <c r="F7" s="1">
        <f>Depreciation!G12</f>
        <v>373074488.10754317</v>
      </c>
      <c r="G7" s="1">
        <f>Depreciation!H12</f>
        <v>388540575.81117487</v>
      </c>
      <c r="H7" s="1">
        <f>Depreciation!I12</f>
        <v>405359670.29671496</v>
      </c>
      <c r="I7" s="1">
        <f>Depreciation!J12</f>
        <v>423602526.72439706</v>
      </c>
      <c r="J7" s="1">
        <f>Depreciation!K12</f>
        <v>443343043.10576504</v>
      </c>
      <c r="K7" s="1">
        <f>Depreciation!L12</f>
        <v>464658388.99287283</v>
      </c>
      <c r="L7" s="1">
        <f>Depreciation!M12</f>
        <v>487629139.18531334</v>
      </c>
      <c r="M7" s="1">
        <f>Depreciation!N12</f>
        <v>512339412.64443946</v>
      </c>
      <c r="N7" s="1">
        <f>Depreciation!O12</f>
        <v>538877016.81112194</v>
      </c>
      <c r="O7" s="1">
        <f>Depreciation!P12</f>
        <v>567333597.53062224</v>
      </c>
      <c r="P7" s="1">
        <f>Depreciation!Q12</f>
        <v>597804794.79565406</v>
      </c>
      <c r="Q7" s="1">
        <f>Depreciation!R12</f>
        <v>630390404.5264746</v>
      </c>
      <c r="R7" s="1">
        <f>Depreciation!S12</f>
        <v>665194546.61489499</v>
      </c>
      <c r="S7" s="1">
        <f>Depreciation!T12</f>
        <v>702325839.46743715</v>
      </c>
      <c r="T7" s="1">
        <f>Depreciation!U12</f>
        <v>741897581.29150653</v>
      </c>
      <c r="U7" s="1">
        <f>Depreciation!V12</f>
        <v>784027938.3773998</v>
      </c>
      <c r="V7" s="1">
        <f>Depreciation!W12</f>
        <v>828840140.63824582</v>
      </c>
      <c r="W7" s="1">
        <f>Depreciation!X12</f>
        <v>876462684.67958558</v>
      </c>
      <c r="X7" s="1">
        <f>Depreciation!Y12</f>
        <v>927029544.68025565</v>
      </c>
      <c r="Y7" s="1">
        <f>Depreciation!Z12</f>
        <v>980680391.37655473</v>
      </c>
      <c r="Z7" s="1">
        <f>Depreciation!AA12</f>
        <v>1037560819.4523624</v>
      </c>
      <c r="AA7" s="1">
        <f>Depreciation!AB12</f>
        <v>1097822583.6489503</v>
      </c>
      <c r="AB7" s="1">
        <f>Depreciation!AC12</f>
        <v>1161623843.9196987</v>
      </c>
      <c r="AC7" s="1">
        <f>Depreciation!AD12</f>
        <v>1229129419.9668167</v>
      </c>
      <c r="AD7" s="1">
        <f>Depreciation!AE12</f>
        <v>1300511055.5094743</v>
      </c>
      <c r="AE7" s="1">
        <f>Depreciation!AF12</f>
        <v>1375947692.645514</v>
      </c>
      <c r="AF7" s="1"/>
      <c r="AG7" s="1"/>
      <c r="AH7" s="1"/>
      <c r="AI7" s="1"/>
      <c r="AJ7" s="1"/>
      <c r="AK7" s="1"/>
      <c r="AL7" s="1"/>
      <c r="AM7" s="1"/>
      <c r="AN7" s="1"/>
      <c r="AO7" s="1"/>
      <c r="AP7" s="1"/>
    </row>
    <row r="8" spans="1:42" x14ac:dyDescent="0.35">
      <c r="A8" t="s">
        <v>191</v>
      </c>
      <c r="B8" s="1">
        <f t="shared" ref="B8:AE8" si="1">B6-B7</f>
        <v>304106705.01915425</v>
      </c>
      <c r="C8" s="1">
        <f t="shared" ca="1" si="1"/>
        <v>311835256.06435329</v>
      </c>
      <c r="D8" s="1">
        <f ca="1">D6-D7</f>
        <v>341280123.1206668</v>
      </c>
      <c r="E8" s="1">
        <f t="shared" ca="1" si="1"/>
        <v>371643017.58169639</v>
      </c>
      <c r="F8" s="1">
        <f t="shared" ca="1" si="1"/>
        <v>402952541.65747815</v>
      </c>
      <c r="G8" s="1">
        <f t="shared" ca="1" si="1"/>
        <v>435238188.03942823</v>
      </c>
      <c r="H8" s="1">
        <f t="shared" ca="1" si="1"/>
        <v>468530367.60248786</v>
      </c>
      <c r="I8" s="1">
        <f t="shared" ca="1" si="1"/>
        <v>502860437.96835279</v>
      </c>
      <c r="J8" s="1">
        <f t="shared" ca="1" si="1"/>
        <v>538260732.95653009</v>
      </c>
      <c r="K8" s="1">
        <f t="shared" ca="1" si="1"/>
        <v>574764592.95079303</v>
      </c>
      <c r="L8" s="1">
        <f t="shared" ca="1" si="1"/>
        <v>612406396.20946324</v>
      </c>
      <c r="M8" s="1">
        <f t="shared" ca="1" si="1"/>
        <v>651221591.14882851</v>
      </c>
      <c r="N8" s="1">
        <f t="shared" ca="1" si="1"/>
        <v>691246729.62991667</v>
      </c>
      <c r="O8" s="1">
        <f t="shared" ca="1" si="1"/>
        <v>732519501.27977991</v>
      </c>
      <c r="P8" s="1">
        <f t="shared" ca="1" si="1"/>
        <v>775078768.87941527</v>
      </c>
      <c r="Q8" s="1">
        <f t="shared" ca="1" si="1"/>
        <v>818964604.85143888</v>
      </c>
      <c r="R8" s="1">
        <f t="shared" ca="1" si="1"/>
        <v>864218328.8816613</v>
      </c>
      <c r="S8" s="1">
        <f t="shared" ca="1" si="1"/>
        <v>910882546.70977223</v>
      </c>
      <c r="T8" s="1">
        <f t="shared" ca="1" si="1"/>
        <v>959001190.12542915</v>
      </c>
      <c r="U8" s="1">
        <f t="shared" ca="1" si="1"/>
        <v>1008619558.2071792</v>
      </c>
      <c r="V8" s="1">
        <f t="shared" ca="1" si="1"/>
        <v>1059784359.8427947</v>
      </c>
      <c r="W8" s="1">
        <f t="shared" ca="1" si="1"/>
        <v>1112543757.5708075</v>
      </c>
      <c r="X8" s="1">
        <f t="shared" ca="1" si="1"/>
        <v>1166947412.7842557</v>
      </c>
      <c r="Y8" s="1">
        <f t="shared" ca="1" si="1"/>
        <v>1223046532.3389342</v>
      </c>
      <c r="Z8" s="1">
        <f t="shared" ca="1" si="1"/>
        <v>1280893916.6097431</v>
      </c>
      <c r="AA8" s="1">
        <f t="shared" ca="1" si="1"/>
        <v>1340544009.0400908</v>
      </c>
      <c r="AB8" s="1">
        <f t="shared" ca="1" si="1"/>
        <v>1402052947.2306938</v>
      </c>
      <c r="AC8" s="1">
        <f t="shared" ca="1" si="1"/>
        <v>1465478615.6155603</v>
      </c>
      <c r="AD8" s="1">
        <f t="shared" ca="1" si="1"/>
        <v>1530880699.7744164</v>
      </c>
      <c r="AE8" s="1">
        <f t="shared" ca="1" si="1"/>
        <v>1598320742.4323707</v>
      </c>
      <c r="AF8" s="1"/>
      <c r="AG8" s="1"/>
      <c r="AH8" s="1"/>
      <c r="AI8" s="1"/>
      <c r="AJ8" s="1"/>
      <c r="AK8" s="1"/>
      <c r="AL8" s="1"/>
      <c r="AM8" s="1"/>
      <c r="AN8" s="1"/>
      <c r="AO8" s="1"/>
      <c r="AP8" s="1"/>
    </row>
    <row r="10" spans="1:42" x14ac:dyDescent="0.35">
      <c r="A10" t="s">
        <v>17</v>
      </c>
      <c r="B10" s="1">
        <f>B8-B11</f>
        <v>212764705.01915425</v>
      </c>
      <c r="C10" s="1">
        <f ca="1">C8-C11</f>
        <v>199667228.86230022</v>
      </c>
      <c r="D10" s="1">
        <f ca="1">D8-D11</f>
        <v>211369990.64664924</v>
      </c>
      <c r="E10" s="1">
        <f t="shared" ref="E10:AE10" ca="1" si="2">E8-E11</f>
        <v>224648251.03172654</v>
      </c>
      <c r="F10" s="1">
        <f t="shared" ca="1" si="2"/>
        <v>239932008.03483611</v>
      </c>
      <c r="G10" s="1">
        <f ca="1">G8-G11</f>
        <v>257717046.47799262</v>
      </c>
      <c r="H10" s="1">
        <f t="shared" ca="1" si="2"/>
        <v>277145242.66261095</v>
      </c>
      <c r="I10" s="1">
        <f t="shared" ca="1" si="2"/>
        <v>298551384.95207798</v>
      </c>
      <c r="J10" s="1">
        <f t="shared" ca="1" si="2"/>
        <v>321477078.25479209</v>
      </c>
      <c r="K10" s="1">
        <f t="shared" ca="1" si="2"/>
        <v>345291050.85734373</v>
      </c>
      <c r="L10" s="1">
        <f t="shared" ca="1" si="2"/>
        <v>370138527.27128398</v>
      </c>
      <c r="M10" s="1">
        <f t="shared" ca="1" si="2"/>
        <v>396182432.10269582</v>
      </c>
      <c r="N10" s="1">
        <f t="shared" ca="1" si="2"/>
        <v>422528232.55965877</v>
      </c>
      <c r="O10" s="1">
        <f t="shared" ca="1" si="2"/>
        <v>449216779.86808372</v>
      </c>
      <c r="P10" s="1">
        <f t="shared" ca="1" si="2"/>
        <v>476295396.39143747</v>
      </c>
      <c r="Q10" s="1">
        <f t="shared" ca="1" si="2"/>
        <v>503818513.3039642</v>
      </c>
      <c r="R10" s="1">
        <f t="shared" ca="1" si="2"/>
        <v>531848357.88841283</v>
      </c>
      <c r="S10" s="1">
        <f t="shared" ca="1" si="2"/>
        <v>560455693.84490168</v>
      </c>
      <c r="T10" s="1">
        <f t="shared" ca="1" si="2"/>
        <v>589720618.21075916</v>
      </c>
      <c r="U10" s="1">
        <f t="shared" ca="1" si="2"/>
        <v>619733418.71713555</v>
      </c>
      <c r="V10" s="1">
        <f t="shared" ca="1" si="2"/>
        <v>650595495.64758348</v>
      </c>
      <c r="W10" s="1">
        <f t="shared" ca="1" si="2"/>
        <v>682420352.51746595</v>
      </c>
      <c r="X10" s="1">
        <f t="shared" ca="1" si="2"/>
        <v>715334660.16175568</v>
      </c>
      <c r="Y10" s="1">
        <f t="shared" ca="1" si="2"/>
        <v>749479399.10342968</v>
      </c>
      <c r="Z10" s="1">
        <f t="shared" ca="1" si="2"/>
        <v>785011085.37612295</v>
      </c>
      <c r="AA10" s="1">
        <f t="shared" ca="1" si="2"/>
        <v>820433512.87357473</v>
      </c>
      <c r="AB10" s="1">
        <f t="shared" ca="1" si="2"/>
        <v>855717029.55377877</v>
      </c>
      <c r="AC10" s="1">
        <f t="shared" ca="1" si="2"/>
        <v>890832095.98325253</v>
      </c>
      <c r="AD10" s="1">
        <f t="shared" ca="1" si="2"/>
        <v>925749440.31383729</v>
      </c>
      <c r="AE10" s="1">
        <f t="shared" ca="1" si="2"/>
        <v>960440229.244766</v>
      </c>
      <c r="AF10" s="1"/>
      <c r="AG10" s="1"/>
      <c r="AH10" s="1"/>
      <c r="AI10" s="1"/>
      <c r="AJ10" s="1"/>
      <c r="AK10" s="1"/>
      <c r="AL10" s="1"/>
      <c r="AM10" s="1"/>
      <c r="AN10" s="1"/>
      <c r="AO10" s="1"/>
    </row>
    <row r="11" spans="1:42" x14ac:dyDescent="0.35">
      <c r="A11" t="s">
        <v>9</v>
      </c>
      <c r="B11" s="1">
        <f>Assumptions!$C$20</f>
        <v>91342000</v>
      </c>
      <c r="C11" s="1">
        <f ca="1">'Debt worksheet'!D5</f>
        <v>112168027.20205306</v>
      </c>
      <c r="D11" s="1">
        <f ca="1">'Debt worksheet'!E5</f>
        <v>129910132.47401756</v>
      </c>
      <c r="E11" s="1">
        <f ca="1">'Debt worksheet'!F5</f>
        <v>146994766.54996985</v>
      </c>
      <c r="F11" s="1">
        <f ca="1">'Debt worksheet'!G5</f>
        <v>163020533.62264204</v>
      </c>
      <c r="G11" s="1">
        <f ca="1">'Debt worksheet'!H5</f>
        <v>177521141.56143561</v>
      </c>
      <c r="H11" s="1">
        <f ca="1">'Debt worksheet'!I5</f>
        <v>191385124.93987691</v>
      </c>
      <c r="I11" s="1">
        <f ca="1">'Debt worksheet'!J5</f>
        <v>204309053.01627478</v>
      </c>
      <c r="J11" s="1">
        <f ca="1">'Debt worksheet'!K5</f>
        <v>216783654.70173803</v>
      </c>
      <c r="K11" s="1">
        <f ca="1">'Debt worksheet'!L5</f>
        <v>229473542.09344929</v>
      </c>
      <c r="L11" s="1">
        <f ca="1">'Debt worksheet'!M5</f>
        <v>242267868.93817928</v>
      </c>
      <c r="M11" s="1">
        <f ca="1">'Debt worksheet'!N5</f>
        <v>255039159.04613265</v>
      </c>
      <c r="N11" s="1">
        <f ca="1">'Debt worksheet'!O5</f>
        <v>268718497.0702579</v>
      </c>
      <c r="O11" s="1">
        <f ca="1">'Debt worksheet'!P5</f>
        <v>283302721.4116962</v>
      </c>
      <c r="P11" s="1">
        <f ca="1">'Debt worksheet'!Q5</f>
        <v>298783372.4879778</v>
      </c>
      <c r="Q11" s="1">
        <f ca="1">'Debt worksheet'!R5</f>
        <v>315146091.54747468</v>
      </c>
      <c r="R11" s="1">
        <f ca="1">'Debt worksheet'!S5</f>
        <v>332369970.99324846</v>
      </c>
      <c r="S11" s="1">
        <f ca="1">'Debt worksheet'!T5</f>
        <v>350426852.86487055</v>
      </c>
      <c r="T11" s="1">
        <f ca="1">'Debt worksheet'!U5</f>
        <v>369280571.91466999</v>
      </c>
      <c r="U11" s="1">
        <f ca="1">'Debt worksheet'!V5</f>
        <v>388886139.49004364</v>
      </c>
      <c r="V11" s="1">
        <f ca="1">'Debt worksheet'!W5</f>
        <v>409188864.19521117</v>
      </c>
      <c r="W11" s="1">
        <f ca="1">'Debt worksheet'!X5</f>
        <v>430123405.05334151</v>
      </c>
      <c r="X11" s="1">
        <f ca="1">'Debt worksheet'!Y5</f>
        <v>451612752.62250006</v>
      </c>
      <c r="Y11" s="1">
        <f ca="1">'Debt worksheet'!Z5</f>
        <v>473567133.23550451</v>
      </c>
      <c r="Z11" s="1">
        <f ca="1">'Debt worksheet'!AA5</f>
        <v>495882831.23362023</v>
      </c>
      <c r="AA11" s="1">
        <f ca="1">'Debt worksheet'!AB5</f>
        <v>520110496.16651607</v>
      </c>
      <c r="AB11" s="1">
        <f ca="1">'Debt worksheet'!AC5</f>
        <v>546335917.67691505</v>
      </c>
      <c r="AC11" s="1">
        <f ca="1">'Debt worksheet'!AD5</f>
        <v>574646519.63230777</v>
      </c>
      <c r="AD11" s="1">
        <f ca="1">'Debt worksheet'!AE5</f>
        <v>605131259.46057916</v>
      </c>
      <c r="AE11" s="1">
        <f ca="1">'Debt worksheet'!AF5</f>
        <v>637880513.18760467</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8770749.4486712776</v>
      </c>
      <c r="D5" s="4">
        <f ca="1">'Profit and Loss'!D9</f>
        <v>12801768.231582984</v>
      </c>
      <c r="E5" s="4">
        <f ca="1">'Profit and Loss'!E9</f>
        <v>14436643.379708726</v>
      </c>
      <c r="F5" s="4">
        <f ca="1">'Profit and Loss'!F9</f>
        <v>16504191.261569988</v>
      </c>
      <c r="G5" s="4">
        <f ca="1">'Profit and Loss'!G9</f>
        <v>19070309.062144354</v>
      </c>
      <c r="H5" s="4">
        <f ca="1">'Profit and Loss'!H9</f>
        <v>20781202.966526639</v>
      </c>
      <c r="I5" s="4">
        <f ca="1">'Profit and Loss'!I9</f>
        <v>22829904.231609039</v>
      </c>
      <c r="J5" s="4">
        <f ca="1">'Profit and Loss'!J9</f>
        <v>24423353.256399885</v>
      </c>
      <c r="K5" s="4">
        <f ca="1">'Profit and Loss'!K9</f>
        <v>25388802.108291481</v>
      </c>
      <c r="L5" s="4">
        <f ca="1">'Profit and Loss'!L9</f>
        <v>26502880.719272852</v>
      </c>
      <c r="M5" s="4">
        <f ca="1">'Profit and Loss'!M9</f>
        <v>27783428.098097563</v>
      </c>
      <c r="N5" s="4">
        <f ca="1">'Profit and Loss'!N9</f>
        <v>28173131.164519288</v>
      </c>
      <c r="O5" s="4">
        <f ca="1">'Profit and Loss'!O9</f>
        <v>28607523.861242868</v>
      </c>
      <c r="P5" s="4">
        <f ca="1">'Profit and Loss'!P9</f>
        <v>29093233.068885401</v>
      </c>
      <c r="Q5" s="4">
        <f ca="1">'Profit and Loss'!Q9</f>
        <v>29637529.378315449</v>
      </c>
      <c r="R5" s="4">
        <f ca="1">'Profit and Loss'!R9</f>
        <v>30248376.942048535</v>
      </c>
      <c r="S5" s="4">
        <f ca="1">'Profit and Loss'!S9</f>
        <v>30934486.720610552</v>
      </c>
      <c r="T5" s="4">
        <f ca="1">'Profit and Loss'!T9</f>
        <v>31705373.337384641</v>
      </c>
      <c r="U5" s="4">
        <f ca="1">'Profit and Loss'!U9</f>
        <v>32571415.768200286</v>
      </c>
      <c r="V5" s="4">
        <f ca="1">'Profit and Loss'!V9</f>
        <v>33543922.105400801</v>
      </c>
      <c r="W5" s="4">
        <f ca="1">'Profit and Loss'!W9</f>
        <v>34635198.650376193</v>
      </c>
      <c r="X5" s="4">
        <f ca="1">'Profit and Loss'!X9</f>
        <v>35858623.603620194</v>
      </c>
      <c r="Y5" s="4">
        <f ca="1">'Profit and Loss'!Y9</f>
        <v>37228725.637303233</v>
      </c>
      <c r="Z5" s="4">
        <f ca="1">'Profit and Loss'!Z9</f>
        <v>38761267.652201772</v>
      </c>
      <c r="AA5" s="4">
        <f ca="1">'Profit and Loss'!AA9</f>
        <v>38803763.618231833</v>
      </c>
      <c r="AB5" s="4">
        <f ca="1">'Profit and Loss'!AB9</f>
        <v>38823012.754364729</v>
      </c>
      <c r="AC5" s="4">
        <f ca="1">'Profit and Loss'!AC9</f>
        <v>38819382.205843478</v>
      </c>
      <c r="AD5" s="4">
        <f ca="1">'Profit and Loss'!AD9</f>
        <v>38793403.826124355</v>
      </c>
      <c r="AE5" s="4">
        <f ca="1">'Profit and Loss'!AE9</f>
        <v>38745790.524310872</v>
      </c>
      <c r="AF5" s="4">
        <f ca="1">'Profit and Loss'!AF9</f>
        <v>38677453.796036869</v>
      </c>
      <c r="AG5" s="4"/>
      <c r="AH5" s="4"/>
      <c r="AI5" s="4"/>
      <c r="AJ5" s="4"/>
      <c r="AK5" s="4"/>
      <c r="AL5" s="4"/>
      <c r="AM5" s="4"/>
      <c r="AN5" s="4"/>
      <c r="AO5" s="4"/>
      <c r="AP5" s="4"/>
    </row>
    <row r="6" spans="1:42" x14ac:dyDescent="0.35">
      <c r="A6" t="s">
        <v>21</v>
      </c>
      <c r="C6" s="4">
        <f>Depreciation!C8+Depreciation!C9</f>
        <v>9660794.9808457792</v>
      </c>
      <c r="D6" s="4">
        <f>Depreciation!D8+Depreciation!D9</f>
        <v>10702993.384317985</v>
      </c>
      <c r="E6" s="4">
        <f>Depreciation!E8+Depreciation!E9</f>
        <v>11801999.831552023</v>
      </c>
      <c r="F6" s="4">
        <f>Depreciation!F8+Depreciation!F9</f>
        <v>12960382.826183502</v>
      </c>
      <c r="G6" s="4">
        <f>Depreciation!G8+Depreciation!G9</f>
        <v>14180817.084643884</v>
      </c>
      <c r="H6" s="4">
        <f>Depreciation!H8+Depreciation!H9</f>
        <v>15466087.703631714</v>
      </c>
      <c r="I6" s="4">
        <f>Depreciation!I8+Depreciation!I9</f>
        <v>16819094.485540096</v>
      </c>
      <c r="J6" s="4">
        <f>Depreciation!J8+Depreciation!J9</f>
        <v>18242856.427682094</v>
      </c>
      <c r="K6" s="4">
        <f>Depreciation!K8+Depreciation!K9</f>
        <v>19740516.381367989</v>
      </c>
      <c r="L6" s="4">
        <f>Depreciation!L8+Depreciation!L9</f>
        <v>21315345.887107827</v>
      </c>
      <c r="M6" s="4">
        <f>Depreciation!M8+Depreciation!M9</f>
        <v>22970750.192440502</v>
      </c>
      <c r="N6" s="4">
        <f>Depreciation!N8+Depreciation!N9</f>
        <v>24710273.45912607</v>
      </c>
      <c r="O6" s="4">
        <f>Depreciation!O8+Depreciation!O9</f>
        <v>26537604.166682452</v>
      </c>
      <c r="P6" s="4">
        <f>Depreciation!P8+Depreciation!P9</f>
        <v>28456580.719500296</v>
      </c>
      <c r="Q6" s="4">
        <f>Depreciation!Q8+Depreciation!Q9</f>
        <v>30471197.265031788</v>
      </c>
      <c r="R6" s="4">
        <f>Depreciation!R8+Depreciation!R9</f>
        <v>32585609.730820552</v>
      </c>
      <c r="S6" s="4">
        <f>Depreciation!S8+Depreciation!S9</f>
        <v>34804142.088420391</v>
      </c>
      <c r="T6" s="4">
        <f>Depreciation!T8+Depreciation!T9</f>
        <v>37131292.852542259</v>
      </c>
      <c r="U6" s="4">
        <f>Depreciation!U8+Depreciation!U9</f>
        <v>39571741.824069388</v>
      </c>
      <c r="V6" s="4">
        <f>Depreciation!V8+Depreciation!V9</f>
        <v>42130357.085893251</v>
      </c>
      <c r="W6" s="4">
        <f>Depreciation!W8+Depreciation!W9</f>
        <v>44812202.260845989</v>
      </c>
      <c r="X6" s="4">
        <f>Depreciation!X8+Depreciation!X9</f>
        <v>47622544.041339748</v>
      </c>
      <c r="Y6" s="4">
        <f>Depreciation!Y8+Depreciation!Y9</f>
        <v>50566860.000669993</v>
      </c>
      <c r="Z6" s="4">
        <f>Depreciation!Z8+Depreciation!Z9</f>
        <v>53650846.696299061</v>
      </c>
      <c r="AA6" s="4">
        <f>Depreciation!AA8+Depreciation!AA9</f>
        <v>56880428.075807706</v>
      </c>
      <c r="AB6" s="4">
        <f>Depreciation!AB8+Depreciation!AB9</f>
        <v>60261764.196587875</v>
      </c>
      <c r="AC6" s="4">
        <f>Depreciation!AC8+Depreciation!AC9</f>
        <v>63801260.270748347</v>
      </c>
      <c r="AD6" s="4">
        <f>Depreciation!AD8+Depreciation!AD9</f>
        <v>67505576.0471178</v>
      </c>
      <c r="AE6" s="4">
        <f>Depreciation!AE8+Depreciation!AE9</f>
        <v>71381635.542657644</v>
      </c>
      <c r="AF6" s="4">
        <f>Depreciation!AF8+Depreciation!AF9</f>
        <v>75436637.136039764</v>
      </c>
      <c r="AG6" s="4"/>
      <c r="AH6" s="4"/>
      <c r="AI6" s="4"/>
      <c r="AJ6" s="4"/>
      <c r="AK6" s="4"/>
      <c r="AL6" s="4"/>
      <c r="AM6" s="4"/>
      <c r="AN6" s="4"/>
      <c r="AO6" s="4"/>
      <c r="AP6" s="4"/>
    </row>
    <row r="7" spans="1:42" x14ac:dyDescent="0.35">
      <c r="A7" t="s">
        <v>23</v>
      </c>
      <c r="C7" s="4">
        <f ca="1">C6+C5</f>
        <v>18431544.429517057</v>
      </c>
      <c r="D7" s="4">
        <f ca="1">D6+D5</f>
        <v>23504761.615900971</v>
      </c>
      <c r="E7" s="4">
        <f t="shared" ref="E7:AF7" ca="1" si="1">E6+E5</f>
        <v>26238643.211260751</v>
      </c>
      <c r="F7" s="4">
        <f t="shared" ca="1" si="1"/>
        <v>29464574.08775349</v>
      </c>
      <c r="G7" s="4">
        <f ca="1">G6+G5</f>
        <v>33251126.146788239</v>
      </c>
      <c r="H7" s="4">
        <f t="shared" ca="1" si="1"/>
        <v>36247290.670158356</v>
      </c>
      <c r="I7" s="4">
        <f t="shared" ca="1" si="1"/>
        <v>39648998.717149138</v>
      </c>
      <c r="J7" s="4">
        <f t="shared" ca="1" si="1"/>
        <v>42666209.684081979</v>
      </c>
      <c r="K7" s="4">
        <f t="shared" ca="1" si="1"/>
        <v>45129318.489659473</v>
      </c>
      <c r="L7" s="4">
        <f t="shared" ca="1" si="1"/>
        <v>47818226.606380679</v>
      </c>
      <c r="M7" s="4">
        <f t="shared" ca="1" si="1"/>
        <v>50754178.290538065</v>
      </c>
      <c r="N7" s="4">
        <f t="shared" ca="1" si="1"/>
        <v>52883404.623645358</v>
      </c>
      <c r="O7" s="4">
        <f t="shared" ca="1" si="1"/>
        <v>55145128.02792532</v>
      </c>
      <c r="P7" s="4">
        <f t="shared" ca="1" si="1"/>
        <v>57549813.788385697</v>
      </c>
      <c r="Q7" s="4">
        <f t="shared" ca="1" si="1"/>
        <v>60108726.643347234</v>
      </c>
      <c r="R7" s="4">
        <f t="shared" ca="1" si="1"/>
        <v>62833986.672869086</v>
      </c>
      <c r="S7" s="4">
        <f t="shared" ca="1" si="1"/>
        <v>65738628.809030943</v>
      </c>
      <c r="T7" s="4">
        <f t="shared" ca="1" si="1"/>
        <v>68836666.189926893</v>
      </c>
      <c r="U7" s="4">
        <f t="shared" ca="1" si="1"/>
        <v>72143157.592269674</v>
      </c>
      <c r="V7" s="4">
        <f t="shared" ca="1" si="1"/>
        <v>75674279.191294044</v>
      </c>
      <c r="W7" s="4">
        <f t="shared" ca="1" si="1"/>
        <v>79447400.91122219</v>
      </c>
      <c r="X7" s="4">
        <f t="shared" ca="1" si="1"/>
        <v>83481167.644959942</v>
      </c>
      <c r="Y7" s="4">
        <f t="shared" ca="1" si="1"/>
        <v>87795585.637973219</v>
      </c>
      <c r="Z7" s="4">
        <f t="shared" ca="1" si="1"/>
        <v>92412114.348500833</v>
      </c>
      <c r="AA7" s="4">
        <f t="shared" ca="1" si="1"/>
        <v>95684191.694039539</v>
      </c>
      <c r="AB7" s="4">
        <f t="shared" ca="1" si="1"/>
        <v>99084776.950952604</v>
      </c>
      <c r="AC7" s="4">
        <f t="shared" ca="1" si="1"/>
        <v>102620642.47659183</v>
      </c>
      <c r="AD7" s="4">
        <f t="shared" ca="1" si="1"/>
        <v>106298979.87324215</v>
      </c>
      <c r="AE7" s="4">
        <f t="shared" ca="1" si="1"/>
        <v>110127426.06696852</v>
      </c>
      <c r="AF7" s="4">
        <f t="shared" ca="1" si="1"/>
        <v>114114090.93207663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39257571.631570108</v>
      </c>
      <c r="D10" s="9">
        <f>Investment!D25</f>
        <v>41246866.887865484</v>
      </c>
      <c r="E10" s="9">
        <f>Investment!E25</f>
        <v>43323277.287213042</v>
      </c>
      <c r="F10" s="9">
        <f>Investment!F25</f>
        <v>45490341.160425678</v>
      </c>
      <c r="G10" s="9">
        <f>Investment!G25</f>
        <v>47751734.085581809</v>
      </c>
      <c r="H10" s="9">
        <f>Investment!H25</f>
        <v>50111274.04859966</v>
      </c>
      <c r="I10" s="9">
        <f>Investment!I25</f>
        <v>52572926.793547004</v>
      </c>
      <c r="J10" s="9">
        <f>Investment!J25</f>
        <v>55140811.369545229</v>
      </c>
      <c r="K10" s="9">
        <f>Investment!K25</f>
        <v>57819205.881370746</v>
      </c>
      <c r="L10" s="9">
        <f>Investment!L25</f>
        <v>60612553.451110676</v>
      </c>
      <c r="M10" s="9">
        <f>Investment!M25</f>
        <v>63525468.398491435</v>
      </c>
      <c r="N10" s="9">
        <f>Investment!N25</f>
        <v>66562742.647770636</v>
      </c>
      <c r="O10" s="9">
        <f>Investment!O25</f>
        <v>69729352.369363636</v>
      </c>
      <c r="P10" s="9">
        <f>Investment!P25</f>
        <v>73030464.864667282</v>
      </c>
      <c r="Q10" s="9">
        <f>Investment!Q25</f>
        <v>76471445.702844113</v>
      </c>
      <c r="R10" s="9">
        <f>Investment!R25</f>
        <v>80057866.118642867</v>
      </c>
      <c r="S10" s="9">
        <f>Investment!S25</f>
        <v>83795510.680653036</v>
      </c>
      <c r="T10" s="9">
        <f>Investment!T25</f>
        <v>87690385.23972635</v>
      </c>
      <c r="U10" s="9">
        <f>Investment!U25</f>
        <v>91748725.167643353</v>
      </c>
      <c r="V10" s="9">
        <f>Investment!V25</f>
        <v>95977003.896461591</v>
      </c>
      <c r="W10" s="9">
        <f>Investment!W25</f>
        <v>100381941.76935253</v>
      </c>
      <c r="X10" s="9">
        <f>Investment!X25</f>
        <v>104970515.21411848</v>
      </c>
      <c r="Y10" s="9">
        <f>Investment!Y25</f>
        <v>109749966.25097764</v>
      </c>
      <c r="Z10" s="9">
        <f>Investment!Z25</f>
        <v>114727812.34661655</v>
      </c>
      <c r="AA10" s="9">
        <f>Investment!AA25</f>
        <v>119911856.62693536</v>
      </c>
      <c r="AB10" s="9">
        <f>Investment!AB25</f>
        <v>125310198.4613516</v>
      </c>
      <c r="AC10" s="9">
        <f>Investment!AC25</f>
        <v>130931244.43198451</v>
      </c>
      <c r="AD10" s="9">
        <f>Investment!AD25</f>
        <v>136783719.70151353</v>
      </c>
      <c r="AE10" s="9">
        <f>Investment!AE25</f>
        <v>142876679.79399407</v>
      </c>
      <c r="AF10" s="9">
        <f>Investment!AF25</f>
        <v>149219522.80341893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-20826027.202053051</v>
      </c>
      <c r="D12" s="1">
        <f t="shared" ref="D12:AF12" ca="1" si="2">D7-D9-D10</f>
        <v>-17742105.271964513</v>
      </c>
      <c r="E12" s="1">
        <f ca="1">E7-E9-E10</f>
        <v>-17084634.075952291</v>
      </c>
      <c r="F12" s="1">
        <f t="shared" ca="1" si="2"/>
        <v>-16025767.072672188</v>
      </c>
      <c r="G12" s="1">
        <f ca="1">G7-G9-G10</f>
        <v>-14500607.93879357</v>
      </c>
      <c r="H12" s="1">
        <f t="shared" ca="1" si="2"/>
        <v>-13863983.378441304</v>
      </c>
      <c r="I12" s="1">
        <f t="shared" ca="1" si="2"/>
        <v>-12923928.076397866</v>
      </c>
      <c r="J12" s="1">
        <f t="shared" ca="1" si="2"/>
        <v>-12474601.68546325</v>
      </c>
      <c r="K12" s="1">
        <f t="shared" ca="1" si="2"/>
        <v>-12689887.391711272</v>
      </c>
      <c r="L12" s="1">
        <f t="shared" ca="1" si="2"/>
        <v>-12794326.844729997</v>
      </c>
      <c r="M12" s="1">
        <f t="shared" ca="1" si="2"/>
        <v>-12771290.10795337</v>
      </c>
      <c r="N12" s="1">
        <f t="shared" ca="1" si="2"/>
        <v>-13679338.024125278</v>
      </c>
      <c r="O12" s="1">
        <f t="shared" ca="1" si="2"/>
        <v>-14584224.341438316</v>
      </c>
      <c r="P12" s="1">
        <f t="shared" ca="1" si="2"/>
        <v>-15480651.076281585</v>
      </c>
      <c r="Q12" s="1">
        <f t="shared" ca="1" si="2"/>
        <v>-16362719.05949688</v>
      </c>
      <c r="R12" s="1">
        <f t="shared" ca="1" si="2"/>
        <v>-17223879.44577378</v>
      </c>
      <c r="S12" s="1">
        <f t="shared" ca="1" si="2"/>
        <v>-18056881.871622093</v>
      </c>
      <c r="T12" s="1">
        <f t="shared" ca="1" si="2"/>
        <v>-18853719.049799457</v>
      </c>
      <c r="U12" s="1">
        <f t="shared" ca="1" si="2"/>
        <v>-19605567.575373679</v>
      </c>
      <c r="V12" s="1">
        <f t="shared" ca="1" si="2"/>
        <v>-20302724.705167547</v>
      </c>
      <c r="W12" s="1">
        <f t="shared" ca="1" si="2"/>
        <v>-20934540.858130336</v>
      </c>
      <c r="X12" s="1">
        <f t="shared" ca="1" si="2"/>
        <v>-21489347.569158539</v>
      </c>
      <c r="Y12" s="1">
        <f t="shared" ca="1" si="2"/>
        <v>-21954380.613004416</v>
      </c>
      <c r="Z12" s="1">
        <f t="shared" ca="1" si="2"/>
        <v>-22315697.998115718</v>
      </c>
      <c r="AA12" s="1">
        <f t="shared" ca="1" si="2"/>
        <v>-24227664.932895824</v>
      </c>
      <c r="AB12" s="1">
        <f t="shared" ca="1" si="2"/>
        <v>-26225421.510398999</v>
      </c>
      <c r="AC12" s="1">
        <f t="shared" ca="1" si="2"/>
        <v>-28310601.955392689</v>
      </c>
      <c r="AD12" s="1">
        <f t="shared" ca="1" si="2"/>
        <v>-30484739.828271374</v>
      </c>
      <c r="AE12" s="1">
        <f t="shared" ca="1" si="2"/>
        <v>-32749253.727025554</v>
      </c>
      <c r="AF12" s="1">
        <f t="shared" ca="1" si="2"/>
        <v>-35105431.871342301</v>
      </c>
      <c r="AG12" s="1"/>
      <c r="AH12" s="1"/>
      <c r="AI12" s="1"/>
      <c r="AJ12" s="1"/>
      <c r="AK12" s="1"/>
      <c r="AL12" s="1"/>
      <c r="AM12" s="1"/>
      <c r="AN12" s="1"/>
      <c r="AO12" s="1"/>
      <c r="AP12" s="1"/>
    </row>
    <row r="13" spans="1:42" x14ac:dyDescent="0.35">
      <c r="A13" t="s">
        <v>19</v>
      </c>
      <c r="C13" s="1">
        <f ca="1">C12</f>
        <v>-20826027.202053051</v>
      </c>
      <c r="D13" s="1">
        <f ca="1">D12</f>
        <v>-17742105.271964513</v>
      </c>
      <c r="E13" s="1">
        <f ca="1">E12</f>
        <v>-17084634.075952291</v>
      </c>
      <c r="F13" s="1">
        <f t="shared" ref="F13:AF13" ca="1" si="3">F12</f>
        <v>-16025767.072672188</v>
      </c>
      <c r="G13" s="1">
        <f ca="1">G12</f>
        <v>-14500607.93879357</v>
      </c>
      <c r="H13" s="1">
        <f t="shared" ca="1" si="3"/>
        <v>-13863983.378441304</v>
      </c>
      <c r="I13" s="1">
        <f t="shared" ca="1" si="3"/>
        <v>-12923928.076397866</v>
      </c>
      <c r="J13" s="1">
        <f t="shared" ca="1" si="3"/>
        <v>-12474601.68546325</v>
      </c>
      <c r="K13" s="1">
        <f t="shared" ca="1" si="3"/>
        <v>-12689887.391711272</v>
      </c>
      <c r="L13" s="1">
        <f t="shared" ca="1" si="3"/>
        <v>-12794326.844729997</v>
      </c>
      <c r="M13" s="1">
        <f t="shared" ca="1" si="3"/>
        <v>-12771290.10795337</v>
      </c>
      <c r="N13" s="1">
        <f t="shared" ca="1" si="3"/>
        <v>-13679338.024125278</v>
      </c>
      <c r="O13" s="1">
        <f t="shared" ca="1" si="3"/>
        <v>-14584224.341438316</v>
      </c>
      <c r="P13" s="1">
        <f t="shared" ca="1" si="3"/>
        <v>-15480651.076281585</v>
      </c>
      <c r="Q13" s="1">
        <f t="shared" ca="1" si="3"/>
        <v>-16362719.05949688</v>
      </c>
      <c r="R13" s="1">
        <f t="shared" ca="1" si="3"/>
        <v>-17223879.44577378</v>
      </c>
      <c r="S13" s="1">
        <f t="shared" ca="1" si="3"/>
        <v>-18056881.871622093</v>
      </c>
      <c r="T13" s="1">
        <f t="shared" ca="1" si="3"/>
        <v>-18853719.049799457</v>
      </c>
      <c r="U13" s="1">
        <f t="shared" ca="1" si="3"/>
        <v>-19605567.575373679</v>
      </c>
      <c r="V13" s="1">
        <f t="shared" ca="1" si="3"/>
        <v>-20302724.705167547</v>
      </c>
      <c r="W13" s="1">
        <f t="shared" ca="1" si="3"/>
        <v>-20934540.858130336</v>
      </c>
      <c r="X13" s="1">
        <f t="shared" ca="1" si="3"/>
        <v>-21489347.569158539</v>
      </c>
      <c r="Y13" s="1">
        <f t="shared" ca="1" si="3"/>
        <v>-21954380.613004416</v>
      </c>
      <c r="Z13" s="1">
        <f t="shared" ca="1" si="3"/>
        <v>-22315697.998115718</v>
      </c>
      <c r="AA13" s="1">
        <f t="shared" ca="1" si="3"/>
        <v>-24227664.932895824</v>
      </c>
      <c r="AB13" s="1">
        <f t="shared" ca="1" si="3"/>
        <v>-26225421.510398999</v>
      </c>
      <c r="AC13" s="1">
        <f t="shared" ca="1" si="3"/>
        <v>-28310601.955392689</v>
      </c>
      <c r="AD13" s="1">
        <f t="shared" ca="1" si="3"/>
        <v>-30484739.828271374</v>
      </c>
      <c r="AE13" s="1">
        <f t="shared" ca="1" si="3"/>
        <v>-32749253.727025554</v>
      </c>
      <c r="AF13" s="1">
        <f t="shared" ca="1" si="3"/>
        <v>-35105431.871342301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627535000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313767500</v>
      </c>
      <c r="D7" s="9">
        <f>C12</f>
        <v>323428294.98084575</v>
      </c>
      <c r="E7" s="9">
        <f>D12</f>
        <v>334131288.36516374</v>
      </c>
      <c r="F7" s="9">
        <f t="shared" ref="F7:H7" si="1">E12</f>
        <v>345933288.19671577</v>
      </c>
      <c r="G7" s="9">
        <f t="shared" si="1"/>
        <v>358893671.02289927</v>
      </c>
      <c r="H7" s="9">
        <f t="shared" si="1"/>
        <v>373074488.10754317</v>
      </c>
      <c r="I7" s="9">
        <f t="shared" ref="I7" si="2">H12</f>
        <v>388540575.81117487</v>
      </c>
      <c r="J7" s="9">
        <f t="shared" ref="J7" si="3">I12</f>
        <v>405359670.29671496</v>
      </c>
      <c r="K7" s="9">
        <f t="shared" ref="K7" si="4">J12</f>
        <v>423602526.72439706</v>
      </c>
      <c r="L7" s="9">
        <f t="shared" ref="L7" si="5">K12</f>
        <v>443343043.10576504</v>
      </c>
      <c r="M7" s="9">
        <f t="shared" ref="M7" si="6">L12</f>
        <v>464658388.99287283</v>
      </c>
      <c r="N7" s="9">
        <f t="shared" ref="N7" si="7">M12</f>
        <v>487629139.18531334</v>
      </c>
      <c r="O7" s="9">
        <f t="shared" ref="O7" si="8">N12</f>
        <v>512339412.64443946</v>
      </c>
      <c r="P7" s="9">
        <f t="shared" ref="P7" si="9">O12</f>
        <v>538877016.81112194</v>
      </c>
      <c r="Q7" s="9">
        <f t="shared" ref="Q7" si="10">P12</f>
        <v>567333597.53062224</v>
      </c>
      <c r="R7" s="9">
        <f t="shared" ref="R7" si="11">Q12</f>
        <v>597804794.79565406</v>
      </c>
      <c r="S7" s="9">
        <f t="shared" ref="S7" si="12">R12</f>
        <v>630390404.5264746</v>
      </c>
      <c r="T7" s="9">
        <f t="shared" ref="T7" si="13">S12</f>
        <v>665194546.61489499</v>
      </c>
      <c r="U7" s="9">
        <f t="shared" ref="U7" si="14">T12</f>
        <v>702325839.46743715</v>
      </c>
      <c r="V7" s="9">
        <f t="shared" ref="V7" si="15">U12</f>
        <v>741897581.29150653</v>
      </c>
      <c r="W7" s="9">
        <f t="shared" ref="W7" si="16">V12</f>
        <v>784027938.3773998</v>
      </c>
      <c r="X7" s="9">
        <f t="shared" ref="X7" si="17">W12</f>
        <v>828840140.63824582</v>
      </c>
      <c r="Y7" s="9">
        <f t="shared" ref="Y7" si="18">X12</f>
        <v>876462684.67958558</v>
      </c>
      <c r="Z7" s="9">
        <f t="shared" ref="Z7" si="19">Y12</f>
        <v>927029544.68025565</v>
      </c>
      <c r="AA7" s="9">
        <f t="shared" ref="AA7" si="20">Z12</f>
        <v>980680391.37655473</v>
      </c>
      <c r="AB7" s="9">
        <f t="shared" ref="AB7" si="21">AA12</f>
        <v>1037560819.4523624</v>
      </c>
      <c r="AC7" s="9">
        <f t="shared" ref="AC7" si="22">AB12</f>
        <v>1097822583.6489503</v>
      </c>
      <c r="AD7" s="9">
        <f t="shared" ref="AD7" si="23">AC12</f>
        <v>1161623843.9196987</v>
      </c>
      <c r="AE7" s="9">
        <f t="shared" ref="AE7" si="24">AD12</f>
        <v>1229129419.9668167</v>
      </c>
      <c r="AF7" s="9">
        <f t="shared" ref="AF7" si="25">AE12</f>
        <v>1300511055.5094743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8950472.3412283957</v>
      </c>
      <c r="D8" s="9">
        <f>Assumptions!E111*Assumptions!E11</f>
        <v>9236887.4561477043</v>
      </c>
      <c r="E8" s="9">
        <f>Assumptions!F111*Assumptions!F11</f>
        <v>9532467.8547444288</v>
      </c>
      <c r="F8" s="9">
        <f>Assumptions!G111*Assumptions!G11</f>
        <v>9837506.8260962516</v>
      </c>
      <c r="G8" s="9">
        <f>Assumptions!H111*Assumptions!H11</f>
        <v>10152307.044531332</v>
      </c>
      <c r="H8" s="9">
        <f>Assumptions!I111*Assumptions!I11</f>
        <v>10477180.869956333</v>
      </c>
      <c r="I8" s="9">
        <f>Assumptions!J111*Assumptions!J11</f>
        <v>10812450.657794936</v>
      </c>
      <c r="J8" s="9">
        <f>Assumptions!K111*Assumptions!K11</f>
        <v>11158449.078844374</v>
      </c>
      <c r="K8" s="9">
        <f>Assumptions!L111*Assumptions!L11</f>
        <v>11515519.449367395</v>
      </c>
      <c r="L8" s="9">
        <f>Assumptions!M111*Assumptions!M11</f>
        <v>11884016.07174715</v>
      </c>
      <c r="M8" s="9">
        <f>Assumptions!N111*Assumptions!N11</f>
        <v>12264304.58604306</v>
      </c>
      <c r="N8" s="9">
        <f>Assumptions!O111*Assumptions!O11</f>
        <v>12656762.332796438</v>
      </c>
      <c r="O8" s="9">
        <f>Assumptions!P111*Assumptions!P11</f>
        <v>13061778.727445925</v>
      </c>
      <c r="P8" s="9">
        <f>Assumptions!Q111*Assumptions!Q11</f>
        <v>13479755.646724192</v>
      </c>
      <c r="Q8" s="9">
        <f>Assumptions!R111*Assumptions!R11</f>
        <v>13911107.827419363</v>
      </c>
      <c r="R8" s="9">
        <f>Assumptions!S111*Assumptions!S11</f>
        <v>14356263.277896786</v>
      </c>
      <c r="S8" s="9">
        <f>Assumptions!T111*Assumptions!T11</f>
        <v>14815663.702789485</v>
      </c>
      <c r="T8" s="9">
        <f>Assumptions!U111*Assumptions!U11</f>
        <v>15289764.941278746</v>
      </c>
      <c r="U8" s="9">
        <f>Assumptions!V111*Assumptions!V11</f>
        <v>15779037.419399666</v>
      </c>
      <c r="V8" s="9">
        <f>Assumptions!W111*Assumptions!W11</f>
        <v>16283966.616820456</v>
      </c>
      <c r="W8" s="9">
        <f>Assumptions!X111*Assumptions!X11</f>
        <v>16805053.548558712</v>
      </c>
      <c r="X8" s="9">
        <f>Assumptions!Y111*Assumptions!Y11</f>
        <v>17342815.262112588</v>
      </c>
      <c r="Y8" s="9">
        <f>Assumptions!Z111*Assumptions!Z11</f>
        <v>17897785.350500189</v>
      </c>
      <c r="Z8" s="9">
        <f>Assumptions!AA111*Assumptions!AA11</f>
        <v>18470514.481716197</v>
      </c>
      <c r="AA8" s="9">
        <f>Assumptions!AB111*Assumptions!AB11</f>
        <v>19061570.945131119</v>
      </c>
      <c r="AB8" s="9">
        <f>Assumptions!AC111*Assumptions!AC11</f>
        <v>19671541.215375312</v>
      </c>
      <c r="AC8" s="9">
        <f>Assumptions!AD111*Assumptions!AD11</f>
        <v>20301030.534267321</v>
      </c>
      <c r="AD8" s="9">
        <f>Assumptions!AE111*Assumptions!AE11</f>
        <v>20950663.511363875</v>
      </c>
      <c r="AE8" s="9">
        <f>Assumptions!AF111*Assumptions!AF11</f>
        <v>21621084.74372752</v>
      </c>
      <c r="AF8" s="9">
        <f>Assumptions!AG111*Assumptions!AG11</f>
        <v>22312959.455526799</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710322.63961738383</v>
      </c>
      <c r="D9" s="9">
        <f>Assumptions!E120*Assumptions!E11</f>
        <v>1466105.9281702803</v>
      </c>
      <c r="E9" s="9">
        <f>Assumptions!F120*Assumptions!F11</f>
        <v>2269531.9768075938</v>
      </c>
      <c r="F9" s="9">
        <f>Assumptions!G120*Assumptions!G11</f>
        <v>3122876.0000872491</v>
      </c>
      <c r="G9" s="9">
        <f>Assumptions!H120*Assumptions!H11</f>
        <v>4028510.0401125508</v>
      </c>
      <c r="H9" s="9">
        <f>Assumptions!I120*Assumptions!I11</f>
        <v>4988906.8336753817</v>
      </c>
      <c r="I9" s="9">
        <f>Assumptions!J120*Assumptions!J11</f>
        <v>6006643.8277451592</v>
      </c>
      <c r="J9" s="9">
        <f>Assumptions!K120*Assumptions!K11</f>
        <v>7084407.3488377202</v>
      </c>
      <c r="K9" s="9">
        <f>Assumptions!L120*Assumptions!L11</f>
        <v>8224996.9320005924</v>
      </c>
      <c r="L9" s="9">
        <f>Assumptions!M120*Assumptions!M11</f>
        <v>9431329.8153606784</v>
      </c>
      <c r="M9" s="9">
        <f>Assumptions!N120*Assumptions!N11</f>
        <v>10706445.606397443</v>
      </c>
      <c r="N9" s="9">
        <f>Assumptions!O120*Assumptions!O11</f>
        <v>12053511.126329631</v>
      </c>
      <c r="O9" s="9">
        <f>Assumptions!P120*Assumptions!P11</f>
        <v>13475825.439236529</v>
      </c>
      <c r="P9" s="9">
        <f>Assumptions!Q120*Assumptions!Q11</f>
        <v>14976825.072776102</v>
      </c>
      <c r="Q9" s="9">
        <f>Assumptions!R120*Assumptions!R11</f>
        <v>16560089.437612426</v>
      </c>
      <c r="R9" s="9">
        <f>Assumptions!S120*Assumptions!S11</f>
        <v>18229346.452923767</v>
      </c>
      <c r="S9" s="9">
        <f>Assumptions!T120*Assumptions!T11</f>
        <v>19988478.385630909</v>
      </c>
      <c r="T9" s="9">
        <f>Assumptions!U120*Assumptions!U11</f>
        <v>21841527.911263514</v>
      </c>
      <c r="U9" s="9">
        <f>Assumptions!V120*Assumptions!V11</f>
        <v>23792704.404669721</v>
      </c>
      <c r="V9" s="9">
        <f>Assumptions!W120*Assumptions!W11</f>
        <v>25846390.469072793</v>
      </c>
      <c r="W9" s="9">
        <f>Assumptions!X120*Assumptions!X11</f>
        <v>28007148.712287281</v>
      </c>
      <c r="X9" s="9">
        <f>Assumptions!Y120*Assumptions!Y11</f>
        <v>30279728.77922716</v>
      </c>
      <c r="Y9" s="9">
        <f>Assumptions!Z120*Assumptions!Z11</f>
        <v>32669074.650169805</v>
      </c>
      <c r="Z9" s="9">
        <f>Assumptions!AA120*Assumptions!AA11</f>
        <v>35180332.21458286</v>
      </c>
      <c r="AA9" s="9">
        <f>Assumptions!AB120*Assumptions!AB11</f>
        <v>37818857.13067659</v>
      </c>
      <c r="AB9" s="9">
        <f>Assumptions!AC120*Assumptions!AC11</f>
        <v>40590222.981212564</v>
      </c>
      <c r="AC9" s="9">
        <f>Assumptions!AD120*Assumptions!AD11</f>
        <v>43500229.736481026</v>
      </c>
      <c r="AD9" s="9">
        <f>Assumptions!AE120*Assumptions!AE11</f>
        <v>46554912.535753921</v>
      </c>
      <c r="AE9" s="9">
        <f>Assumptions!AF120*Assumptions!AF11</f>
        <v>49760550.798930123</v>
      </c>
      <c r="AF9" s="9">
        <f>Assumptions!AG120*Assumptions!AG11</f>
        <v>53123677.680512965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9660794.9808457792</v>
      </c>
      <c r="D10" s="9">
        <f>SUM($C$8:D9)</f>
        <v>20363788.365163762</v>
      </c>
      <c r="E10" s="9">
        <f>SUM($C$8:E9)</f>
        <v>32165788.196715787</v>
      </c>
      <c r="F10" s="9">
        <f>SUM($C$8:F9)</f>
        <v>45126171.022899285</v>
      </c>
      <c r="G10" s="9">
        <f>SUM($C$8:G9)</f>
        <v>59306988.107543163</v>
      </c>
      <c r="H10" s="9">
        <f>SUM($C$8:H9)</f>
        <v>74773075.811174884</v>
      </c>
      <c r="I10" s="9">
        <f>SUM($C$8:I9)</f>
        <v>91592170.296714976</v>
      </c>
      <c r="J10" s="9">
        <f>SUM($C$8:J9)</f>
        <v>109835026.72439706</v>
      </c>
      <c r="K10" s="9">
        <f>SUM($C$8:K9)</f>
        <v>129575543.10576504</v>
      </c>
      <c r="L10" s="9">
        <f>SUM($C$8:L9)</f>
        <v>150890888.99287286</v>
      </c>
      <c r="M10" s="9">
        <f>SUM($C$8:M9)</f>
        <v>173861639.1853134</v>
      </c>
      <c r="N10" s="9">
        <f>SUM($C$8:N9)</f>
        <v>198571912.64443949</v>
      </c>
      <c r="O10" s="9">
        <f>SUM($C$8:O9)</f>
        <v>225109516.81112197</v>
      </c>
      <c r="P10" s="9">
        <f>SUM($C$8:P9)</f>
        <v>253566097.53062224</v>
      </c>
      <c r="Q10" s="9">
        <f>SUM($C$8:Q9)</f>
        <v>284037294.79565406</v>
      </c>
      <c r="R10" s="9">
        <f>SUM($C$8:R9)</f>
        <v>316622904.5264746</v>
      </c>
      <c r="S10" s="9">
        <f>SUM($C$8:S9)</f>
        <v>351427046.61489499</v>
      </c>
      <c r="T10" s="9">
        <f>SUM($C$8:T9)</f>
        <v>388558339.46743727</v>
      </c>
      <c r="U10" s="9">
        <f>SUM($C$8:U9)</f>
        <v>428130081.29150659</v>
      </c>
      <c r="V10" s="9">
        <f>SUM($C$8:V9)</f>
        <v>470260438.37739986</v>
      </c>
      <c r="W10" s="9">
        <f>SUM($C$8:W9)</f>
        <v>515072640.63824588</v>
      </c>
      <c r="X10" s="9">
        <f>SUM($C$8:X9)</f>
        <v>562695184.6795857</v>
      </c>
      <c r="Y10" s="9">
        <f>SUM($C$8:Y9)</f>
        <v>613262044.68025553</v>
      </c>
      <c r="Z10" s="9">
        <f>SUM($C$8:Z9)</f>
        <v>666912891.37655473</v>
      </c>
      <c r="AA10" s="9">
        <f>SUM($C$8:AA9)</f>
        <v>723793319.45236242</v>
      </c>
      <c r="AB10" s="9">
        <f>SUM($C$8:AB9)</f>
        <v>784055083.64895046</v>
      </c>
      <c r="AC10" s="9">
        <f>SUM($C$8:AC9)</f>
        <v>847856343.91969872</v>
      </c>
      <c r="AD10" s="9">
        <f>SUM($C$8:AD9)</f>
        <v>915361919.96681666</v>
      </c>
      <c r="AE10" s="9">
        <f>SUM($C$8:AE9)</f>
        <v>986743555.50947428</v>
      </c>
      <c r="AF10" s="9">
        <f>SUM($C$8:AF9)</f>
        <v>1062180192.645514</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323428294.98084575</v>
      </c>
      <c r="D12" s="9">
        <f>D7+D8+D9</f>
        <v>334131288.36516374</v>
      </c>
      <c r="E12" s="9">
        <f>E7+E8+E9</f>
        <v>345933288.19671577</v>
      </c>
      <c r="F12" s="9">
        <f t="shared" ref="F12:H12" si="26">F7+F8+F9</f>
        <v>358893671.02289927</v>
      </c>
      <c r="G12" s="9">
        <f t="shared" si="26"/>
        <v>373074488.10754317</v>
      </c>
      <c r="H12" s="9">
        <f t="shared" si="26"/>
        <v>388540575.81117487</v>
      </c>
      <c r="I12" s="9">
        <f t="shared" ref="I12:AF12" si="27">I7+I8+I9</f>
        <v>405359670.29671496</v>
      </c>
      <c r="J12" s="9">
        <f t="shared" si="27"/>
        <v>423602526.72439706</v>
      </c>
      <c r="K12" s="9">
        <f t="shared" si="27"/>
        <v>443343043.10576504</v>
      </c>
      <c r="L12" s="9">
        <f t="shared" si="27"/>
        <v>464658388.99287283</v>
      </c>
      <c r="M12" s="9">
        <f t="shared" si="27"/>
        <v>487629139.18531334</v>
      </c>
      <c r="N12" s="9">
        <f t="shared" si="27"/>
        <v>512339412.64443946</v>
      </c>
      <c r="O12" s="9">
        <f t="shared" si="27"/>
        <v>538877016.81112194</v>
      </c>
      <c r="P12" s="9">
        <f t="shared" si="27"/>
        <v>567333597.53062224</v>
      </c>
      <c r="Q12" s="9">
        <f t="shared" si="27"/>
        <v>597804794.79565406</v>
      </c>
      <c r="R12" s="9">
        <f t="shared" si="27"/>
        <v>630390404.5264746</v>
      </c>
      <c r="S12" s="9">
        <f t="shared" si="27"/>
        <v>665194546.61489499</v>
      </c>
      <c r="T12" s="9">
        <f t="shared" si="27"/>
        <v>702325839.46743715</v>
      </c>
      <c r="U12" s="9">
        <f t="shared" si="27"/>
        <v>741897581.29150653</v>
      </c>
      <c r="V12" s="9">
        <f t="shared" si="27"/>
        <v>784027938.3773998</v>
      </c>
      <c r="W12" s="9">
        <f t="shared" si="27"/>
        <v>828840140.63824582</v>
      </c>
      <c r="X12" s="9">
        <f t="shared" si="27"/>
        <v>876462684.67958558</v>
      </c>
      <c r="Y12" s="9">
        <f t="shared" si="27"/>
        <v>927029544.68025565</v>
      </c>
      <c r="Z12" s="9">
        <f t="shared" si="27"/>
        <v>980680391.37655473</v>
      </c>
      <c r="AA12" s="9">
        <f t="shared" si="27"/>
        <v>1037560819.4523624</v>
      </c>
      <c r="AB12" s="9">
        <f t="shared" si="27"/>
        <v>1097822583.6489503</v>
      </c>
      <c r="AC12" s="9">
        <f t="shared" si="27"/>
        <v>1161623843.9196987</v>
      </c>
      <c r="AD12" s="9">
        <f t="shared" si="27"/>
        <v>1229129419.9668167</v>
      </c>
      <c r="AE12" s="9">
        <f t="shared" si="27"/>
        <v>1300511055.5094743</v>
      </c>
      <c r="AF12" s="9">
        <f t="shared" si="27"/>
        <v>1375947692.645514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39257571.631570108</v>
      </c>
      <c r="D18" s="9">
        <f>Investment!D25</f>
        <v>41246866.887865484</v>
      </c>
      <c r="E18" s="9">
        <f>Investment!E25</f>
        <v>43323277.287213042</v>
      </c>
      <c r="F18" s="9">
        <f>Investment!F25</f>
        <v>45490341.160425678</v>
      </c>
      <c r="G18" s="9">
        <f>Investment!G25</f>
        <v>47751734.085581809</v>
      </c>
      <c r="H18" s="9">
        <f>Investment!H25</f>
        <v>50111274.04859966</v>
      </c>
      <c r="I18" s="9">
        <f>Investment!I25</f>
        <v>52572926.793547004</v>
      </c>
      <c r="J18" s="9">
        <f>Investment!J25</f>
        <v>55140811.369545229</v>
      </c>
      <c r="K18" s="9">
        <f>Investment!K25</f>
        <v>57819205.881370746</v>
      </c>
      <c r="L18" s="9">
        <f>Investment!L25</f>
        <v>60612553.451110676</v>
      </c>
      <c r="M18" s="9">
        <f>Investment!M25</f>
        <v>63525468.398491435</v>
      </c>
      <c r="N18" s="9">
        <f>Investment!N25</f>
        <v>66562742.647770636</v>
      </c>
      <c r="O18" s="9">
        <f>Investment!O25</f>
        <v>69729352.369363636</v>
      </c>
      <c r="P18" s="9">
        <f>Investment!P25</f>
        <v>73030464.864667282</v>
      </c>
      <c r="Q18" s="9">
        <f>Investment!Q25</f>
        <v>76471445.702844113</v>
      </c>
      <c r="R18" s="9">
        <f>Investment!R25</f>
        <v>80057866.118642867</v>
      </c>
      <c r="S18" s="9">
        <f>Investment!S25</f>
        <v>83795510.680653036</v>
      </c>
      <c r="T18" s="9">
        <f>Investment!T25</f>
        <v>87690385.23972635</v>
      </c>
      <c r="U18" s="9">
        <f>Investment!U25</f>
        <v>91748725.167643353</v>
      </c>
      <c r="V18" s="9">
        <f>Investment!V25</f>
        <v>95977003.896461591</v>
      </c>
      <c r="W18" s="9">
        <f>Investment!W25</f>
        <v>100381941.76935253</v>
      </c>
      <c r="X18" s="9">
        <f>Investment!X25</f>
        <v>104970515.21411848</v>
      </c>
      <c r="Y18" s="9">
        <f>Investment!Y25</f>
        <v>109749966.25097764</v>
      </c>
      <c r="Z18" s="9">
        <f>Investment!Z25</f>
        <v>114727812.34661655</v>
      </c>
      <c r="AA18" s="9">
        <f>Investment!AA25</f>
        <v>119911856.62693536</v>
      </c>
      <c r="AB18" s="9">
        <f>Investment!AB25</f>
        <v>125310198.4613516</v>
      </c>
      <c r="AC18" s="9">
        <f>Investment!AC25</f>
        <v>130931244.43198451</v>
      </c>
      <c r="AD18" s="9">
        <f>Investment!AD25</f>
        <v>136783719.70151353</v>
      </c>
      <c r="AE18" s="9">
        <f>Investment!AE25</f>
        <v>142876679.79399407</v>
      </c>
      <c r="AF18" s="9">
        <f>Investment!AF25</f>
        <v>149219522.80341893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353025071.6315701</v>
      </c>
      <c r="D19" s="9">
        <f>D18+C20</f>
        <v>384611143.53858984</v>
      </c>
      <c r="E19" s="9">
        <f>E18+D20</f>
        <v>417231427.44148487</v>
      </c>
      <c r="F19" s="9">
        <f t="shared" ref="F19:AF19" si="28">F18+E20</f>
        <v>450919768.7703585</v>
      </c>
      <c r="G19" s="9">
        <f t="shared" si="28"/>
        <v>485711120.02975678</v>
      </c>
      <c r="H19" s="9">
        <f t="shared" si="28"/>
        <v>521641576.99371254</v>
      </c>
      <c r="I19" s="9">
        <f t="shared" si="28"/>
        <v>558748416.08362782</v>
      </c>
      <c r="J19" s="9">
        <f t="shared" si="28"/>
        <v>597070132.96763289</v>
      </c>
      <c r="K19" s="9">
        <f t="shared" si="28"/>
        <v>636646482.42132151</v>
      </c>
      <c r="L19" s="9">
        <f t="shared" si="28"/>
        <v>677518519.49106419</v>
      </c>
      <c r="M19" s="9">
        <f t="shared" si="28"/>
        <v>719728642.00244772</v>
      </c>
      <c r="N19" s="9">
        <f t="shared" si="28"/>
        <v>763320634.45777798</v>
      </c>
      <c r="O19" s="9">
        <f t="shared" si="28"/>
        <v>808339713.36801553</v>
      </c>
      <c r="P19" s="9">
        <f t="shared" si="28"/>
        <v>854832574.06600034</v>
      </c>
      <c r="Q19" s="9">
        <f t="shared" si="28"/>
        <v>902847439.04934418</v>
      </c>
      <c r="R19" s="9">
        <f t="shared" si="28"/>
        <v>952434107.90295529</v>
      </c>
      <c r="S19" s="9">
        <f t="shared" si="28"/>
        <v>1003644008.8527877</v>
      </c>
      <c r="T19" s="9">
        <f t="shared" si="28"/>
        <v>1056530252.0040935</v>
      </c>
      <c r="U19" s="9">
        <f t="shared" si="28"/>
        <v>1111147684.3191948</v>
      </c>
      <c r="V19" s="9">
        <f t="shared" si="28"/>
        <v>1167552946.3915868</v>
      </c>
      <c r="W19" s="9">
        <f t="shared" si="28"/>
        <v>1225804531.0750458</v>
      </c>
      <c r="X19" s="9">
        <f t="shared" si="28"/>
        <v>1285962844.0283184</v>
      </c>
      <c r="Y19" s="9">
        <f t="shared" si="28"/>
        <v>1348090266.237956</v>
      </c>
      <c r="Z19" s="9">
        <f t="shared" si="28"/>
        <v>1412251218.5839026</v>
      </c>
      <c r="AA19" s="9">
        <f t="shared" si="28"/>
        <v>1478512228.5145388</v>
      </c>
      <c r="AB19" s="9">
        <f t="shared" si="28"/>
        <v>1546941998.9000828</v>
      </c>
      <c r="AC19" s="9">
        <f t="shared" si="28"/>
        <v>1617611479.1354792</v>
      </c>
      <c r="AD19" s="9">
        <f t="shared" si="28"/>
        <v>1690593938.5662444</v>
      </c>
      <c r="AE19" s="9">
        <f t="shared" si="28"/>
        <v>1765965042.3131204</v>
      </c>
      <c r="AF19" s="9">
        <f t="shared" si="28"/>
        <v>1843802929.5738816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343364276.65072435</v>
      </c>
      <c r="D20" s="9">
        <f>D19-D8-D9</f>
        <v>373908150.15427184</v>
      </c>
      <c r="E20" s="9">
        <f t="shared" ref="E20:AF20" si="29">E19-E8-E9</f>
        <v>405429427.60993284</v>
      </c>
      <c r="F20" s="9">
        <f t="shared" si="29"/>
        <v>437959385.944175</v>
      </c>
      <c r="G20" s="9">
        <f t="shared" si="29"/>
        <v>471530302.94511288</v>
      </c>
      <c r="H20" s="9">
        <f t="shared" si="29"/>
        <v>506175489.29008085</v>
      </c>
      <c r="I20" s="9">
        <f t="shared" si="29"/>
        <v>541929321.59808767</v>
      </c>
      <c r="J20" s="9">
        <f t="shared" si="29"/>
        <v>578827276.53995073</v>
      </c>
      <c r="K20" s="9">
        <f t="shared" si="29"/>
        <v>616905966.03995347</v>
      </c>
      <c r="L20" s="9">
        <f t="shared" si="29"/>
        <v>656203173.60395634</v>
      </c>
      <c r="M20" s="9">
        <f t="shared" si="29"/>
        <v>696757891.81000733</v>
      </c>
      <c r="N20" s="9">
        <f t="shared" si="29"/>
        <v>738610360.99865186</v>
      </c>
      <c r="O20" s="9">
        <f t="shared" si="29"/>
        <v>781802109.20133305</v>
      </c>
      <c r="P20" s="9">
        <f t="shared" si="29"/>
        <v>826375993.34650004</v>
      </c>
      <c r="Q20" s="9">
        <f t="shared" si="29"/>
        <v>872376241.78431237</v>
      </c>
      <c r="R20" s="9">
        <f t="shared" si="29"/>
        <v>919848498.17213476</v>
      </c>
      <c r="S20" s="9">
        <f t="shared" si="29"/>
        <v>968839866.76436722</v>
      </c>
      <c r="T20" s="9">
        <f t="shared" si="29"/>
        <v>1019398959.1515514</v>
      </c>
      <c r="U20" s="9">
        <f t="shared" si="29"/>
        <v>1071575942.4951253</v>
      </c>
      <c r="V20" s="9">
        <f t="shared" si="29"/>
        <v>1125422589.3056934</v>
      </c>
      <c r="W20" s="9">
        <f t="shared" si="29"/>
        <v>1180992328.8141999</v>
      </c>
      <c r="X20" s="9">
        <f t="shared" si="29"/>
        <v>1238340299.9869785</v>
      </c>
      <c r="Y20" s="9">
        <f t="shared" si="29"/>
        <v>1297523406.2372861</v>
      </c>
      <c r="Z20" s="9">
        <f t="shared" si="29"/>
        <v>1358600371.8876035</v>
      </c>
      <c r="AA20" s="9">
        <f t="shared" si="29"/>
        <v>1421631800.4387312</v>
      </c>
      <c r="AB20" s="9">
        <f t="shared" si="29"/>
        <v>1486680234.7034948</v>
      </c>
      <c r="AC20" s="9">
        <f t="shared" si="29"/>
        <v>1553810218.8647308</v>
      </c>
      <c r="AD20" s="9">
        <f t="shared" si="29"/>
        <v>1623088362.5191264</v>
      </c>
      <c r="AE20" s="9">
        <f t="shared" si="29"/>
        <v>1694583406.7704628</v>
      </c>
      <c r="AF20" s="9">
        <f t="shared" si="29"/>
        <v>1768366292.4378419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91342000</v>
      </c>
      <c r="D22" s="9">
        <f ca="1">'Balance Sheet'!C11</f>
        <v>112168027.20205306</v>
      </c>
      <c r="E22" s="9">
        <f ca="1">'Balance Sheet'!D11</f>
        <v>129910132.47401756</v>
      </c>
      <c r="F22" s="9">
        <f ca="1">'Balance Sheet'!E11</f>
        <v>146994766.54996985</v>
      </c>
      <c r="G22" s="9">
        <f ca="1">'Balance Sheet'!F11</f>
        <v>163020533.62264204</v>
      </c>
      <c r="H22" s="9">
        <f ca="1">'Balance Sheet'!G11</f>
        <v>177521141.56143561</v>
      </c>
      <c r="I22" s="9">
        <f ca="1">'Balance Sheet'!H11</f>
        <v>191385124.93987691</v>
      </c>
      <c r="J22" s="9">
        <f ca="1">'Balance Sheet'!I11</f>
        <v>204309053.01627478</v>
      </c>
      <c r="K22" s="9">
        <f ca="1">'Balance Sheet'!J11</f>
        <v>216783654.70173803</v>
      </c>
      <c r="L22" s="9">
        <f ca="1">'Balance Sheet'!K11</f>
        <v>229473542.09344929</v>
      </c>
      <c r="M22" s="9">
        <f ca="1">'Balance Sheet'!L11</f>
        <v>242267868.93817928</v>
      </c>
      <c r="N22" s="9">
        <f ca="1">'Balance Sheet'!M11</f>
        <v>255039159.04613265</v>
      </c>
      <c r="O22" s="9">
        <f ca="1">'Balance Sheet'!N11</f>
        <v>268718497.0702579</v>
      </c>
      <c r="P22" s="9">
        <f ca="1">'Balance Sheet'!O11</f>
        <v>283302721.4116962</v>
      </c>
      <c r="Q22" s="9">
        <f ca="1">'Balance Sheet'!P11</f>
        <v>298783372.4879778</v>
      </c>
      <c r="R22" s="9">
        <f ca="1">'Balance Sheet'!Q11</f>
        <v>315146091.54747468</v>
      </c>
      <c r="S22" s="9">
        <f ca="1">'Balance Sheet'!R11</f>
        <v>332369970.99324846</v>
      </c>
      <c r="T22" s="9">
        <f ca="1">'Balance Sheet'!S11</f>
        <v>350426852.86487055</v>
      </c>
      <c r="U22" s="9">
        <f ca="1">'Balance Sheet'!T11</f>
        <v>369280571.91466999</v>
      </c>
      <c r="V22" s="9">
        <f ca="1">'Balance Sheet'!U11</f>
        <v>388886139.49004364</v>
      </c>
      <c r="W22" s="9">
        <f ca="1">'Balance Sheet'!V11</f>
        <v>409188864.19521117</v>
      </c>
      <c r="X22" s="9">
        <f ca="1">'Balance Sheet'!W11</f>
        <v>430123405.05334151</v>
      </c>
      <c r="Y22" s="9">
        <f ca="1">'Balance Sheet'!X11</f>
        <v>451612752.62250006</v>
      </c>
      <c r="Z22" s="9">
        <f ca="1">'Balance Sheet'!Y11</f>
        <v>473567133.23550451</v>
      </c>
      <c r="AA22" s="9">
        <f ca="1">'Balance Sheet'!Z11</f>
        <v>495882831.23362023</v>
      </c>
      <c r="AB22" s="9">
        <f ca="1">'Balance Sheet'!AA11</f>
        <v>520110496.16651607</v>
      </c>
      <c r="AC22" s="9">
        <f ca="1">'Balance Sheet'!AB11</f>
        <v>546335917.67691505</v>
      </c>
      <c r="AD22" s="9">
        <f ca="1">'Balance Sheet'!AC11</f>
        <v>574646519.63230777</v>
      </c>
      <c r="AE22" s="9">
        <f ca="1">'Balance Sheet'!AD11</f>
        <v>605131259.46057916</v>
      </c>
      <c r="AF22" s="9">
        <f ca="1">'Balance Sheet'!AE11</f>
        <v>637880513.18760467</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252022276.65072435</v>
      </c>
      <c r="D23" s="9">
        <f t="shared" ref="D23:AF23" ca="1" si="30">D20-D22</f>
        <v>261740122.95221877</v>
      </c>
      <c r="E23" s="9">
        <f t="shared" ca="1" si="30"/>
        <v>275519295.13591528</v>
      </c>
      <c r="F23" s="9">
        <f t="shared" ca="1" si="30"/>
        <v>290964619.39420515</v>
      </c>
      <c r="G23" s="9">
        <f t="shared" ca="1" si="30"/>
        <v>308509769.32247084</v>
      </c>
      <c r="H23" s="9">
        <f t="shared" ca="1" si="30"/>
        <v>328654347.72864521</v>
      </c>
      <c r="I23" s="9">
        <f t="shared" ca="1" si="30"/>
        <v>350544196.65821075</v>
      </c>
      <c r="J23" s="9">
        <f ca="1">J20-J22</f>
        <v>374518223.52367592</v>
      </c>
      <c r="K23" s="9">
        <f t="shared" ca="1" si="30"/>
        <v>400122311.33821547</v>
      </c>
      <c r="L23" s="9">
        <f t="shared" ca="1" si="30"/>
        <v>426729631.51050705</v>
      </c>
      <c r="M23" s="9">
        <f t="shared" ca="1" si="30"/>
        <v>454490022.87182808</v>
      </c>
      <c r="N23" s="9">
        <f t="shared" ca="1" si="30"/>
        <v>483571201.95251918</v>
      </c>
      <c r="O23" s="9">
        <f t="shared" ca="1" si="30"/>
        <v>513083612.13107514</v>
      </c>
      <c r="P23" s="9">
        <f t="shared" ca="1" si="30"/>
        <v>543073271.93480384</v>
      </c>
      <c r="Q23" s="9">
        <f t="shared" ca="1" si="30"/>
        <v>573592869.29633451</v>
      </c>
      <c r="R23" s="9">
        <f t="shared" ca="1" si="30"/>
        <v>604702406.62466002</v>
      </c>
      <c r="S23" s="9">
        <f t="shared" ca="1" si="30"/>
        <v>636469895.77111876</v>
      </c>
      <c r="T23" s="9">
        <f t="shared" ca="1" si="30"/>
        <v>668972106.28668082</v>
      </c>
      <c r="U23" s="9">
        <f t="shared" ca="1" si="30"/>
        <v>702295370.5804553</v>
      </c>
      <c r="V23" s="9">
        <f t="shared" ca="1" si="30"/>
        <v>736536449.81564975</v>
      </c>
      <c r="W23" s="9">
        <f t="shared" ca="1" si="30"/>
        <v>771803464.61898875</v>
      </c>
      <c r="X23" s="9">
        <f t="shared" ca="1" si="30"/>
        <v>808216894.93363702</v>
      </c>
      <c r="Y23" s="9">
        <f t="shared" ca="1" si="30"/>
        <v>845910653.61478603</v>
      </c>
      <c r="Z23" s="9">
        <f t="shared" ca="1" si="30"/>
        <v>885033238.65209901</v>
      </c>
      <c r="AA23" s="9">
        <f t="shared" ca="1" si="30"/>
        <v>925748969.20511103</v>
      </c>
      <c r="AB23" s="9">
        <f t="shared" ca="1" si="30"/>
        <v>966569738.53697872</v>
      </c>
      <c r="AC23" s="9">
        <f t="shared" ca="1" si="30"/>
        <v>1007474301.1878158</v>
      </c>
      <c r="AD23" s="9">
        <f t="shared" ca="1" si="30"/>
        <v>1048441842.8868186</v>
      </c>
      <c r="AE23" s="9">
        <f t="shared" ca="1" si="30"/>
        <v>1089452147.3098836</v>
      </c>
      <c r="AF23" s="9">
        <f t="shared" ca="1" si="30"/>
        <v>1130485779.2502372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91342000</v>
      </c>
      <c r="D5" s="1">
        <f ca="1">C5+C6</f>
        <v>112168027.20205306</v>
      </c>
      <c r="E5" s="1">
        <f t="shared" ref="E5:AF5" ca="1" si="1">D5+D6</f>
        <v>129910132.47401756</v>
      </c>
      <c r="F5" s="1">
        <f t="shared" ca="1" si="1"/>
        <v>146994766.54996985</v>
      </c>
      <c r="G5" s="1">
        <f t="shared" ca="1" si="1"/>
        <v>163020533.62264204</v>
      </c>
      <c r="H5" s="1">
        <f t="shared" ca="1" si="1"/>
        <v>177521141.56143561</v>
      </c>
      <c r="I5" s="1">
        <f t="shared" ca="1" si="1"/>
        <v>191385124.93987691</v>
      </c>
      <c r="J5" s="1">
        <f t="shared" ca="1" si="1"/>
        <v>204309053.01627478</v>
      </c>
      <c r="K5" s="1">
        <f t="shared" ca="1" si="1"/>
        <v>216783654.70173803</v>
      </c>
      <c r="L5" s="1">
        <f t="shared" ca="1" si="1"/>
        <v>229473542.09344929</v>
      </c>
      <c r="M5" s="1">
        <f t="shared" ca="1" si="1"/>
        <v>242267868.93817928</v>
      </c>
      <c r="N5" s="1">
        <f t="shared" ca="1" si="1"/>
        <v>255039159.04613265</v>
      </c>
      <c r="O5" s="1">
        <f t="shared" ca="1" si="1"/>
        <v>268718497.0702579</v>
      </c>
      <c r="P5" s="1">
        <f t="shared" ca="1" si="1"/>
        <v>283302721.4116962</v>
      </c>
      <c r="Q5" s="1">
        <f t="shared" ca="1" si="1"/>
        <v>298783372.4879778</v>
      </c>
      <c r="R5" s="1">
        <f t="shared" ca="1" si="1"/>
        <v>315146091.54747468</v>
      </c>
      <c r="S5" s="1">
        <f t="shared" ca="1" si="1"/>
        <v>332369970.99324846</v>
      </c>
      <c r="T5" s="1">
        <f t="shared" ca="1" si="1"/>
        <v>350426852.86487055</v>
      </c>
      <c r="U5" s="1">
        <f t="shared" ca="1" si="1"/>
        <v>369280571.91466999</v>
      </c>
      <c r="V5" s="1">
        <f t="shared" ca="1" si="1"/>
        <v>388886139.49004364</v>
      </c>
      <c r="W5" s="1">
        <f t="shared" ca="1" si="1"/>
        <v>409188864.19521117</v>
      </c>
      <c r="X5" s="1">
        <f t="shared" ca="1" si="1"/>
        <v>430123405.05334151</v>
      </c>
      <c r="Y5" s="1">
        <f t="shared" ca="1" si="1"/>
        <v>451612752.62250006</v>
      </c>
      <c r="Z5" s="1">
        <f t="shared" ca="1" si="1"/>
        <v>473567133.23550451</v>
      </c>
      <c r="AA5" s="1">
        <f t="shared" ca="1" si="1"/>
        <v>495882831.23362023</v>
      </c>
      <c r="AB5" s="1">
        <f t="shared" ca="1" si="1"/>
        <v>520110496.16651607</v>
      </c>
      <c r="AC5" s="1">
        <f t="shared" ca="1" si="1"/>
        <v>546335917.67691505</v>
      </c>
      <c r="AD5" s="1">
        <f t="shared" ca="1" si="1"/>
        <v>574646519.63230777</v>
      </c>
      <c r="AE5" s="1">
        <f t="shared" ca="1" si="1"/>
        <v>605131259.46057916</v>
      </c>
      <c r="AF5" s="1">
        <f t="shared" ca="1" si="1"/>
        <v>637880513.18760467</v>
      </c>
      <c r="AG5" s="1"/>
      <c r="AH5" s="1"/>
      <c r="AI5" s="1"/>
      <c r="AJ5" s="1"/>
      <c r="AK5" s="1"/>
      <c r="AL5" s="1"/>
      <c r="AM5" s="1"/>
      <c r="AN5" s="1"/>
      <c r="AO5" s="1"/>
      <c r="AP5" s="1"/>
    </row>
    <row r="6" spans="1:42" x14ac:dyDescent="0.35">
      <c r="A6" s="63" t="s">
        <v>3</v>
      </c>
      <c r="C6" s="1">
        <f ca="1">-'Cash Flow'!C13</f>
        <v>20826027.202053051</v>
      </c>
      <c r="D6" s="1">
        <f ca="1">-'Cash Flow'!D13</f>
        <v>17742105.271964513</v>
      </c>
      <c r="E6" s="1">
        <f ca="1">-'Cash Flow'!E13</f>
        <v>17084634.075952291</v>
      </c>
      <c r="F6" s="1">
        <f ca="1">-'Cash Flow'!F13</f>
        <v>16025767.072672188</v>
      </c>
      <c r="G6" s="1">
        <f ca="1">-'Cash Flow'!G13</f>
        <v>14500607.93879357</v>
      </c>
      <c r="H6" s="1">
        <f ca="1">-'Cash Flow'!H13</f>
        <v>13863983.378441304</v>
      </c>
      <c r="I6" s="1">
        <f ca="1">-'Cash Flow'!I13</f>
        <v>12923928.076397866</v>
      </c>
      <c r="J6" s="1">
        <f ca="1">-'Cash Flow'!J13</f>
        <v>12474601.68546325</v>
      </c>
      <c r="K6" s="1">
        <f ca="1">-'Cash Flow'!K13</f>
        <v>12689887.391711272</v>
      </c>
      <c r="L6" s="1">
        <f ca="1">-'Cash Flow'!L13</f>
        <v>12794326.844729997</v>
      </c>
      <c r="M6" s="1">
        <f ca="1">-'Cash Flow'!M13</f>
        <v>12771290.10795337</v>
      </c>
      <c r="N6" s="1">
        <f ca="1">-'Cash Flow'!N13</f>
        <v>13679338.024125278</v>
      </c>
      <c r="O6" s="1">
        <f ca="1">-'Cash Flow'!O13</f>
        <v>14584224.341438316</v>
      </c>
      <c r="P6" s="1">
        <f ca="1">-'Cash Flow'!P13</f>
        <v>15480651.076281585</v>
      </c>
      <c r="Q6" s="1">
        <f ca="1">-'Cash Flow'!Q13</f>
        <v>16362719.05949688</v>
      </c>
      <c r="R6" s="1">
        <f ca="1">-'Cash Flow'!R13</f>
        <v>17223879.44577378</v>
      </c>
      <c r="S6" s="1">
        <f ca="1">-'Cash Flow'!S13</f>
        <v>18056881.871622093</v>
      </c>
      <c r="T6" s="1">
        <f ca="1">-'Cash Flow'!T13</f>
        <v>18853719.049799457</v>
      </c>
      <c r="U6" s="1">
        <f ca="1">-'Cash Flow'!U13</f>
        <v>19605567.575373679</v>
      </c>
      <c r="V6" s="1">
        <f ca="1">-'Cash Flow'!V13</f>
        <v>20302724.705167547</v>
      </c>
      <c r="W6" s="1">
        <f ca="1">-'Cash Flow'!W13</f>
        <v>20934540.858130336</v>
      </c>
      <c r="X6" s="1">
        <f ca="1">-'Cash Flow'!X13</f>
        <v>21489347.569158539</v>
      </c>
      <c r="Y6" s="1">
        <f ca="1">-'Cash Flow'!Y13</f>
        <v>21954380.613004416</v>
      </c>
      <c r="Z6" s="1">
        <f ca="1">-'Cash Flow'!Z13</f>
        <v>22315697.998115718</v>
      </c>
      <c r="AA6" s="1">
        <f ca="1">-'Cash Flow'!AA13</f>
        <v>24227664.932895824</v>
      </c>
      <c r="AB6" s="1">
        <f ca="1">-'Cash Flow'!AB13</f>
        <v>26225421.510398999</v>
      </c>
      <c r="AC6" s="1">
        <f ca="1">-'Cash Flow'!AC13</f>
        <v>28310601.955392689</v>
      </c>
      <c r="AD6" s="1">
        <f ca="1">-'Cash Flow'!AD13</f>
        <v>30484739.828271374</v>
      </c>
      <c r="AE6" s="1">
        <f ca="1">-'Cash Flow'!AE13</f>
        <v>32749253.727025554</v>
      </c>
      <c r="AF6" s="1">
        <f ca="1">-'Cash Flow'!AF13</f>
        <v>35105431.871342301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3925880.9520718572</v>
      </c>
      <c r="D8" s="1">
        <f ca="1">IF(SUM(D5:D6)&gt;0,Assumptions!$C$26*SUM(D5:D6),Assumptions!$C$27*(SUM(D5:D6)))</f>
        <v>4546854.6365906149</v>
      </c>
      <c r="E8" s="1">
        <f ca="1">IF(SUM(E5:E6)&gt;0,Assumptions!$C$26*SUM(E5:E6),Assumptions!$C$27*(SUM(E5:E6)))</f>
        <v>5144816.8292489452</v>
      </c>
      <c r="F8" s="1">
        <f ca="1">IF(SUM(F5:F6)&gt;0,Assumptions!$C$26*SUM(F5:F6),Assumptions!$C$27*(SUM(F5:F6)))</f>
        <v>5705718.6767924717</v>
      </c>
      <c r="G8" s="1">
        <f ca="1">IF(SUM(G5:G6)&gt;0,Assumptions!$C$26*SUM(G5:G6),Assumptions!$C$27*(SUM(G5:G6)))</f>
        <v>6213239.9546502465</v>
      </c>
      <c r="H8" s="1">
        <f ca="1">IF(SUM(H5:H6)&gt;0,Assumptions!$C$26*SUM(H5:H6),Assumptions!$C$27*(SUM(H5:H6)))</f>
        <v>6698479.3728956925</v>
      </c>
      <c r="I8" s="1">
        <f ca="1">IF(SUM(I5:I6)&gt;0,Assumptions!$C$26*SUM(I5:I6),Assumptions!$C$27*(SUM(I5:I6)))</f>
        <v>7150816.8555696178</v>
      </c>
      <c r="J8" s="1">
        <f ca="1">IF(SUM(J5:J6)&gt;0,Assumptions!$C$26*SUM(J5:J6),Assumptions!$C$27*(SUM(J5:J6)))</f>
        <v>7587427.9145608321</v>
      </c>
      <c r="K8" s="1">
        <f ca="1">IF(SUM(K5:K6)&gt;0,Assumptions!$C$26*SUM(K5:K6),Assumptions!$C$27*(SUM(K5:K6)))</f>
        <v>8031573.9732707264</v>
      </c>
      <c r="L8" s="1">
        <f ca="1">IF(SUM(L5:L6)&gt;0,Assumptions!$C$26*SUM(L5:L6),Assumptions!$C$27*(SUM(L5:L6)))</f>
        <v>8479375.412836276</v>
      </c>
      <c r="M8" s="1">
        <f ca="1">IF(SUM(M5:M6)&gt;0,Assumptions!$C$26*SUM(M5:M6),Assumptions!$C$27*(SUM(M5:M6)))</f>
        <v>8926370.5666146446</v>
      </c>
      <c r="N8" s="1">
        <f ca="1">IF(SUM(N5:N6)&gt;0,Assumptions!$C$26*SUM(N5:N6),Assumptions!$C$27*(SUM(N5:N6)))</f>
        <v>9405147.3974590283</v>
      </c>
      <c r="O8" s="1">
        <f ca="1">IF(SUM(O5:O6)&gt;0,Assumptions!$C$26*SUM(O5:O6),Assumptions!$C$27*(SUM(O5:O6)))</f>
        <v>9915595.2494093683</v>
      </c>
      <c r="P8" s="1">
        <f ca="1">IF(SUM(P5:P6)&gt;0,Assumptions!$C$26*SUM(P5:P6),Assumptions!$C$27*(SUM(P5:P6)))</f>
        <v>10457418.037079224</v>
      </c>
      <c r="Q8" s="1">
        <f ca="1">IF(SUM(Q5:Q6)&gt;0,Assumptions!$C$26*SUM(Q5:Q6),Assumptions!$C$27*(SUM(Q5:Q6)))</f>
        <v>11030113.204161614</v>
      </c>
      <c r="R8" s="1">
        <f ca="1">IF(SUM(R5:R6)&gt;0,Assumptions!$C$26*SUM(R5:R6),Assumptions!$C$27*(SUM(R5:R6)))</f>
        <v>11632948.984763697</v>
      </c>
      <c r="S8" s="1">
        <f ca="1">IF(SUM(S5:S6)&gt;0,Assumptions!$C$26*SUM(S5:S6),Assumptions!$C$27*(SUM(S5:S6)))</f>
        <v>12264939.850270471</v>
      </c>
      <c r="T8" s="1">
        <f ca="1">IF(SUM(T5:T6)&gt;0,Assumptions!$C$26*SUM(T5:T6),Assumptions!$C$27*(SUM(T5:T6)))</f>
        <v>12924820.017013451</v>
      </c>
      <c r="U8" s="1">
        <f ca="1">IF(SUM(U5:U6)&gt;0,Assumptions!$C$26*SUM(U5:U6),Assumptions!$C$27*(SUM(U5:U6)))</f>
        <v>13611014.882151529</v>
      </c>
      <c r="V8" s="1">
        <f ca="1">IF(SUM(V5:V6)&gt;0,Assumptions!$C$26*SUM(V5:V6),Assumptions!$C$27*(SUM(V5:V6)))</f>
        <v>14321610.246832393</v>
      </c>
      <c r="W8" s="1">
        <f ca="1">IF(SUM(W5:W6)&gt;0,Assumptions!$C$26*SUM(W5:W6),Assumptions!$C$27*(SUM(W5:W6)))</f>
        <v>15054319.176866954</v>
      </c>
      <c r="X8" s="1">
        <f ca="1">IF(SUM(X5:X6)&gt;0,Assumptions!$C$26*SUM(X5:X6),Assumptions!$C$27*(SUM(X5:X6)))</f>
        <v>15806446.341787504</v>
      </c>
      <c r="Y8" s="1">
        <f ca="1">IF(SUM(Y5:Y6)&gt;0,Assumptions!$C$26*SUM(Y5:Y6),Assumptions!$C$27*(SUM(Y5:Y6)))</f>
        <v>16574849.663242659</v>
      </c>
      <c r="Z8" s="1">
        <f ca="1">IF(SUM(Z5:Z6)&gt;0,Assumptions!$C$26*SUM(Z5:Z6),Assumptions!$C$27*(SUM(Z5:Z6)))</f>
        <v>17355899.093176711</v>
      </c>
      <c r="AA8" s="1">
        <f ca="1">IF(SUM(AA5:AA6)&gt;0,Assumptions!$C$26*SUM(AA5:AA6),Assumptions!$C$27*(SUM(AA5:AA6)))</f>
        <v>18203867.365828063</v>
      </c>
      <c r="AB8" s="1">
        <f ca="1">IF(SUM(AB5:AB6)&gt;0,Assumptions!$C$26*SUM(AB5:AB6),Assumptions!$C$27*(SUM(AB5:AB6)))</f>
        <v>19121757.118692029</v>
      </c>
      <c r="AC8" s="1">
        <f ca="1">IF(SUM(AC5:AC6)&gt;0,Assumptions!$C$26*SUM(AC5:AC6),Assumptions!$C$27*(SUM(AC5:AC6)))</f>
        <v>20112628.187130775</v>
      </c>
      <c r="AD8" s="1">
        <f ca="1">IF(SUM(AD5:AD6)&gt;0,Assumptions!$C$26*SUM(AD5:AD6),Assumptions!$C$27*(SUM(AD5:AD6)))</f>
        <v>21179594.081120271</v>
      </c>
      <c r="AE8" s="1">
        <f ca="1">IF(SUM(AE5:AE6)&gt;0,Assumptions!$C$26*SUM(AE5:AE6),Assumptions!$C$27*(SUM(AE5:AE6)))</f>
        <v>22325817.961566165</v>
      </c>
      <c r="AF8" s="1">
        <f ca="1">IF(SUM(AF5:AF6)&gt;0,Assumptions!$C$26*SUM(AF5:AF6),Assumptions!$C$27*(SUM(AF5:AF6)))</f>
        <v>23554508.077063147</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4"/>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50.91406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181"/>
    </row>
    <row r="7" spans="1:3" ht="18.5" x14ac:dyDescent="0.45">
      <c r="A7" s="90" t="s">
        <v>96</v>
      </c>
      <c r="B7" s="182">
        <f>Assumptions!C24</f>
        <v>36380000</v>
      </c>
      <c r="C7" s="180" t="s">
        <v>136</v>
      </c>
    </row>
    <row r="8" spans="1:3" ht="34" x14ac:dyDescent="0.45">
      <c r="A8" s="90" t="s">
        <v>174</v>
      </c>
      <c r="B8" s="183">
        <f>Assumptions!$C$133</f>
        <v>0.7</v>
      </c>
      <c r="C8" s="180" t="s">
        <v>199</v>
      </c>
    </row>
    <row r="9" spans="1:3" ht="18.5" x14ac:dyDescent="0.45">
      <c r="A9" s="90"/>
      <c r="B9" s="184"/>
      <c r="C9" s="180"/>
    </row>
    <row r="10" spans="1:3" ht="68" x14ac:dyDescent="0.45">
      <c r="A10" s="94" t="s">
        <v>102</v>
      </c>
      <c r="B10" s="185">
        <f>Assumptions!C135</f>
        <v>11848.703703703703</v>
      </c>
      <c r="C10" s="180" t="s">
        <v>200</v>
      </c>
    </row>
    <row r="11" spans="1:3" ht="18.5" x14ac:dyDescent="0.45">
      <c r="A11" s="94"/>
      <c r="B11" s="186"/>
      <c r="C11" s="180"/>
    </row>
    <row r="12" spans="1:3" ht="18.5" x14ac:dyDescent="0.45">
      <c r="A12" s="94" t="s">
        <v>184</v>
      </c>
      <c r="B12" s="182">
        <f>(B7*B8)/B10</f>
        <v>2149.2646484222373</v>
      </c>
      <c r="C12" s="180"/>
    </row>
    <row r="13" spans="1:3" ht="18.5" x14ac:dyDescent="0.45">
      <c r="A13" s="96"/>
      <c r="B13" s="187"/>
      <c r="C13" s="180"/>
    </row>
    <row r="14" spans="1:3" ht="18.5" x14ac:dyDescent="0.45">
      <c r="A14" s="94" t="s">
        <v>103</v>
      </c>
      <c r="B14" s="103">
        <v>1</v>
      </c>
      <c r="C14" s="180"/>
    </row>
    <row r="15" spans="1:3" ht="18.5" x14ac:dyDescent="0.45">
      <c r="A15" s="96"/>
      <c r="B15" s="99"/>
      <c r="C15" s="180"/>
    </row>
    <row r="16" spans="1:3" ht="18.5" x14ac:dyDescent="0.45">
      <c r="A16" s="96" t="s">
        <v>179</v>
      </c>
      <c r="B16" s="188">
        <f>B12/B14</f>
        <v>2149.2646484222373</v>
      </c>
      <c r="C16" s="180"/>
    </row>
    <row r="17" spans="1:3" ht="18.5" x14ac:dyDescent="0.45">
      <c r="A17" s="94"/>
      <c r="B17" s="189"/>
      <c r="C17" s="180"/>
    </row>
    <row r="18" spans="1:3" ht="18.5" x14ac:dyDescent="0.45">
      <c r="A18" s="102" t="s">
        <v>178</v>
      </c>
      <c r="B18" s="189"/>
      <c r="C18" s="180"/>
    </row>
    <row r="19" spans="1:3" ht="18.5" x14ac:dyDescent="0.45">
      <c r="A19" s="94"/>
      <c r="B19" s="189"/>
      <c r="C19" s="180"/>
    </row>
    <row r="20" spans="1:3" ht="34" x14ac:dyDescent="0.45">
      <c r="A20" s="94" t="s">
        <v>65</v>
      </c>
      <c r="B20" s="182">
        <f>'Profit and Loss'!L5</f>
        <v>95738923.787824854</v>
      </c>
      <c r="C20" s="180" t="s">
        <v>201</v>
      </c>
    </row>
    <row r="21" spans="1:3" ht="34" x14ac:dyDescent="0.45">
      <c r="A21" s="94" t="str">
        <f>A8</f>
        <v>Assumed revenue from households</v>
      </c>
      <c r="B21" s="183">
        <f>B8</f>
        <v>0.7</v>
      </c>
      <c r="C21" s="180" t="s">
        <v>199</v>
      </c>
    </row>
    <row r="22" spans="1:3" ht="18.5" x14ac:dyDescent="0.45">
      <c r="A22" s="94"/>
      <c r="B22" s="186"/>
      <c r="C22" s="180"/>
    </row>
    <row r="23" spans="1:3" ht="34" x14ac:dyDescent="0.45">
      <c r="A23" s="94" t="s">
        <v>101</v>
      </c>
      <c r="B23" s="185">
        <f>Assumptions!M135</f>
        <v>14667.700397961076</v>
      </c>
      <c r="C23" s="180" t="s">
        <v>202</v>
      </c>
    </row>
    <row r="24" spans="1:3" ht="18.5" x14ac:dyDescent="0.45">
      <c r="A24" s="94"/>
      <c r="B24" s="186"/>
      <c r="C24" s="180"/>
    </row>
    <row r="25" spans="1:3" ht="18.5" x14ac:dyDescent="0.45">
      <c r="A25" s="94" t="s">
        <v>183</v>
      </c>
      <c r="B25" s="182">
        <f>(B20*B21)/B23</f>
        <v>4569.0356929292957</v>
      </c>
      <c r="C25" s="180"/>
    </row>
    <row r="26" spans="1:3" ht="18.5" x14ac:dyDescent="0.45">
      <c r="A26" s="94"/>
      <c r="B26" s="182"/>
      <c r="C26" s="180"/>
    </row>
    <row r="27" spans="1:3" ht="34" x14ac:dyDescent="0.45">
      <c r="A27" s="94" t="s">
        <v>103</v>
      </c>
      <c r="B27" s="103">
        <f>1.022^11</f>
        <v>1.2704566586717592</v>
      </c>
      <c r="C27" s="180" t="s">
        <v>203</v>
      </c>
    </row>
    <row r="28" spans="1:3" ht="18.5" x14ac:dyDescent="0.45">
      <c r="A28" s="96"/>
      <c r="B28" s="187"/>
      <c r="C28" s="180"/>
    </row>
    <row r="29" spans="1:3" ht="18.5" x14ac:dyDescent="0.45">
      <c r="A29" s="96" t="s">
        <v>180</v>
      </c>
      <c r="B29" s="182">
        <f>B25/B27</f>
        <v>3596.3727386860601</v>
      </c>
      <c r="C29" s="180"/>
    </row>
    <row r="30" spans="1:3" ht="18.5" x14ac:dyDescent="0.45">
      <c r="A30" s="96"/>
      <c r="B30" s="187"/>
      <c r="C30" s="180"/>
    </row>
    <row r="31" spans="1:3" ht="18.5" x14ac:dyDescent="0.45">
      <c r="A31" s="102" t="s">
        <v>186</v>
      </c>
      <c r="B31" s="190"/>
      <c r="C31" s="180"/>
    </row>
    <row r="32" spans="1:3" ht="18.5" x14ac:dyDescent="0.45">
      <c r="A32" s="94"/>
      <c r="B32" s="182"/>
      <c r="C32" s="180"/>
    </row>
    <row r="33" spans="1:3" ht="34" x14ac:dyDescent="0.45">
      <c r="A33" s="94" t="s">
        <v>66</v>
      </c>
      <c r="B33" s="182">
        <f>'Profit and Loss'!AF5</f>
        <v>255325128.25311738</v>
      </c>
      <c r="C33" s="180" t="s">
        <v>201</v>
      </c>
    </row>
    <row r="34" spans="1:3" ht="34" x14ac:dyDescent="0.45">
      <c r="A34" s="94" t="str">
        <f>A21</f>
        <v>Assumed revenue from households</v>
      </c>
      <c r="B34" s="183">
        <f>B21</f>
        <v>0.7</v>
      </c>
      <c r="C34" s="180" t="s">
        <v>199</v>
      </c>
    </row>
    <row r="35" spans="1:3" ht="18.5" x14ac:dyDescent="0.45">
      <c r="A35" s="94"/>
      <c r="B35" s="186"/>
      <c r="C35" s="180"/>
    </row>
    <row r="36" spans="1:3" ht="34" x14ac:dyDescent="0.45">
      <c r="A36" s="94" t="s">
        <v>100</v>
      </c>
      <c r="B36" s="185">
        <f>Assumptions!AG135</f>
        <v>22477.314009577654</v>
      </c>
      <c r="C36" s="180" t="s">
        <v>202</v>
      </c>
    </row>
    <row r="37" spans="1:3" ht="18.5" x14ac:dyDescent="0.45">
      <c r="A37" s="94"/>
      <c r="B37" s="186"/>
      <c r="C37" s="180"/>
    </row>
    <row r="38" spans="1:3" ht="18.5" x14ac:dyDescent="0.45">
      <c r="A38" s="94" t="s">
        <v>182</v>
      </c>
      <c r="B38" s="182">
        <f>(B33*B34)/B36</f>
        <v>7951.4656289014683</v>
      </c>
      <c r="C38" s="180"/>
    </row>
    <row r="39" spans="1:3" ht="18.5" x14ac:dyDescent="0.45">
      <c r="A39" s="94"/>
      <c r="B39" s="186"/>
      <c r="C39" s="180"/>
    </row>
    <row r="40" spans="1:3" ht="34" x14ac:dyDescent="0.45">
      <c r="A40" s="94" t="s">
        <v>103</v>
      </c>
      <c r="B40" s="103">
        <f>1.022^31</f>
        <v>1.9632597808456462</v>
      </c>
      <c r="C40" s="180" t="s">
        <v>203</v>
      </c>
    </row>
    <row r="41" spans="1:3" ht="18.5" x14ac:dyDescent="0.45">
      <c r="A41" s="96"/>
      <c r="B41" s="187"/>
    </row>
    <row r="42" spans="1:3" ht="18.5" x14ac:dyDescent="0.45">
      <c r="A42" s="96" t="s">
        <v>181</v>
      </c>
      <c r="B42" s="182">
        <f>B38/B40</f>
        <v>4050.1342239469132</v>
      </c>
    </row>
    <row r="43" spans="1:3" x14ac:dyDescent="0.35">
      <c r="B43" s="191"/>
    </row>
    <row r="44" spans="1:3" x14ac:dyDescent="0.35">
      <c r="B44"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118.7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x14ac:dyDescent="0.35">
      <c r="A13" s="77" t="s">
        <v>31</v>
      </c>
      <c r="B13" s="106" t="s">
        <v>138</v>
      </c>
      <c r="C13" s="127">
        <v>2.1572324983513358E-2</v>
      </c>
      <c r="D13" s="128">
        <f t="shared" ref="D13:AG13" si="3">(1+$C$13)^D8</f>
        <v>1.0215723249835134</v>
      </c>
      <c r="E13" s="128">
        <f t="shared" si="3"/>
        <v>1.043610015172221</v>
      </c>
      <c r="F13" s="128">
        <f t="shared" si="3"/>
        <v>1.0661231095755654</v>
      </c>
      <c r="G13" s="128">
        <f t="shared" si="3"/>
        <v>1.0891218637677633</v>
      </c>
      <c r="H13" s="128">
        <f t="shared" si="3"/>
        <v>1.1126167545596113</v>
      </c>
      <c r="I13" s="128">
        <f t="shared" si="3"/>
        <v>1.136618484771073</v>
      </c>
      <c r="J13" s="128">
        <f t="shared" si="3"/>
        <v>1.1611379881068231</v>
      </c>
      <c r="K13" s="128">
        <f t="shared" si="3"/>
        <v>1.1861864341369663</v>
      </c>
      <c r="L13" s="128">
        <f t="shared" si="3"/>
        <v>1.2117752333852039</v>
      </c>
      <c r="M13" s="128">
        <f t="shared" si="3"/>
        <v>1.2379160425267621</v>
      </c>
      <c r="N13" s="128">
        <f t="shared" si="3"/>
        <v>1.2646207696984542</v>
      </c>
      <c r="O13" s="128">
        <f t="shared" si="3"/>
        <v>1.29190157992329</v>
      </c>
      <c r="P13" s="128">
        <f t="shared" si="3"/>
        <v>1.3197709006521097</v>
      </c>
      <c r="Q13" s="128">
        <f t="shared" si="3"/>
        <v>1.3482414274247607</v>
      </c>
      <c r="R13" s="128">
        <f t="shared" si="3"/>
        <v>1.3773261296534038</v>
      </c>
      <c r="S13" s="128">
        <f t="shared" si="3"/>
        <v>1.4070382565305717</v>
      </c>
      <c r="T13" s="128">
        <f t="shared" si="3"/>
        <v>1.4373913430646852</v>
      </c>
      <c r="U13" s="128">
        <f t="shared" si="3"/>
        <v>1.4683992162457653</v>
      </c>
      <c r="V13" s="128">
        <f t="shared" si="3"/>
        <v>1.5000760013441552</v>
      </c>
      <c r="W13" s="128">
        <f t="shared" si="3"/>
        <v>1.5324361283451204</v>
      </c>
      <c r="X13" s="128">
        <f t="shared" si="3"/>
        <v>1.5654943385222584</v>
      </c>
      <c r="Y13" s="128">
        <f t="shared" si="3"/>
        <v>1.5992656911527106</v>
      </c>
      <c r="Z13" s="128">
        <f t="shared" si="3"/>
        <v>1.63376557037724</v>
      </c>
      <c r="AA13" s="128">
        <f t="shared" si="3"/>
        <v>1.6690096922082929</v>
      </c>
      <c r="AB13" s="128">
        <f t="shared" si="3"/>
        <v>1.7050141116892439</v>
      </c>
      <c r="AC13" s="128">
        <f t="shared" si="3"/>
        <v>1.7417952302080804</v>
      </c>
      <c r="AD13" s="128">
        <f t="shared" si="3"/>
        <v>1.7793698029688625</v>
      </c>
      <c r="AE13" s="128">
        <f t="shared" si="3"/>
        <v>1.817754946624357</v>
      </c>
      <c r="AF13" s="128">
        <f t="shared" si="3"/>
        <v>1.8569681470733268</v>
      </c>
      <c r="AG13" s="128">
        <f t="shared" si="3"/>
        <v>1.8970272674260247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627535000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313767500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91342000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36380000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18680000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597660000.00000012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657410000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1765215.0532589073</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2746109.2789218468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2255662.1660903771</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4811483.5137738865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7042174.5586700067</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5926829.0362219466</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69" t="s">
        <v>111</v>
      </c>
      <c r="B75" s="70" t="s">
        <v>121</v>
      </c>
      <c r="C75" s="71">
        <f>C67+C73</f>
        <v>8672938.3151437938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179" t="s">
        <v>176</v>
      </c>
      <c r="C77" s="87">
        <v>256638905</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532415169.40617955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675049849.12430477</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789054074.40617955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931688754.12430477</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36850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27133</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31991.5</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24664.491330702829</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29123.009365747301</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789054074.40617955</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931688754.12430477</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860371414.2652421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860371414.2652421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28679047.142174736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8672938.3151437938</v>
      </c>
      <c r="E111" s="149">
        <f t="shared" si="9"/>
        <v>8672938.3151437938</v>
      </c>
      <c r="F111" s="149">
        <f t="shared" si="9"/>
        <v>8672938.3151437938</v>
      </c>
      <c r="G111" s="149">
        <f t="shared" si="9"/>
        <v>8672938.3151437938</v>
      </c>
      <c r="H111" s="149">
        <f t="shared" si="9"/>
        <v>8672938.3151437938</v>
      </c>
      <c r="I111" s="149">
        <f t="shared" si="9"/>
        <v>8672938.3151437938</v>
      </c>
      <c r="J111" s="149">
        <f t="shared" si="9"/>
        <v>8672938.3151437938</v>
      </c>
      <c r="K111" s="149">
        <f t="shared" si="9"/>
        <v>8672938.3151437938</v>
      </c>
      <c r="L111" s="149">
        <f t="shared" si="9"/>
        <v>8672938.3151437938</v>
      </c>
      <c r="M111" s="149">
        <f t="shared" si="9"/>
        <v>8672938.3151437938</v>
      </c>
      <c r="N111" s="149">
        <f t="shared" si="9"/>
        <v>8672938.3151437938</v>
      </c>
      <c r="O111" s="149">
        <f t="shared" si="9"/>
        <v>8672938.3151437938</v>
      </c>
      <c r="P111" s="149">
        <f t="shared" si="9"/>
        <v>8672938.3151437938</v>
      </c>
      <c r="Q111" s="149">
        <f t="shared" si="9"/>
        <v>8672938.3151437938</v>
      </c>
      <c r="R111" s="149">
        <f t="shared" si="9"/>
        <v>8672938.3151437938</v>
      </c>
      <c r="S111" s="149">
        <f t="shared" si="9"/>
        <v>8672938.3151437938</v>
      </c>
      <c r="T111" s="149">
        <f t="shared" si="9"/>
        <v>8672938.3151437938</v>
      </c>
      <c r="U111" s="149">
        <f t="shared" si="9"/>
        <v>8672938.3151437938</v>
      </c>
      <c r="V111" s="149">
        <f t="shared" si="9"/>
        <v>8672938.3151437938</v>
      </c>
      <c r="W111" s="149">
        <f t="shared" si="9"/>
        <v>8672938.3151437938</v>
      </c>
      <c r="X111" s="149">
        <f t="shared" si="9"/>
        <v>8672938.3151437938</v>
      </c>
      <c r="Y111" s="149">
        <f t="shared" si="9"/>
        <v>8672938.3151437938</v>
      </c>
      <c r="Z111" s="149">
        <f t="shared" si="9"/>
        <v>8672938.3151437938</v>
      </c>
      <c r="AA111" s="149">
        <f t="shared" si="9"/>
        <v>8672938.3151437938</v>
      </c>
      <c r="AB111" s="149">
        <f t="shared" si="9"/>
        <v>8672938.3151437938</v>
      </c>
      <c r="AC111" s="149">
        <f t="shared" si="9"/>
        <v>8672938.3151437938</v>
      </c>
      <c r="AD111" s="149">
        <f t="shared" si="9"/>
        <v>8672938.3151437938</v>
      </c>
      <c r="AE111" s="149">
        <f t="shared" si="9"/>
        <v>8672938.3151437938</v>
      </c>
      <c r="AF111" s="149">
        <f t="shared" si="9"/>
        <v>8672938.3151437938</v>
      </c>
      <c r="AG111" s="149">
        <f t="shared" si="9"/>
        <v>8672938.3151437938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860371414.26524174</v>
      </c>
      <c r="D113" s="149">
        <f t="shared" ref="D113:AG113" si="10">$C$102</f>
        <v>28679047.142174736</v>
      </c>
      <c r="E113" s="149">
        <f t="shared" si="10"/>
        <v>28679047.142174736</v>
      </c>
      <c r="F113" s="149">
        <f t="shared" si="10"/>
        <v>28679047.142174736</v>
      </c>
      <c r="G113" s="149">
        <f t="shared" si="10"/>
        <v>28679047.142174736</v>
      </c>
      <c r="H113" s="149">
        <f t="shared" si="10"/>
        <v>28679047.142174736</v>
      </c>
      <c r="I113" s="149">
        <f t="shared" si="10"/>
        <v>28679047.142174736</v>
      </c>
      <c r="J113" s="149">
        <f t="shared" si="10"/>
        <v>28679047.142174736</v>
      </c>
      <c r="K113" s="149">
        <f t="shared" si="10"/>
        <v>28679047.142174736</v>
      </c>
      <c r="L113" s="149">
        <f t="shared" si="10"/>
        <v>28679047.142174736</v>
      </c>
      <c r="M113" s="149">
        <f t="shared" si="10"/>
        <v>28679047.142174736</v>
      </c>
      <c r="N113" s="149">
        <f t="shared" si="10"/>
        <v>28679047.142174736</v>
      </c>
      <c r="O113" s="149">
        <f t="shared" si="10"/>
        <v>28679047.142174736</v>
      </c>
      <c r="P113" s="149">
        <f t="shared" si="10"/>
        <v>28679047.142174736</v>
      </c>
      <c r="Q113" s="149">
        <f t="shared" si="10"/>
        <v>28679047.142174736</v>
      </c>
      <c r="R113" s="149">
        <f t="shared" si="10"/>
        <v>28679047.142174736</v>
      </c>
      <c r="S113" s="149">
        <f t="shared" si="10"/>
        <v>28679047.142174736</v>
      </c>
      <c r="T113" s="149">
        <f t="shared" si="10"/>
        <v>28679047.142174736</v>
      </c>
      <c r="U113" s="149">
        <f t="shared" si="10"/>
        <v>28679047.142174736</v>
      </c>
      <c r="V113" s="149">
        <f t="shared" si="10"/>
        <v>28679047.142174736</v>
      </c>
      <c r="W113" s="149">
        <f t="shared" si="10"/>
        <v>28679047.142174736</v>
      </c>
      <c r="X113" s="149">
        <f t="shared" si="10"/>
        <v>28679047.142174736</v>
      </c>
      <c r="Y113" s="149">
        <f t="shared" si="10"/>
        <v>28679047.142174736</v>
      </c>
      <c r="Z113" s="149">
        <f t="shared" si="10"/>
        <v>28679047.142174736</v>
      </c>
      <c r="AA113" s="149">
        <f t="shared" si="10"/>
        <v>28679047.142174736</v>
      </c>
      <c r="AB113" s="149">
        <f t="shared" si="10"/>
        <v>28679047.142174736</v>
      </c>
      <c r="AC113" s="149">
        <f t="shared" si="10"/>
        <v>28679047.142174736</v>
      </c>
      <c r="AD113" s="149">
        <f t="shared" si="10"/>
        <v>28679047.142174736</v>
      </c>
      <c r="AE113" s="149">
        <f t="shared" si="10"/>
        <v>28679047.142174736</v>
      </c>
      <c r="AF113" s="149">
        <f t="shared" si="10"/>
        <v>28679047.142174736</v>
      </c>
      <c r="AG113" s="149">
        <f t="shared" si="10"/>
        <v>28679047.142174736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28679047.142174736</v>
      </c>
      <c r="E118" s="149">
        <f t="shared" ref="E118:AG118" si="13">E113+E115+E116</f>
        <v>28679047.142174736</v>
      </c>
      <c r="F118" s="149">
        <f>F113+F115+F116</f>
        <v>28679047.142174736</v>
      </c>
      <c r="G118" s="149">
        <f t="shared" si="13"/>
        <v>28679047.142174736</v>
      </c>
      <c r="H118" s="149">
        <f t="shared" si="13"/>
        <v>28679047.142174736</v>
      </c>
      <c r="I118" s="149">
        <f t="shared" si="13"/>
        <v>28679047.142174736</v>
      </c>
      <c r="J118" s="149">
        <f t="shared" si="13"/>
        <v>28679047.142174736</v>
      </c>
      <c r="K118" s="149">
        <f t="shared" si="13"/>
        <v>28679047.142174736</v>
      </c>
      <c r="L118" s="149">
        <f t="shared" si="13"/>
        <v>28679047.142174736</v>
      </c>
      <c r="M118" s="149">
        <f t="shared" si="13"/>
        <v>28679047.142174736</v>
      </c>
      <c r="N118" s="149">
        <f t="shared" si="13"/>
        <v>28679047.142174736</v>
      </c>
      <c r="O118" s="149">
        <f t="shared" si="13"/>
        <v>28679047.142174736</v>
      </c>
      <c r="P118" s="149">
        <f t="shared" si="13"/>
        <v>28679047.142174736</v>
      </c>
      <c r="Q118" s="149">
        <f t="shared" si="13"/>
        <v>28679047.142174736</v>
      </c>
      <c r="R118" s="149">
        <f t="shared" si="13"/>
        <v>28679047.142174736</v>
      </c>
      <c r="S118" s="149">
        <f t="shared" si="13"/>
        <v>28679047.142174736</v>
      </c>
      <c r="T118" s="149">
        <f t="shared" si="13"/>
        <v>28679047.142174736</v>
      </c>
      <c r="U118" s="149">
        <f t="shared" si="13"/>
        <v>28679047.142174736</v>
      </c>
      <c r="V118" s="149">
        <f t="shared" si="13"/>
        <v>28679047.142174736</v>
      </c>
      <c r="W118" s="149">
        <f t="shared" si="13"/>
        <v>28679047.142174736</v>
      </c>
      <c r="X118" s="149">
        <f t="shared" si="13"/>
        <v>28679047.142174736</v>
      </c>
      <c r="Y118" s="149">
        <f t="shared" si="13"/>
        <v>28679047.142174736</v>
      </c>
      <c r="Z118" s="149">
        <f t="shared" si="13"/>
        <v>28679047.142174736</v>
      </c>
      <c r="AA118" s="149">
        <f t="shared" si="13"/>
        <v>28679047.142174736</v>
      </c>
      <c r="AB118" s="149">
        <f t="shared" si="13"/>
        <v>28679047.142174736</v>
      </c>
      <c r="AC118" s="149">
        <f t="shared" si="13"/>
        <v>28679047.142174736</v>
      </c>
      <c r="AD118" s="149">
        <f t="shared" si="13"/>
        <v>28679047.142174736</v>
      </c>
      <c r="AE118" s="149">
        <f t="shared" si="13"/>
        <v>28679047.142174736</v>
      </c>
      <c r="AF118" s="149">
        <f t="shared" si="13"/>
        <v>28679047.142174736</v>
      </c>
      <c r="AG118" s="149">
        <f t="shared" si="13"/>
        <v>28679047.142174736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688297.13141219364</v>
      </c>
      <c r="E120" s="149">
        <f>(SUM($D$118:E118)*$C$104/$C$106)+(SUM($D$118:E118)*$C$105/$C$107)</f>
        <v>1376594.2628243873</v>
      </c>
      <c r="F120" s="149">
        <f>(SUM($D$118:F118)*$C$104/$C$106)+(SUM($D$118:F118)*$C$105/$C$107)</f>
        <v>2064891.3942365809</v>
      </c>
      <c r="G120" s="149">
        <f>(SUM($D$118:G118)*$C$104/$C$106)+(SUM($D$118:G118)*$C$105/$C$107)</f>
        <v>2753188.5256487746</v>
      </c>
      <c r="H120" s="149">
        <f>(SUM($D$118:H118)*$C$104/$C$106)+(SUM($D$118:H118)*$C$105/$C$107)</f>
        <v>3441485.6570609678</v>
      </c>
      <c r="I120" s="149">
        <f>(SUM($D$118:I118)*$C$104/$C$106)+(SUM($D$118:I118)*$C$105/$C$107)</f>
        <v>4129782.7884731609</v>
      </c>
      <c r="J120" s="149">
        <f>(SUM($D$118:J118)*$C$104/$C$106)+(SUM($D$118:J118)*$C$105/$C$107)</f>
        <v>4818079.9198853541</v>
      </c>
      <c r="K120" s="149">
        <f>(SUM($D$118:K118)*$C$104/$C$106)+(SUM($D$118:K118)*$C$105/$C$107)</f>
        <v>5506377.0512975482</v>
      </c>
      <c r="L120" s="149">
        <f>(SUM($D$118:L118)*$C$104/$C$106)+(SUM($D$118:L118)*$C$105/$C$107)</f>
        <v>6194674.1827097405</v>
      </c>
      <c r="M120" s="149">
        <f>(SUM($D$118:M118)*$C$104/$C$106)+(SUM($D$118:M118)*$C$105/$C$107)</f>
        <v>6882971.3141219337</v>
      </c>
      <c r="N120" s="149">
        <f>(SUM($D$118:N118)*$C$104/$C$106)+(SUM($D$118:N118)*$C$105/$C$107)</f>
        <v>7571268.4455341278</v>
      </c>
      <c r="O120" s="149">
        <f>(SUM($D$118:O118)*$C$104/$C$106)+(SUM($D$118:O118)*$C$105/$C$107)</f>
        <v>8259565.5769463209</v>
      </c>
      <c r="P120" s="149">
        <f>(SUM($D$118:P118)*$C$104/$C$106)+(SUM($D$118:P118)*$C$105/$C$107)</f>
        <v>8947862.7083585151</v>
      </c>
      <c r="Q120" s="149">
        <f>(SUM($D$118:Q118)*$C$104/$C$106)+(SUM($D$118:Q118)*$C$105/$C$107)</f>
        <v>9636159.8397707082</v>
      </c>
      <c r="R120" s="149">
        <f>(SUM($D$118:R118)*$C$104/$C$106)+(SUM($D$118:R118)*$C$105/$C$107)</f>
        <v>10324456.9711829</v>
      </c>
      <c r="S120" s="149">
        <f>(SUM($D$118:S118)*$C$104/$C$106)+(SUM($D$118:S118)*$C$105/$C$107)</f>
        <v>11012754.102595095</v>
      </c>
      <c r="T120" s="149">
        <f>(SUM($D$118:T118)*$C$104/$C$106)+(SUM($D$118:T118)*$C$105/$C$107)</f>
        <v>11701051.234007288</v>
      </c>
      <c r="U120" s="149">
        <f>(SUM($D$118:U118)*$C$104/$C$106)+(SUM($D$118:U118)*$C$105/$C$107)</f>
        <v>12389348.365419481</v>
      </c>
      <c r="V120" s="149">
        <f>(SUM($D$118:V118)*$C$104/$C$106)+(SUM($D$118:V118)*$C$105/$C$107)</f>
        <v>13077645.496831676</v>
      </c>
      <c r="W120" s="149">
        <f>(SUM($D$118:W118)*$C$104/$C$106)+(SUM($D$118:W118)*$C$105/$C$107)</f>
        <v>13765942.628243867</v>
      </c>
      <c r="X120" s="149">
        <f>(SUM($D$118:X118)*$C$104/$C$106)+(SUM($D$118:X118)*$C$105/$C$107)</f>
        <v>14454239.75965606</v>
      </c>
      <c r="Y120" s="149">
        <f>(SUM($D$118:Y118)*$C$104/$C$106)+(SUM($D$118:Y118)*$C$105/$C$107)</f>
        <v>15142536.891068256</v>
      </c>
      <c r="Z120" s="149">
        <f>(SUM($D$118:Z118)*$C$104/$C$106)+(SUM($D$118:Z118)*$C$105/$C$107)</f>
        <v>15830834.022480447</v>
      </c>
      <c r="AA120" s="149">
        <f>(SUM($D$118:AA118)*$C$104/$C$106)+(SUM($D$118:AA118)*$C$105/$C$107)</f>
        <v>16519131.153892642</v>
      </c>
      <c r="AB120" s="149">
        <f>(SUM($D$118:AB118)*$C$104/$C$106)+(SUM($D$118:AB118)*$C$105/$C$107)</f>
        <v>17207428.285304837</v>
      </c>
      <c r="AC120" s="149">
        <f>(SUM($D$118:AC118)*$C$104/$C$106)+(SUM($D$118:AC118)*$C$105/$C$107)</f>
        <v>17895725.41671703</v>
      </c>
      <c r="AD120" s="149">
        <f>(SUM($D$118:AD118)*$C$104/$C$106)+(SUM($D$118:AD118)*$C$105/$C$107)</f>
        <v>18584022.548129223</v>
      </c>
      <c r="AE120" s="149">
        <f>(SUM($D$118:AE118)*$C$104/$C$106)+(SUM($D$118:AE118)*$C$105/$C$107)</f>
        <v>19272319.679541416</v>
      </c>
      <c r="AF120" s="149">
        <f>(SUM($D$118:AF118)*$C$104/$C$106)+(SUM($D$118:AF118)*$C$105/$C$107)</f>
        <v>19960616.81095361</v>
      </c>
      <c r="AG120" s="149">
        <f>(SUM($D$118:AG118)*$C$104/$C$106)+(SUM($D$118:AG118)*$C$105/$C$107)</f>
        <v>20648913.942365799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860371.41426524206</v>
      </c>
      <c r="E122" s="72">
        <f>(SUM($D$118:E118)*$C$109)</f>
        <v>1720742.8285304841</v>
      </c>
      <c r="F122" s="72">
        <f>(SUM($D$118:F118)*$C$109)</f>
        <v>2581114.2427957263</v>
      </c>
      <c r="G122" s="72">
        <f>(SUM($D$118:G118)*$C$109)</f>
        <v>3441485.6570609682</v>
      </c>
      <c r="H122" s="72">
        <f>(SUM($D$118:H118)*$C$109)</f>
        <v>4301857.0713262102</v>
      </c>
      <c r="I122" s="72">
        <f>(SUM($D$118:I118)*$C$109)</f>
        <v>5162228.4855914516</v>
      </c>
      <c r="J122" s="72">
        <f>(SUM($D$118:J118)*$C$109)</f>
        <v>6022599.8998566931</v>
      </c>
      <c r="K122" s="72">
        <f>(SUM($D$118:K118)*$C$109)</f>
        <v>6882971.3141219346</v>
      </c>
      <c r="L122" s="72">
        <f>(SUM($D$118:L118)*$C$109)</f>
        <v>7743342.7283871761</v>
      </c>
      <c r="M122" s="72">
        <f>(SUM($D$118:M118)*$C$109)</f>
        <v>8603714.1426524185</v>
      </c>
      <c r="N122" s="72">
        <f>(SUM($D$118:N118)*$C$109)</f>
        <v>9464085.5569176599</v>
      </c>
      <c r="O122" s="72">
        <f>(SUM($D$118:O118)*$C$109)</f>
        <v>10324456.971182901</v>
      </c>
      <c r="P122" s="72">
        <f>(SUM($D$118:P118)*$C$109)</f>
        <v>11184828.385448143</v>
      </c>
      <c r="Q122" s="72">
        <f>(SUM($D$118:Q118)*$C$109)</f>
        <v>12045199.799713384</v>
      </c>
      <c r="R122" s="72">
        <f>(SUM($D$118:R118)*$C$109)</f>
        <v>12905571.213978626</v>
      </c>
      <c r="S122" s="72">
        <f>(SUM($D$118:S118)*$C$109)</f>
        <v>13765942.628243867</v>
      </c>
      <c r="T122" s="72">
        <f>(SUM($D$118:T118)*$C$109)</f>
        <v>14626314.042509109</v>
      </c>
      <c r="U122" s="72">
        <f>(SUM($D$118:U118)*$C$109)</f>
        <v>15486685.45677435</v>
      </c>
      <c r="V122" s="72">
        <f>(SUM($D$118:V118)*$C$109)</f>
        <v>16347056.871039594</v>
      </c>
      <c r="W122" s="72">
        <f>(SUM($D$118:W118)*$C$109)</f>
        <v>17207428.285304837</v>
      </c>
      <c r="X122" s="72">
        <f>(SUM($D$118:X118)*$C$109)</f>
        <v>18067799.699570078</v>
      </c>
      <c r="Y122" s="72">
        <f>(SUM($D$118:Y118)*$C$109)</f>
        <v>18928171.11383532</v>
      </c>
      <c r="Z122" s="72">
        <f>(SUM($D$118:Z118)*$C$109)</f>
        <v>19788542.528100561</v>
      </c>
      <c r="AA122" s="72">
        <f>(SUM($D$118:AA118)*$C$109)</f>
        <v>20648913.942365803</v>
      </c>
      <c r="AB122" s="72">
        <f>(SUM($D$118:AB118)*$C$109)</f>
        <v>21509285.356631044</v>
      </c>
      <c r="AC122" s="72">
        <f>(SUM($D$118:AC118)*$C$109)</f>
        <v>22369656.770896286</v>
      </c>
      <c r="AD122" s="72">
        <f>(SUM($D$118:AD118)*$C$109)</f>
        <v>23230028.185161527</v>
      </c>
      <c r="AE122" s="72">
        <f>(SUM($D$118:AE118)*$C$109)</f>
        <v>24090399.599426769</v>
      </c>
      <c r="AF122" s="72">
        <f>(SUM($D$118:AF118)*$C$109)</f>
        <v>24950771.01369201</v>
      </c>
      <c r="AG122" s="72">
        <f>(SUM($D$118:AG118)*$C$109)</f>
        <v>25811142.427957252</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36850</v>
      </c>
      <c r="D126" s="140"/>
    </row>
    <row r="127" spans="1:33" x14ac:dyDescent="0.35">
      <c r="A127" s="77" t="s">
        <v>151</v>
      </c>
      <c r="B127" s="77" t="s">
        <v>133</v>
      </c>
      <c r="C127" s="126">
        <v>27133</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31991.5</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11848.703703703703</v>
      </c>
      <c r="D135" s="157">
        <f t="shared" ref="D135:AG135" si="14">$C$135*D13</f>
        <v>12104.307790633356</v>
      </c>
      <c r="E135" s="157">
        <f t="shared" si="14"/>
        <v>12365.425851993372</v>
      </c>
      <c r="F135" s="157">
        <f t="shared" si="14"/>
        <v>12632.17683703211</v>
      </c>
      <c r="G135" s="157">
        <f t="shared" si="14"/>
        <v>12904.682261009777</v>
      </c>
      <c r="H135" s="157">
        <f t="shared" si="14"/>
        <v>13183.06626055326</v>
      </c>
      <c r="I135" s="157">
        <f t="shared" si="14"/>
        <v>13467.455650205102</v>
      </c>
      <c r="J135" s="157">
        <f t="shared" si="14"/>
        <v>13757.97998019238</v>
      </c>
      <c r="K135" s="157">
        <f t="shared" si="14"/>
        <v>14054.771595441762</v>
      </c>
      <c r="L135" s="157">
        <f t="shared" si="14"/>
        <v>14357.965695867684</v>
      </c>
      <c r="M135" s="157">
        <f t="shared" si="14"/>
        <v>14667.700397961076</v>
      </c>
      <c r="N135" s="157">
        <f t="shared" si="14"/>
        <v>14984.116797706702</v>
      </c>
      <c r="O135" s="157">
        <f t="shared" si="14"/>
        <v>15307.359034857751</v>
      </c>
      <c r="P135" s="157">
        <f t="shared" si="14"/>
        <v>15637.574358597023</v>
      </c>
      <c r="Q135" s="157">
        <f t="shared" si="14"/>
        <v>15974.91319461453</v>
      </c>
      <c r="R135" s="157">
        <f t="shared" si="14"/>
        <v>16319.529213632171</v>
      </c>
      <c r="S135" s="157">
        <f t="shared" si="14"/>
        <v>16671.579401406587</v>
      </c>
      <c r="T135" s="157">
        <f t="shared" si="14"/>
        <v>17031.224130242175</v>
      </c>
      <c r="U135" s="157">
        <f t="shared" si="14"/>
        <v>17398.627232046812</v>
      </c>
      <c r="V135" s="157">
        <f t="shared" si="14"/>
        <v>17773.95607296353</v>
      </c>
      <c r="W135" s="157">
        <f t="shared" si="14"/>
        <v>18157.381629612191</v>
      </c>
      <c r="X135" s="157">
        <f t="shared" si="14"/>
        <v>18549.078566975862</v>
      </c>
      <c r="Y135" s="157">
        <f t="shared" si="14"/>
        <v>18949.225317967383</v>
      </c>
      <c r="Z135" s="157">
        <f t="shared" si="14"/>
        <v>19358.004164712394</v>
      </c>
      <c r="AA135" s="157">
        <f t="shared" si="14"/>
        <v>19775.601321585775</v>
      </c>
      <c r="AB135" s="157">
        <f t="shared" si="14"/>
        <v>20202.207020039423</v>
      </c>
      <c r="AC135" s="157">
        <f t="shared" si="14"/>
        <v>20638.015595259923</v>
      </c>
      <c r="AD135" s="157">
        <f t="shared" si="14"/>
        <v>21083.225574695687</v>
      </c>
      <c r="AE135" s="157">
        <f t="shared" si="14"/>
        <v>21538.039768493745</v>
      </c>
      <c r="AF135" s="157">
        <f t="shared" si="14"/>
        <v>22002.665361887528</v>
      </c>
      <c r="AG135" s="157">
        <f t="shared" si="14"/>
        <v>22477.314009577654</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0.15</v>
      </c>
      <c r="F4" s="65">
        <v>0.15</v>
      </c>
      <c r="G4" s="65">
        <v>0.08</v>
      </c>
      <c r="H4" s="65">
        <v>0.08</v>
      </c>
      <c r="I4" s="65">
        <v>0.08</v>
      </c>
      <c r="J4" s="65">
        <v>0.06</v>
      </c>
      <c r="K4" s="65">
        <v>0.06</v>
      </c>
      <c r="L4" s="65">
        <v>0.05</v>
      </c>
      <c r="M4" s="65">
        <v>0.04</v>
      </c>
      <c r="N4" s="65">
        <v>0.04</v>
      </c>
      <c r="O4" s="65">
        <v>0.04</v>
      </c>
      <c r="P4" s="65">
        <v>0.03</v>
      </c>
      <c r="Q4" s="65">
        <v>0.03</v>
      </c>
      <c r="R4" s="65">
        <v>0.03</v>
      </c>
      <c r="S4" s="65">
        <v>0.03</v>
      </c>
      <c r="T4" s="65">
        <v>0.03</v>
      </c>
      <c r="U4" s="65">
        <v>0.03</v>
      </c>
      <c r="V4" s="65">
        <v>0.03</v>
      </c>
      <c r="W4" s="65">
        <v>0.03</v>
      </c>
      <c r="X4" s="65">
        <v>0.03</v>
      </c>
      <c r="Y4" s="65">
        <v>0.03</v>
      </c>
      <c r="Z4" s="65">
        <v>0.03</v>
      </c>
      <c r="AA4" s="65">
        <v>0.03</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2.4983068354918823</v>
      </c>
      <c r="C6" s="25"/>
      <c r="D6" s="25"/>
      <c r="E6" s="27">
        <f>'Debt worksheet'!C5/'Profit and Loss'!C5</f>
        <v>2.1371788240186205</v>
      </c>
      <c r="F6" s="28">
        <f ca="1">'Debt worksheet'!D5/'Profit and Loss'!D5</f>
        <v>2.2339449559347369</v>
      </c>
      <c r="G6" s="28">
        <f ca="1">'Debt worksheet'!E5/'Profit and Loss'!E5</f>
        <v>2.3450577237932295</v>
      </c>
      <c r="H6" s="28">
        <f ca="1">'Debt worksheet'!F5/'Profit and Loss'!F5</f>
        <v>2.4050245282331404</v>
      </c>
      <c r="I6" s="28">
        <f ca="1">'Debt worksheet'!G5/'Profit and Loss'!G5</f>
        <v>2.4175032852723231</v>
      </c>
      <c r="J6" s="28">
        <f ca="1">'Debt worksheet'!H5/'Profit and Loss'!H5</f>
        <v>2.4310834127848464</v>
      </c>
      <c r="K6" s="28">
        <f ca="1">'Debt worksheet'!I5/'Profit and Loss'!I5</f>
        <v>2.4203767573493136</v>
      </c>
      <c r="L6" s="28">
        <f ca="1">'Debt worksheet'!J5/'Profit and Loss'!J5</f>
        <v>2.4088179923658619</v>
      </c>
      <c r="M6" s="28">
        <f ca="1">'Debt worksheet'!K5/'Profit and Loss'!K5</f>
        <v>2.4056943646931868</v>
      </c>
      <c r="N6" s="28">
        <f ca="1">'Debt worksheet'!L5/'Profit and Loss'!L5</f>
        <v>2.3968677839120591</v>
      </c>
      <c r="O6" s="28">
        <f ca="1">'Debt worksheet'!M5/'Profit and Loss'!M5</f>
        <v>2.3817974146165906</v>
      </c>
      <c r="P6" s="28">
        <f ca="1">'Debt worksheet'!N5/'Profit and Loss'!N5</f>
        <v>2.3829203396489729</v>
      </c>
      <c r="Q6" s="28">
        <f ca="1">'Debt worksheet'!O5/'Profit and Loss'!O5</f>
        <v>2.3861287559939437</v>
      </c>
      <c r="R6" s="28">
        <f ca="1">'Debt worksheet'!P5/'Profit and Loss'!P5</f>
        <v>2.3907860620768586</v>
      </c>
      <c r="S6" s="28">
        <f ca="1">'Debt worksheet'!Q5/'Profit and Loss'!Q5</f>
        <v>2.3962937228527394</v>
      </c>
      <c r="T6" s="28">
        <f ca="1">'Debt worksheet'!R5/'Profit and Loss'!R5</f>
        <v>2.4020896205452718</v>
      </c>
      <c r="U6" s="28">
        <f ca="1">'Debt worksheet'!S5/'Profit and Loss'!S5</f>
        <v>2.4076464677600087</v>
      </c>
      <c r="V6" s="28">
        <f ca="1">'Debt worksheet'!T5/'Profit and Loss'!T5</f>
        <v>2.4124702807722387</v>
      </c>
      <c r="W6" s="28">
        <f ca="1">'Debt worksheet'!U5/'Profit and Loss'!U5</f>
        <v>2.4160989108644939</v>
      </c>
      <c r="X6" s="28">
        <f ca="1">'Debt worksheet'!V5/'Profit and Loss'!V5</f>
        <v>2.4181006316607085</v>
      </c>
      <c r="Y6" s="28">
        <f ca="1">'Debt worksheet'!W5/'Profit and Loss'!W5</f>
        <v>2.4180727804737026</v>
      </c>
      <c r="Z6" s="28">
        <f ca="1">'Debt worksheet'!X5/'Profit and Loss'!X5</f>
        <v>2.4156404517500336</v>
      </c>
      <c r="AA6" s="28">
        <f ca="1">'Debt worksheet'!Y5/'Profit and Loss'!Y5</f>
        <v>2.4104552407613822</v>
      </c>
      <c r="AB6" s="28">
        <f ca="1">'Debt worksheet'!Z5/'Profit and Loss'!Z5</f>
        <v>2.4021940357546168</v>
      </c>
      <c r="AC6" s="28">
        <f ca="1">'Debt worksheet'!AA5/'Profit and Loss'!AA5</f>
        <v>2.4092706384917526</v>
      </c>
      <c r="AD6" s="28">
        <f ca="1">'Debt worksheet'!AB5/'Profit and Loss'!AB5</f>
        <v>2.4203719941713335</v>
      </c>
      <c r="AE6" s="28">
        <f ca="1">'Debt worksheet'!AC5/'Profit and Loss'!AC5</f>
        <v>2.4351529226108726</v>
      </c>
      <c r="AF6" s="28">
        <f ca="1">'Debt worksheet'!AD5/'Profit and Loss'!AD5</f>
        <v>2.4532807540512409</v>
      </c>
      <c r="AG6" s="28">
        <f ca="1">'Debt worksheet'!AE5/'Profit and Loss'!AE5</f>
        <v>2.4744349669698966</v>
      </c>
      <c r="AH6" s="28">
        <f ca="1">'Debt worksheet'!AF5/'Profit and Loss'!AF5</f>
        <v>2.4983068354918823</v>
      </c>
      <c r="AI6" s="31"/>
    </row>
    <row r="7" spans="1:35" ht="21" x14ac:dyDescent="0.5">
      <c r="A7" s="19" t="s">
        <v>38</v>
      </c>
      <c r="B7" s="26">
        <f ca="1">MIN('Price and Financial ratios'!E7:AH7)</f>
        <v>0.17889571569105917</v>
      </c>
      <c r="C7" s="26"/>
      <c r="D7" s="26"/>
      <c r="E7" s="56">
        <f ca="1">'Cash Flow'!C7/'Debt worksheet'!C5</f>
        <v>0.20178608339555798</v>
      </c>
      <c r="F7" s="32">
        <f ca="1">'Cash Flow'!D7/'Debt worksheet'!D5</f>
        <v>0.20954956775303574</v>
      </c>
      <c r="G7" s="32">
        <f ca="1">'Cash Flow'!E7/'Debt worksheet'!E5</f>
        <v>0.20197534027231143</v>
      </c>
      <c r="H7" s="32">
        <f ca="1">'Cash Flow'!F7/'Debt worksheet'!F5</f>
        <v>0.20044641574186392</v>
      </c>
      <c r="I7" s="32">
        <f ca="1">'Cash Flow'!G7/'Debt worksheet'!G5</f>
        <v>0.20396894432794302</v>
      </c>
      <c r="J7" s="32">
        <f ca="1">'Cash Flow'!H7/'Debt worksheet'!H5</f>
        <v>0.20418576824898391</v>
      </c>
      <c r="K7" s="32">
        <f ca="1">'Cash Flow'!I7/'Debt worksheet'!I5</f>
        <v>0.20716865393590414</v>
      </c>
      <c r="L7" s="32">
        <f ca="1">'Cash Flow'!J7/'Debt worksheet'!J5</f>
        <v>0.20883171378941925</v>
      </c>
      <c r="M7" s="17">
        <f ca="1">'Cash Flow'!K7/'Debt worksheet'!K5</f>
        <v>0.20817675830657381</v>
      </c>
      <c r="N7" s="17">
        <f ca="1">'Cash Flow'!L7/'Debt worksheet'!L5</f>
        <v>0.20838230922023898</v>
      </c>
      <c r="O7" s="17">
        <f ca="1">'Cash Flow'!M7/'Debt worksheet'!M5</f>
        <v>0.2094961189570263</v>
      </c>
      <c r="P7" s="17">
        <f ca="1">'Cash Flow'!N7/'Debt worksheet'!N5</f>
        <v>0.20735405818241254</v>
      </c>
      <c r="Q7" s="17">
        <f ca="1">'Cash Flow'!O7/'Debt worksheet'!O5</f>
        <v>0.20521522942839074</v>
      </c>
      <c r="R7" s="17">
        <f ca="1">'Cash Flow'!P7/'Debt worksheet'!P5</f>
        <v>0.20313893739394817</v>
      </c>
      <c r="S7" s="17">
        <f ca="1">'Cash Flow'!Q7/'Debt worksheet'!Q5</f>
        <v>0.20117828560143799</v>
      </c>
      <c r="T7" s="17">
        <f ca="1">'Cash Flow'!R7/'Debt worksheet'!R5</f>
        <v>0.19938050433794943</v>
      </c>
      <c r="U7" s="17">
        <f ca="1">'Cash Flow'!S7/'Debt worksheet'!S5</f>
        <v>0.19778750954118629</v>
      </c>
      <c r="V7" s="17">
        <f ca="1">'Cash Flow'!T7/'Debt worksheet'!T5</f>
        <v>0.19643661901809581</v>
      </c>
      <c r="W7" s="17">
        <f ca="1">'Cash Flow'!U7/'Debt worksheet'!U5</f>
        <v>0.19536136769453408</v>
      </c>
      <c r="X7" s="17">
        <f ca="1">'Cash Flow'!V7/'Debt worksheet'!V5</f>
        <v>0.19459237938006138</v>
      </c>
      <c r="Y7" s="17">
        <f ca="1">'Cash Flow'!W7/'Debt worksheet'!W5</f>
        <v>0.19415826739928174</v>
      </c>
      <c r="Z7" s="17">
        <f ca="1">'Cash Flow'!X7/'Debt worksheet'!X5</f>
        <v>0.19408654973008752</v>
      </c>
      <c r="AA7" s="17">
        <f ca="1">'Cash Flow'!Y7/'Debt worksheet'!Y5</f>
        <v>0.19440457588530707</v>
      </c>
      <c r="AB7" s="17">
        <f ca="1">'Cash Flow'!Z7/'Debt worksheet'!Z5</f>
        <v>0.19514047294017842</v>
      </c>
      <c r="AC7" s="17">
        <f ca="1">'Cash Flow'!AA7/'Debt worksheet'!AA5</f>
        <v>0.19295725858466115</v>
      </c>
      <c r="AD7" s="17">
        <f ca="1">'Cash Flow'!AB7/'Debt worksheet'!AB5</f>
        <v>0.19050716661413059</v>
      </c>
      <c r="AE7" s="17">
        <f ca="1">'Cash Flow'!AC7/'Debt worksheet'!AC5</f>
        <v>0.18783433260794372</v>
      </c>
      <c r="AF7" s="17">
        <f ca="1">'Cash Flow'!AD7/'Debt worksheet'!AD5</f>
        <v>0.18498150818220985</v>
      </c>
      <c r="AG7" s="17">
        <f ca="1">'Cash Flow'!AE7/'Debt worksheet'!AE5</f>
        <v>0.18198931941664581</v>
      </c>
      <c r="AH7" s="17">
        <f ca="1">'Cash Flow'!AF7/'Debt worksheet'!AF5</f>
        <v>0.17889571569105917</v>
      </c>
      <c r="AI7" s="29"/>
    </row>
    <row r="8" spans="1:35" ht="21" x14ac:dyDescent="0.5">
      <c r="A8" s="19" t="s">
        <v>33</v>
      </c>
      <c r="B8" s="26">
        <f ca="1">MAX('Price and Financial ratios'!E8:AH8)</f>
        <v>0.40847965932114894</v>
      </c>
      <c r="C8" s="26"/>
      <c r="D8" s="176"/>
      <c r="E8" s="17">
        <f>'Balance Sheet'!B11/'Balance Sheet'!B8</f>
        <v>0.30036167730746616</v>
      </c>
      <c r="F8" s="17">
        <f ca="1">'Balance Sheet'!C11/'Balance Sheet'!C8</f>
        <v>0.35970283994733743</v>
      </c>
      <c r="G8" s="17">
        <f ca="1">'Balance Sheet'!D11/'Balance Sheet'!D8</f>
        <v>0.38065543133927282</v>
      </c>
      <c r="H8" s="17">
        <f ca="1">'Balance Sheet'!E11/'Balance Sheet'!E8</f>
        <v>0.39552678133568525</v>
      </c>
      <c r="I8" s="17">
        <f ca="1">'Balance Sheet'!F11/'Balance Sheet'!F8</f>
        <v>0.40456509581025157</v>
      </c>
      <c r="J8" s="17">
        <f ca="1">'Balance Sheet'!G11/'Balance Sheet'!G8</f>
        <v>0.40787124484893306</v>
      </c>
      <c r="K8" s="17">
        <f ca="1">'Balance Sheet'!H11/'Balance Sheet'!H8</f>
        <v>0.40847965932114894</v>
      </c>
      <c r="L8" s="17">
        <f ca="1">'Balance Sheet'!I11/'Balance Sheet'!I8</f>
        <v>0.40629374989553829</v>
      </c>
      <c r="M8" s="17">
        <f ca="1">'Balance Sheet'!J11/'Balance Sheet'!J8</f>
        <v>0.40274841062806166</v>
      </c>
      <c r="N8" s="17">
        <f ca="1">'Balance Sheet'!K11/'Balance Sheet'!K8</f>
        <v>0.39924787453477512</v>
      </c>
      <c r="O8" s="17">
        <f ca="1">'Balance Sheet'!L11/'Balance Sheet'!L8</f>
        <v>0.39559983441994562</v>
      </c>
      <c r="P8" s="17">
        <f ca="1">'Balance Sheet'!M11/'Balance Sheet'!M8</f>
        <v>0.39163191533040964</v>
      </c>
      <c r="Q8" s="17">
        <f ca="1">'Balance Sheet'!N11/'Balance Sheet'!N8</f>
        <v>0.38874469209297502</v>
      </c>
      <c r="R8" s="17">
        <f ca="1">'Balance Sheet'!O11/'Balance Sheet'!O8</f>
        <v>0.38675109797997176</v>
      </c>
      <c r="S8" s="17">
        <f ca="1">'Balance Sheet'!P11/'Balance Sheet'!P8</f>
        <v>0.38548775232219235</v>
      </c>
      <c r="T8" s="17">
        <f ca="1">'Balance Sheet'!Q11/'Balance Sheet'!Q8</f>
        <v>0.38481039312394039</v>
      </c>
      <c r="U8" s="17">
        <f ca="1">'Balance Sheet'!R11/'Balance Sheet'!R8</f>
        <v>0.38459028220721803</v>
      </c>
      <c r="V8" s="17">
        <f ca="1">'Balance Sheet'!S11/'Balance Sheet'!S8</f>
        <v>0.38471134849455457</v>
      </c>
      <c r="W8" s="17">
        <f ca="1">'Balance Sheet'!T11/'Balance Sheet'!T8</f>
        <v>0.38506789743021202</v>
      </c>
      <c r="X8" s="17">
        <f ca="1">'Balance Sheet'!U11/'Balance Sheet'!U8</f>
        <v>0.38556275884763586</v>
      </c>
      <c r="Y8" s="17">
        <f ca="1">'Balance Sheet'!V11/'Balance Sheet'!V8</f>
        <v>0.3861057774582643</v>
      </c>
      <c r="Z8" s="17">
        <f ca="1">'Balance Sheet'!W11/'Balance Sheet'!W8</f>
        <v>0.38661257332700144</v>
      </c>
      <c r="AA8" s="17">
        <f ca="1">'Balance Sheet'!X11/'Balance Sheet'!X8</f>
        <v>0.38700351676086525</v>
      </c>
      <c r="AB8" s="17">
        <f ca="1">'Balance Sheet'!Y11/'Balance Sheet'!Y8</f>
        <v>0.38720287471799003</v>
      </c>
      <c r="AC8" s="17">
        <f ca="1">'Balance Sheet'!Z11/'Balance Sheet'!Z8</f>
        <v>0.38713809535930799</v>
      </c>
      <c r="AD8" s="17">
        <f ca="1">'Balance Sheet'!AA11/'Balance Sheet'!AA8</f>
        <v>0.38798464851515474</v>
      </c>
      <c r="AE8" s="17">
        <f ca="1">'Balance Sheet'!AB11/'Balance Sheet'!AB8</f>
        <v>0.38966853481248803</v>
      </c>
      <c r="AF8" s="17">
        <f ca="1">'Balance Sheet'!AC11/'Balance Sheet'!AC8</f>
        <v>0.39212207773562974</v>
      </c>
      <c r="AG8" s="17">
        <f ca="1">'Balance Sheet'!AD11/'Balance Sheet'!AD8</f>
        <v>0.3952830939404674</v>
      </c>
      <c r="AH8" s="17">
        <f ca="1">'Balance Sheet'!AE11/'Balance Sheet'!AE8</f>
        <v>0.39909418444814754</v>
      </c>
      <c r="AI8" s="29"/>
    </row>
    <row r="9" spans="1:35" ht="21.5" thickBot="1" x14ac:dyDescent="0.55000000000000004">
      <c r="A9" s="20" t="s">
        <v>32</v>
      </c>
      <c r="B9" s="21">
        <f ca="1">MIN('Price and Financial ratios'!E9:AH9)</f>
        <v>5.6948811373890322</v>
      </c>
      <c r="C9" s="21"/>
      <c r="D9" s="177"/>
      <c r="E9" s="21">
        <f ca="1">('Cash Flow'!C7+'Profit and Loss'!C8)/('Profit and Loss'!C8)</f>
        <v>5.6948811373890322</v>
      </c>
      <c r="F9" s="21">
        <f ca="1">('Cash Flow'!D7+'Profit and Loss'!D8)/('Profit and Loss'!D8)</f>
        <v>6.1694552596310039</v>
      </c>
      <c r="G9" s="21">
        <f ca="1">('Cash Flow'!E7+'Profit and Loss'!E8)/('Profit and Loss'!E8)</f>
        <v>6.1000150407864266</v>
      </c>
      <c r="H9" s="21">
        <f ca="1">('Cash Flow'!F7+'Profit and Loss'!F8)/('Profit and Loss'!F8)</f>
        <v>6.1640425609482214</v>
      </c>
      <c r="I9" s="21">
        <f ca="1">('Cash Flow'!G7+'Profit and Loss'!G8)/('Profit and Loss'!G8)</f>
        <v>6.3516565253369484</v>
      </c>
      <c r="J9" s="21">
        <f ca="1">('Cash Flow'!H7+'Profit and Loss'!H8)/('Profit and Loss'!H8)</f>
        <v>6.4112715218363032</v>
      </c>
      <c r="K9" s="21">
        <f ca="1">('Cash Flow'!I7+'Profit and Loss'!I8)/('Profit and Loss'!I8)</f>
        <v>6.5446810508462931</v>
      </c>
      <c r="L9" s="21">
        <f ca="1">('Cash Flow'!J7+'Profit and Loss'!J8)/('Profit and Loss'!J8)</f>
        <v>6.6232771058295503</v>
      </c>
      <c r="M9" s="21">
        <f ca="1">('Cash Flow'!K7+'Profit and Loss'!K8)/('Profit and Loss'!K8)</f>
        <v>6.6189880887421255</v>
      </c>
      <c r="N9" s="21">
        <f ca="1">('Cash Flow'!L7+'Profit and Loss'!L8)/('Profit and Loss'!L8)</f>
        <v>6.6393571788309238</v>
      </c>
      <c r="O9" s="21">
        <f ca="1">('Cash Flow'!M7+'Profit and Loss'!M8)/('Profit and Loss'!M8)</f>
        <v>6.6858695156979966</v>
      </c>
      <c r="P9" s="21">
        <f ca="1">('Cash Flow'!N7+'Profit and Loss'!N8)/('Profit and Loss'!N8)</f>
        <v>6.622815080807003</v>
      </c>
      <c r="Q9" s="21">
        <f ca="1">('Cash Flow'!O7+'Profit and Loss'!O8)/('Profit and Loss'!O8)</f>
        <v>6.5614541175639554</v>
      </c>
      <c r="R9" s="21">
        <f ca="1">('Cash Flow'!P7+'Profit and Loss'!P8)/('Profit and Loss'!P8)</f>
        <v>6.5032526752138393</v>
      </c>
      <c r="S9" s="21">
        <f ca="1">('Cash Flow'!Q7+'Profit and Loss'!Q8)/('Profit and Loss'!Q8)</f>
        <v>6.4495113087931379</v>
      </c>
      <c r="T9" s="21">
        <f ca="1">('Cash Flow'!R7+'Profit and Loss'!R8)/('Profit and Loss'!R8)</f>
        <v>6.4013807466332189</v>
      </c>
      <c r="U9" s="21">
        <f ca="1">('Cash Flow'!S7+'Profit and Loss'!S8)/('Profit and Loss'!S8)</f>
        <v>6.3598818756197373</v>
      </c>
      <c r="V9" s="21">
        <f ca="1">('Cash Flow'!T7+'Profit and Loss'!T8)/('Profit and Loss'!T8)</f>
        <v>6.3259284151976169</v>
      </c>
      <c r="W9" s="21">
        <f ca="1">('Cash Flow'!U7+'Profit and Loss'!U8)/('Profit and Loss'!U8)</f>
        <v>6.3003510918846199</v>
      </c>
      <c r="X9" s="21">
        <f ca="1">('Cash Flow'!V7+'Profit and Loss'!V8)/('Profit and Loss'!V8)</f>
        <v>6.283922539927481</v>
      </c>
      <c r="Y9" s="21">
        <f ca="1">('Cash Flow'!W7+'Profit and Loss'!W8)/('Profit and Loss'!W8)</f>
        <v>6.2773825224394146</v>
      </c>
      <c r="Z9" s="21">
        <f ca="1">('Cash Flow'!X7+'Profit and Loss'!X8)/('Profit and Loss'!X8)</f>
        <v>6.2814633877736812</v>
      </c>
      <c r="AA9" s="21">
        <f ca="1">('Cash Flow'!Y7+'Profit and Loss'!Y8)/('Profit and Loss'!Y8)</f>
        <v>6.2969159553026754</v>
      </c>
      <c r="AB9" s="21">
        <f ca="1">('Cash Flow'!Z7+'Profit and Loss'!Z8)/('Profit and Loss'!Z8)</f>
        <v>6.3245362773992895</v>
      </c>
      <c r="AC9" s="21">
        <f ca="1">('Cash Flow'!AA7+'Profit and Loss'!AA8)/('Profit and Loss'!AA8)</f>
        <v>6.2562562542976989</v>
      </c>
      <c r="AD9" s="21">
        <f ca="1">('Cash Flow'!AB7+'Profit and Loss'!AB8)/('Profit and Loss'!AB8)</f>
        <v>6.1817820054881141</v>
      </c>
      <c r="AE9" s="21">
        <f ca="1">('Cash Flow'!AC7+'Profit and Loss'!AC8)/('Profit and Loss'!AC8)</f>
        <v>6.1022989895599258</v>
      </c>
      <c r="AF9" s="21">
        <f ca="1">('Cash Flow'!AD7+'Profit and Loss'!AD8)/('Profit and Loss'!AD8)</f>
        <v>6.0189337654963966</v>
      </c>
      <c r="AG9" s="21">
        <f ca="1">('Cash Flow'!AE7+'Profit and Loss'!AE8)/('Profit and Loss'!AE8)</f>
        <v>5.9327386909878319</v>
      </c>
      <c r="AH9" s="21">
        <f ca="1">('Cash Flow'!AF7+'Profit and Loss'!AF8)/('Profit and Loss'!AF8)</f>
        <v>5.8446815598411233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8672938.3151437938</v>
      </c>
      <c r="D5" s="1">
        <f>Assumptions!E111</f>
        <v>8672938.3151437938</v>
      </c>
      <c r="E5" s="1">
        <f>Assumptions!F111</f>
        <v>8672938.3151437938</v>
      </c>
      <c r="F5" s="1">
        <f>Assumptions!G111</f>
        <v>8672938.3151437938</v>
      </c>
      <c r="G5" s="1">
        <f>Assumptions!H111</f>
        <v>8672938.3151437938</v>
      </c>
      <c r="H5" s="1">
        <f>Assumptions!I111</f>
        <v>8672938.3151437938</v>
      </c>
      <c r="I5" s="1">
        <f>Assumptions!J111</f>
        <v>8672938.3151437938</v>
      </c>
      <c r="J5" s="1">
        <f>Assumptions!K111</f>
        <v>8672938.3151437938</v>
      </c>
      <c r="K5" s="1">
        <f>Assumptions!L111</f>
        <v>8672938.3151437938</v>
      </c>
      <c r="L5" s="1">
        <f>Assumptions!M111</f>
        <v>8672938.3151437938</v>
      </c>
      <c r="M5" s="1">
        <f>Assumptions!N111</f>
        <v>8672938.3151437938</v>
      </c>
      <c r="N5" s="1">
        <f>Assumptions!O111</f>
        <v>8672938.3151437938</v>
      </c>
      <c r="O5" s="1">
        <f>Assumptions!P111</f>
        <v>8672938.3151437938</v>
      </c>
      <c r="P5" s="1">
        <f>Assumptions!Q111</f>
        <v>8672938.3151437938</v>
      </c>
      <c r="Q5" s="1">
        <f>Assumptions!R111</f>
        <v>8672938.3151437938</v>
      </c>
      <c r="R5" s="1">
        <f>Assumptions!S111</f>
        <v>8672938.3151437938</v>
      </c>
      <c r="S5" s="1">
        <f>Assumptions!T111</f>
        <v>8672938.3151437938</v>
      </c>
      <c r="T5" s="1">
        <f>Assumptions!U111</f>
        <v>8672938.3151437938</v>
      </c>
      <c r="U5" s="1">
        <f>Assumptions!V111</f>
        <v>8672938.3151437938</v>
      </c>
      <c r="V5" s="1">
        <f>Assumptions!W111</f>
        <v>8672938.3151437938</v>
      </c>
      <c r="W5" s="1">
        <f>Assumptions!X111</f>
        <v>8672938.3151437938</v>
      </c>
      <c r="X5" s="1">
        <f>Assumptions!Y111</f>
        <v>8672938.3151437938</v>
      </c>
      <c r="Y5" s="1">
        <f>Assumptions!Z111</f>
        <v>8672938.3151437938</v>
      </c>
      <c r="Z5" s="1">
        <f>Assumptions!AA111</f>
        <v>8672938.3151437938</v>
      </c>
      <c r="AA5" s="1">
        <f>Assumptions!AB111</f>
        <v>8672938.3151437938</v>
      </c>
      <c r="AB5" s="1">
        <f>Assumptions!AC111</f>
        <v>8672938.3151437938</v>
      </c>
      <c r="AC5" s="1">
        <f>Assumptions!AD111</f>
        <v>8672938.3151437938</v>
      </c>
      <c r="AD5" s="1">
        <f>Assumptions!AE111</f>
        <v>8672938.3151437938</v>
      </c>
      <c r="AE5" s="1">
        <f>Assumptions!AF111</f>
        <v>8672938.3151437938</v>
      </c>
      <c r="AF5" s="1">
        <f>Assumptions!AG111</f>
        <v>8672938.3151437938</v>
      </c>
    </row>
    <row r="6" spans="1:32" x14ac:dyDescent="0.35">
      <c r="A6" t="s">
        <v>68</v>
      </c>
      <c r="C6" s="1">
        <f>Assumptions!D113</f>
        <v>28679047.142174736</v>
      </c>
      <c r="D6" s="1">
        <f>Assumptions!E113</f>
        <v>28679047.142174736</v>
      </c>
      <c r="E6" s="1">
        <f>Assumptions!F113</f>
        <v>28679047.142174736</v>
      </c>
      <c r="F6" s="1">
        <f>Assumptions!G113</f>
        <v>28679047.142174736</v>
      </c>
      <c r="G6" s="1">
        <f>Assumptions!H113</f>
        <v>28679047.142174736</v>
      </c>
      <c r="H6" s="1">
        <f>Assumptions!I113</f>
        <v>28679047.142174736</v>
      </c>
      <c r="I6" s="1">
        <f>Assumptions!J113</f>
        <v>28679047.142174736</v>
      </c>
      <c r="J6" s="1">
        <f>Assumptions!K113</f>
        <v>28679047.142174736</v>
      </c>
      <c r="K6" s="1">
        <f>Assumptions!L113</f>
        <v>28679047.142174736</v>
      </c>
      <c r="L6" s="1">
        <f>Assumptions!M113</f>
        <v>28679047.142174736</v>
      </c>
      <c r="M6" s="1">
        <f>Assumptions!N113</f>
        <v>28679047.142174736</v>
      </c>
      <c r="N6" s="1">
        <f>Assumptions!O113</f>
        <v>28679047.142174736</v>
      </c>
      <c r="O6" s="1">
        <f>Assumptions!P113</f>
        <v>28679047.142174736</v>
      </c>
      <c r="P6" s="1">
        <f>Assumptions!Q113</f>
        <v>28679047.142174736</v>
      </c>
      <c r="Q6" s="1">
        <f>Assumptions!R113</f>
        <v>28679047.142174736</v>
      </c>
      <c r="R6" s="1">
        <f>Assumptions!S113</f>
        <v>28679047.142174736</v>
      </c>
      <c r="S6" s="1">
        <f>Assumptions!T113</f>
        <v>28679047.142174736</v>
      </c>
      <c r="T6" s="1">
        <f>Assumptions!U113</f>
        <v>28679047.142174736</v>
      </c>
      <c r="U6" s="1">
        <f>Assumptions!V113</f>
        <v>28679047.142174736</v>
      </c>
      <c r="V6" s="1">
        <f>Assumptions!W113</f>
        <v>28679047.142174736</v>
      </c>
      <c r="W6" s="1">
        <f>Assumptions!X113</f>
        <v>28679047.142174736</v>
      </c>
      <c r="X6" s="1">
        <f>Assumptions!Y113</f>
        <v>28679047.142174736</v>
      </c>
      <c r="Y6" s="1">
        <f>Assumptions!Z113</f>
        <v>28679047.142174736</v>
      </c>
      <c r="Z6" s="1">
        <f>Assumptions!AA113</f>
        <v>28679047.142174736</v>
      </c>
      <c r="AA6" s="1">
        <f>Assumptions!AB113</f>
        <v>28679047.142174736</v>
      </c>
      <c r="AB6" s="1">
        <f>Assumptions!AC113</f>
        <v>28679047.142174736</v>
      </c>
      <c r="AC6" s="1">
        <f>Assumptions!AD113</f>
        <v>28679047.142174736</v>
      </c>
      <c r="AD6" s="1">
        <f>Assumptions!AE113</f>
        <v>28679047.142174736</v>
      </c>
      <c r="AE6" s="1">
        <f>Assumptions!AF113</f>
        <v>28679047.142174736</v>
      </c>
      <c r="AF6" s="1">
        <f>Assumptions!AG113</f>
        <v>28679047.142174736</v>
      </c>
    </row>
    <row r="7" spans="1:32" x14ac:dyDescent="0.35">
      <c r="A7" t="s">
        <v>73</v>
      </c>
      <c r="C7" s="1">
        <f>Assumptions!D120</f>
        <v>688297.13141219364</v>
      </c>
      <c r="D7" s="1">
        <f>Assumptions!E120</f>
        <v>1376594.2628243873</v>
      </c>
      <c r="E7" s="1">
        <f>Assumptions!F120</f>
        <v>2064891.3942365809</v>
      </c>
      <c r="F7" s="1">
        <f>Assumptions!G120</f>
        <v>2753188.5256487746</v>
      </c>
      <c r="G7" s="1">
        <f>Assumptions!H120</f>
        <v>3441485.6570609678</v>
      </c>
      <c r="H7" s="1">
        <f>Assumptions!I120</f>
        <v>4129782.7884731609</v>
      </c>
      <c r="I7" s="1">
        <f>Assumptions!J120</f>
        <v>4818079.9198853541</v>
      </c>
      <c r="J7" s="1">
        <f>Assumptions!K120</f>
        <v>5506377.0512975482</v>
      </c>
      <c r="K7" s="1">
        <f>Assumptions!L120</f>
        <v>6194674.1827097405</v>
      </c>
      <c r="L7" s="1">
        <f>Assumptions!M120</f>
        <v>6882971.3141219337</v>
      </c>
      <c r="M7" s="1">
        <f>Assumptions!N120</f>
        <v>7571268.4455341278</v>
      </c>
      <c r="N7" s="1">
        <f>Assumptions!O120</f>
        <v>8259565.5769463209</v>
      </c>
      <c r="O7" s="1">
        <f>Assumptions!P120</f>
        <v>8947862.7083585151</v>
      </c>
      <c r="P7" s="1">
        <f>Assumptions!Q120</f>
        <v>9636159.8397707082</v>
      </c>
      <c r="Q7" s="1">
        <f>Assumptions!R120</f>
        <v>10324456.9711829</v>
      </c>
      <c r="R7" s="1">
        <f>Assumptions!S120</f>
        <v>11012754.102595095</v>
      </c>
      <c r="S7" s="1">
        <f>Assumptions!T120</f>
        <v>11701051.234007288</v>
      </c>
      <c r="T7" s="1">
        <f>Assumptions!U120</f>
        <v>12389348.365419481</v>
      </c>
      <c r="U7" s="1">
        <f>Assumptions!V120</f>
        <v>13077645.496831676</v>
      </c>
      <c r="V7" s="1">
        <f>Assumptions!W120</f>
        <v>13765942.628243867</v>
      </c>
      <c r="W7" s="1">
        <f>Assumptions!X120</f>
        <v>14454239.75965606</v>
      </c>
      <c r="X7" s="1">
        <f>Assumptions!Y120</f>
        <v>15142536.891068256</v>
      </c>
      <c r="Y7" s="1">
        <f>Assumptions!Z120</f>
        <v>15830834.022480447</v>
      </c>
      <c r="Z7" s="1">
        <f>Assumptions!AA120</f>
        <v>16519131.153892642</v>
      </c>
      <c r="AA7" s="1">
        <f>Assumptions!AB120</f>
        <v>17207428.285304837</v>
      </c>
      <c r="AB7" s="1">
        <f>Assumptions!AC120</f>
        <v>17895725.41671703</v>
      </c>
      <c r="AC7" s="1">
        <f>Assumptions!AD120</f>
        <v>18584022.548129223</v>
      </c>
      <c r="AD7" s="1">
        <f>Assumptions!AE120</f>
        <v>19272319.679541416</v>
      </c>
      <c r="AE7" s="1">
        <f>Assumptions!AF120</f>
        <v>19960616.81095361</v>
      </c>
      <c r="AF7" s="1">
        <f>Assumptions!AG120</f>
        <v>20648913.942365799</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8950472.3412283957</v>
      </c>
      <c r="D11" s="1">
        <f>D5*D$9</f>
        <v>9236887.4561477043</v>
      </c>
      <c r="E11" s="1">
        <f t="shared" ref="D11:AF13" si="1">E5*E$9</f>
        <v>9532467.8547444288</v>
      </c>
      <c r="F11" s="1">
        <f t="shared" si="1"/>
        <v>9837506.8260962516</v>
      </c>
      <c r="G11" s="1">
        <f t="shared" si="1"/>
        <v>10152307.044531332</v>
      </c>
      <c r="H11" s="1">
        <f t="shared" si="1"/>
        <v>10477180.869956333</v>
      </c>
      <c r="I11" s="1">
        <f t="shared" si="1"/>
        <v>10812450.657794936</v>
      </c>
      <c r="J11" s="1">
        <f t="shared" si="1"/>
        <v>11158449.078844374</v>
      </c>
      <c r="K11" s="1">
        <f t="shared" si="1"/>
        <v>11515519.449367395</v>
      </c>
      <c r="L11" s="1">
        <f t="shared" si="1"/>
        <v>11884016.07174715</v>
      </c>
      <c r="M11" s="1">
        <f t="shared" si="1"/>
        <v>12264304.58604306</v>
      </c>
      <c r="N11" s="1">
        <f t="shared" si="1"/>
        <v>12656762.332796438</v>
      </c>
      <c r="O11" s="1">
        <f t="shared" si="1"/>
        <v>13061778.727445925</v>
      </c>
      <c r="P11" s="1">
        <f t="shared" si="1"/>
        <v>13479755.646724192</v>
      </c>
      <c r="Q11" s="1">
        <f t="shared" si="1"/>
        <v>13911107.827419363</v>
      </c>
      <c r="R11" s="1">
        <f t="shared" si="1"/>
        <v>14356263.277896786</v>
      </c>
      <c r="S11" s="1">
        <f t="shared" si="1"/>
        <v>14815663.702789485</v>
      </c>
      <c r="T11" s="1">
        <f t="shared" si="1"/>
        <v>15289764.941278746</v>
      </c>
      <c r="U11" s="1">
        <f t="shared" si="1"/>
        <v>15779037.419399666</v>
      </c>
      <c r="V11" s="1">
        <f t="shared" si="1"/>
        <v>16283966.616820456</v>
      </c>
      <c r="W11" s="1">
        <f t="shared" si="1"/>
        <v>16805053.548558712</v>
      </c>
      <c r="X11" s="1">
        <f t="shared" si="1"/>
        <v>17342815.262112588</v>
      </c>
      <c r="Y11" s="1">
        <f t="shared" si="1"/>
        <v>17897785.350500189</v>
      </c>
      <c r="Z11" s="1">
        <f t="shared" si="1"/>
        <v>18470514.481716197</v>
      </c>
      <c r="AA11" s="1">
        <f t="shared" si="1"/>
        <v>19061570.945131119</v>
      </c>
      <c r="AB11" s="1">
        <f t="shared" si="1"/>
        <v>19671541.215375312</v>
      </c>
      <c r="AC11" s="1">
        <f t="shared" si="1"/>
        <v>20301030.534267321</v>
      </c>
      <c r="AD11" s="1">
        <f t="shared" si="1"/>
        <v>20950663.511363875</v>
      </c>
      <c r="AE11" s="1">
        <f t="shared" si="1"/>
        <v>21621084.74372752</v>
      </c>
      <c r="AF11" s="1">
        <f t="shared" si="1"/>
        <v>22312959.455526799</v>
      </c>
    </row>
    <row r="12" spans="1:32" x14ac:dyDescent="0.35">
      <c r="A12" t="s">
        <v>71</v>
      </c>
      <c r="C12" s="1">
        <f t="shared" ref="C12:R12" si="2">C6*C$9</f>
        <v>29596776.650724329</v>
      </c>
      <c r="D12" s="1">
        <f t="shared" si="2"/>
        <v>30543873.503547505</v>
      </c>
      <c r="E12" s="1">
        <f t="shared" si="2"/>
        <v>31521277.455661021</v>
      </c>
      <c r="F12" s="1">
        <f t="shared" si="2"/>
        <v>32529958.334242176</v>
      </c>
      <c r="G12" s="1">
        <f t="shared" si="2"/>
        <v>33570917.000937931</v>
      </c>
      <c r="H12" s="1">
        <f t="shared" si="2"/>
        <v>34645186.344967939</v>
      </c>
      <c r="I12" s="1">
        <f t="shared" si="2"/>
        <v>35753832.308006905</v>
      </c>
      <c r="J12" s="1">
        <f t="shared" si="2"/>
        <v>36897954.941863135</v>
      </c>
      <c r="K12" s="1">
        <f t="shared" si="2"/>
        <v>38078689.500002757</v>
      </c>
      <c r="L12" s="1">
        <f t="shared" si="2"/>
        <v>39297207.564002842</v>
      </c>
      <c r="M12" s="1">
        <f t="shared" si="2"/>
        <v>40554718.206050932</v>
      </c>
      <c r="N12" s="1">
        <f t="shared" si="2"/>
        <v>41852469.188644566</v>
      </c>
      <c r="O12" s="1">
        <f t="shared" si="2"/>
        <v>43191748.202681191</v>
      </c>
      <c r="P12" s="1">
        <f t="shared" si="2"/>
        <v>44573884.145166986</v>
      </c>
      <c r="Q12" s="1">
        <f t="shared" si="2"/>
        <v>46000248.437812321</v>
      </c>
      <c r="R12" s="1">
        <f t="shared" si="2"/>
        <v>47472256.387822323</v>
      </c>
      <c r="S12" s="1">
        <f t="shared" si="1"/>
        <v>48991368.592232645</v>
      </c>
      <c r="T12" s="1">
        <f t="shared" si="1"/>
        <v>50559092.387184083</v>
      </c>
      <c r="U12" s="1">
        <f t="shared" si="1"/>
        <v>52176983.343573965</v>
      </c>
      <c r="V12" s="1">
        <f t="shared" si="1"/>
        <v>53846646.81056834</v>
      </c>
      <c r="W12" s="1">
        <f t="shared" si="1"/>
        <v>55569739.508506529</v>
      </c>
      <c r="X12" s="1">
        <f t="shared" si="1"/>
        <v>57347971.172778733</v>
      </c>
      <c r="Y12" s="1">
        <f t="shared" si="1"/>
        <v>59183106.250307642</v>
      </c>
      <c r="Z12" s="1">
        <f t="shared" si="1"/>
        <v>61076965.65031749</v>
      </c>
      <c r="AA12" s="1">
        <f t="shared" si="1"/>
        <v>63031428.551127665</v>
      </c>
      <c r="AB12" s="1">
        <f t="shared" si="1"/>
        <v>65048434.264763743</v>
      </c>
      <c r="AC12" s="1">
        <f t="shared" si="1"/>
        <v>67129984.161236167</v>
      </c>
      <c r="AD12" s="1">
        <f t="shared" si="1"/>
        <v>69278143.654395744</v>
      </c>
      <c r="AE12" s="1">
        <f t="shared" si="1"/>
        <v>71495044.251336411</v>
      </c>
      <c r="AF12" s="1">
        <f t="shared" si="1"/>
        <v>73782885.667379156</v>
      </c>
    </row>
    <row r="13" spans="1:32" x14ac:dyDescent="0.35">
      <c r="A13" t="s">
        <v>74</v>
      </c>
      <c r="C13" s="1">
        <f>C7*C$9</f>
        <v>710322.63961738383</v>
      </c>
      <c r="D13" s="1">
        <f t="shared" si="1"/>
        <v>1466105.9281702803</v>
      </c>
      <c r="E13" s="1">
        <f t="shared" si="1"/>
        <v>2269531.9768075938</v>
      </c>
      <c r="F13" s="1">
        <f t="shared" si="1"/>
        <v>3122876.0000872491</v>
      </c>
      <c r="G13" s="1">
        <f t="shared" si="1"/>
        <v>4028510.0401125508</v>
      </c>
      <c r="H13" s="1">
        <f t="shared" si="1"/>
        <v>4988906.8336753817</v>
      </c>
      <c r="I13" s="1">
        <f t="shared" si="1"/>
        <v>6006643.8277451592</v>
      </c>
      <c r="J13" s="1">
        <f t="shared" si="1"/>
        <v>7084407.3488377202</v>
      </c>
      <c r="K13" s="1">
        <f t="shared" si="1"/>
        <v>8224996.9320005924</v>
      </c>
      <c r="L13" s="1">
        <f t="shared" si="1"/>
        <v>9431329.8153606784</v>
      </c>
      <c r="M13" s="1">
        <f t="shared" si="1"/>
        <v>10706445.606397443</v>
      </c>
      <c r="N13" s="1">
        <f t="shared" si="1"/>
        <v>12053511.126329631</v>
      </c>
      <c r="O13" s="1">
        <f t="shared" si="1"/>
        <v>13475825.439236529</v>
      </c>
      <c r="P13" s="1">
        <f t="shared" si="1"/>
        <v>14976825.072776102</v>
      </c>
      <c r="Q13" s="1">
        <f t="shared" si="1"/>
        <v>16560089.437612426</v>
      </c>
      <c r="R13" s="1">
        <f t="shared" si="1"/>
        <v>18229346.452923767</v>
      </c>
      <c r="S13" s="1">
        <f t="shared" si="1"/>
        <v>19988478.385630909</v>
      </c>
      <c r="T13" s="1">
        <f t="shared" si="1"/>
        <v>21841527.911263514</v>
      </c>
      <c r="U13" s="1">
        <f t="shared" si="1"/>
        <v>23792704.404669721</v>
      </c>
      <c r="V13" s="1">
        <f t="shared" si="1"/>
        <v>25846390.469072793</v>
      </c>
      <c r="W13" s="1">
        <f t="shared" si="1"/>
        <v>28007148.712287281</v>
      </c>
      <c r="X13" s="1">
        <f t="shared" si="1"/>
        <v>30279728.77922716</v>
      </c>
      <c r="Y13" s="1">
        <f t="shared" si="1"/>
        <v>32669074.650169805</v>
      </c>
      <c r="Z13" s="1">
        <f t="shared" si="1"/>
        <v>35180332.21458286</v>
      </c>
      <c r="AA13" s="1">
        <f t="shared" si="1"/>
        <v>37818857.13067659</v>
      </c>
      <c r="AB13" s="1">
        <f t="shared" si="1"/>
        <v>40590222.981212564</v>
      </c>
      <c r="AC13" s="1">
        <f t="shared" si="1"/>
        <v>43500229.736481026</v>
      </c>
      <c r="AD13" s="1">
        <f t="shared" si="1"/>
        <v>46554912.535753921</v>
      </c>
      <c r="AE13" s="1">
        <f t="shared" si="1"/>
        <v>49760550.798930123</v>
      </c>
      <c r="AF13" s="1">
        <f t="shared" si="1"/>
        <v>53123677.680512965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39257571.631570108</v>
      </c>
      <c r="D25" s="40">
        <f>SUM(D11:D13,D18:D23)</f>
        <v>41246866.887865484</v>
      </c>
      <c r="E25" s="40">
        <f t="shared" ref="E25:AF25" si="7">SUM(E11:E13,E18:E23)</f>
        <v>43323277.287213042</v>
      </c>
      <c r="F25" s="40">
        <f t="shared" si="7"/>
        <v>45490341.160425678</v>
      </c>
      <c r="G25" s="40">
        <f t="shared" si="7"/>
        <v>47751734.085581809</v>
      </c>
      <c r="H25" s="40">
        <f t="shared" si="7"/>
        <v>50111274.04859966</v>
      </c>
      <c r="I25" s="40">
        <f t="shared" si="7"/>
        <v>52572926.793547004</v>
      </c>
      <c r="J25" s="40">
        <f t="shared" si="7"/>
        <v>55140811.369545229</v>
      </c>
      <c r="K25" s="40">
        <f t="shared" si="7"/>
        <v>57819205.881370746</v>
      </c>
      <c r="L25" s="40">
        <f t="shared" si="7"/>
        <v>60612553.451110676</v>
      </c>
      <c r="M25" s="40">
        <f t="shared" si="7"/>
        <v>63525468.398491435</v>
      </c>
      <c r="N25" s="40">
        <f t="shared" si="7"/>
        <v>66562742.647770636</v>
      </c>
      <c r="O25" s="40">
        <f t="shared" si="7"/>
        <v>69729352.369363636</v>
      </c>
      <c r="P25" s="40">
        <f t="shared" si="7"/>
        <v>73030464.864667282</v>
      </c>
      <c r="Q25" s="40">
        <f t="shared" si="7"/>
        <v>76471445.702844113</v>
      </c>
      <c r="R25" s="40">
        <f t="shared" si="7"/>
        <v>80057866.118642867</v>
      </c>
      <c r="S25" s="40">
        <f t="shared" si="7"/>
        <v>83795510.680653036</v>
      </c>
      <c r="T25" s="40">
        <f t="shared" si="7"/>
        <v>87690385.23972635</v>
      </c>
      <c r="U25" s="40">
        <f t="shared" si="7"/>
        <v>91748725.167643353</v>
      </c>
      <c r="V25" s="40">
        <f t="shared" si="7"/>
        <v>95977003.896461591</v>
      </c>
      <c r="W25" s="40">
        <f t="shared" si="7"/>
        <v>100381941.76935253</v>
      </c>
      <c r="X25" s="40">
        <f t="shared" si="7"/>
        <v>104970515.21411848</v>
      </c>
      <c r="Y25" s="40">
        <f t="shared" si="7"/>
        <v>109749966.25097764</v>
      </c>
      <c r="Z25" s="40">
        <f t="shared" si="7"/>
        <v>114727812.34661655</v>
      </c>
      <c r="AA25" s="40">
        <f t="shared" si="7"/>
        <v>119911856.62693536</v>
      </c>
      <c r="AB25" s="40">
        <f t="shared" si="7"/>
        <v>125310198.4613516</v>
      </c>
      <c r="AC25" s="40">
        <f t="shared" si="7"/>
        <v>130931244.43198451</v>
      </c>
      <c r="AD25" s="40">
        <f t="shared" si="7"/>
        <v>136783719.70151353</v>
      </c>
      <c r="AE25" s="40">
        <f t="shared" si="7"/>
        <v>142876679.79399407</v>
      </c>
      <c r="AF25" s="40">
        <f t="shared" si="7"/>
        <v>149219522.80341893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42739521.360335246</v>
      </c>
      <c r="D5" s="59">
        <f>C5*('Price and Financial ratios'!F4+1)*(1+Assumptions!$C$13)</f>
        <v>50210739.035474233</v>
      </c>
      <c r="E5" s="59">
        <f>D5*('Price and Financial ratios'!G4+1)*(1+Assumptions!$C$13)</f>
        <v>55397413.528858662</v>
      </c>
      <c r="F5" s="59">
        <f>E5*('Price and Financial ratios'!H4+1)*(1+Assumptions!$C$13)</f>
        <v>61119861.699689224</v>
      </c>
      <c r="G5" s="59">
        <f>F5*('Price and Financial ratios'!I4+1)*(1+Assumptions!$C$13)</f>
        <v>67433427.956760094</v>
      </c>
      <c r="H5" s="59">
        <f>G5*('Price and Financial ratios'!J4+1)*(1+Assumptions!$C$13)</f>
        <v>73021411.206159398</v>
      </c>
      <c r="I5" s="59">
        <f>H5*('Price and Financial ratios'!K4+1)*(1+Assumptions!$C$13)</f>
        <v>79072451.988620639</v>
      </c>
      <c r="J5" s="59">
        <f>I5*('Price and Financial ratios'!L4+1)*(1+Assumptions!$C$13)</f>
        <v>84817140.051170543</v>
      </c>
      <c r="K5" s="59">
        <f>J5*('Price and Financial ratios'!M4+1)*(1+Assumptions!$C$13)</f>
        <v>90112716.678947613</v>
      </c>
      <c r="L5" s="59">
        <f>K5*('Price and Financial ratios'!N4+1)*(1+Assumptions!$C$13)</f>
        <v>95738923.787824854</v>
      </c>
      <c r="M5" s="59">
        <f>L5*('Price and Financial ratios'!O4+1)*(1+Assumptions!$C$13)</f>
        <v>101716404.36396153</v>
      </c>
      <c r="N5" s="59">
        <f>M5*('Price and Financial ratios'!P4+1)*(1+Assumptions!$C$13)</f>
        <v>107027983.60590702</v>
      </c>
      <c r="O5" s="59">
        <f>N5*('Price and Financial ratios'!Q4+1)*(1+Assumptions!$C$13)</f>
        <v>112616930.83210132</v>
      </c>
      <c r="P5" s="59">
        <f>O5*('Price and Financial ratios'!R4+1)*(1+Assumptions!$C$13)</f>
        <v>118497730.05853698</v>
      </c>
      <c r="Q5" s="59">
        <f>P5*('Price and Financial ratios'!S4+1)*(1+Assumptions!$C$13)</f>
        <v>124685621.64920342</v>
      </c>
      <c r="R5" s="59">
        <f>Q5*('Price and Financial ratios'!T4+1)*(1+Assumptions!$C$13)</f>
        <v>131196641.81219718</v>
      </c>
      <c r="S5" s="59">
        <f>R5*('Price and Financial ratios'!U4+1)*(1+Assumptions!$C$13)</f>
        <v>138047664.15829897</v>
      </c>
      <c r="T5" s="59">
        <f>S5*('Price and Financial ratios'!V4+1)*(1+Assumptions!$C$13)</f>
        <v>145256443.42971882</v>
      </c>
      <c r="U5" s="59">
        <f>T5*('Price and Financial ratios'!W4+1)*(1+Assumptions!$C$13)</f>
        <v>152841661.51233408</v>
      </c>
      <c r="V5" s="59">
        <f>U5*('Price and Financial ratios'!X4+1)*(1+Assumptions!$C$13)</f>
        <v>160822975.85066324</v>
      </c>
      <c r="W5" s="59">
        <f>V5*('Price and Financial ratios'!Y4+1)*(1+Assumptions!$C$13)</f>
        <v>169221070.39104536</v>
      </c>
      <c r="X5" s="59">
        <f>W5*('Price and Financial ratios'!Z4+1)*(1+Assumptions!$C$13)</f>
        <v>178057709.18504637</v>
      </c>
      <c r="Y5" s="59">
        <f>X5*('Price and Financial ratios'!AA4+1)*(1+Assumptions!$C$13)</f>
        <v>187355792.79200831</v>
      </c>
      <c r="Z5" s="59">
        <f>Y5*('Price and Financial ratios'!AB4+1)*(1+Assumptions!$C$13)</f>
        <v>197139417.62691113</v>
      </c>
      <c r="AA5" s="59">
        <f>Z5*('Price and Financial ratios'!AC4+1)*(1+Assumptions!$C$13)</f>
        <v>205822801.02166188</v>
      </c>
      <c r="AB5" s="59">
        <f>AA5*('Price and Financial ratios'!AD4+1)*(1+Assumptions!$C$13)</f>
        <v>214888660.67655319</v>
      </c>
      <c r="AC5" s="59">
        <f>AB5*('Price and Financial ratios'!AE4+1)*(1+Assumptions!$C$13)</f>
        <v>224353843.4913384</v>
      </c>
      <c r="AD5" s="59">
        <f>AC5*('Price and Financial ratios'!AF4+1)*(1+Assumptions!$C$13)</f>
        <v>234235938.41975141</v>
      </c>
      <c r="AE5" s="59">
        <f>AD5*('Price and Financial ratios'!AG4+1)*(1+Assumptions!$C$13)</f>
        <v>244553309.15469602</v>
      </c>
      <c r="AF5" s="59">
        <f>AE5*('Price and Financial ratios'!AH4+1)*(1+Assumptions!$C$13)</f>
        <v>255325128.25311738</v>
      </c>
    </row>
    <row r="6" spans="1:32" s="11" customFormat="1" x14ac:dyDescent="0.35">
      <c r="A6" s="11" t="s">
        <v>20</v>
      </c>
      <c r="C6" s="59">
        <f>C27</f>
        <v>20382095.978746332</v>
      </c>
      <c r="D6" s="59">
        <f t="shared" ref="D6:AF6" si="1">D27</f>
        <v>22159122.782982647</v>
      </c>
      <c r="E6" s="59">
        <f>E27</f>
        <v>24013953.488348968</v>
      </c>
      <c r="F6" s="59">
        <f t="shared" si="1"/>
        <v>25949568.935143258</v>
      </c>
      <c r="G6" s="59">
        <f t="shared" si="1"/>
        <v>27969061.855321608</v>
      </c>
      <c r="H6" s="59">
        <f t="shared" si="1"/>
        <v>30075641.163105357</v>
      </c>
      <c r="I6" s="59">
        <f t="shared" si="1"/>
        <v>32272636.415901884</v>
      </c>
      <c r="J6" s="59">
        <f t="shared" si="1"/>
        <v>34563502.452527732</v>
      </c>
      <c r="K6" s="59">
        <f t="shared" si="1"/>
        <v>36951824.216017418</v>
      </c>
      <c r="L6" s="59">
        <f t="shared" si="1"/>
        <v>39441321.7686079</v>
      </c>
      <c r="M6" s="59">
        <f t="shared" si="1"/>
        <v>42035855.506808825</v>
      </c>
      <c r="N6" s="59">
        <f t="shared" si="1"/>
        <v>44739431.584802635</v>
      </c>
      <c r="O6" s="59">
        <f t="shared" si="1"/>
        <v>47556207.554766625</v>
      </c>
      <c r="P6" s="59">
        <f t="shared" si="1"/>
        <v>50490498.233072057</v>
      </c>
      <c r="Q6" s="59">
        <f t="shared" si="1"/>
        <v>53546781.801694579</v>
      </c>
      <c r="R6" s="59">
        <f t="shared" si="1"/>
        <v>56729706.154564396</v>
      </c>
      <c r="S6" s="59">
        <f t="shared" si="1"/>
        <v>60044095.498997554</v>
      </c>
      <c r="T6" s="59">
        <f t="shared" si="1"/>
        <v>63494957.222778477</v>
      </c>
      <c r="U6" s="59">
        <f t="shared" si="1"/>
        <v>67087489.037912868</v>
      </c>
      <c r="V6" s="59">
        <f t="shared" si="1"/>
        <v>70827086.4125368</v>
      </c>
      <c r="W6" s="59">
        <f t="shared" si="1"/>
        <v>74719350.302956223</v>
      </c>
      <c r="X6" s="59">
        <f t="shared" si="1"/>
        <v>78770095.198298931</v>
      </c>
      <c r="Y6" s="59">
        <f t="shared" si="1"/>
        <v>82985357.490792423</v>
      </c>
      <c r="Z6" s="59">
        <f t="shared" si="1"/>
        <v>87371404.185233593</v>
      </c>
      <c r="AA6" s="59">
        <f t="shared" si="1"/>
        <v>91934741.961794272</v>
      </c>
      <c r="AB6" s="59">
        <f t="shared" si="1"/>
        <v>96682126.60690856</v>
      </c>
      <c r="AC6" s="59">
        <f t="shared" si="1"/>
        <v>101620572.8276158</v>
      </c>
      <c r="AD6" s="59">
        <f t="shared" si="1"/>
        <v>106757364.46538898</v>
      </c>
      <c r="AE6" s="59">
        <f t="shared" si="1"/>
        <v>112100065.12616134</v>
      </c>
      <c r="AF6" s="59">
        <f t="shared" si="1"/>
        <v>117656529.24397761</v>
      </c>
    </row>
    <row r="7" spans="1:32" x14ac:dyDescent="0.35">
      <c r="A7" t="s">
        <v>21</v>
      </c>
      <c r="C7" s="4">
        <f>Depreciation!C8+Depreciation!C9</f>
        <v>9660794.9808457792</v>
      </c>
      <c r="D7" s="4">
        <f>Depreciation!D8+Depreciation!D9</f>
        <v>10702993.384317985</v>
      </c>
      <c r="E7" s="4">
        <f>Depreciation!E8+Depreciation!E9</f>
        <v>11801999.831552023</v>
      </c>
      <c r="F7" s="4">
        <f>Depreciation!F8+Depreciation!F9</f>
        <v>12960382.826183502</v>
      </c>
      <c r="G7" s="4">
        <f>Depreciation!G8+Depreciation!G9</f>
        <v>14180817.084643884</v>
      </c>
      <c r="H7" s="4">
        <f>Depreciation!H8+Depreciation!H9</f>
        <v>15466087.703631714</v>
      </c>
      <c r="I7" s="4">
        <f>Depreciation!I8+Depreciation!I9</f>
        <v>16819094.485540096</v>
      </c>
      <c r="J7" s="4">
        <f>Depreciation!J8+Depreciation!J9</f>
        <v>18242856.427682094</v>
      </c>
      <c r="K7" s="4">
        <f>Depreciation!K8+Depreciation!K9</f>
        <v>19740516.381367989</v>
      </c>
      <c r="L7" s="4">
        <f>Depreciation!L8+Depreciation!L9</f>
        <v>21315345.887107827</v>
      </c>
      <c r="M7" s="4">
        <f>Depreciation!M8+Depreciation!M9</f>
        <v>22970750.192440502</v>
      </c>
      <c r="N7" s="4">
        <f>Depreciation!N8+Depreciation!N9</f>
        <v>24710273.45912607</v>
      </c>
      <c r="O7" s="4">
        <f>Depreciation!O8+Depreciation!O9</f>
        <v>26537604.166682452</v>
      </c>
      <c r="P7" s="4">
        <f>Depreciation!P8+Depreciation!P9</f>
        <v>28456580.719500296</v>
      </c>
      <c r="Q7" s="4">
        <f>Depreciation!Q8+Depreciation!Q9</f>
        <v>30471197.265031788</v>
      </c>
      <c r="R7" s="4">
        <f>Depreciation!R8+Depreciation!R9</f>
        <v>32585609.730820552</v>
      </c>
      <c r="S7" s="4">
        <f>Depreciation!S8+Depreciation!S9</f>
        <v>34804142.088420391</v>
      </c>
      <c r="T7" s="4">
        <f>Depreciation!T8+Depreciation!T9</f>
        <v>37131292.852542259</v>
      </c>
      <c r="U7" s="4">
        <f>Depreciation!U8+Depreciation!U9</f>
        <v>39571741.824069388</v>
      </c>
      <c r="V7" s="4">
        <f>Depreciation!V8+Depreciation!V9</f>
        <v>42130357.085893251</v>
      </c>
      <c r="W7" s="4">
        <f>Depreciation!W8+Depreciation!W9</f>
        <v>44812202.260845989</v>
      </c>
      <c r="X7" s="4">
        <f>Depreciation!X8+Depreciation!X9</f>
        <v>47622544.041339748</v>
      </c>
      <c r="Y7" s="4">
        <f>Depreciation!Y8+Depreciation!Y9</f>
        <v>50566860.000669993</v>
      </c>
      <c r="Z7" s="4">
        <f>Depreciation!Z8+Depreciation!Z9</f>
        <v>53650846.696299061</v>
      </c>
      <c r="AA7" s="4">
        <f>Depreciation!AA8+Depreciation!AA9</f>
        <v>56880428.075807706</v>
      </c>
      <c r="AB7" s="4">
        <f>Depreciation!AB8+Depreciation!AB9</f>
        <v>60261764.196587875</v>
      </c>
      <c r="AC7" s="4">
        <f>Depreciation!AC8+Depreciation!AC9</f>
        <v>63801260.270748347</v>
      </c>
      <c r="AD7" s="4">
        <f>Depreciation!AD8+Depreciation!AD9</f>
        <v>67505576.0471178</v>
      </c>
      <c r="AE7" s="4">
        <f>Depreciation!AE8+Depreciation!AE9</f>
        <v>71381635.542657644</v>
      </c>
      <c r="AF7" s="4">
        <f>Depreciation!AF8+Depreciation!AF9</f>
        <v>75436637.136039764</v>
      </c>
    </row>
    <row r="8" spans="1:32" x14ac:dyDescent="0.35">
      <c r="A8" t="s">
        <v>6</v>
      </c>
      <c r="C8" s="4">
        <f ca="1">'Debt worksheet'!C8</f>
        <v>3925880.9520718572</v>
      </c>
      <c r="D8" s="4">
        <f ca="1">'Debt worksheet'!D8</f>
        <v>4546854.6365906149</v>
      </c>
      <c r="E8" s="4">
        <f ca="1">'Debt worksheet'!E8</f>
        <v>5144816.8292489452</v>
      </c>
      <c r="F8" s="4">
        <f ca="1">'Debt worksheet'!F8</f>
        <v>5705718.6767924717</v>
      </c>
      <c r="G8" s="4">
        <f ca="1">'Debt worksheet'!G8</f>
        <v>6213239.9546502465</v>
      </c>
      <c r="H8" s="4">
        <f ca="1">'Debt worksheet'!H8</f>
        <v>6698479.3728956925</v>
      </c>
      <c r="I8" s="4">
        <f ca="1">'Debt worksheet'!I8</f>
        <v>7150816.8555696178</v>
      </c>
      <c r="J8" s="4">
        <f ca="1">'Debt worksheet'!J8</f>
        <v>7587427.9145608321</v>
      </c>
      <c r="K8" s="4">
        <f ca="1">'Debt worksheet'!K8</f>
        <v>8031573.9732707264</v>
      </c>
      <c r="L8" s="4">
        <f ca="1">'Debt worksheet'!L8</f>
        <v>8479375.412836276</v>
      </c>
      <c r="M8" s="4">
        <f ca="1">'Debt worksheet'!M8</f>
        <v>8926370.5666146446</v>
      </c>
      <c r="N8" s="4">
        <f ca="1">'Debt worksheet'!N8</f>
        <v>9405147.3974590283</v>
      </c>
      <c r="O8" s="4">
        <f ca="1">'Debt worksheet'!O8</f>
        <v>9915595.2494093683</v>
      </c>
      <c r="P8" s="4">
        <f ca="1">'Debt worksheet'!P8</f>
        <v>10457418.037079224</v>
      </c>
      <c r="Q8" s="4">
        <f ca="1">'Debt worksheet'!Q8</f>
        <v>11030113.204161614</v>
      </c>
      <c r="R8" s="4">
        <f ca="1">'Debt worksheet'!R8</f>
        <v>11632948.984763697</v>
      </c>
      <c r="S8" s="4">
        <f ca="1">'Debt worksheet'!S8</f>
        <v>12264939.850270471</v>
      </c>
      <c r="T8" s="4">
        <f ca="1">'Debt worksheet'!T8</f>
        <v>12924820.017013451</v>
      </c>
      <c r="U8" s="4">
        <f ca="1">'Debt worksheet'!U8</f>
        <v>13611014.882151529</v>
      </c>
      <c r="V8" s="4">
        <f ca="1">'Debt worksheet'!V8</f>
        <v>14321610.246832393</v>
      </c>
      <c r="W8" s="4">
        <f ca="1">'Debt worksheet'!W8</f>
        <v>15054319.176866954</v>
      </c>
      <c r="X8" s="4">
        <f ca="1">'Debt worksheet'!X8</f>
        <v>15806446.341787504</v>
      </c>
      <c r="Y8" s="4">
        <f ca="1">'Debt worksheet'!Y8</f>
        <v>16574849.663242659</v>
      </c>
      <c r="Z8" s="4">
        <f ca="1">'Debt worksheet'!Z8</f>
        <v>17355899.093176711</v>
      </c>
      <c r="AA8" s="4">
        <f ca="1">'Debt worksheet'!AA8</f>
        <v>18203867.365828063</v>
      </c>
      <c r="AB8" s="4">
        <f ca="1">'Debt worksheet'!AB8</f>
        <v>19121757.118692029</v>
      </c>
      <c r="AC8" s="4">
        <f ca="1">'Debt worksheet'!AC8</f>
        <v>20112628.187130775</v>
      </c>
      <c r="AD8" s="4">
        <f ca="1">'Debt worksheet'!AD8</f>
        <v>21179594.081120271</v>
      </c>
      <c r="AE8" s="4">
        <f ca="1">'Debt worksheet'!AE8</f>
        <v>22325817.961566165</v>
      </c>
      <c r="AF8" s="4">
        <f ca="1">'Debt worksheet'!AF8</f>
        <v>23554508.077063147</v>
      </c>
    </row>
    <row r="9" spans="1:32" x14ac:dyDescent="0.35">
      <c r="A9" t="s">
        <v>22</v>
      </c>
      <c r="C9" s="4">
        <f ca="1">C5-C6-C7-C8</f>
        <v>8770749.4486712776</v>
      </c>
      <c r="D9" s="4">
        <f t="shared" ref="D9:AF9" ca="1" si="2">D5-D6-D7-D8</f>
        <v>12801768.231582984</v>
      </c>
      <c r="E9" s="4">
        <f t="shared" ca="1" si="2"/>
        <v>14436643.379708726</v>
      </c>
      <c r="F9" s="4">
        <f t="shared" ca="1" si="2"/>
        <v>16504191.261569988</v>
      </c>
      <c r="G9" s="4">
        <f t="shared" ca="1" si="2"/>
        <v>19070309.062144354</v>
      </c>
      <c r="H9" s="4">
        <f t="shared" ca="1" si="2"/>
        <v>20781202.966526639</v>
      </c>
      <c r="I9" s="4">
        <f t="shared" ca="1" si="2"/>
        <v>22829904.231609039</v>
      </c>
      <c r="J9" s="4">
        <f t="shared" ca="1" si="2"/>
        <v>24423353.256399885</v>
      </c>
      <c r="K9" s="4">
        <f t="shared" ca="1" si="2"/>
        <v>25388802.108291481</v>
      </c>
      <c r="L9" s="4">
        <f t="shared" ca="1" si="2"/>
        <v>26502880.719272852</v>
      </c>
      <c r="M9" s="4">
        <f t="shared" ca="1" si="2"/>
        <v>27783428.098097563</v>
      </c>
      <c r="N9" s="4">
        <f t="shared" ca="1" si="2"/>
        <v>28173131.164519288</v>
      </c>
      <c r="O9" s="4">
        <f t="shared" ca="1" si="2"/>
        <v>28607523.861242868</v>
      </c>
      <c r="P9" s="4">
        <f t="shared" ca="1" si="2"/>
        <v>29093233.068885401</v>
      </c>
      <c r="Q9" s="4">
        <f t="shared" ca="1" si="2"/>
        <v>29637529.378315449</v>
      </c>
      <c r="R9" s="4">
        <f t="shared" ca="1" si="2"/>
        <v>30248376.942048535</v>
      </c>
      <c r="S9" s="4">
        <f t="shared" ca="1" si="2"/>
        <v>30934486.720610552</v>
      </c>
      <c r="T9" s="4">
        <f t="shared" ca="1" si="2"/>
        <v>31705373.337384641</v>
      </c>
      <c r="U9" s="4">
        <f t="shared" ca="1" si="2"/>
        <v>32571415.768200286</v>
      </c>
      <c r="V9" s="4">
        <f t="shared" ca="1" si="2"/>
        <v>33543922.105400801</v>
      </c>
      <c r="W9" s="4">
        <f t="shared" ca="1" si="2"/>
        <v>34635198.650376193</v>
      </c>
      <c r="X9" s="4">
        <f t="shared" ca="1" si="2"/>
        <v>35858623.603620194</v>
      </c>
      <c r="Y9" s="4">
        <f t="shared" ca="1" si="2"/>
        <v>37228725.637303233</v>
      </c>
      <c r="Z9" s="4">
        <f t="shared" ca="1" si="2"/>
        <v>38761267.652201772</v>
      </c>
      <c r="AA9" s="4">
        <f t="shared" ca="1" si="2"/>
        <v>38803763.618231833</v>
      </c>
      <c r="AB9" s="4">
        <f t="shared" ca="1" si="2"/>
        <v>38823012.754364729</v>
      </c>
      <c r="AC9" s="4">
        <f t="shared" ca="1" si="2"/>
        <v>38819382.205843478</v>
      </c>
      <c r="AD9" s="4">
        <f t="shared" ca="1" si="2"/>
        <v>38793403.826124355</v>
      </c>
      <c r="AE9" s="4">
        <f t="shared" ca="1" si="2"/>
        <v>38745790.524310872</v>
      </c>
      <c r="AF9" s="4">
        <f t="shared" ca="1" si="2"/>
        <v>38677453.796036869</v>
      </c>
    </row>
    <row r="12" spans="1:32" x14ac:dyDescent="0.35">
      <c r="A12" t="s">
        <v>79</v>
      </c>
      <c r="C12" s="2">
        <f>Assumptions!$C$25*Assumptions!D9*Assumptions!D13</f>
        <v>19502796.393367253</v>
      </c>
      <c r="D12" s="2">
        <f>Assumptions!$C$25*Assumptions!E9*Assumptions!E13</f>
        <v>20361834.430467814</v>
      </c>
      <c r="E12" s="2">
        <f>Assumptions!$C$25*Assumptions!F9*Assumptions!F13</f>
        <v>21258710.443943728</v>
      </c>
      <c r="F12" s="2">
        <f>Assumptions!$C$25*Assumptions!G9*Assumptions!G13</f>
        <v>22195091.079967052</v>
      </c>
      <c r="G12" s="2">
        <f>Assumptions!$C$25*Assumptions!H9*Assumptions!H13</f>
        <v>23172716.395334002</v>
      </c>
      <c r="H12" s="2">
        <f>Assumptions!$C$25*Assumptions!I9*Assumptions!I13</f>
        <v>24193403.090976559</v>
      </c>
      <c r="I12" s="2">
        <f>Assumptions!$C$25*Assumptions!J9*Assumptions!J13</f>
        <v>25259047.887900311</v>
      </c>
      <c r="J12" s="2">
        <f>Assumptions!$C$25*Assumptions!K9*Assumptions!K13</f>
        <v>26371631.051821895</v>
      </c>
      <c r="K12" s="2">
        <f>Assumptions!$C$25*Assumptions!L9*Assumptions!L13</f>
        <v>27533220.073055886</v>
      </c>
      <c r="L12" s="2">
        <f>Assumptions!$C$25*Assumptions!M9*Assumptions!M13</f>
        <v>28745973.508489355</v>
      </c>
      <c r="M12" s="2">
        <f>Assumptions!$C$25*Assumptions!N9*Assumptions!N13</f>
        <v>30012144.992783561</v>
      </c>
      <c r="N12" s="2">
        <f>Assumptions!$C$25*Assumptions!O9*Assumptions!O13</f>
        <v>31334087.426256649</v>
      </c>
      <c r="O12" s="2">
        <f>Assumptions!$C$25*Assumptions!P9*Assumptions!P13</f>
        <v>32714257.34722979</v>
      </c>
      <c r="P12" s="2">
        <f>Assumptions!$C$25*Assumptions!Q9*Assumptions!Q13</f>
        <v>34155219.496961519</v>
      </c>
      <c r="Q12" s="2">
        <f>Assumptions!$C$25*Assumptions!R9*Assumptions!R13</f>
        <v>35659651.585653543</v>
      </c>
      <c r="R12" s="2">
        <f>Assumptions!$C$25*Assumptions!S9*Assumptions!S13</f>
        <v>37230349.268384196</v>
      </c>
      <c r="S12" s="2">
        <f>Assumptions!$C$25*Assumptions!T9*Assumptions!T13</f>
        <v>38870231.340216622</v>
      </c>
      <c r="T12" s="2">
        <f>Assumptions!$C$25*Assumptions!U9*Assumptions!U13</f>
        <v>40582345.160135306</v>
      </c>
      <c r="U12" s="2">
        <f>Assumptions!$C$25*Assumptions!V9*Assumptions!V13</f>
        <v>42369872.31389036</v>
      </c>
      <c r="V12" s="2">
        <f>Assumptions!$C$25*Assumptions!W9*Assumptions!W13</f>
        <v>44236134.526272587</v>
      </c>
      <c r="W12" s="2">
        <f>Assumptions!$C$25*Assumptions!X9*Assumptions!X13</f>
        <v>46184599.83380609</v>
      </c>
      <c r="X12" s="2">
        <f>Assumptions!$C$25*Assumptions!Y9*Assumptions!Y13</f>
        <v>48218889.029328853</v>
      </c>
      <c r="Y12" s="2">
        <f>Assumptions!$C$25*Assumptions!Z9*Assumptions!Z13</f>
        <v>50342782.390437409</v>
      </c>
      <c r="Z12" s="2">
        <f>Assumptions!$C$25*Assumptions!AA9*Assumptions!AA13</f>
        <v>52560226.704298459</v>
      </c>
      <c r="AA12" s="2">
        <f>Assumptions!$C$25*Assumptions!AB9*Assumptions!AB13</f>
        <v>54875342.601882078</v>
      </c>
      <c r="AB12" s="2">
        <f>Assumptions!$C$25*Assumptions!AC9*Assumptions!AC13</f>
        <v>57292432.21524509</v>
      </c>
      <c r="AC12" s="2">
        <f>Assumptions!$C$25*Assumptions!AD9*Assumptions!AD13</f>
        <v>59815987.172094196</v>
      </c>
      <c r="AD12" s="2">
        <f>Assumptions!$C$25*Assumptions!AE9*Assumptions!AE13</f>
        <v>62450696.942485049</v>
      </c>
      <c r="AE12" s="2">
        <f>Assumptions!$C$25*Assumptions!AF9*Assumptions!AF13</f>
        <v>65201457.553167507</v>
      </c>
      <c r="AF12" s="2">
        <f>Assumptions!$C$25*Assumptions!AG9*Assumptions!AG13</f>
        <v>68073380.685771048</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879299.58537907735</v>
      </c>
      <c r="D14" s="5">
        <f>Assumptions!E122*Assumptions!E9</f>
        <v>1797288.3525148341</v>
      </c>
      <c r="E14" s="5">
        <f>Assumptions!F122*Assumptions!F9</f>
        <v>2755243.044405241</v>
      </c>
      <c r="F14" s="5">
        <f>Assumptions!G122*Assumptions!G9</f>
        <v>3754477.8551762081</v>
      </c>
      <c r="G14" s="5">
        <f>Assumptions!H122*Assumptions!H9</f>
        <v>4796345.4599876059</v>
      </c>
      <c r="H14" s="5">
        <f>Assumptions!I122*Assumptions!I9</f>
        <v>5882238.0721287988</v>
      </c>
      <c r="I14" s="5">
        <f>Assumptions!J122*Assumptions!J9</f>
        <v>7013588.5280015711</v>
      </c>
      <c r="J14" s="5">
        <f>Assumptions!K122*Assumptions!K9</f>
        <v>8191871.4007058349</v>
      </c>
      <c r="K14" s="5">
        <f>Assumptions!L122*Assumptions!L9</f>
        <v>9418604.1429615337</v>
      </c>
      <c r="L14" s="5">
        <f>Assumptions!M122*Assumptions!M9</f>
        <v>10695348.260118542</v>
      </c>
      <c r="M14" s="5">
        <f>Assumptions!N122*Assumptions!N9</f>
        <v>12023710.514025265</v>
      </c>
      <c r="N14" s="5">
        <f>Assumptions!O122*Assumptions!O9</f>
        <v>13405344.158545986</v>
      </c>
      <c r="O14" s="5">
        <f>Assumptions!P122*Assumptions!P9</f>
        <v>14841950.207536831</v>
      </c>
      <c r="P14" s="5">
        <f>Assumptions!Q122*Assumptions!Q9</f>
        <v>16335278.736110535</v>
      </c>
      <c r="Q14" s="5">
        <f>Assumptions!R122*Assumptions!R9</f>
        <v>17887130.216041036</v>
      </c>
      <c r="R14" s="5">
        <f>Assumptions!S122*Assumptions!S9</f>
        <v>19499356.886180203</v>
      </c>
      <c r="S14" s="5">
        <f>Assumptions!T122*Assumptions!T9</f>
        <v>21173864.158780929</v>
      </c>
      <c r="T14" s="5">
        <f>Assumptions!U122*Assumptions!U9</f>
        <v>22912612.06264317</v>
      </c>
      <c r="U14" s="5">
        <f>Assumptions!V122*Assumptions!V9</f>
        <v>24717616.724022508</v>
      </c>
      <c r="V14" s="5">
        <f>Assumptions!W122*Assumptions!W9</f>
        <v>26590951.88626422</v>
      </c>
      <c r="W14" s="5">
        <f>Assumptions!X122*Assumptions!X9</f>
        <v>28534750.469150133</v>
      </c>
      <c r="X14" s="5">
        <f>Assumptions!Y122*Assumptions!Y9</f>
        <v>30551206.168970071</v>
      </c>
      <c r="Y14" s="5">
        <f>Assumptions!Z122*Assumptions!Z9</f>
        <v>32642575.100355022</v>
      </c>
      <c r="Z14" s="5">
        <f>Assumptions!AA122*Assumptions!AA9</f>
        <v>34811177.480935134</v>
      </c>
      <c r="AA14" s="5">
        <f>Assumptions!AB122*Assumptions!AB9</f>
        <v>37059399.359912194</v>
      </c>
      <c r="AB14" s="5">
        <f>Assumptions!AC122*Assumptions!AC9</f>
        <v>39389694.391663477</v>
      </c>
      <c r="AC14" s="5">
        <f>Assumptions!AD122*Assumptions!AD9</f>
        <v>41804585.655521609</v>
      </c>
      <c r="AD14" s="5">
        <f>Assumptions!AE122*Assumptions!AE9</f>
        <v>44306667.522903942</v>
      </c>
      <c r="AE14" s="5">
        <f>Assumptions!AF122*Assumptions!AF9</f>
        <v>46898607.572993822</v>
      </c>
      <c r="AF14" s="5">
        <f>Assumptions!AG122*Assumptions!AG9</f>
        <v>49583148.558206566</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20382095.978746332</v>
      </c>
      <c r="D27" s="2">
        <f t="shared" ref="D27:AF27" si="8">D12+D13+D14+D19+D20+D22+D24+D25</f>
        <v>22159122.782982647</v>
      </c>
      <c r="E27" s="2">
        <f t="shared" si="8"/>
        <v>24013953.488348968</v>
      </c>
      <c r="F27" s="2">
        <f t="shared" si="8"/>
        <v>25949568.935143258</v>
      </c>
      <c r="G27" s="2">
        <f t="shared" si="8"/>
        <v>27969061.855321608</v>
      </c>
      <c r="H27" s="2">
        <f t="shared" si="8"/>
        <v>30075641.163105357</v>
      </c>
      <c r="I27" s="2">
        <f t="shared" si="8"/>
        <v>32272636.415901884</v>
      </c>
      <c r="J27" s="2">
        <f t="shared" si="8"/>
        <v>34563502.452527732</v>
      </c>
      <c r="K27" s="2">
        <f t="shared" si="8"/>
        <v>36951824.216017418</v>
      </c>
      <c r="L27" s="2">
        <f t="shared" si="8"/>
        <v>39441321.7686079</v>
      </c>
      <c r="M27" s="2">
        <f t="shared" si="8"/>
        <v>42035855.506808825</v>
      </c>
      <c r="N27" s="2">
        <f t="shared" si="8"/>
        <v>44739431.584802635</v>
      </c>
      <c r="O27" s="2">
        <f t="shared" si="8"/>
        <v>47556207.554766625</v>
      </c>
      <c r="P27" s="2">
        <f t="shared" si="8"/>
        <v>50490498.233072057</v>
      </c>
      <c r="Q27" s="2">
        <f t="shared" si="8"/>
        <v>53546781.801694579</v>
      </c>
      <c r="R27" s="2">
        <f t="shared" si="8"/>
        <v>56729706.154564396</v>
      </c>
      <c r="S27" s="2">
        <f t="shared" si="8"/>
        <v>60044095.498997554</v>
      </c>
      <c r="T27" s="2">
        <f t="shared" si="8"/>
        <v>63494957.222778477</v>
      </c>
      <c r="U27" s="2">
        <f t="shared" si="8"/>
        <v>67087489.037912868</v>
      </c>
      <c r="V27" s="2">
        <f t="shared" si="8"/>
        <v>70827086.4125368</v>
      </c>
      <c r="W27" s="2">
        <f t="shared" si="8"/>
        <v>74719350.302956223</v>
      </c>
      <c r="X27" s="2">
        <f t="shared" si="8"/>
        <v>78770095.198298931</v>
      </c>
      <c r="Y27" s="2">
        <f t="shared" si="8"/>
        <v>82985357.490792423</v>
      </c>
      <c r="Z27" s="2">
        <f t="shared" si="8"/>
        <v>87371404.185233593</v>
      </c>
      <c r="AA27" s="2">
        <f t="shared" si="8"/>
        <v>91934741.961794272</v>
      </c>
      <c r="AB27" s="2">
        <f t="shared" si="8"/>
        <v>96682126.60690856</v>
      </c>
      <c r="AC27" s="2">
        <f t="shared" si="8"/>
        <v>101620572.8276158</v>
      </c>
      <c r="AD27" s="2">
        <f t="shared" si="8"/>
        <v>106757364.46538898</v>
      </c>
      <c r="AE27" s="2">
        <f t="shared" si="8"/>
        <v>112100065.12616134</v>
      </c>
      <c r="AF27" s="2">
        <f t="shared" si="8"/>
        <v>117656529.24397761</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3W2DU3RAJ5R2-1900874439-845</_dlc_DocId>
    <_dlc_DocIdUrl xmlns="f54e2983-00ce-40fc-8108-18f351fc47bf">
      <Url>https://dia.cohesion.net.nz/Sites/LGV/TWRP/CAE/_layouts/15/DocIdRedir.aspx?ID=3W2DU3RAJ5R2-1900874439-845</Url>
      <Description>3W2DU3RAJ5R2-1900874439-845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65b6d800-2dda-48d6-88d8-9e2b35e6f7ea"/>
    <ds:schemaRef ds:uri="08a23fc5-e034-477c-ac83-93bc1440f322"/>
    <ds:schemaRef ds:uri="http://purl.org/dc/terms/"/>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70A13126-6CA6-43BB-964B-F1D60D2664D5}"/>
</file>

<file path=customXml/itemProps4.xml><?xml version="1.0" encoding="utf-8"?>
<ds:datastoreItem xmlns:ds="http://schemas.openxmlformats.org/officeDocument/2006/customXml" ds:itemID="{2D5B08AF-E3EC-406E-AAE6-F10DEB9DC7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2021-07-01T15:08:38Z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f0d3d658-2cb2-4727-af86-416d18ad3335</vt:lpwstr>
  </property>
</Properties>
</file>