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6" documentId="8_{41E1544B-167C-41D2-A363-4C54AA7BEC0F}" xr6:coauthVersionLast="47" xr6:coauthVersionMax="47" xr10:uidLastSave="{3AFB3130-7DC8-4E12-B9AE-E68DF0D57418}"/>
  <bookViews>
    <workbookView xWindow="0" yWindow="38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"DtR_Solver"</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4" i="2" l="1"/>
  <c r="C58" i="2" l="1"/>
  <c r="A11" i="19" l="1"/>
  <c r="A9" i="19"/>
  <c r="B40" i="21"/>
  <c r="B27" i="21"/>
  <c r="A21" i="21"/>
  <c r="A34" i="21" s="1"/>
  <c r="B8" i="21"/>
  <c r="B21" i="21" s="1"/>
  <c r="B34" i="21" s="1"/>
  <c r="C83" i="2" l="1"/>
  <c r="C87" i="2"/>
  <c r="C82" i="2" l="1"/>
  <c r="C89" i="2" s="1"/>
  <c r="C94" i="2" s="1"/>
  <c r="C90" i="2"/>
  <c r="C95" i="2" s="1"/>
  <c r="C96" i="2" l="1"/>
  <c r="C102" i="2" s="1"/>
  <c r="D113" i="2" s="1"/>
  <c r="C106" i="2"/>
  <c r="C63" i="2"/>
  <c r="C107" i="2" s="1"/>
  <c r="D11"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J44" i="2"/>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<sst xmlns="http://schemas.openxmlformats.org/spreadsheetml/2006/main" count="277" uniqueCount="204">
  <si>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</si>
  <si>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</si>
  <si>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</si>
  <si>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</si>
  <si>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</si>
  <si>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</si>
  <si>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</si>
  <si>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</si>
  <si>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</si>
  <si>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</si>
  <si>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</si>
  <si>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</si>
  <si>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</si>
  <si>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</si>
  <si>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</si>
  <si>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</si>
  <si>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</si>
  <si>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</si>
  <si>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</si>
  <si>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</si>
  <si>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</si>
  <si>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</si>
  <si>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</si>
  <si>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</si>
  <si>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</si>
  <si>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</si>
  <si>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</si>
  <si>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</si>
  <si>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</si>
  <si>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</si>
  <si>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</si>
  <si>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</si>
  <si>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</si>
  <si>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</si>
  <si>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</si>
  <si>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</si>
  <si>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</si>
  <si>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</si>
  <si>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</si>
  <si>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</si>
  <si>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</si>
  <si>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</si>
  <si>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</si>
  <si>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</si>
  <si>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</si>
  <si>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</si>
  <si>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</si>
  <si>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</si>
  <si>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</si>
  <si>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</si>
  <si>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</si>
  <si>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</si>
  <si>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</si>
  <si>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</si>
  <si>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</si>
  <si>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</si>
  <si>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</si>
  <si>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</si>
  <si>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</si>
  <si>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</si>
  <si>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</si>
  <si>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</si>
  <si>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</si>
  <si>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</si>
  <si>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</si>
  <si>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</si>
  <si>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</si>
  <si>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</si>
  <si>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</si>
  <si>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</si>
  <si>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</si>
  <si>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</si>
  <si>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</si>
  <si>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</si>
  <si>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</si>
  <si>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</si>
  <si>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</si>
  <si>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</si>
  <si>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</si>
  <si>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</si>
  <si>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</si>
  <si>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</si>
  <si>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</si>
  <si>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</si>
  <si>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</si>
  <si>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</si>
  <si>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</si>
  <si>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</si>
  <si>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</si>
  <si>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</si>
  <si>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</si>
  <si>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</si>
  <si>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</si>
  <si>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</si>
  <si>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</si>
  <si>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</si>
  <si>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</si>
  <si>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</si>
  <si>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</si>
  <si>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</si>
  <si>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</si>
  <si>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</si>
  <si>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</si>
  <si>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</si>
  <si>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</si>
  <si>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</si>
  <si>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</si>
  <si>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</si>
  <si>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</si>
  <si>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</si>
  <si>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</si>
  <si>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</si>
  <si>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</si>
  <si>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</si>
  <si>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</si>
  <si>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</si>
  <si>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</si>
  <si>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</si>
  <si>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</si>
  <si>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</si>
  <si>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</si>
  <si>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</si>
  <si>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</si>
  <si>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</si>
  <si>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</si>
  <si>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</si>
  <si>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</si>
  <si>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</si>
  <si>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</si>
  <si>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</si>
  <si>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</si>
  <si>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</si>
  <si>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</si>
  <si>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</si>
  <si>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</si>
  <si>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</si>
  <si>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</si>
  <si>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</si>
  <si>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</si>
  <si>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</si>
  <si>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</si>
  <si>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</si>
  <si>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</si>
  <si>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</si>
  <si>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</si>
  <si>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</si>
  <si>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</si>
  <si>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</si>
  <si>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</si>
  <si>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</si>
  <si>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</si>
  <si>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</si>
  <si>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</si>
  <si>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</si>
  <si>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</si>
  <si>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</si>
  <si>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</si>
  <si>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</si>
  <si>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</si>
  <si>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</si>
  <si>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</si>
  <si>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</si>
  <si>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</si>
  <si>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</si>
  <si>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</si>
  <si>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</si>
  <si>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</si>
  <si>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</si>
  <si>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</si>
  <si>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</si>
  <si>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</si>
  <si>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</si>
  <si>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</si>
  <si>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</si>
  <si>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</si>
  <si>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</si>
  <si>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</si>
  <si>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</si>
  <si>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</si>
  <si>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</si>
  <si>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</si>
  <si>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</si>
  <si>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</si>
  <si>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</si>
  <si>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</si>
  <si>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</si>
  <si>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</si>
  <si>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</si>
  <si>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</si>
  <si>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</si>
  <si>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A1.47</t>
  </si>
  <si>
    <t>Wellington Stand-alone Council</t>
  </si>
  <si>
    <t>Wellington City: RFI Table J1; Sum of lines J1.1 to J1.30 (Column I)
Greater Wellington allocation: RFI Table J1; Sum of lines J1.1 to J1.30 (Column I) x 49%</t>
  </si>
  <si>
    <t xml:space="preserve">Wellington City: RFI Table J1; Sum of lines J1.1 to J1.30 (Column J)
Greater Wellington allocation: RFI Table J1; Sum of lines J1.1 to J1.30 (Column J) x 49%
</t>
  </si>
  <si>
    <t>RFI Table F10; Lines F10.62 - F10.61</t>
  </si>
  <si>
    <t>Wellington City: RFI Table F3; Line F3.20
Greater Wellington allocation: RFI Table F3; Line F3.20 x 49%</t>
  </si>
  <si>
    <t>Council reported growth investment expenditure, but did not provide new properties connected. In this case, the average growth rate across the councils in New Zealand was used</t>
  </si>
  <si>
    <t>RFI Table E1, E2 and E2b; Lines E1.12 (Water distribution) + E1.17 + Allocation of Greater Wellington E1.22 (Water Resources and Treatment) + E2.21 - E2.18 + E2b.21
Greater Wellington operating expenditure is allocated based on the each council's share of fees to Greater Wellington</t>
  </si>
  <si>
    <t>Wellington City: RFI Table G1; Line G1.3 adjusted for inflation reported in RFI Table G5. As forecasts were not provided for 2032-51, the average annual growth investment over 2022-31 is assumed to continue over 2032-51.
Greater Wellington allocation: RFI Table G1; Line G1.3 adjusted for inflation reported in RFI Table G5 x 49%. As forecasts were not provided for 2032-51, the average annual growth investment over 2022-31 is assumed to continue over 2032-51.</t>
  </si>
  <si>
    <t>New Zealand wide assumption based on the observed split in Great Britain</t>
  </si>
  <si>
    <t>Modelled based on investment requirements and operating expenditure forecasts</t>
  </si>
  <si>
    <t>Calculated from the growth projections from the RFI Table G; line G1.3b</t>
  </si>
  <si>
    <t>Assumed inflation of 2.2% per annum from DIA's commercial and financial advisors</t>
  </si>
  <si>
    <t xml:space="preserve">Based on dividing the connected population from the RFI Table A (Lines A1.47 and A3.58) by the household occupancy rate of 2.7 people per household across New Zealand (as reported by Stats NZ)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</si>
</sst>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 numFmtId="178" formatCode="0.0000000000"/>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08">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9" fontId="10" fillId="0" borderId="9" xfId="0" applyNumberFormat="1" applyFont="1" applyFill="1" applyBorder="1"/>
    <xf numFmtId="0" fontId="0" fillId="0" borderId="9" xfId="0" applyBorder="1" applyAlignment="1">
      <alignment vertical="top" wrapText="1"/>
    </xf>
    <xf numFmtId="0" fontId="1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right"/>
    </xf>
    <xf numFmtId="0" fontId="15" fillId="0" borderId="0" xfId="0" applyFont="1" applyAlignment="1">
      <alignment vertical="center"/>
    </xf>
    <xf numFmtId="0" fontId="16" fillId="0" borderId="0" xfId="0" applyFont="1" applyAlignment="1">
      <alignment horizontal="right" vertical="center"/>
    </xf>
    <xf numFmtId="0" fontId="0" fillId="0" borderId="0" xfId="0" applyAlignment="1">
      <alignment vertical="center"/>
    </xf>
    <xf numFmtId="0" fontId="16" fillId="0" borderId="0" xfId="0" applyFont="1" applyAlignment="1">
      <alignmen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0" fontId="16" fillId="0" borderId="0" xfId="0" applyFont="1" applyFill="1" applyAlignment="1">
      <alignmen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0" fontId="17" fillId="0" borderId="0" xfId="0" applyFont="1" applyFill="1" applyAlignment="1">
      <alignmen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5" fillId="0" borderId="0" xfId="0" applyFont="1" applyFill="1" applyAlignment="1">
      <alignment vertical="center"/>
    </xf>
    <xf numFmtId="0" fontId="17" fillId="0" borderId="0" xfId="0" applyFont="1" applyFill="1" applyAlignment="1">
      <alignment horizontal="right" vertical="center"/>
    </xf>
    <xf numFmtId="169" fontId="13" fillId="0" borderId="0" xfId="3" applyNumberFormat="1" applyFont="1" applyFill="1" applyBorder="1" applyAlignment="1">
      <alignment vertical="top"/>
    </xf>
    <xf numFmtId="169" fontId="13" fillId="0" borderId="0" xfId="3" applyNumberFormat="1" applyFont="1" applyAlignment="1">
      <alignment vertical="top"/>
    </xf>
    <xf numFmtId="178" fontId="0" fillId="0" borderId="0" xfId="0" applyNumberFormat="1" applyAlignment="1">
      <alignment vertical="top"/>
    </xf>
    <xf numFmtId="169" fontId="10" fillId="0" borderId="9" xfId="0" applyNumberFormat="1" applyFont="1" applyBorder="1"/>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191</v>
      </c>
      <c r="C2" s="171"/>
      <c r="D2" s="60"/>
      <c r="E2" s="14"/>
      <c r="F2" s="60"/>
    </row>
    <row r="3" spans="1:6" x14ac:dyDescent="0.35">
      <c r="C3" s="14"/>
      <c r="D3" s="14"/>
    </row>
    <row r="4" spans="1:6" x14ac:dyDescent="0.35">
      <c r="A4" s="14" t="s">
        <v>153</v>
      </c>
      <c r="B4" s="14"/>
      <c r="D4" s="14"/>
    </row>
    <row r="6" spans="1:6" ht="21" x14ac:dyDescent="0.5">
      <c r="A6" s="15" t="s">
        <v>162</v>
      </c>
    </row>
    <row r="7" spans="1:6" ht="241" customHeight="1" x14ac:dyDescent="0.35">
      <c r="A7" s="107">
        <v>1</v>
      </c>
      <c r="B7" s="104" t="s">
        <v>163</v>
      </c>
    </row>
    <row r="8" spans="1:6" ht="408" customHeight="1" x14ac:dyDescent="0.35">
      <c r="A8" s="107">
        <v>2</v>
      </c>
      <c r="B8" s="104" t="s">
        <v>183</v>
      </c>
    </row>
    <row r="9" spans="1:6" ht="195.5" customHeight="1" x14ac:dyDescent="0.35">
      <c r="A9" s="107">
        <f>A8+1</f>
        <v>3</v>
      </c>
      <c r="B9" s="105" t="s">
        <v>167</v>
      </c>
    </row>
    <row r="10" spans="1:6" ht="236" customHeight="1" x14ac:dyDescent="0.35">
      <c r="A10" s="107">
        <v>4</v>
      </c>
      <c r="B10" s="105" t="s">
        <v>168</v>
      </c>
    </row>
    <row r="11" spans="1:6" ht="21" x14ac:dyDescent="0.35">
      <c r="A11" s="107">
        <f>A10+1</f>
        <v>5</v>
      </c>
      <c r="B11" s="63" t="s">
        <v>181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159</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184</v>
      </c>
      <c r="B6" s="1">
        <f>Assumptions!C17</f>
        <v>6440149443.8355007</v>
      </c>
      <c r="C6" s="12">
        <f ca="1">B6+Depreciation!C18+'Cash Flow'!C13</f>
        <v>6507877435.2517452</v>
      </c>
      <c r="D6" s="1">
        <f ca="1">C6+Depreciation!D18</f>
        <v>6703992960.1397676</v>
      </c>
      <c r="E6" s="1">
        <f ca="1">D6+Depreciation!E18</f>
        <v>6908546273.8560953</v>
      </c>
      <c r="F6" s="1">
        <f ca="1">E6+Depreciation!F18</f>
        <v>7121876572.588253</v>
      </c>
      <c r="G6" s="1">
        <f ca="1">F6+Depreciation!G18</f>
        <v>7343873157.9971657</v>
      </c>
      <c r="H6" s="1">
        <f ca="1">G6+Depreciation!H18</f>
        <v>7574863275.6758537</v>
      </c>
      <c r="I6" s="1">
        <f ca="1">H6+Depreciation!I18</f>
        <v>7815185997.8757172</v>
      </c>
      <c r="J6" s="1">
        <f ca="1">I6+Depreciation!J18</f>
        <v>8065192638.7248049</v>
      </c>
      <c r="K6" s="1">
        <f ca="1">J6+Depreciation!K18</f>
        <v>8325247183.7307682</v>
      </c>
      <c r="L6" s="1">
        <f ca="1">K6+Depreciation!L18</f>
        <v>8596040451.9182014</v>
      </c>
      <c r="M6" s="1">
        <f ca="1">L6+Depreciation!M18</f>
        <v>8877988638.6799183</v>
      </c>
      <c r="N6" s="1">
        <f ca="1">M6+Depreciation!N18</f>
        <v>9171523435.757309</v>
      </c>
      <c r="O6" s="1">
        <f ca="1">N6+Depreciation!O18</f>
        <v>9477092592.5086517</v>
      </c>
      <c r="P6" s="1">
        <f ca="1">O6+Depreciation!P18</f>
        <v>9795160497.1008396</v>
      </c>
      <c r="Q6" s="1">
        <f ca="1">P6+Depreciation!Q18</f>
        <v>10126290689.301632</v>
      </c>
      <c r="R6" s="1">
        <f ca="1">Q6+Depreciation!R18</f>
        <v>10470989613.901957</v>
      </c>
      <c r="S6" s="1">
        <f ca="1">R6+Depreciation!S18</f>
        <v>10829782634.607147</v>
      </c>
      <c r="T6" s="1">
        <f ca="1">S6+Depreciation!T18</f>
        <v>11203214722.636175</v>
      </c>
      <c r="U6" s="1">
        <f ca="1">T6+Depreciation!U18</f>
        <v>11591851169.907494</v>
      </c>
      <c r="V6" s="1">
        <f ca="1">U6+Depreciation!V18</f>
        <v>11996473732.180344</v>
      </c>
      <c r="W6" s="1">
        <f ca="1">V6+Depreciation!W18</f>
        <v>12417707557.092817</v>
      </c>
      <c r="X6" s="1">
        <f ca="1">W6+Depreciation!X18</f>
        <v>12856201431.950085</v>
      </c>
      <c r="Y6" s="1">
        <f ca="1">X6+Depreciation!Y18</f>
        <v>13312628656.5119</v>
      </c>
      <c r="Z6" s="1">
        <f ca="1">Y6+Depreciation!Z18</f>
        <v>13787687947.431503</v>
      </c>
      <c r="AA6" s="1">
        <f ca="1">Z6+Depreciation!AA18</f>
        <v>14282104375.477839</v>
      </c>
      <c r="AB6" s="1">
        <f ca="1">AA6+Depreciation!AB18</f>
        <v>14796630336.713118</v>
      </c>
      <c r="AC6" s="1">
        <f ca="1">AB6+Depreciation!AC18</f>
        <v>15332046558.839111</v>
      </c>
      <c r="AD6" s="1">
        <f ca="1">AC6+Depreciation!AD18</f>
        <v>15889163143.968523</v>
      </c>
      <c r="AE6" s="1">
        <f ca="1">AD6+Depreciation!AE18</f>
        <v>16468820649.122112</v>
      </c>
      <c r="AF6" s="1"/>
      <c r="AG6" s="1"/>
      <c r="AH6" s="1"/>
      <c r="AI6" s="1"/>
      <c r="AJ6" s="1"/>
      <c r="AK6" s="1"/>
      <c r="AL6" s="1"/>
      <c r="AM6" s="1"/>
      <c r="AN6" s="1"/>
      <c r="AO6" s="1"/>
      <c r="AP6" s="1"/>
    </row>
    <row r="7" spans="1:42" x14ac:dyDescent="0.35">
      <c r="A7" t="s">
        <v>12</v>
      </c>
      <c r="B7" s="1">
        <f>Depreciation!C12</f>
        <v>3323492073.693131</v>
      </c>
      <c r="C7" s="1">
        <f>Depreciation!D12</f>
        <v>3432313831.1438198</v>
      </c>
      <c r="D7" s="1">
        <f>Depreciation!E12</f>
        <v>3546779976.8648181</v>
      </c>
      <c r="E7" s="1">
        <f>Depreciation!F12</f>
        <v>3667140318.2257967</v>
      </c>
      <c r="F7" s="1">
        <f>Depreciation!G12</f>
        <v>3793644019.7241793</v>
      </c>
      <c r="G7" s="1">
        <f>Depreciation!H12</f>
        <v>3926549862.273612</v>
      </c>
      <c r="H7" s="1">
        <f>Depreciation!I12</f>
        <v>4066126595.5195217</v>
      </c>
      <c r="I7" s="1">
        <f>Depreciation!J12</f>
        <v>4212653302.6388159</v>
      </c>
      <c r="J7" s="1">
        <f>Depreciation!K12</f>
        <v>4366419778.056057</v>
      </c>
      <c r="K7" s="1">
        <f>Depreciation!L12</f>
        <v>4527734271.2856379</v>
      </c>
      <c r="L7" s="1">
        <f>Depreciation!M12</f>
        <v>4696917194.6208029</v>
      </c>
      <c r="M7" s="1">
        <f>Depreciation!N12</f>
        <v>4874301581.3510246</v>
      </c>
      <c r="N7" s="1">
        <f>Depreciation!O12</f>
        <v>5060233560.7139368</v>
      </c>
      <c r="O7" s="1">
        <f>Depreciation!P12</f>
        <v>5255072850.1795006</v>
      </c>
      <c r="P7" s="1">
        <f>Depreciation!Q12</f>
        <v>5459195185.4737206</v>
      </c>
      <c r="Q7" s="1">
        <f>Depreciation!R12</f>
        <v>5672991107.5577459</v>
      </c>
      <c r="R7" s="1">
        <f>Depreciation!S12</f>
        <v>5896866521.7058306</v>
      </c>
      <c r="S7" s="1">
        <f>Depreciation!T12</f>
        <v>6131243277.0901279</v>
      </c>
      <c r="T7" s="1">
        <f>Depreciation!U12</f>
        <v>6376559767.6087866</v>
      </c>
      <c r="U7" s="1">
        <f>Depreciation!V12</f>
        <v>6633276134.5128918</v>
      </c>
      <c r="V7" s="1">
        <f>Depreciation!W12</f>
        <v>6901870765.804822</v>
      </c>
      <c r="W7" s="1">
        <f>Depreciation!X12</f>
        <v>7182840992.8456879</v>
      </c>
      <c r="X7" s="1">
        <f>Depreciation!Y12</f>
        <v>7476703812.8609772</v>
      </c>
      <c r="Y7" s="1">
        <f>Depreciation!Z12</f>
        <v>7783996638.2885647</v>
      </c>
      <c r="Z7" s="1">
        <f>Depreciation!AA12</f>
        <v>8105278073.9471407</v>
      </c>
      <c r="AA7" s="1">
        <f>Depreciation!AB12</f>
        <v>8441128723.0382509</v>
      </c>
      <c r="AB7" s="1">
        <f>Depreciation!AC12</f>
        <v>8792152023.0314636</v>
      </c>
      <c r="AC7" s="1">
        <f>Depreciation!AD12</f>
        <v>9158975112.5198441</v>
      </c>
      <c r="AD7" s="1">
        <f>Depreciation!AE12</f>
        <v>9542249730.1718903</v>
      </c>
      <c r="AE7" s="1">
        <f>Depreciation!AF12</f>
        <v>9942653146.9464397</v>
      </c>
      <c r="AF7" s="1"/>
      <c r="AG7" s="1"/>
      <c r="AH7" s="1"/>
      <c r="AI7" s="1"/>
      <c r="AJ7" s="1"/>
      <c r="AK7" s="1"/>
      <c r="AL7" s="1"/>
      <c r="AM7" s="1"/>
      <c r="AN7" s="1"/>
      <c r="AO7" s="1"/>
      <c r="AP7" s="1"/>
    </row>
    <row r="8" spans="1:42" x14ac:dyDescent="0.35">
      <c r="A8" t="s">
        <v>185</v>
      </c>
      <c r="B8" s="1">
        <f t="shared" ref="B8:AE8" si="1">B6-B7</f>
        <v>3116657370.1423697</v>
      </c>
      <c r="C8" s="1">
        <f t="shared" ca="1" si="1"/>
        <v>3075563604.1079254</v>
      </c>
      <c r="D8" s="1">
        <f ca="1">D6-D7</f>
        <v>3157212983.2749496</v>
      </c>
      <c r="E8" s="1">
        <f t="shared" ca="1" si="1"/>
        <v>3241405955.6302986</v>
      </c>
      <c r="F8" s="1">
        <f t="shared" ca="1" si="1"/>
        <v>3328232552.8640738</v>
      </c>
      <c r="G8" s="1">
        <f t="shared" ca="1" si="1"/>
        <v>3417323295.7235537</v>
      </c>
      <c r="H8" s="1">
        <f t="shared" ca="1" si="1"/>
        <v>3508736680.156332</v>
      </c>
      <c r="I8" s="1">
        <f t="shared" ca="1" si="1"/>
        <v>3602532695.2369013</v>
      </c>
      <c r="J8" s="1">
        <f t="shared" ca="1" si="1"/>
        <v>3698772860.6687479</v>
      </c>
      <c r="K8" s="1">
        <f t="shared" ca="1" si="1"/>
        <v>3797512912.4451303</v>
      </c>
      <c r="L8" s="1">
        <f t="shared" ca="1" si="1"/>
        <v>3899123257.2973986</v>
      </c>
      <c r="M8" s="1">
        <f t="shared" ca="1" si="1"/>
        <v>4003687057.3288937</v>
      </c>
      <c r="N8" s="1">
        <f t="shared" ca="1" si="1"/>
        <v>4111289875.0433722</v>
      </c>
      <c r="O8" s="1">
        <f t="shared" ca="1" si="1"/>
        <v>4222019742.3291512</v>
      </c>
      <c r="P8" s="1">
        <f t="shared" ca="1" si="1"/>
        <v>4335965311.6271191</v>
      </c>
      <c r="Q8" s="1">
        <f t="shared" ca="1" si="1"/>
        <v>4453299581.743886</v>
      </c>
      <c r="R8" s="1">
        <f t="shared" ca="1" si="1"/>
        <v>4574123092.196126</v>
      </c>
      <c r="S8" s="1">
        <f t="shared" ca="1" si="1"/>
        <v>4698539357.5170193</v>
      </c>
      <c r="T8" s="1">
        <f t="shared" ca="1" si="1"/>
        <v>4826654955.0273886</v>
      </c>
      <c r="U8" s="1">
        <f t="shared" ca="1" si="1"/>
        <v>4958575035.3946018</v>
      </c>
      <c r="V8" s="1">
        <f t="shared" ca="1" si="1"/>
        <v>5094602966.3755217</v>
      </c>
      <c r="W8" s="1">
        <f t="shared" ca="1" si="1"/>
        <v>5234866564.2471294</v>
      </c>
      <c r="X8" s="1">
        <f t="shared" ca="1" si="1"/>
        <v>5379497619.0891075</v>
      </c>
      <c r="Y8" s="1">
        <f t="shared" ca="1" si="1"/>
        <v>5528632018.2233353</v>
      </c>
      <c r="Z8" s="1">
        <f t="shared" ca="1" si="1"/>
        <v>5682409873.4843626</v>
      </c>
      <c r="AA8" s="1">
        <f t="shared" ca="1" si="1"/>
        <v>5840975652.4395876</v>
      </c>
      <c r="AB8" s="1">
        <f t="shared" ca="1" si="1"/>
        <v>6004478313.681654</v>
      </c>
      <c r="AC8" s="1">
        <f t="shared" ca="1" si="1"/>
        <v>6173071446.3192673</v>
      </c>
      <c r="AD8" s="1">
        <f t="shared" ca="1" si="1"/>
        <v>6346913413.7966328</v>
      </c>
      <c r="AE8" s="1">
        <f t="shared" ca="1" si="1"/>
        <v>6526167502.1756725</v>
      </c>
      <c r="AF8" s="1"/>
      <c r="AG8" s="1"/>
      <c r="AH8" s="1"/>
      <c r="AI8" s="1"/>
      <c r="AJ8" s="1"/>
      <c r="AK8" s="1"/>
      <c r="AL8" s="1"/>
      <c r="AM8" s="1"/>
      <c r="AN8" s="1"/>
      <c r="AO8" s="1"/>
      <c r="AP8" s="1"/>
    </row>
    <row r="10" spans="1:42" x14ac:dyDescent="0.35">
      <c r="A10" t="s">
        <v>17</v>
      </c>
      <c r="B10" s="1">
        <f>B8-B11</f>
        <v>2982307700.1423697</v>
      </c>
      <c r="C10" s="1">
        <f ca="1">C8-C11</f>
        <v>2820937589.797884</v>
      </c>
      <c r="D10" s="1">
        <f ca="1">D8-D11</f>
        <v>2789842336.0844307</v>
      </c>
      <c r="E10" s="1">
        <f t="shared" ref="E10:AE10" ca="1" si="2">E8-E11</f>
        <v>2772843677.4481502</v>
      </c>
      <c r="F10" s="1">
        <f t="shared" ca="1" si="2"/>
        <v>2764284207.7695379</v>
      </c>
      <c r="G10" s="1">
        <f ca="1">G8-G11</f>
        <v>2767378485.6330318</v>
      </c>
      <c r="H10" s="1">
        <f t="shared" ca="1" si="2"/>
        <v>2777275927.9776087</v>
      </c>
      <c r="I10" s="1">
        <f t="shared" ca="1" si="2"/>
        <v>2795635395.4825525</v>
      </c>
      <c r="J10" s="1">
        <f t="shared" ca="1" si="2"/>
        <v>2824326373.741662</v>
      </c>
      <c r="K10" s="1">
        <f t="shared" ca="1" si="2"/>
        <v>2865443171.8558512</v>
      </c>
      <c r="L10" s="1">
        <f t="shared" ca="1" si="2"/>
        <v>2913456128.1792817</v>
      </c>
      <c r="M10" s="1">
        <f t="shared" ca="1" si="2"/>
        <v>2969513963.2876105</v>
      </c>
      <c r="N10" s="1">
        <f t="shared" ca="1" si="2"/>
        <v>3030697602.4541235</v>
      </c>
      <c r="O10" s="1">
        <f t="shared" ca="1" si="2"/>
        <v>3093324181.015203</v>
      </c>
      <c r="P10" s="1">
        <f t="shared" ca="1" si="2"/>
        <v>3157596681.0190582</v>
      </c>
      <c r="Q10" s="1">
        <f t="shared" ca="1" si="2"/>
        <v>3223593530.1759796</v>
      </c>
      <c r="R10" s="1">
        <f t="shared" ca="1" si="2"/>
        <v>3291539472.1332231</v>
      </c>
      <c r="S10" s="1">
        <f t="shared" ca="1" si="2"/>
        <v>3361683507.4276338</v>
      </c>
      <c r="T10" s="1">
        <f t="shared" ca="1" si="2"/>
        <v>3434300835.092072</v>
      </c>
      <c r="U10" s="1">
        <f t="shared" ca="1" si="2"/>
        <v>3509690344.9120102</v>
      </c>
      <c r="V10" s="1">
        <f t="shared" ca="1" si="2"/>
        <v>3587794035.7664547</v>
      </c>
      <c r="W10" s="1">
        <f t="shared" ca="1" si="2"/>
        <v>3668910039.8811483</v>
      </c>
      <c r="X10" s="1">
        <f t="shared" ca="1" si="2"/>
        <v>3750058792.4514933</v>
      </c>
      <c r="Y10" s="1">
        <f t="shared" ca="1" si="2"/>
        <v>3831194550.3879361</v>
      </c>
      <c r="Z10" s="1">
        <f t="shared" ca="1" si="2"/>
        <v>3912272791.9179125</v>
      </c>
      <c r="AA10" s="1">
        <f t="shared" ca="1" si="2"/>
        <v>3993250583.0788603</v>
      </c>
      <c r="AB10" s="1">
        <f t="shared" ca="1" si="2"/>
        <v>4074086978.3632002</v>
      </c>
      <c r="AC10" s="1">
        <f t="shared" ca="1" si="2"/>
        <v>4152321838.8410568</v>
      </c>
      <c r="AD10" s="1">
        <f t="shared" ca="1" si="2"/>
        <v>4227642324.3063397</v>
      </c>
      <c r="AE10" s="1">
        <f t="shared" ca="1" si="2"/>
        <v>4299717844.9108562</v>
      </c>
      <c r="AF10" s="1"/>
      <c r="AG10" s="1"/>
      <c r="AH10" s="1"/>
      <c r="AI10" s="1"/>
      <c r="AJ10" s="1"/>
      <c r="AK10" s="1"/>
      <c r="AL10" s="1"/>
      <c r="AM10" s="1"/>
      <c r="AN10" s="1"/>
      <c r="AO10" s="1"/>
    </row>
    <row r="11" spans="1:42" x14ac:dyDescent="0.35">
      <c r="A11" t="s">
        <v>9</v>
      </c>
      <c r="B11" s="1">
        <f>Assumptions!$C$20</f>
        <v>134349670</v>
      </c>
      <c r="C11" s="1">
        <f ca="1">'Debt worksheet'!D5</f>
        <v>254626014.31004164</v>
      </c>
      <c r="D11" s="1">
        <f ca="1">'Debt worksheet'!E5</f>
        <v>367370647.19051868</v>
      </c>
      <c r="E11" s="1">
        <f ca="1">'Debt worksheet'!F5</f>
        <v>468562278.1821484</v>
      </c>
      <c r="F11" s="1">
        <f ca="1">'Debt worksheet'!G5</f>
        <v>563948345.09453559</v>
      </c>
      <c r="G11" s="1">
        <f ca="1">'Debt worksheet'!H5</f>
        <v>649944810.09052157</v>
      </c>
      <c r="H11" s="1">
        <f ca="1">'Debt worksheet'!I5</f>
        <v>731460752.17872345</v>
      </c>
      <c r="I11" s="1">
        <f ca="1">'Debt worksheet'!J5</f>
        <v>806897299.75434899</v>
      </c>
      <c r="J11" s="1">
        <f ca="1">'Debt worksheet'!K5</f>
        <v>874446486.92708576</v>
      </c>
      <c r="K11" s="1">
        <f ca="1">'Debt worksheet'!L5</f>
        <v>932069740.58927894</v>
      </c>
      <c r="L11" s="1">
        <f ca="1">'Debt worksheet'!M5</f>
        <v>985667129.11811686</v>
      </c>
      <c r="M11" s="1">
        <f ca="1">'Debt worksheet'!N5</f>
        <v>1034173094.0412831</v>
      </c>
      <c r="N11" s="1">
        <f ca="1">'Debt worksheet'!O5</f>
        <v>1080592272.5892487</v>
      </c>
      <c r="O11" s="1">
        <f ca="1">'Debt worksheet'!P5</f>
        <v>1128695561.3139482</v>
      </c>
      <c r="P11" s="1">
        <f ca="1">'Debt worksheet'!Q5</f>
        <v>1178368630.6080606</v>
      </c>
      <c r="Q11" s="1">
        <f ca="1">'Debt worksheet'!R5</f>
        <v>1229706051.5679064</v>
      </c>
      <c r="R11" s="1">
        <f ca="1">'Debt worksheet'!S5</f>
        <v>1282583620.0629029</v>
      </c>
      <c r="S11" s="1">
        <f ca="1">'Debt worksheet'!T5</f>
        <v>1336855850.0893855</v>
      </c>
      <c r="T11" s="1">
        <f ca="1">'Debt worksheet'!U5</f>
        <v>1392354119.9353166</v>
      </c>
      <c r="U11" s="1">
        <f ca="1">'Debt worksheet'!V5</f>
        <v>1448884690.4825916</v>
      </c>
      <c r="V11" s="1">
        <f ca="1">'Debt worksheet'!W5</f>
        <v>1506808930.609067</v>
      </c>
      <c r="W11" s="1">
        <f ca="1">'Debt worksheet'!X5</f>
        <v>1565956524.3659811</v>
      </c>
      <c r="X11" s="1">
        <f ca="1">'Debt worksheet'!Y5</f>
        <v>1629438826.637614</v>
      </c>
      <c r="Y11" s="1">
        <f ca="1">'Debt worksheet'!Z5</f>
        <v>1697437467.8353992</v>
      </c>
      <c r="Z11" s="1">
        <f ca="1">'Debt worksheet'!AA5</f>
        <v>1770137081.5664501</v>
      </c>
      <c r="AA11" s="1">
        <f ca="1">'Debt worksheet'!AB5</f>
        <v>1847725069.3607273</v>
      </c>
      <c r="AB11" s="1">
        <f ca="1">'Debt worksheet'!AC5</f>
        <v>1930391335.318454</v>
      </c>
      <c r="AC11" s="1">
        <f ca="1">'Debt worksheet'!AD5</f>
        <v>2020749607.4782102</v>
      </c>
      <c r="AD11" s="1">
        <f ca="1">'Debt worksheet'!AE5</f>
        <v>2119271089.490293</v>
      </c>
      <c r="AE11" s="1">
        <f ca="1">'Debt worksheet'!AF5</f>
        <v>2226449657.2648163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160</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-35689360.359136321</v>
      </c>
      <c r="D5" s="4">
        <f ca="1">'Profit and Loss'!D9</f>
        <v>-25450865.44314272</v>
      </c>
      <c r="E5" s="4">
        <f ca="1">'Profit and Loss'!E9</f>
        <v>-11104462.996300755</v>
      </c>
      <c r="F5" s="4">
        <f ca="1">'Profit and Loss'!F9</f>
        <v>-2416109.5412076414</v>
      </c>
      <c r="G5" s="4">
        <f ca="1">'Profit and Loss'!G9</f>
        <v>9496418.9145435467</v>
      </c>
      <c r="H5" s="4">
        <f ca="1">'Profit and Loss'!H9</f>
        <v>16568333.041053206</v>
      </c>
      <c r="I5" s="4">
        <f ca="1">'Profit and Loss'!I9</f>
        <v>25309441.378328107</v>
      </c>
      <c r="J5" s="4">
        <f ca="1">'Profit and Loss'!J9</f>
        <v>35930746.557056949</v>
      </c>
      <c r="K5" s="4">
        <f ca="1">'Profit and Loss'!K9</f>
        <v>48664815.926529229</v>
      </c>
      <c r="L5" s="4">
        <f ca="1">'Profit and Loss'!L9</f>
        <v>55881386.429014422</v>
      </c>
      <c r="M5" s="4">
        <f ca="1">'Profit and Loss'!M9</f>
        <v>64259298.503386363</v>
      </c>
      <c r="N5" s="4">
        <f ca="1">'Profit and Loss'!N9</f>
        <v>69731231.799202815</v>
      </c>
      <c r="O5" s="4">
        <f ca="1">'Profit and Loss'!O9</f>
        <v>71533888.663730949</v>
      </c>
      <c r="P5" s="4">
        <f ca="1">'Profit and Loss'!P9</f>
        <v>73555545.832512647</v>
      </c>
      <c r="Q5" s="4">
        <f ca="1">'Profit and Loss'!Q9</f>
        <v>75670435.946728066</v>
      </c>
      <c r="R5" s="4">
        <f ca="1">'Profit and Loss'!R9</f>
        <v>78025434.021303058</v>
      </c>
      <c r="S5" s="4">
        <f ca="1">'Profit and Loss'!S9</f>
        <v>80645376.530623615</v>
      </c>
      <c r="T5" s="4">
        <f ca="1">'Profit and Loss'!T9</f>
        <v>83557062.798799753</v>
      </c>
      <c r="U5" s="4">
        <f ca="1">'Profit and Loss'!U9</f>
        <v>86789386.205383956</v>
      </c>
      <c r="V5" s="4">
        <f ca="1">'Profit and Loss'!V9</f>
        <v>89981955.242268801</v>
      </c>
      <c r="W5" s="4">
        <f ca="1">'Profit and Loss'!W9</f>
        <v>93491599.863629729</v>
      </c>
      <c r="X5" s="4">
        <f ca="1">'Profit and Loss'!X9</f>
        <v>94041345.544768438</v>
      </c>
      <c r="Y5" s="4">
        <f ca="1">'Profit and Loss'!Y9</f>
        <v>94565763.348741114</v>
      </c>
      <c r="Z5" s="4">
        <f ca="1">'Profit and Loss'!Z9</f>
        <v>95066851.760964185</v>
      </c>
      <c r="AA5" s="4">
        <f ca="1">'Profit and Loss'!AA9</f>
        <v>95547004.59348245</v>
      </c>
      <c r="AB5" s="4">
        <f ca="1">'Profit and Loss'!AB9</f>
        <v>96009046.186441138</v>
      </c>
      <c r="AC5" s="4">
        <f ca="1">'Profit and Loss'!AC9</f>
        <v>94034649.973025009</v>
      </c>
      <c r="AD5" s="4">
        <f ca="1">'Profit and Loss'!AD9</f>
        <v>91772013.628947422</v>
      </c>
      <c r="AE5" s="4">
        <f ca="1">'Profit and Loss'!AE9</f>
        <v>89204319.727020159</v>
      </c>
      <c r="AF5" s="4">
        <f ca="1">'Profit and Loss'!AF9</f>
        <v>86313999.796062171</v>
      </c>
      <c r="AG5" s="4"/>
      <c r="AH5" s="4"/>
      <c r="AI5" s="4"/>
      <c r="AJ5" s="4"/>
      <c r="AK5" s="4"/>
      <c r="AL5" s="4"/>
      <c r="AM5" s="4"/>
      <c r="AN5" s="4"/>
      <c r="AO5" s="4"/>
      <c r="AP5" s="4"/>
    </row>
    <row r="6" spans="1:42" x14ac:dyDescent="0.35">
      <c r="A6" t="s">
        <v>21</v>
      </c>
      <c r="C6" s="4">
        <f>Depreciation!C8+Depreciation!C9</f>
        <v>103417351.77538033</v>
      </c>
      <c r="D6" s="4">
        <f>Depreciation!D8+Depreciation!D9</f>
        <v>108821757.4506885</v>
      </c>
      <c r="E6" s="4">
        <f>Depreciation!E8+Depreciation!E9</f>
        <v>114466145.72099842</v>
      </c>
      <c r="F6" s="4">
        <f>Depreciation!F8+Depreciation!F9</f>
        <v>120360341.36097868</v>
      </c>
      <c r="G6" s="4">
        <f>Depreciation!G8+Depreciation!G9</f>
        <v>126503701.49838273</v>
      </c>
      <c r="H6" s="4">
        <f>Depreciation!H8+Depreciation!H9</f>
        <v>132905842.54943308</v>
      </c>
      <c r="I6" s="4">
        <f>Depreciation!I8+Depreciation!I9</f>
        <v>139576733.24590981</v>
      </c>
      <c r="J6" s="4">
        <f>Depreciation!J8+Depreciation!J9</f>
        <v>146526707.11929399</v>
      </c>
      <c r="K6" s="4">
        <f>Depreciation!K8+Depreciation!K9</f>
        <v>153766475.41724077</v>
      </c>
      <c r="L6" s="4">
        <f>Depreciation!L8+Depreciation!L9</f>
        <v>161314493.22958091</v>
      </c>
      <c r="M6" s="4">
        <f>Depreciation!M8+Depreciation!M9</f>
        <v>169182923.33516473</v>
      </c>
      <c r="N6" s="4">
        <f>Depreciation!N8+Depreciation!N9</f>
        <v>177384386.73022205</v>
      </c>
      <c r="O6" s="4">
        <f>Depreciation!O8+Depreciation!O9</f>
        <v>185931979.36291152</v>
      </c>
      <c r="P6" s="4">
        <f>Depreciation!P8+Depreciation!P9</f>
        <v>194839289.46556365</v>
      </c>
      <c r="Q6" s="4">
        <f>Depreciation!Q8+Depreciation!Q9</f>
        <v>204122335.29421943</v>
      </c>
      <c r="R6" s="4">
        <f>Depreciation!R8+Depreciation!R9</f>
        <v>213795922.08402568</v>
      </c>
      <c r="S6" s="4">
        <f>Depreciation!S8+Depreciation!S9</f>
        <v>223875414.14808509</v>
      </c>
      <c r="T6" s="4">
        <f>Depreciation!T8+Depreciation!T9</f>
        <v>234376755.38429731</v>
      </c>
      <c r="U6" s="4">
        <f>Depreciation!U8+Depreciation!U9</f>
        <v>245316490.51865861</v>
      </c>
      <c r="V6" s="4">
        <f>Depreciation!V8+Depreciation!V9</f>
        <v>256716366.90410557</v>
      </c>
      <c r="W6" s="4">
        <f>Depreciation!W8+Depreciation!W9</f>
        <v>268594631.29193002</v>
      </c>
      <c r="X6" s="4">
        <f>Depreciation!X8+Depreciation!X9</f>
        <v>280970227.04086542</v>
      </c>
      <c r="Y6" s="4">
        <f>Depreciation!Y8+Depreciation!Y9</f>
        <v>293862820.01528966</v>
      </c>
      <c r="Z6" s="4">
        <f>Depreciation!Z8+Depreciation!Z9</f>
        <v>307292825.42758733</v>
      </c>
      <c r="AA6" s="4">
        <f>Depreciation!AA8+Depreciation!AA9</f>
        <v>321281435.65857643</v>
      </c>
      <c r="AB6" s="4">
        <f>Depreciation!AB8+Depreciation!AB9</f>
        <v>335850649.09111083</v>
      </c>
      <c r="AC6" s="4">
        <f>Depreciation!AC8+Depreciation!AC9</f>
        <v>351023299.99321306</v>
      </c>
      <c r="AD6" s="4">
        <f>Depreciation!AD8+Depreciation!AD9</f>
        <v>366823089.48838067</v>
      </c>
      <c r="AE6" s="4">
        <f>Depreciation!AE8+Depreciation!AE9</f>
        <v>383274617.65204591</v>
      </c>
      <c r="AF6" s="4">
        <f>Depreciation!AF8+Depreciation!AF9</f>
        <v>400403416.77454948</v>
      </c>
      <c r="AG6" s="4"/>
      <c r="AH6" s="4"/>
      <c r="AI6" s="4"/>
      <c r="AJ6" s="4"/>
      <c r="AK6" s="4"/>
      <c r="AL6" s="4"/>
      <c r="AM6" s="4"/>
      <c r="AN6" s="4"/>
      <c r="AO6" s="4"/>
      <c r="AP6" s="4"/>
    </row>
    <row r="7" spans="1:42" x14ac:dyDescent="0.35">
      <c r="A7" t="s">
        <v>23</v>
      </c>
      <c r="C7" s="4">
        <f ca="1">C6+C5</f>
        <v>67727991.416244</v>
      </c>
      <c r="D7" s="4">
        <f ca="1">D6+D5</f>
        <v>83370892.007545769</v>
      </c>
      <c r="E7" s="4">
        <f t="shared" ref="E7:AF7" ca="1" si="1">E6+E5</f>
        <v>103361682.72469766</v>
      </c>
      <c r="F7" s="4">
        <f t="shared" ca="1" si="1"/>
        <v>117944231.81977104</v>
      </c>
      <c r="G7" s="4">
        <f ca="1">G6+G5</f>
        <v>136000120.41292629</v>
      </c>
      <c r="H7" s="4">
        <f t="shared" ca="1" si="1"/>
        <v>149474175.59048629</v>
      </c>
      <c r="I7" s="4">
        <f t="shared" ca="1" si="1"/>
        <v>164886174.62423792</v>
      </c>
      <c r="J7" s="4">
        <f t="shared" ca="1" si="1"/>
        <v>182457453.67635095</v>
      </c>
      <c r="K7" s="4">
        <f t="shared" ca="1" si="1"/>
        <v>202431291.34377</v>
      </c>
      <c r="L7" s="4">
        <f t="shared" ca="1" si="1"/>
        <v>217195879.65859532</v>
      </c>
      <c r="M7" s="4">
        <f t="shared" ca="1" si="1"/>
        <v>233442221.8385511</v>
      </c>
      <c r="N7" s="4">
        <f t="shared" ca="1" si="1"/>
        <v>247115618.52942485</v>
      </c>
      <c r="O7" s="4">
        <f t="shared" ca="1" si="1"/>
        <v>257465868.02664247</v>
      </c>
      <c r="P7" s="4">
        <f t="shared" ca="1" si="1"/>
        <v>268394835.2980763</v>
      </c>
      <c r="Q7" s="4">
        <f t="shared" ca="1" si="1"/>
        <v>279792771.24094748</v>
      </c>
      <c r="R7" s="4">
        <f t="shared" ca="1" si="1"/>
        <v>291821356.10532874</v>
      </c>
      <c r="S7" s="4">
        <f t="shared" ca="1" si="1"/>
        <v>304520790.67870867</v>
      </c>
      <c r="T7" s="4">
        <f t="shared" ca="1" si="1"/>
        <v>317933818.18309706</v>
      </c>
      <c r="U7" s="4">
        <f t="shared" ca="1" si="1"/>
        <v>332105876.72404253</v>
      </c>
      <c r="V7" s="4">
        <f t="shared" ca="1" si="1"/>
        <v>346698322.14637434</v>
      </c>
      <c r="W7" s="4">
        <f t="shared" ca="1" si="1"/>
        <v>362086231.15555978</v>
      </c>
      <c r="X7" s="4">
        <f t="shared" ca="1" si="1"/>
        <v>375011572.58563387</v>
      </c>
      <c r="Y7" s="4">
        <f t="shared" ca="1" si="1"/>
        <v>388428583.36403078</v>
      </c>
      <c r="Z7" s="4">
        <f t="shared" ca="1" si="1"/>
        <v>402359677.18855155</v>
      </c>
      <c r="AA7" s="4">
        <f t="shared" ca="1" si="1"/>
        <v>416828440.25205886</v>
      </c>
      <c r="AB7" s="4">
        <f t="shared" ca="1" si="1"/>
        <v>431859695.27755195</v>
      </c>
      <c r="AC7" s="4">
        <f t="shared" ca="1" si="1"/>
        <v>445057949.96623808</v>
      </c>
      <c r="AD7" s="4">
        <f t="shared" ca="1" si="1"/>
        <v>458595103.11732811</v>
      </c>
      <c r="AE7" s="4">
        <f t="shared" ca="1" si="1"/>
        <v>472478937.37906605</v>
      </c>
      <c r="AF7" s="4">
        <f t="shared" ca="1" si="1"/>
        <v>486717416.57061166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188004335.72628564</v>
      </c>
      <c r="D10" s="9">
        <f>Investment!D25</f>
        <v>196115524.88802281</v>
      </c>
      <c r="E10" s="9">
        <f>Investment!E25</f>
        <v>204553313.7163274</v>
      </c>
      <c r="F10" s="9">
        <f>Investment!F25</f>
        <v>213330298.73215818</v>
      </c>
      <c r="G10" s="9">
        <f>Investment!G25</f>
        <v>221996585.40891233</v>
      </c>
      <c r="H10" s="9">
        <f>Investment!H25</f>
        <v>230990117.67868814</v>
      </c>
      <c r="I10" s="9">
        <f>Investment!I25</f>
        <v>240322722.19986349</v>
      </c>
      <c r="J10" s="9">
        <f>Investment!J25</f>
        <v>250006640.84908772</v>
      </c>
      <c r="K10" s="9">
        <f>Investment!K25</f>
        <v>260054545.00596324</v>
      </c>
      <c r="L10" s="9">
        <f>Investment!L25</f>
        <v>270793268.18743318</v>
      </c>
      <c r="M10" s="9">
        <f>Investment!M25</f>
        <v>281948186.76171744</v>
      </c>
      <c r="N10" s="9">
        <f>Investment!N25</f>
        <v>293534797.07739031</v>
      </c>
      <c r="O10" s="9">
        <f>Investment!O25</f>
        <v>305569156.75134194</v>
      </c>
      <c r="P10" s="9">
        <f>Investment!P25</f>
        <v>318067904.59218872</v>
      </c>
      <c r="Q10" s="9">
        <f>Investment!Q25</f>
        <v>331130192.20079315</v>
      </c>
      <c r="R10" s="9">
        <f>Investment!R25</f>
        <v>344698924.60032529</v>
      </c>
      <c r="S10" s="9">
        <f>Investment!S25</f>
        <v>358793020.7051912</v>
      </c>
      <c r="T10" s="9">
        <f>Investment!T25</f>
        <v>373432088.02902806</v>
      </c>
      <c r="U10" s="9">
        <f>Investment!U25</f>
        <v>388636447.27131772</v>
      </c>
      <c r="V10" s="9">
        <f>Investment!V25</f>
        <v>404622562.2728498</v>
      </c>
      <c r="W10" s="9">
        <f>Investment!W25</f>
        <v>421233824.91247404</v>
      </c>
      <c r="X10" s="9">
        <f>Investment!X25</f>
        <v>438493874.85726678</v>
      </c>
      <c r="Y10" s="9">
        <f>Investment!Y25</f>
        <v>456427224.56181586</v>
      </c>
      <c r="Z10" s="9">
        <f>Investment!Z25</f>
        <v>475059290.91960245</v>
      </c>
      <c r="AA10" s="9">
        <f>Investment!AA25</f>
        <v>494416428.04633605</v>
      </c>
      <c r="AB10" s="9">
        <f>Investment!AB25</f>
        <v>514525961.23527873</v>
      </c>
      <c r="AC10" s="9">
        <f>Investment!AC25</f>
        <v>535416222.12599432</v>
      </c>
      <c r="AD10" s="9">
        <f>Investment!AD25</f>
        <v>557116585.12941098</v>
      </c>
      <c r="AE10" s="9">
        <f>Investment!AE25</f>
        <v>579657505.15358925</v>
      </c>
      <c r="AF10" s="9">
        <f>Investment!AF25</f>
        <v>603070556.67614198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-120276344.31004164</v>
      </c>
      <c r="D12" s="1">
        <f t="shared" ref="D12:AF12" ca="1" si="2">D7-D9-D10</f>
        <v>-112744632.88047704</v>
      </c>
      <c r="E12" s="1">
        <f ca="1">E7-E9-E10</f>
        <v>-101191630.99162973</v>
      </c>
      <c r="F12" s="1">
        <f t="shared" ca="1" si="2"/>
        <v>-95386066.912387148</v>
      </c>
      <c r="G12" s="1">
        <f ca="1">G7-G9-G10</f>
        <v>-85996464.995986044</v>
      </c>
      <c r="H12" s="1">
        <f t="shared" ca="1" si="2"/>
        <v>-81515942.088201851</v>
      </c>
      <c r="I12" s="1">
        <f t="shared" ca="1" si="2"/>
        <v>-75436547.575625569</v>
      </c>
      <c r="J12" s="1">
        <f t="shared" ca="1" si="2"/>
        <v>-67549187.172736764</v>
      </c>
      <c r="K12" s="1">
        <f t="shared" ca="1" si="2"/>
        <v>-57623253.662193239</v>
      </c>
      <c r="L12" s="1">
        <f t="shared" ca="1" si="2"/>
        <v>-53597388.52883786</v>
      </c>
      <c r="M12" s="1">
        <f t="shared" ca="1" si="2"/>
        <v>-48505964.923166335</v>
      </c>
      <c r="N12" s="1">
        <f t="shared" ca="1" si="2"/>
        <v>-46419178.547965467</v>
      </c>
      <c r="O12" s="1">
        <f t="shared" ca="1" si="2"/>
        <v>-48103288.724699467</v>
      </c>
      <c r="P12" s="1">
        <f t="shared" ca="1" si="2"/>
        <v>-49673069.294112414</v>
      </c>
      <c r="Q12" s="1">
        <f t="shared" ca="1" si="2"/>
        <v>-51337420.959845662</v>
      </c>
      <c r="R12" s="1">
        <f t="shared" ca="1" si="2"/>
        <v>-52877568.494996548</v>
      </c>
      <c r="S12" s="1">
        <f t="shared" ca="1" si="2"/>
        <v>-54272230.026482522</v>
      </c>
      <c r="T12" s="1">
        <f t="shared" ca="1" si="2"/>
        <v>-55498269.845930994</v>
      </c>
      <c r="U12" s="1">
        <f t="shared" ca="1" si="2"/>
        <v>-56530570.547275186</v>
      </c>
      <c r="V12" s="1">
        <f t="shared" ca="1" si="2"/>
        <v>-57924240.126475453</v>
      </c>
      <c r="W12" s="1">
        <f t="shared" ca="1" si="2"/>
        <v>-59147593.756914258</v>
      </c>
      <c r="X12" s="1">
        <f t="shared" ca="1" si="2"/>
        <v>-63482302.27163291</v>
      </c>
      <c r="Y12" s="1">
        <f t="shared" ca="1" si="2"/>
        <v>-67998641.197785079</v>
      </c>
      <c r="Z12" s="1">
        <f t="shared" ca="1" si="2"/>
        <v>-72699613.731050909</v>
      </c>
      <c r="AA12" s="1">
        <f t="shared" ca="1" si="2"/>
        <v>-77587987.794277191</v>
      </c>
      <c r="AB12" s="1">
        <f t="shared" ca="1" si="2"/>
        <v>-82666265.957726777</v>
      </c>
      <c r="AC12" s="1">
        <f t="shared" ca="1" si="2"/>
        <v>-90358272.159756243</v>
      </c>
      <c r="AD12" s="1">
        <f t="shared" ca="1" si="2"/>
        <v>-98521482.012082875</v>
      </c>
      <c r="AE12" s="1">
        <f t="shared" ca="1" si="2"/>
        <v>-107178567.7745232</v>
      </c>
      <c r="AF12" s="1">
        <f t="shared" ca="1" si="2"/>
        <v>-116353140.10553032</v>
      </c>
      <c r="AG12" s="1"/>
      <c r="AH12" s="1"/>
      <c r="AI12" s="1"/>
      <c r="AJ12" s="1"/>
      <c r="AK12" s="1"/>
      <c r="AL12" s="1"/>
      <c r="AM12" s="1"/>
      <c r="AN12" s="1"/>
      <c r="AO12" s="1"/>
      <c r="AP12" s="1"/>
    </row>
    <row r="13" spans="1:42" x14ac:dyDescent="0.35">
      <c r="A13" t="s">
        <v>19</v>
      </c>
      <c r="C13" s="1">
        <f ca="1">C12</f>
        <v>-120276344.31004164</v>
      </c>
      <c r="D13" s="1">
        <f ca="1">D12</f>
        <v>-112744632.88047704</v>
      </c>
      <c r="E13" s="1">
        <f ca="1">E12</f>
        <v>-101191630.99162973</v>
      </c>
      <c r="F13" s="1">
        <f t="shared" ref="F13:AF13" ca="1" si="3">F12</f>
        <v>-95386066.912387148</v>
      </c>
      <c r="G13" s="1">
        <f ca="1">G12</f>
        <v>-85996464.995986044</v>
      </c>
      <c r="H13" s="1">
        <f t="shared" ca="1" si="3"/>
        <v>-81515942.088201851</v>
      </c>
      <c r="I13" s="1">
        <f t="shared" ca="1" si="3"/>
        <v>-75436547.575625569</v>
      </c>
      <c r="J13" s="1">
        <f t="shared" ca="1" si="3"/>
        <v>-67549187.172736764</v>
      </c>
      <c r="K13" s="1">
        <f t="shared" ca="1" si="3"/>
        <v>-57623253.662193239</v>
      </c>
      <c r="L13" s="1">
        <f t="shared" ca="1" si="3"/>
        <v>-53597388.52883786</v>
      </c>
      <c r="M13" s="1">
        <f t="shared" ca="1" si="3"/>
        <v>-48505964.923166335</v>
      </c>
      <c r="N13" s="1">
        <f t="shared" ca="1" si="3"/>
        <v>-46419178.547965467</v>
      </c>
      <c r="O13" s="1">
        <f t="shared" ca="1" si="3"/>
        <v>-48103288.724699467</v>
      </c>
      <c r="P13" s="1">
        <f t="shared" ca="1" si="3"/>
        <v>-49673069.294112414</v>
      </c>
      <c r="Q13" s="1">
        <f t="shared" ca="1" si="3"/>
        <v>-51337420.959845662</v>
      </c>
      <c r="R13" s="1">
        <f t="shared" ca="1" si="3"/>
        <v>-52877568.494996548</v>
      </c>
      <c r="S13" s="1">
        <f t="shared" ca="1" si="3"/>
        <v>-54272230.026482522</v>
      </c>
      <c r="T13" s="1">
        <f t="shared" ca="1" si="3"/>
        <v>-55498269.845930994</v>
      </c>
      <c r="U13" s="1">
        <f t="shared" ca="1" si="3"/>
        <v>-56530570.547275186</v>
      </c>
      <c r="V13" s="1">
        <f t="shared" ca="1" si="3"/>
        <v>-57924240.126475453</v>
      </c>
      <c r="W13" s="1">
        <f t="shared" ca="1" si="3"/>
        <v>-59147593.756914258</v>
      </c>
      <c r="X13" s="1">
        <f t="shared" ca="1" si="3"/>
        <v>-63482302.27163291</v>
      </c>
      <c r="Y13" s="1">
        <f t="shared" ca="1" si="3"/>
        <v>-67998641.197785079</v>
      </c>
      <c r="Z13" s="1">
        <f t="shared" ca="1" si="3"/>
        <v>-72699613.731050909</v>
      </c>
      <c r="AA13" s="1">
        <f t="shared" ca="1" si="3"/>
        <v>-77587987.794277191</v>
      </c>
      <c r="AB13" s="1">
        <f t="shared" ca="1" si="3"/>
        <v>-82666265.957726777</v>
      </c>
      <c r="AC13" s="1">
        <f t="shared" ca="1" si="3"/>
        <v>-90358272.159756243</v>
      </c>
      <c r="AD13" s="1">
        <f t="shared" ca="1" si="3"/>
        <v>-98521482.012082875</v>
      </c>
      <c r="AE13" s="1">
        <f t="shared" ca="1" si="3"/>
        <v>-107178567.7745232</v>
      </c>
      <c r="AF13" s="1">
        <f t="shared" ca="1" si="3"/>
        <v>-116353140.10553032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134</v>
      </c>
      <c r="C6" s="9">
        <f>Assumptions!C17</f>
        <v>6440149443.8355007</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3220074721.9177504</v>
      </c>
      <c r="D7" s="9">
        <f>C12</f>
        <v>3323492073.693131</v>
      </c>
      <c r="E7" s="9">
        <f>D12</f>
        <v>3432313831.1438198</v>
      </c>
      <c r="F7" s="9">
        <f t="shared" ref="F7:H7" si="1">E12</f>
        <v>3546779976.8648181</v>
      </c>
      <c r="G7" s="9">
        <f t="shared" si="1"/>
        <v>3667140318.2257967</v>
      </c>
      <c r="H7" s="9">
        <f t="shared" si="1"/>
        <v>3793644019.7241793</v>
      </c>
      <c r="I7" s="9">
        <f t="shared" ref="I7" si="2">H12</f>
        <v>3926549862.273612</v>
      </c>
      <c r="J7" s="9">
        <f t="shared" ref="J7" si="3">I12</f>
        <v>4066126595.5195217</v>
      </c>
      <c r="K7" s="9">
        <f t="shared" ref="K7" si="4">J12</f>
        <v>4212653302.6388159</v>
      </c>
      <c r="L7" s="9">
        <f t="shared" ref="L7" si="5">K12</f>
        <v>4366419778.056057</v>
      </c>
      <c r="M7" s="9">
        <f t="shared" ref="M7" si="6">L12</f>
        <v>4527734271.2856379</v>
      </c>
      <c r="N7" s="9">
        <f t="shared" ref="N7" si="7">M12</f>
        <v>4696917194.6208029</v>
      </c>
      <c r="O7" s="9">
        <f t="shared" ref="O7" si="8">N12</f>
        <v>4874301581.3510246</v>
      </c>
      <c r="P7" s="9">
        <f t="shared" ref="P7" si="9">O12</f>
        <v>5060233560.7139368</v>
      </c>
      <c r="Q7" s="9">
        <f t="shared" ref="Q7" si="10">P12</f>
        <v>5255072850.1795006</v>
      </c>
      <c r="R7" s="9">
        <f t="shared" ref="R7" si="11">Q12</f>
        <v>5459195185.4737206</v>
      </c>
      <c r="S7" s="9">
        <f t="shared" ref="S7" si="12">R12</f>
        <v>5672991107.5577459</v>
      </c>
      <c r="T7" s="9">
        <f t="shared" ref="T7" si="13">S12</f>
        <v>5896866521.7058306</v>
      </c>
      <c r="U7" s="9">
        <f t="shared" ref="U7" si="14">T12</f>
        <v>6131243277.0901279</v>
      </c>
      <c r="V7" s="9">
        <f t="shared" ref="V7" si="15">U12</f>
        <v>6376559767.6087866</v>
      </c>
      <c r="W7" s="9">
        <f t="shared" ref="W7" si="16">V12</f>
        <v>6633276134.5128918</v>
      </c>
      <c r="X7" s="9">
        <f t="shared" ref="X7" si="17">W12</f>
        <v>6901870765.804822</v>
      </c>
      <c r="Y7" s="9">
        <f t="shared" ref="Y7" si="18">X12</f>
        <v>7182840992.8456879</v>
      </c>
      <c r="Z7" s="9">
        <f t="shared" ref="Z7" si="19">Y12</f>
        <v>7476703812.8609772</v>
      </c>
      <c r="AA7" s="9">
        <f t="shared" ref="AA7" si="20">Z12</f>
        <v>7783996638.2885647</v>
      </c>
      <c r="AB7" s="9">
        <f t="shared" ref="AB7" si="21">AA12</f>
        <v>8105278073.9471407</v>
      </c>
      <c r="AC7" s="9">
        <f t="shared" ref="AC7" si="22">AB12</f>
        <v>8441128723.0382509</v>
      </c>
      <c r="AD7" s="9">
        <f t="shared" ref="AD7" si="23">AC12</f>
        <v>8792152023.0314636</v>
      </c>
      <c r="AE7" s="9">
        <f t="shared" ref="AE7" si="24">AD12</f>
        <v>9158975112.5198441</v>
      </c>
      <c r="AF7" s="9">
        <f t="shared" ref="AF7" si="25">AE12</f>
        <v>9542249730.1718903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135</v>
      </c>
      <c r="C8" s="9">
        <f>Assumptions!D111*Assumptions!D11</f>
        <v>101387264.1605586</v>
      </c>
      <c r="D8" s="9">
        <f>Assumptions!E111*Assumptions!E11</f>
        <v>104631656.61369646</v>
      </c>
      <c r="E8" s="9">
        <f>Assumptions!F111*Assumptions!F11</f>
        <v>107979869.62533474</v>
      </c>
      <c r="F8" s="9">
        <f>Assumptions!G111*Assumptions!G11</f>
        <v>111435225.45334545</v>
      </c>
      <c r="G8" s="9">
        <f>Assumptions!H111*Assumptions!H11</f>
        <v>115001152.66785252</v>
      </c>
      <c r="H8" s="9">
        <f>Assumptions!I111*Assumptions!I11</f>
        <v>118681189.55322379</v>
      </c>
      <c r="I8" s="9">
        <f>Assumptions!J111*Assumptions!J11</f>
        <v>122478987.61892693</v>
      </c>
      <c r="J8" s="9">
        <f>Assumptions!K111*Assumptions!K11</f>
        <v>126398315.2227326</v>
      </c>
      <c r="K8" s="9">
        <f>Assumptions!L111*Assumptions!L11</f>
        <v>130443061.30986007</v>
      </c>
      <c r="L8" s="9">
        <f>Assumptions!M111*Assumptions!M11</f>
        <v>134617239.27177557</v>
      </c>
      <c r="M8" s="9">
        <f>Assumptions!N111*Assumptions!N11</f>
        <v>138924990.92847237</v>
      </c>
      <c r="N8" s="9">
        <f>Assumptions!O111*Assumptions!O11</f>
        <v>143370590.6381835</v>
      </c>
      <c r="O8" s="9">
        <f>Assumptions!P111*Assumptions!P11</f>
        <v>147958449.53860539</v>
      </c>
      <c r="P8" s="9">
        <f>Assumptions!Q111*Assumptions!Q11</f>
        <v>152693119.92384073</v>
      </c>
      <c r="Q8" s="9">
        <f>Assumptions!R111*Assumptions!R11</f>
        <v>157579299.76140362</v>
      </c>
      <c r="R8" s="9">
        <f>Assumptions!S111*Assumptions!S11</f>
        <v>162621837.35376856</v>
      </c>
      <c r="S8" s="9">
        <f>Assumptions!T111*Assumptions!T11</f>
        <v>167825736.14908919</v>
      </c>
      <c r="T8" s="9">
        <f>Assumptions!U111*Assumptions!U11</f>
        <v>173196159.70586002</v>
      </c>
      <c r="U8" s="9">
        <f>Assumptions!V111*Assumptions!V11</f>
        <v>178738436.8164475</v>
      </c>
      <c r="V8" s="9">
        <f>Assumptions!W111*Assumptions!W11</f>
        <v>184458066.79457384</v>
      </c>
      <c r="W8" s="9">
        <f>Assumptions!X111*Assumptions!X11</f>
        <v>190360724.93200022</v>
      </c>
      <c r="X8" s="9">
        <f>Assumptions!Y111*Assumptions!Y11</f>
        <v>196452268.12982422</v>
      </c>
      <c r="Y8" s="9">
        <f>Assumptions!Z111*Assumptions!Z11</f>
        <v>202738740.70997855</v>
      </c>
      <c r="Z8" s="9">
        <f>Assumptions!AA111*Assumptions!AA11</f>
        <v>209226380.41269788</v>
      </c>
      <c r="AA8" s="9">
        <f>Assumptions!AB111*Assumptions!AB11</f>
        <v>215921624.58590427</v>
      </c>
      <c r="AB8" s="9">
        <f>Assumptions!AC111*Assumptions!AC11</f>
        <v>222831116.57265317</v>
      </c>
      <c r="AC8" s="9">
        <f>Assumptions!AD111*Assumptions!AD11</f>
        <v>229961712.30297804</v>
      </c>
      <c r="AD8" s="9">
        <f>Assumptions!AE111*Assumptions!AE11</f>
        <v>237320487.09667337</v>
      </c>
      <c r="AE8" s="9">
        <f>Assumptions!AF111*Assumptions!AF11</f>
        <v>244914742.68376693</v>
      </c>
      <c r="AF8" s="9">
        <f>Assumptions!AG111*Assumptions!AG11</f>
        <v>252752014.44964743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2030087.6148217274</v>
      </c>
      <c r="D9" s="9">
        <f>Assumptions!E120*Assumptions!E11</f>
        <v>4190100.8369920449</v>
      </c>
      <c r="E9" s="9">
        <f>Assumptions!F120*Assumptions!F11</f>
        <v>6486276.0956636854</v>
      </c>
      <c r="F9" s="9">
        <f>Assumptions!G120*Assumptions!G11</f>
        <v>8925115.907633232</v>
      </c>
      <c r="G9" s="9">
        <f>Assumptions!H120*Assumptions!H11</f>
        <v>11502548.830530208</v>
      </c>
      <c r="H9" s="9">
        <f>Assumptions!I120*Assumptions!I11</f>
        <v>14224652.996209294</v>
      </c>
      <c r="I9" s="9">
        <f>Assumptions!J120*Assumptions!J11</f>
        <v>17097745.626982879</v>
      </c>
      <c r="J9" s="9">
        <f>Assumptions!K120*Assumptions!K11</f>
        <v>20128391.896561384</v>
      </c>
      <c r="K9" s="9">
        <f>Assumptions!L120*Assumptions!L11</f>
        <v>23323414.107380696</v>
      </c>
      <c r="L9" s="9">
        <f>Assumptions!M120*Assumptions!M11</f>
        <v>26697253.957805328</v>
      </c>
      <c r="M9" s="9">
        <f>Assumptions!N120*Assumptions!N11</f>
        <v>30257932.406692356</v>
      </c>
      <c r="N9" s="9">
        <f>Assumptions!O120*Assumptions!O11</f>
        <v>34013796.092038557</v>
      </c>
      <c r="O9" s="9">
        <f>Assumptions!P120*Assumptions!P11</f>
        <v>37973529.824306123</v>
      </c>
      <c r="P9" s="9">
        <f>Assumptions!Q120*Assumptions!Q11</f>
        <v>42146169.541722916</v>
      </c>
      <c r="Q9" s="9">
        <f>Assumptions!R120*Assumptions!R11</f>
        <v>46543035.532815814</v>
      </c>
      <c r="R9" s="9">
        <f>Assumptions!S120*Assumptions!S11</f>
        <v>51174084.730257116</v>
      </c>
      <c r="S9" s="9">
        <f>Assumptions!T120*Assumptions!T11</f>
        <v>56049677.998995893</v>
      </c>
      <c r="T9" s="9">
        <f>Assumptions!U120*Assumptions!U11</f>
        <v>61180595.6784373</v>
      </c>
      <c r="U9" s="9">
        <f>Assumptions!V120*Assumptions!V11</f>
        <v>66578053.702211104</v>
      </c>
      <c r="V9" s="9">
        <f>Assumptions!W120*Assumptions!W11</f>
        <v>72258300.10953173</v>
      </c>
      <c r="W9" s="9">
        <f>Assumptions!X120*Assumptions!X11</f>
        <v>78233906.359929815</v>
      </c>
      <c r="X9" s="9">
        <f>Assumptions!Y120*Assumptions!Y11</f>
        <v>84517958.911041185</v>
      </c>
      <c r="Y9" s="9">
        <f>Assumptions!Z120*Assumptions!Z11</f>
        <v>91124079.305311114</v>
      </c>
      <c r="Z9" s="9">
        <f>Assumptions!AA120*Assumptions!AA11</f>
        <v>98066445.014889449</v>
      </c>
      <c r="AA9" s="9">
        <f>Assumptions!AB120*Assumptions!AB11</f>
        <v>105359811.07267216</v>
      </c>
      <c r="AB9" s="9">
        <f>Assumptions!AC120*Assumptions!AC11</f>
        <v>113019532.51845768</v>
      </c>
      <c r="AC9" s="9">
        <f>Assumptions!AD120*Assumptions!AD11</f>
        <v>121061587.69023505</v>
      </c>
      <c r="AD9" s="9">
        <f>Assumptions!AE120*Assumptions!AE11</f>
        <v>129502602.3917073</v>
      </c>
      <c r="AE9" s="9">
        <f>Assumptions!AF120*Assumptions!AF11</f>
        <v>138359874.96827897</v>
      </c>
      <c r="AF9" s="9">
        <f>Assumptions!AG120*Assumptions!AG11</f>
        <v>147651402.32490209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103417351.77538033</v>
      </c>
      <c r="D10" s="9">
        <f>SUM($C$8:D9)</f>
        <v>212239109.22606882</v>
      </c>
      <c r="E10" s="9">
        <f>SUM($C$8:E9)</f>
        <v>326705254.9470672</v>
      </c>
      <c r="F10" s="9">
        <f>SUM($C$8:F9)</f>
        <v>447065596.30804586</v>
      </c>
      <c r="G10" s="9">
        <f>SUM($C$8:G9)</f>
        <v>573569297.80642843</v>
      </c>
      <c r="H10" s="9">
        <f>SUM($C$8:H9)</f>
        <v>706475140.35586154</v>
      </c>
      <c r="I10" s="9">
        <f>SUM($C$8:I9)</f>
        <v>846051873.60177135</v>
      </c>
      <c r="J10" s="9">
        <f>SUM($C$8:J9)</f>
        <v>992578580.7210654</v>
      </c>
      <c r="K10" s="9">
        <f>SUM($C$8:K9)</f>
        <v>1146345056.1383061</v>
      </c>
      <c r="L10" s="9">
        <f>SUM($C$8:L9)</f>
        <v>1307659549.3678875</v>
      </c>
      <c r="M10" s="9">
        <f>SUM($C$8:M9)</f>
        <v>1476842472.703052</v>
      </c>
      <c r="N10" s="9">
        <f>SUM($C$8:N9)</f>
        <v>1654226859.4332743</v>
      </c>
      <c r="O10" s="9">
        <f>SUM($C$8:O9)</f>
        <v>1840158838.7961857</v>
      </c>
      <c r="P10" s="9">
        <f>SUM($C$8:P9)</f>
        <v>2034998128.2617495</v>
      </c>
      <c r="Q10" s="9">
        <f>SUM($C$8:Q9)</f>
        <v>2239120463.5559688</v>
      </c>
      <c r="R10" s="9">
        <f>SUM($C$8:R9)</f>
        <v>2452916385.6399946</v>
      </c>
      <c r="S10" s="9">
        <f>SUM($C$8:S9)</f>
        <v>2676791799.7880793</v>
      </c>
      <c r="T10" s="9">
        <f>SUM($C$8:T9)</f>
        <v>2911168555.1723766</v>
      </c>
      <c r="U10" s="9">
        <f>SUM($C$8:U9)</f>
        <v>3156485045.6910348</v>
      </c>
      <c r="V10" s="9">
        <f>SUM($C$8:V9)</f>
        <v>3413201412.5951405</v>
      </c>
      <c r="W10" s="9">
        <f>SUM($C$8:W9)</f>
        <v>3681796043.8870707</v>
      </c>
      <c r="X10" s="9">
        <f>SUM($C$8:X9)</f>
        <v>3962766270.9279366</v>
      </c>
      <c r="Y10" s="9">
        <f>SUM($C$8:Y9)</f>
        <v>4256629090.9432259</v>
      </c>
      <c r="Z10" s="9">
        <f>SUM($C$8:Z9)</f>
        <v>4563921916.3708134</v>
      </c>
      <c r="AA10" s="9">
        <f>SUM($C$8:AA9)</f>
        <v>4885203352.0293894</v>
      </c>
      <c r="AB10" s="9">
        <f>SUM($C$8:AB9)</f>
        <v>5221054001.1205006</v>
      </c>
      <c r="AC10" s="9">
        <f>SUM($C$8:AC9)</f>
        <v>5572077301.1137152</v>
      </c>
      <c r="AD10" s="9">
        <f>SUM($C$8:AD9)</f>
        <v>5938900390.6020947</v>
      </c>
      <c r="AE10" s="9">
        <f>SUM($C$8:AE9)</f>
        <v>6322175008.2541409</v>
      </c>
      <c r="AF10" s="9">
        <f>SUM($C$8:AF9)</f>
        <v>6722578425.0286903</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3323492073.693131</v>
      </c>
      <c r="D12" s="9">
        <f>D7+D8+D9</f>
        <v>3432313831.1438198</v>
      </c>
      <c r="E12" s="9">
        <f>E7+E8+E9</f>
        <v>3546779976.8648181</v>
      </c>
      <c r="F12" s="9">
        <f t="shared" ref="F12:H12" si="26">F7+F8+F9</f>
        <v>3667140318.2257967</v>
      </c>
      <c r="G12" s="9">
        <f t="shared" si="26"/>
        <v>3793644019.7241793</v>
      </c>
      <c r="H12" s="9">
        <f t="shared" si="26"/>
        <v>3926549862.273612</v>
      </c>
      <c r="I12" s="9">
        <f t="shared" ref="I12:AF12" si="27">I7+I8+I9</f>
        <v>4066126595.5195217</v>
      </c>
      <c r="J12" s="9">
        <f t="shared" si="27"/>
        <v>4212653302.6388159</v>
      </c>
      <c r="K12" s="9">
        <f t="shared" si="27"/>
        <v>4366419778.056057</v>
      </c>
      <c r="L12" s="9">
        <f t="shared" si="27"/>
        <v>4527734271.2856379</v>
      </c>
      <c r="M12" s="9">
        <f t="shared" si="27"/>
        <v>4696917194.6208029</v>
      </c>
      <c r="N12" s="9">
        <f t="shared" si="27"/>
        <v>4874301581.3510246</v>
      </c>
      <c r="O12" s="9">
        <f t="shared" si="27"/>
        <v>5060233560.7139368</v>
      </c>
      <c r="P12" s="9">
        <f t="shared" si="27"/>
        <v>5255072850.1795006</v>
      </c>
      <c r="Q12" s="9">
        <f t="shared" si="27"/>
        <v>5459195185.4737206</v>
      </c>
      <c r="R12" s="9">
        <f t="shared" si="27"/>
        <v>5672991107.5577459</v>
      </c>
      <c r="S12" s="9">
        <f t="shared" si="27"/>
        <v>5896866521.7058306</v>
      </c>
      <c r="T12" s="9">
        <f t="shared" si="27"/>
        <v>6131243277.0901279</v>
      </c>
      <c r="U12" s="9">
        <f t="shared" si="27"/>
        <v>6376559767.6087866</v>
      </c>
      <c r="V12" s="9">
        <f t="shared" si="27"/>
        <v>6633276134.5128918</v>
      </c>
      <c r="W12" s="9">
        <f t="shared" si="27"/>
        <v>6901870765.804822</v>
      </c>
      <c r="X12" s="9">
        <f t="shared" si="27"/>
        <v>7182840992.8456879</v>
      </c>
      <c r="Y12" s="9">
        <f t="shared" si="27"/>
        <v>7476703812.8609772</v>
      </c>
      <c r="Z12" s="9">
        <f t="shared" si="27"/>
        <v>7783996638.2885647</v>
      </c>
      <c r="AA12" s="9">
        <f t="shared" si="27"/>
        <v>8105278073.9471407</v>
      </c>
      <c r="AB12" s="9">
        <f t="shared" si="27"/>
        <v>8441128723.0382509</v>
      </c>
      <c r="AC12" s="9">
        <f t="shared" si="27"/>
        <v>8792152023.0314636</v>
      </c>
      <c r="AD12" s="9">
        <f t="shared" si="27"/>
        <v>9158975112.5198441</v>
      </c>
      <c r="AE12" s="9">
        <f t="shared" si="27"/>
        <v>9542249730.1718903</v>
      </c>
      <c r="AF12" s="9">
        <f t="shared" si="27"/>
        <v>9942653146.9464397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188004335.72628564</v>
      </c>
      <c r="D18" s="9">
        <f>Investment!D25</f>
        <v>196115524.88802281</v>
      </c>
      <c r="E18" s="9">
        <f>Investment!E25</f>
        <v>204553313.7163274</v>
      </c>
      <c r="F18" s="9">
        <f>Investment!F25</f>
        <v>213330298.73215818</v>
      </c>
      <c r="G18" s="9">
        <f>Investment!G25</f>
        <v>221996585.40891233</v>
      </c>
      <c r="H18" s="9">
        <f>Investment!H25</f>
        <v>230990117.67868814</v>
      </c>
      <c r="I18" s="9">
        <f>Investment!I25</f>
        <v>240322722.19986349</v>
      </c>
      <c r="J18" s="9">
        <f>Investment!J25</f>
        <v>250006640.84908772</v>
      </c>
      <c r="K18" s="9">
        <f>Investment!K25</f>
        <v>260054545.00596324</v>
      </c>
      <c r="L18" s="9">
        <f>Investment!L25</f>
        <v>270793268.18743318</v>
      </c>
      <c r="M18" s="9">
        <f>Investment!M25</f>
        <v>281948186.76171744</v>
      </c>
      <c r="N18" s="9">
        <f>Investment!N25</f>
        <v>293534797.07739031</v>
      </c>
      <c r="O18" s="9">
        <f>Investment!O25</f>
        <v>305569156.75134194</v>
      </c>
      <c r="P18" s="9">
        <f>Investment!P25</f>
        <v>318067904.59218872</v>
      </c>
      <c r="Q18" s="9">
        <f>Investment!Q25</f>
        <v>331130192.20079315</v>
      </c>
      <c r="R18" s="9">
        <f>Investment!R25</f>
        <v>344698924.60032529</v>
      </c>
      <c r="S18" s="9">
        <f>Investment!S25</f>
        <v>358793020.7051912</v>
      </c>
      <c r="T18" s="9">
        <f>Investment!T25</f>
        <v>373432088.02902806</v>
      </c>
      <c r="U18" s="9">
        <f>Investment!U25</f>
        <v>388636447.27131772</v>
      </c>
      <c r="V18" s="9">
        <f>Investment!V25</f>
        <v>404622562.2728498</v>
      </c>
      <c r="W18" s="9">
        <f>Investment!W25</f>
        <v>421233824.91247404</v>
      </c>
      <c r="X18" s="9">
        <f>Investment!X25</f>
        <v>438493874.85726678</v>
      </c>
      <c r="Y18" s="9">
        <f>Investment!Y25</f>
        <v>456427224.56181586</v>
      </c>
      <c r="Z18" s="9">
        <f>Investment!Z25</f>
        <v>475059290.91960245</v>
      </c>
      <c r="AA18" s="9">
        <f>Investment!AA25</f>
        <v>494416428.04633605</v>
      </c>
      <c r="AB18" s="9">
        <f>Investment!AB25</f>
        <v>514525961.23527873</v>
      </c>
      <c r="AC18" s="9">
        <f>Investment!AC25</f>
        <v>535416222.12599432</v>
      </c>
      <c r="AD18" s="9">
        <f>Investment!AD25</f>
        <v>557116585.12941098</v>
      </c>
      <c r="AE18" s="9">
        <f>Investment!AE25</f>
        <v>579657505.15358925</v>
      </c>
      <c r="AF18" s="9">
        <f>Investment!AF25</f>
        <v>603070556.67614198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3408079057.6440358</v>
      </c>
      <c r="D19" s="9">
        <f>D18+C20</f>
        <v>3500777230.7566781</v>
      </c>
      <c r="E19" s="9">
        <f>E18+D20</f>
        <v>3596508787.0223165</v>
      </c>
      <c r="F19" s="9">
        <f t="shared" ref="F19:AF19" si="28">F18+E20</f>
        <v>3695372940.0334764</v>
      </c>
      <c r="G19" s="9">
        <f t="shared" si="28"/>
        <v>3797009184.0814099</v>
      </c>
      <c r="H19" s="9">
        <f t="shared" si="28"/>
        <v>3901495600.2617154</v>
      </c>
      <c r="I19" s="9">
        <f t="shared" si="28"/>
        <v>4008912479.9121461</v>
      </c>
      <c r="J19" s="9">
        <f t="shared" si="28"/>
        <v>4119342387.5153241</v>
      </c>
      <c r="K19" s="9">
        <f t="shared" si="28"/>
        <v>4232870225.4019938</v>
      </c>
      <c r="L19" s="9">
        <f t="shared" si="28"/>
        <v>4349897018.1721859</v>
      </c>
      <c r="M19" s="9">
        <f t="shared" si="28"/>
        <v>4470530711.7043228</v>
      </c>
      <c r="N19" s="9">
        <f t="shared" si="28"/>
        <v>4594882585.4465485</v>
      </c>
      <c r="O19" s="9">
        <f t="shared" si="28"/>
        <v>4723067355.4676685</v>
      </c>
      <c r="P19" s="9">
        <f t="shared" si="28"/>
        <v>4855203280.6969452</v>
      </c>
      <c r="Q19" s="9">
        <f t="shared" si="28"/>
        <v>4991494183.4321747</v>
      </c>
      <c r="R19" s="9">
        <f t="shared" si="28"/>
        <v>5132070772.7382803</v>
      </c>
      <c r="S19" s="9">
        <f t="shared" si="28"/>
        <v>5277067871.3594465</v>
      </c>
      <c r="T19" s="9">
        <f t="shared" si="28"/>
        <v>5426624545.2403898</v>
      </c>
      <c r="U19" s="9">
        <f t="shared" si="28"/>
        <v>5580884237.1274099</v>
      </c>
      <c r="V19" s="9">
        <f t="shared" si="28"/>
        <v>5740190308.8816013</v>
      </c>
      <c r="W19" s="9">
        <f t="shared" si="28"/>
        <v>5904707766.8899698</v>
      </c>
      <c r="X19" s="9">
        <f t="shared" si="28"/>
        <v>6074607010.4553061</v>
      </c>
      <c r="Y19" s="9">
        <f t="shared" si="28"/>
        <v>6250064007.9762564</v>
      </c>
      <c r="Z19" s="9">
        <f t="shared" si="28"/>
        <v>6431260478.8805695</v>
      </c>
      <c r="AA19" s="9">
        <f t="shared" si="28"/>
        <v>6618384081.4993181</v>
      </c>
      <c r="AB19" s="9">
        <f t="shared" si="28"/>
        <v>6811628607.0760212</v>
      </c>
      <c r="AC19" s="9">
        <f t="shared" si="28"/>
        <v>7011194180.1109056</v>
      </c>
      <c r="AD19" s="9">
        <f t="shared" si="28"/>
        <v>7217287465.2471037</v>
      </c>
      <c r="AE19" s="9">
        <f t="shared" si="28"/>
        <v>7430121880.9123125</v>
      </c>
      <c r="AF19" s="9">
        <f t="shared" si="28"/>
        <v>7649917819.936408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3304661705.8686552</v>
      </c>
      <c r="D20" s="9">
        <f>D19-D8-D9</f>
        <v>3391955473.3059893</v>
      </c>
      <c r="E20" s="9">
        <f t="shared" ref="E20:AF20" si="29">E19-E8-E9</f>
        <v>3482042641.3013182</v>
      </c>
      <c r="F20" s="9">
        <f t="shared" si="29"/>
        <v>3575012598.6724977</v>
      </c>
      <c r="G20" s="9">
        <f t="shared" si="29"/>
        <v>3670505482.5830274</v>
      </c>
      <c r="H20" s="9">
        <f t="shared" si="29"/>
        <v>3768589757.7122827</v>
      </c>
      <c r="I20" s="9">
        <f t="shared" si="29"/>
        <v>3869335746.6662364</v>
      </c>
      <c r="J20" s="9">
        <f t="shared" si="29"/>
        <v>3972815680.3960304</v>
      </c>
      <c r="K20" s="9">
        <f t="shared" si="29"/>
        <v>4079103749.9847527</v>
      </c>
      <c r="L20" s="9">
        <f t="shared" si="29"/>
        <v>4188582524.942605</v>
      </c>
      <c r="M20" s="9">
        <f t="shared" si="29"/>
        <v>4301347788.3691578</v>
      </c>
      <c r="N20" s="9">
        <f t="shared" si="29"/>
        <v>4417498198.7163267</v>
      </c>
      <c r="O20" s="9">
        <f t="shared" si="29"/>
        <v>4537135376.1047564</v>
      </c>
      <c r="P20" s="9">
        <f t="shared" si="29"/>
        <v>4660363991.2313814</v>
      </c>
      <c r="Q20" s="9">
        <f t="shared" si="29"/>
        <v>4787371848.1379547</v>
      </c>
      <c r="R20" s="9">
        <f t="shared" si="29"/>
        <v>4918274850.6542549</v>
      </c>
      <c r="S20" s="9">
        <f t="shared" si="29"/>
        <v>5053192457.2113619</v>
      </c>
      <c r="T20" s="9">
        <f t="shared" si="29"/>
        <v>5192247789.8560925</v>
      </c>
      <c r="U20" s="9">
        <f t="shared" si="29"/>
        <v>5335567746.6087513</v>
      </c>
      <c r="V20" s="9">
        <f t="shared" si="29"/>
        <v>5483473941.9774961</v>
      </c>
      <c r="W20" s="9">
        <f t="shared" si="29"/>
        <v>5636113135.5980396</v>
      </c>
      <c r="X20" s="9">
        <f t="shared" si="29"/>
        <v>5793636783.4144402</v>
      </c>
      <c r="Y20" s="9">
        <f t="shared" si="29"/>
        <v>5956201187.9609671</v>
      </c>
      <c r="Z20" s="9">
        <f t="shared" si="29"/>
        <v>6123967653.4529819</v>
      </c>
      <c r="AA20" s="9">
        <f t="shared" si="29"/>
        <v>6297102645.8407421</v>
      </c>
      <c r="AB20" s="9">
        <f t="shared" si="29"/>
        <v>6475777957.984911</v>
      </c>
      <c r="AC20" s="9">
        <f t="shared" si="29"/>
        <v>6660170880.1176929</v>
      </c>
      <c r="AD20" s="9">
        <f t="shared" si="29"/>
        <v>6850464375.7587233</v>
      </c>
      <c r="AE20" s="9">
        <f t="shared" si="29"/>
        <v>7046847263.2602663</v>
      </c>
      <c r="AF20" s="9">
        <f t="shared" si="29"/>
        <v>7249514403.1618586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134349670</v>
      </c>
      <c r="D22" s="9">
        <f ca="1">'Balance Sheet'!C11</f>
        <v>254626014.31004164</v>
      </c>
      <c r="E22" s="9">
        <f ca="1">'Balance Sheet'!D11</f>
        <v>367370647.19051868</v>
      </c>
      <c r="F22" s="9">
        <f ca="1">'Balance Sheet'!E11</f>
        <v>468562278.1821484</v>
      </c>
      <c r="G22" s="9">
        <f ca="1">'Balance Sheet'!F11</f>
        <v>563948345.09453559</v>
      </c>
      <c r="H22" s="9">
        <f ca="1">'Balance Sheet'!G11</f>
        <v>649944810.09052157</v>
      </c>
      <c r="I22" s="9">
        <f ca="1">'Balance Sheet'!H11</f>
        <v>731460752.17872345</v>
      </c>
      <c r="J22" s="9">
        <f ca="1">'Balance Sheet'!I11</f>
        <v>806897299.75434899</v>
      </c>
      <c r="K22" s="9">
        <f ca="1">'Balance Sheet'!J11</f>
        <v>874446486.92708576</v>
      </c>
      <c r="L22" s="9">
        <f ca="1">'Balance Sheet'!K11</f>
        <v>932069740.58927894</v>
      </c>
      <c r="M22" s="9">
        <f ca="1">'Balance Sheet'!L11</f>
        <v>985667129.11811686</v>
      </c>
      <c r="N22" s="9">
        <f ca="1">'Balance Sheet'!M11</f>
        <v>1034173094.0412831</v>
      </c>
      <c r="O22" s="9">
        <f ca="1">'Balance Sheet'!N11</f>
        <v>1080592272.5892487</v>
      </c>
      <c r="P22" s="9">
        <f ca="1">'Balance Sheet'!O11</f>
        <v>1128695561.3139482</v>
      </c>
      <c r="Q22" s="9">
        <f ca="1">'Balance Sheet'!P11</f>
        <v>1178368630.6080606</v>
      </c>
      <c r="R22" s="9">
        <f ca="1">'Balance Sheet'!Q11</f>
        <v>1229706051.5679064</v>
      </c>
      <c r="S22" s="9">
        <f ca="1">'Balance Sheet'!R11</f>
        <v>1282583620.0629029</v>
      </c>
      <c r="T22" s="9">
        <f ca="1">'Balance Sheet'!S11</f>
        <v>1336855850.0893855</v>
      </c>
      <c r="U22" s="9">
        <f ca="1">'Balance Sheet'!T11</f>
        <v>1392354119.9353166</v>
      </c>
      <c r="V22" s="9">
        <f ca="1">'Balance Sheet'!U11</f>
        <v>1448884690.4825916</v>
      </c>
      <c r="W22" s="9">
        <f ca="1">'Balance Sheet'!V11</f>
        <v>1506808930.609067</v>
      </c>
      <c r="X22" s="9">
        <f ca="1">'Balance Sheet'!W11</f>
        <v>1565956524.3659811</v>
      </c>
      <c r="Y22" s="9">
        <f ca="1">'Balance Sheet'!X11</f>
        <v>1629438826.637614</v>
      </c>
      <c r="Z22" s="9">
        <f ca="1">'Balance Sheet'!Y11</f>
        <v>1697437467.8353992</v>
      </c>
      <c r="AA22" s="9">
        <f ca="1">'Balance Sheet'!Z11</f>
        <v>1770137081.5664501</v>
      </c>
      <c r="AB22" s="9">
        <f ca="1">'Balance Sheet'!AA11</f>
        <v>1847725069.3607273</v>
      </c>
      <c r="AC22" s="9">
        <f ca="1">'Balance Sheet'!AB11</f>
        <v>1930391335.318454</v>
      </c>
      <c r="AD22" s="9">
        <f ca="1">'Balance Sheet'!AC11</f>
        <v>2020749607.4782102</v>
      </c>
      <c r="AE22" s="9">
        <f ca="1">'Balance Sheet'!AD11</f>
        <v>2119271089.490293</v>
      </c>
      <c r="AF22" s="9">
        <f ca="1">'Balance Sheet'!AE11</f>
        <v>2226449657.2648163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3170312035.8686552</v>
      </c>
      <c r="D23" s="9">
        <f t="shared" ref="D23:AF23" ca="1" si="30">D20-D22</f>
        <v>3137329458.9959478</v>
      </c>
      <c r="E23" s="9">
        <f t="shared" ca="1" si="30"/>
        <v>3114671994.1107993</v>
      </c>
      <c r="F23" s="9">
        <f t="shared" ca="1" si="30"/>
        <v>3106450320.4903493</v>
      </c>
      <c r="G23" s="9">
        <f t="shared" ca="1" si="30"/>
        <v>3106557137.488492</v>
      </c>
      <c r="H23" s="9">
        <f t="shared" ca="1" si="30"/>
        <v>3118644947.6217613</v>
      </c>
      <c r="I23" s="9">
        <f t="shared" ca="1" si="30"/>
        <v>3137874994.4875131</v>
      </c>
      <c r="J23" s="9">
        <f ca="1">J20-J22</f>
        <v>3165918380.6416817</v>
      </c>
      <c r="K23" s="9">
        <f t="shared" ca="1" si="30"/>
        <v>3204657263.0576668</v>
      </c>
      <c r="L23" s="9">
        <f t="shared" ca="1" si="30"/>
        <v>3256512784.3533258</v>
      </c>
      <c r="M23" s="9">
        <f t="shared" ca="1" si="30"/>
        <v>3315680659.2510409</v>
      </c>
      <c r="N23" s="9">
        <f t="shared" ca="1" si="30"/>
        <v>3383325104.6750436</v>
      </c>
      <c r="O23" s="9">
        <f t="shared" ca="1" si="30"/>
        <v>3456543103.5155077</v>
      </c>
      <c r="P23" s="9">
        <f t="shared" ca="1" si="30"/>
        <v>3531668429.9174333</v>
      </c>
      <c r="Q23" s="9">
        <f t="shared" ca="1" si="30"/>
        <v>3609003217.5298939</v>
      </c>
      <c r="R23" s="9">
        <f t="shared" ca="1" si="30"/>
        <v>3688568799.0863485</v>
      </c>
      <c r="S23" s="9">
        <f t="shared" ca="1" si="30"/>
        <v>3770608837.148459</v>
      </c>
      <c r="T23" s="9">
        <f t="shared" ca="1" si="30"/>
        <v>3855391939.7667069</v>
      </c>
      <c r="U23" s="9">
        <f t="shared" ca="1" si="30"/>
        <v>3943213626.6734347</v>
      </c>
      <c r="V23" s="9">
        <f t="shared" ca="1" si="30"/>
        <v>4034589251.4949045</v>
      </c>
      <c r="W23" s="9">
        <f t="shared" ca="1" si="30"/>
        <v>4129304204.9889727</v>
      </c>
      <c r="X23" s="9">
        <f t="shared" ca="1" si="30"/>
        <v>4227680259.0484591</v>
      </c>
      <c r="Y23" s="9">
        <f t="shared" ca="1" si="30"/>
        <v>4326762361.3233528</v>
      </c>
      <c r="Z23" s="9">
        <f t="shared" ca="1" si="30"/>
        <v>4426530185.6175823</v>
      </c>
      <c r="AA23" s="9">
        <f t="shared" ca="1" si="30"/>
        <v>4526965564.274292</v>
      </c>
      <c r="AB23" s="9">
        <f t="shared" ca="1" si="30"/>
        <v>4628052888.6241837</v>
      </c>
      <c r="AC23" s="9">
        <f t="shared" ca="1" si="30"/>
        <v>4729779544.7992392</v>
      </c>
      <c r="AD23" s="9">
        <f t="shared" ca="1" si="30"/>
        <v>4829714768.2805128</v>
      </c>
      <c r="AE23" s="9">
        <f t="shared" ca="1" si="30"/>
        <v>4927576173.7699738</v>
      </c>
      <c r="AF23" s="9">
        <f t="shared" ca="1" si="30"/>
        <v>5023064745.8970423</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161</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134349670</v>
      </c>
      <c r="D5" s="1">
        <f ca="1">C5+C6</f>
        <v>254626014.31004164</v>
      </c>
      <c r="E5" s="1">
        <f t="shared" ref="E5:AF5" ca="1" si="1">D5+D6</f>
        <v>367370647.19051868</v>
      </c>
      <c r="F5" s="1">
        <f t="shared" ca="1" si="1"/>
        <v>468562278.1821484</v>
      </c>
      <c r="G5" s="1">
        <f t="shared" ca="1" si="1"/>
        <v>563948345.09453559</v>
      </c>
      <c r="H5" s="1">
        <f t="shared" ca="1" si="1"/>
        <v>649944810.09052157</v>
      </c>
      <c r="I5" s="1">
        <f t="shared" ca="1" si="1"/>
        <v>731460752.17872345</v>
      </c>
      <c r="J5" s="1">
        <f t="shared" ca="1" si="1"/>
        <v>806897299.75434899</v>
      </c>
      <c r="K5" s="1">
        <f t="shared" ca="1" si="1"/>
        <v>874446486.92708576</v>
      </c>
      <c r="L5" s="1">
        <f t="shared" ca="1" si="1"/>
        <v>932069740.58927894</v>
      </c>
      <c r="M5" s="1">
        <f t="shared" ca="1" si="1"/>
        <v>985667129.11811686</v>
      </c>
      <c r="N5" s="1">
        <f t="shared" ca="1" si="1"/>
        <v>1034173094.0412831</v>
      </c>
      <c r="O5" s="1">
        <f t="shared" ca="1" si="1"/>
        <v>1080592272.5892487</v>
      </c>
      <c r="P5" s="1">
        <f t="shared" ca="1" si="1"/>
        <v>1128695561.3139482</v>
      </c>
      <c r="Q5" s="1">
        <f t="shared" ca="1" si="1"/>
        <v>1178368630.6080606</v>
      </c>
      <c r="R5" s="1">
        <f t="shared" ca="1" si="1"/>
        <v>1229706051.5679064</v>
      </c>
      <c r="S5" s="1">
        <f t="shared" ca="1" si="1"/>
        <v>1282583620.0629029</v>
      </c>
      <c r="T5" s="1">
        <f t="shared" ca="1" si="1"/>
        <v>1336855850.0893855</v>
      </c>
      <c r="U5" s="1">
        <f t="shared" ca="1" si="1"/>
        <v>1392354119.9353166</v>
      </c>
      <c r="V5" s="1">
        <f t="shared" ca="1" si="1"/>
        <v>1448884690.4825916</v>
      </c>
      <c r="W5" s="1">
        <f t="shared" ca="1" si="1"/>
        <v>1506808930.609067</v>
      </c>
      <c r="X5" s="1">
        <f t="shared" ca="1" si="1"/>
        <v>1565956524.3659811</v>
      </c>
      <c r="Y5" s="1">
        <f t="shared" ca="1" si="1"/>
        <v>1629438826.637614</v>
      </c>
      <c r="Z5" s="1">
        <f t="shared" ca="1" si="1"/>
        <v>1697437467.8353992</v>
      </c>
      <c r="AA5" s="1">
        <f t="shared" ca="1" si="1"/>
        <v>1770137081.5664501</v>
      </c>
      <c r="AB5" s="1">
        <f t="shared" ca="1" si="1"/>
        <v>1847725069.3607273</v>
      </c>
      <c r="AC5" s="1">
        <f t="shared" ca="1" si="1"/>
        <v>1930391335.318454</v>
      </c>
      <c r="AD5" s="1">
        <f t="shared" ca="1" si="1"/>
        <v>2020749607.4782102</v>
      </c>
      <c r="AE5" s="1">
        <f t="shared" ca="1" si="1"/>
        <v>2119271089.490293</v>
      </c>
      <c r="AF5" s="1">
        <f t="shared" ca="1" si="1"/>
        <v>2226449657.2648163</v>
      </c>
      <c r="AG5" s="1"/>
      <c r="AH5" s="1"/>
      <c r="AI5" s="1"/>
      <c r="AJ5" s="1"/>
      <c r="AK5" s="1"/>
      <c r="AL5" s="1"/>
      <c r="AM5" s="1"/>
      <c r="AN5" s="1"/>
      <c r="AO5" s="1"/>
      <c r="AP5" s="1"/>
    </row>
    <row r="6" spans="1:42" x14ac:dyDescent="0.35">
      <c r="A6" s="63" t="s">
        <v>3</v>
      </c>
      <c r="C6" s="1">
        <f ca="1">-'Cash Flow'!C13</f>
        <v>120276344.31004164</v>
      </c>
      <c r="D6" s="1">
        <f ca="1">-'Cash Flow'!D13</f>
        <v>112744632.88047704</v>
      </c>
      <c r="E6" s="1">
        <f ca="1">-'Cash Flow'!E13</f>
        <v>101191630.99162973</v>
      </c>
      <c r="F6" s="1">
        <f ca="1">-'Cash Flow'!F13</f>
        <v>95386066.912387148</v>
      </c>
      <c r="G6" s="1">
        <f ca="1">-'Cash Flow'!G13</f>
        <v>85996464.995986044</v>
      </c>
      <c r="H6" s="1">
        <f ca="1">-'Cash Flow'!H13</f>
        <v>81515942.088201851</v>
      </c>
      <c r="I6" s="1">
        <f ca="1">-'Cash Flow'!I13</f>
        <v>75436547.575625569</v>
      </c>
      <c r="J6" s="1">
        <f ca="1">-'Cash Flow'!J13</f>
        <v>67549187.172736764</v>
      </c>
      <c r="K6" s="1">
        <f ca="1">-'Cash Flow'!K13</f>
        <v>57623253.662193239</v>
      </c>
      <c r="L6" s="1">
        <f ca="1">-'Cash Flow'!L13</f>
        <v>53597388.52883786</v>
      </c>
      <c r="M6" s="1">
        <f ca="1">-'Cash Flow'!M13</f>
        <v>48505964.923166335</v>
      </c>
      <c r="N6" s="1">
        <f ca="1">-'Cash Flow'!N13</f>
        <v>46419178.547965467</v>
      </c>
      <c r="O6" s="1">
        <f ca="1">-'Cash Flow'!O13</f>
        <v>48103288.724699467</v>
      </c>
      <c r="P6" s="1">
        <f ca="1">-'Cash Flow'!P13</f>
        <v>49673069.294112414</v>
      </c>
      <c r="Q6" s="1">
        <f ca="1">-'Cash Flow'!Q13</f>
        <v>51337420.959845662</v>
      </c>
      <c r="R6" s="1">
        <f ca="1">-'Cash Flow'!R13</f>
        <v>52877568.494996548</v>
      </c>
      <c r="S6" s="1">
        <f ca="1">-'Cash Flow'!S13</f>
        <v>54272230.026482522</v>
      </c>
      <c r="T6" s="1">
        <f ca="1">-'Cash Flow'!T13</f>
        <v>55498269.845930994</v>
      </c>
      <c r="U6" s="1">
        <f ca="1">-'Cash Flow'!U13</f>
        <v>56530570.547275186</v>
      </c>
      <c r="V6" s="1">
        <f ca="1">-'Cash Flow'!V13</f>
        <v>57924240.126475453</v>
      </c>
      <c r="W6" s="1">
        <f ca="1">-'Cash Flow'!W13</f>
        <v>59147593.756914258</v>
      </c>
      <c r="X6" s="1">
        <f ca="1">-'Cash Flow'!X13</f>
        <v>63482302.27163291</v>
      </c>
      <c r="Y6" s="1">
        <f ca="1">-'Cash Flow'!Y13</f>
        <v>67998641.197785079</v>
      </c>
      <c r="Z6" s="1">
        <f ca="1">-'Cash Flow'!Z13</f>
        <v>72699613.731050909</v>
      </c>
      <c r="AA6" s="1">
        <f ca="1">-'Cash Flow'!AA13</f>
        <v>77587987.794277191</v>
      </c>
      <c r="AB6" s="1">
        <f ca="1">-'Cash Flow'!AB13</f>
        <v>82666265.957726777</v>
      </c>
      <c r="AC6" s="1">
        <f ca="1">-'Cash Flow'!AC13</f>
        <v>90358272.159756243</v>
      </c>
      <c r="AD6" s="1">
        <f ca="1">-'Cash Flow'!AD13</f>
        <v>98521482.012082875</v>
      </c>
      <c r="AE6" s="1">
        <f ca="1">-'Cash Flow'!AE13</f>
        <v>107178567.7745232</v>
      </c>
      <c r="AF6" s="1">
        <f ca="1">-'Cash Flow'!AF13</f>
        <v>116353140.10553032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8911910.5008514579</v>
      </c>
      <c r="D8" s="1">
        <f ca="1">IF(SUM(D5:D6)&gt;0,Assumptions!$C$26*SUM(D5:D6),Assumptions!$C$27*(SUM(D5:D6)))</f>
        <v>12857972.651668156</v>
      </c>
      <c r="E8" s="1">
        <f ca="1">IF(SUM(E5:E6)&gt;0,Assumptions!$C$26*SUM(E5:E6),Assumptions!$C$27*(SUM(E5:E6)))</f>
        <v>16399679.736375196</v>
      </c>
      <c r="F8" s="1">
        <f ca="1">IF(SUM(F5:F6)&gt;0,Assumptions!$C$26*SUM(F5:F6),Assumptions!$C$27*(SUM(F5:F6)))</f>
        <v>19738192.078308746</v>
      </c>
      <c r="G8" s="1">
        <f ca="1">IF(SUM(G5:G6)&gt;0,Assumptions!$C$26*SUM(G5:G6),Assumptions!$C$27*(SUM(G5:G6)))</f>
        <v>22748068.353168257</v>
      </c>
      <c r="H8" s="1">
        <f ca="1">IF(SUM(H5:H6)&gt;0,Assumptions!$C$26*SUM(H5:H6),Assumptions!$C$27*(SUM(H5:H6)))</f>
        <v>25601126.326255322</v>
      </c>
      <c r="I8" s="1">
        <f ca="1">IF(SUM(I5:I6)&gt;0,Assumptions!$C$26*SUM(I5:I6),Assumptions!$C$27*(SUM(I5:I6)))</f>
        <v>28241405.491402216</v>
      </c>
      <c r="J8" s="1">
        <f ca="1">IF(SUM(J5:J6)&gt;0,Assumptions!$C$26*SUM(J5:J6),Assumptions!$C$27*(SUM(J5:J6)))</f>
        <v>30605627.042448003</v>
      </c>
      <c r="K8" s="1">
        <f ca="1">IF(SUM(K5:K6)&gt;0,Assumptions!$C$26*SUM(K5:K6),Assumptions!$C$27*(SUM(K5:K6)))</f>
        <v>32622440.920624766</v>
      </c>
      <c r="L8" s="1">
        <f ca="1">IF(SUM(L5:L6)&gt;0,Assumptions!$C$26*SUM(L5:L6),Assumptions!$C$27*(SUM(L5:L6)))</f>
        <v>34498349.519134097</v>
      </c>
      <c r="M8" s="1">
        <f ca="1">IF(SUM(M5:M6)&gt;0,Assumptions!$C$26*SUM(M5:M6),Assumptions!$C$27*(SUM(M5:M6)))</f>
        <v>36196058.291444913</v>
      </c>
      <c r="N8" s="1">
        <f ca="1">IF(SUM(N5:N6)&gt;0,Assumptions!$C$26*SUM(N5:N6),Assumptions!$C$27*(SUM(N5:N6)))</f>
        <v>37820729.54062371</v>
      </c>
      <c r="O8" s="1">
        <f ca="1">IF(SUM(O5:O6)&gt;0,Assumptions!$C$26*SUM(O5:O6),Assumptions!$C$27*(SUM(O5:O6)))</f>
        <v>39504344.645988189</v>
      </c>
      <c r="P8" s="1">
        <f ca="1">IF(SUM(P5:P6)&gt;0,Assumptions!$C$26*SUM(P5:P6),Assumptions!$C$27*(SUM(P5:P6)))</f>
        <v>41242902.071282126</v>
      </c>
      <c r="Q8" s="1">
        <f ca="1">IF(SUM(Q5:Q6)&gt;0,Assumptions!$C$26*SUM(Q5:Q6),Assumptions!$C$27*(SUM(Q5:Q6)))</f>
        <v>43039711.80487673</v>
      </c>
      <c r="R8" s="1">
        <f ca="1">IF(SUM(R5:R6)&gt;0,Assumptions!$C$26*SUM(R5:R6),Assumptions!$C$27*(SUM(R5:R6)))</f>
        <v>44890426.702201605</v>
      </c>
      <c r="S8" s="1">
        <f ca="1">IF(SUM(S5:S6)&gt;0,Assumptions!$C$26*SUM(S5:S6),Assumptions!$C$27*(SUM(S5:S6)))</f>
        <v>46789954.753128499</v>
      </c>
      <c r="T8" s="1">
        <f ca="1">IF(SUM(T5:T6)&gt;0,Assumptions!$C$26*SUM(T5:T6),Assumptions!$C$27*(SUM(T5:T6)))</f>
        <v>48732394.197736084</v>
      </c>
      <c r="U8" s="1">
        <f ca="1">IF(SUM(U5:U6)&gt;0,Assumptions!$C$26*SUM(U5:U6),Assumptions!$C$27*(SUM(U5:U6)))</f>
        <v>50710964.166890711</v>
      </c>
      <c r="V8" s="1">
        <f ca="1">IF(SUM(V5:V6)&gt;0,Assumptions!$C$26*SUM(V5:V6),Assumptions!$C$27*(SUM(V5:V6)))</f>
        <v>52738312.571317352</v>
      </c>
      <c r="W8" s="1">
        <f ca="1">IF(SUM(W5:W6)&gt;0,Assumptions!$C$26*SUM(W5:W6),Assumptions!$C$27*(SUM(W5:W6)))</f>
        <v>54808478.352809347</v>
      </c>
      <c r="X8" s="1">
        <f ca="1">IF(SUM(X5:X6)&gt;0,Assumptions!$C$26*SUM(X5:X6),Assumptions!$C$27*(SUM(X5:X6)))</f>
        <v>57030358.932316497</v>
      </c>
      <c r="Y8" s="1">
        <f ca="1">IF(SUM(Y5:Y6)&gt;0,Assumptions!$C$26*SUM(Y5:Y6),Assumptions!$C$27*(SUM(Y5:Y6)))</f>
        <v>59410311.374238975</v>
      </c>
      <c r="Z8" s="1">
        <f ca="1">IF(SUM(Z5:Z6)&gt;0,Assumptions!$C$26*SUM(Z5:Z6),Assumptions!$C$27*(SUM(Z5:Z6)))</f>
        <v>61954797.854825757</v>
      </c>
      <c r="AA8" s="1">
        <f ca="1">IF(SUM(AA5:AA6)&gt;0,Assumptions!$C$26*SUM(AA5:AA6),Assumptions!$C$27*(SUM(AA5:AA6)))</f>
        <v>64670377.427625462</v>
      </c>
      <c r="AB8" s="1">
        <f ca="1">IF(SUM(AB5:AB6)&gt;0,Assumptions!$C$26*SUM(AB5:AB6),Assumptions!$C$27*(SUM(AB5:AB6)))</f>
        <v>67563696.736145899</v>
      </c>
      <c r="AC8" s="1">
        <f ca="1">IF(SUM(AC5:AC6)&gt;0,Assumptions!$C$26*SUM(AC5:AC6),Assumptions!$C$27*(SUM(AC5:AC6)))</f>
        <v>70726236.261737362</v>
      </c>
      <c r="AD8" s="1">
        <f ca="1">IF(SUM(AD5:AD6)&gt;0,Assumptions!$C$26*SUM(AD5:AD6),Assumptions!$C$27*(SUM(AD5:AD6)))</f>
        <v>74174488.132160261</v>
      </c>
      <c r="AE8" s="1">
        <f ca="1">IF(SUM(AE5:AE6)&gt;0,Assumptions!$C$26*SUM(AE5:AE6),Assumptions!$C$27*(SUM(AE5:AE6)))</f>
        <v>77925738.004268572</v>
      </c>
      <c r="AF8" s="1">
        <f ca="1">IF(SUM(AF5:AF6)&gt;0,Assumptions!$C$26*SUM(AF5:AF6),Assumptions!$C$27*(SUM(AF5:AF6)))</f>
        <v>81998097.907962143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183" bestFit="1" customWidth="1"/>
    <col min="3" max="3" width="62.25" style="63" customWidth="1"/>
    <col min="4" max="16384" width="8.6640625" style="63"/>
  </cols>
  <sheetData>
    <row r="1" spans="1:3" ht="26" x14ac:dyDescent="0.6">
      <c r="A1" s="13" t="s">
        <v>179</v>
      </c>
    </row>
    <row r="2" spans="1:3" ht="26" x14ac:dyDescent="0.6">
      <c r="A2" s="13"/>
    </row>
    <row r="3" spans="1:3" ht="186" x14ac:dyDescent="0.35">
      <c r="A3" s="173" t="s">
        <v>182</v>
      </c>
    </row>
    <row r="4" spans="1:3" ht="26" x14ac:dyDescent="0.6">
      <c r="A4" s="13"/>
    </row>
    <row r="5" spans="1:3" ht="18.5" x14ac:dyDescent="0.35">
      <c r="A5" s="184" t="s">
        <v>171</v>
      </c>
      <c r="B5" s="185"/>
      <c r="C5" s="186"/>
    </row>
    <row r="6" spans="1:3" ht="18.5" x14ac:dyDescent="0.35">
      <c r="A6" s="187"/>
      <c r="B6" s="185"/>
      <c r="C6" s="186"/>
    </row>
    <row r="7" spans="1:3" ht="18.5" x14ac:dyDescent="0.35">
      <c r="A7" s="187" t="s">
        <v>96</v>
      </c>
      <c r="B7" s="188">
        <f>Assumptions!C24</f>
        <v>112166000</v>
      </c>
      <c r="C7" s="181" t="s">
        <v>194</v>
      </c>
    </row>
    <row r="8" spans="1:3" ht="34" x14ac:dyDescent="0.35">
      <c r="A8" s="187" t="s">
        <v>169</v>
      </c>
      <c r="B8" s="189">
        <f>Assumptions!$C$133</f>
        <v>0.7</v>
      </c>
      <c r="C8" s="181" t="s">
        <v>199</v>
      </c>
    </row>
    <row r="9" spans="1:3" ht="18.5" x14ac:dyDescent="0.35">
      <c r="A9" s="187"/>
      <c r="B9" s="190"/>
      <c r="C9" s="181"/>
    </row>
    <row r="10" spans="1:3" ht="51" x14ac:dyDescent="0.35">
      <c r="A10" s="191" t="s">
        <v>102</v>
      </c>
      <c r="B10" s="192">
        <f>Assumptions!C135</f>
        <v>82444.444444444438</v>
      </c>
      <c r="C10" s="181" t="s">
        <v>203</v>
      </c>
    </row>
    <row r="11" spans="1:3" ht="18.5" x14ac:dyDescent="0.35">
      <c r="A11" s="191"/>
      <c r="B11" s="193"/>
      <c r="C11" s="181"/>
    </row>
    <row r="12" spans="1:3" ht="18.5" x14ac:dyDescent="0.35">
      <c r="A12" s="191" t="s">
        <v>178</v>
      </c>
      <c r="B12" s="188">
        <f>(B7*B8)/B10</f>
        <v>952.35283018867926</v>
      </c>
      <c r="C12" s="181"/>
    </row>
    <row r="13" spans="1:3" ht="18.5" x14ac:dyDescent="0.35">
      <c r="A13" s="194"/>
      <c r="B13" s="195"/>
      <c r="C13" s="181"/>
    </row>
    <row r="14" spans="1:3" ht="18.5" x14ac:dyDescent="0.35">
      <c r="A14" s="191" t="s">
        <v>103</v>
      </c>
      <c r="B14" s="196">
        <v>1</v>
      </c>
      <c r="C14" s="181"/>
    </row>
    <row r="15" spans="1:3" ht="18.5" x14ac:dyDescent="0.35">
      <c r="A15" s="194"/>
      <c r="B15" s="197"/>
      <c r="C15" s="181"/>
    </row>
    <row r="16" spans="1:3" ht="18.5" x14ac:dyDescent="0.35">
      <c r="A16" s="194" t="s">
        <v>173</v>
      </c>
      <c r="B16" s="198">
        <f>B12/B14</f>
        <v>952.35283018867926</v>
      </c>
      <c r="C16" s="181"/>
    </row>
    <row r="17" spans="1:3" ht="18.5" x14ac:dyDescent="0.35">
      <c r="A17" s="191"/>
      <c r="B17" s="199"/>
      <c r="C17" s="181"/>
    </row>
    <row r="18" spans="1:3" ht="18.5" x14ac:dyDescent="0.35">
      <c r="A18" s="200" t="s">
        <v>172</v>
      </c>
      <c r="B18" s="199"/>
      <c r="C18" s="181"/>
    </row>
    <row r="19" spans="1:3" ht="18.5" x14ac:dyDescent="0.35">
      <c r="A19" s="191"/>
      <c r="B19" s="199"/>
      <c r="C19" s="181"/>
    </row>
    <row r="20" spans="1:3" ht="34" x14ac:dyDescent="0.35">
      <c r="A20" s="191" t="s">
        <v>65</v>
      </c>
      <c r="B20" s="188">
        <f>'Profit and Loss'!L5</f>
        <v>373613837.17288405</v>
      </c>
      <c r="C20" s="181" t="s">
        <v>200</v>
      </c>
    </row>
    <row r="21" spans="1:3" ht="34" x14ac:dyDescent="0.35">
      <c r="A21" s="191" t="str">
        <f>A8</f>
        <v>Assumed revenue from households</v>
      </c>
      <c r="B21" s="189">
        <f>B8</f>
        <v>0.7</v>
      </c>
      <c r="C21" s="181" t="s">
        <v>199</v>
      </c>
    </row>
    <row r="22" spans="1:3" ht="18.5" x14ac:dyDescent="0.35">
      <c r="A22" s="191"/>
      <c r="B22" s="193"/>
      <c r="C22" s="181"/>
    </row>
    <row r="23" spans="1:3" ht="34" x14ac:dyDescent="0.35">
      <c r="A23" s="191" t="s">
        <v>101</v>
      </c>
      <c r="B23" s="192">
        <f>Assumptions!M135</f>
        <v>95912.299317028272</v>
      </c>
      <c r="C23" s="181" t="s">
        <v>201</v>
      </c>
    </row>
    <row r="24" spans="1:3" ht="18.5" x14ac:dyDescent="0.35">
      <c r="A24" s="191"/>
      <c r="B24" s="193"/>
      <c r="C24" s="181"/>
    </row>
    <row r="25" spans="1:3" ht="18.5" x14ac:dyDescent="0.35">
      <c r="A25" s="191" t="s">
        <v>177</v>
      </c>
      <c r="B25" s="188">
        <f>(B20*B21)/B23</f>
        <v>2726.7585897045306</v>
      </c>
      <c r="C25" s="181"/>
    </row>
    <row r="26" spans="1:3" ht="18.5" x14ac:dyDescent="0.35">
      <c r="A26" s="191"/>
      <c r="B26" s="188"/>
      <c r="C26" s="181"/>
    </row>
    <row r="27" spans="1:3" ht="34" x14ac:dyDescent="0.35">
      <c r="A27" s="191" t="s">
        <v>103</v>
      </c>
      <c r="B27" s="196">
        <f>1.022^11</f>
        <v>1.2704566586717592</v>
      </c>
      <c r="C27" s="181" t="s">
        <v>202</v>
      </c>
    </row>
    <row r="28" spans="1:3" ht="18.5" x14ac:dyDescent="0.35">
      <c r="A28" s="194"/>
      <c r="B28" s="195"/>
      <c r="C28" s="181"/>
    </row>
    <row r="29" spans="1:3" ht="18.5" x14ac:dyDescent="0.35">
      <c r="A29" s="194" t="s">
        <v>174</v>
      </c>
      <c r="B29" s="188">
        <f>B25/B27</f>
        <v>2146.282260864617</v>
      </c>
      <c r="C29" s="181"/>
    </row>
    <row r="30" spans="1:3" ht="18.5" x14ac:dyDescent="0.35">
      <c r="A30" s="194"/>
      <c r="B30" s="195"/>
      <c r="C30" s="181"/>
    </row>
    <row r="31" spans="1:3" ht="18.5" x14ac:dyDescent="0.35">
      <c r="A31" s="200" t="s">
        <v>180</v>
      </c>
      <c r="B31" s="201"/>
      <c r="C31" s="181"/>
    </row>
    <row r="32" spans="1:3" ht="18.5" x14ac:dyDescent="0.35">
      <c r="A32" s="191"/>
      <c r="B32" s="188"/>
      <c r="C32" s="181"/>
    </row>
    <row r="33" spans="1:3" ht="34" x14ac:dyDescent="0.35">
      <c r="A33" s="191" t="s">
        <v>66</v>
      </c>
      <c r="B33" s="188">
        <f>'Profit and Loss'!AF5</f>
        <v>889261185.45422292</v>
      </c>
      <c r="C33" s="181" t="s">
        <v>200</v>
      </c>
    </row>
    <row r="34" spans="1:3" ht="34" x14ac:dyDescent="0.35">
      <c r="A34" s="191" t="str">
        <f>A21</f>
        <v>Assumed revenue from households</v>
      </c>
      <c r="B34" s="189">
        <f>B21</f>
        <v>0.7</v>
      </c>
      <c r="C34" s="181" t="s">
        <v>199</v>
      </c>
    </row>
    <row r="35" spans="1:3" ht="18.5" x14ac:dyDescent="0.35">
      <c r="A35" s="191"/>
      <c r="B35" s="193"/>
      <c r="C35" s="181"/>
    </row>
    <row r="36" spans="1:3" ht="34" x14ac:dyDescent="0.35">
      <c r="A36" s="191" t="s">
        <v>100</v>
      </c>
      <c r="B36" s="192">
        <f>Assumptions!AG135</f>
        <v>129807.59865058892</v>
      </c>
      <c r="C36" s="181" t="s">
        <v>201</v>
      </c>
    </row>
    <row r="37" spans="1:3" ht="18.5" x14ac:dyDescent="0.35">
      <c r="A37" s="191"/>
      <c r="B37" s="193"/>
      <c r="C37" s="181"/>
    </row>
    <row r="38" spans="1:3" ht="18.5" x14ac:dyDescent="0.35">
      <c r="A38" s="191" t="s">
        <v>176</v>
      </c>
      <c r="B38" s="188">
        <f>(B33*B34)/B36</f>
        <v>4795.4267414924698</v>
      </c>
      <c r="C38" s="181"/>
    </row>
    <row r="39" spans="1:3" ht="18.5" x14ac:dyDescent="0.35">
      <c r="A39" s="191"/>
      <c r="B39" s="193"/>
      <c r="C39" s="181"/>
    </row>
    <row r="40" spans="1:3" ht="34" x14ac:dyDescent="0.35">
      <c r="A40" s="191" t="s">
        <v>103</v>
      </c>
      <c r="B40" s="196">
        <f>1.022^31</f>
        <v>1.9632597808456462</v>
      </c>
      <c r="C40" s="181" t="s">
        <v>202</v>
      </c>
    </row>
    <row r="41" spans="1:3" ht="18.5" x14ac:dyDescent="0.35">
      <c r="A41" s="194"/>
      <c r="B41" s="195"/>
      <c r="C41" s="182"/>
    </row>
    <row r="42" spans="1:3" ht="18.5" x14ac:dyDescent="0.35">
      <c r="A42" s="194" t="s">
        <v>175</v>
      </c>
      <c r="B42" s="188">
        <f>B38/B40</f>
        <v>2442.5839047275281</v>
      </c>
      <c r="C42" s="18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156</v>
      </c>
    </row>
    <row r="2" spans="1:33" ht="26.5" thickBot="1" x14ac:dyDescent="0.4">
      <c r="A2" s="111"/>
      <c r="B2" s="111"/>
      <c r="D2" s="112"/>
    </row>
    <row r="3" spans="1:33" s="114" customFormat="1" ht="21.5" thickBot="1" x14ac:dyDescent="0.4">
      <c r="A3" s="84"/>
      <c r="B3" s="84"/>
      <c r="C3" s="113"/>
      <c r="D3" s="206" t="s">
        <v>27</v>
      </c>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row>
    <row r="4" spans="1:33" s="120" customFormat="1" ht="16" thickBot="1" x14ac:dyDescent="0.4">
      <c r="A4" s="115" t="s">
        <v>25</v>
      </c>
      <c r="B4" s="115" t="s">
        <v>189</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196</v>
      </c>
      <c r="C13" s="127">
        <v>1.5246008397444832E-2</v>
      </c>
      <c r="D13" s="128">
        <f t="shared" ref="D13:AG13" si="3">(1+$C$13)^D8</f>
        <v>1.0152460083974448</v>
      </c>
      <c r="E13" s="128">
        <f t="shared" si="3"/>
        <v>1.0307244575669445</v>
      </c>
      <c r="F13" s="128">
        <f t="shared" si="3"/>
        <v>1.046438891302462</v>
      </c>
      <c r="G13" s="128">
        <f t="shared" si="3"/>
        <v>1.062392907426672</v>
      </c>
      <c r="H13" s="128">
        <f t="shared" si="3"/>
        <v>1.0785901586146849</v>
      </c>
      <c r="I13" s="128">
        <f t="shared" si="3"/>
        <v>1.0950343532303257</v>
      </c>
      <c r="J13" s="128">
        <f t="shared" si="3"/>
        <v>1.1117292561751659</v>
      </c>
      <c r="K13" s="128">
        <f t="shared" si="3"/>
        <v>1.1286786897504972</v>
      </c>
      <c r="L13" s="128">
        <f t="shared" si="3"/>
        <v>1.1458865345324503</v>
      </c>
      <c r="M13" s="128">
        <f t="shared" si="3"/>
        <v>1.1633567302604508</v>
      </c>
      <c r="N13" s="128">
        <f t="shared" si="3"/>
        <v>1.1810932767392259</v>
      </c>
      <c r="O13" s="128">
        <f t="shared" si="3"/>
        <v>1.1991002347545574</v>
      </c>
      <c r="P13" s="128">
        <f t="shared" si="3"/>
        <v>1.2173817270030036</v>
      </c>
      <c r="Q13" s="128">
        <f t="shared" si="3"/>
        <v>1.2359419390357873</v>
      </c>
      <c r="R13" s="128">
        <f t="shared" si="3"/>
        <v>1.2547851202170812</v>
      </c>
      <c r="S13" s="128">
        <f t="shared" si="3"/>
        <v>1.2739155846968993</v>
      </c>
      <c r="T13" s="128">
        <f t="shared" si="3"/>
        <v>1.2933377123988241</v>
      </c>
      <c r="U13" s="128">
        <f t="shared" si="3"/>
        <v>1.3130559500227885</v>
      </c>
      <c r="V13" s="128">
        <f t="shared" si="3"/>
        <v>1.3330748120631508</v>
      </c>
      <c r="W13" s="128">
        <f t="shared" si="3"/>
        <v>1.3533988818422877</v>
      </c>
      <c r="X13" s="128">
        <f t="shared" si="3"/>
        <v>1.3740328125599477</v>
      </c>
      <c r="Y13" s="128">
        <f t="shared" si="3"/>
        <v>1.3949813283586012</v>
      </c>
      <c r="Z13" s="128">
        <f t="shared" si="3"/>
        <v>1.4162492254050354</v>
      </c>
      <c r="AA13" s="128">
        <f t="shared" si="3"/>
        <v>1.4378413729884347</v>
      </c>
      <c r="AB13" s="128">
        <f t="shared" si="3"/>
        <v>1.4597627146352099</v>
      </c>
      <c r="AC13" s="128">
        <f t="shared" si="3"/>
        <v>1.482018269240815</v>
      </c>
      <c r="AD13" s="128">
        <f t="shared" si="3"/>
        <v>1.5046131322188276</v>
      </c>
      <c r="AE13" s="128">
        <f t="shared" si="3"/>
        <v>1.5275524766675412</v>
      </c>
      <c r="AF13" s="128">
        <f t="shared" si="3"/>
        <v>1.5508415545543524</v>
      </c>
      <c r="AG13" s="128">
        <f t="shared" si="3"/>
        <v>1.5744856979181945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186</v>
      </c>
      <c r="B15" s="178" t="s">
        <v>187</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165</v>
      </c>
      <c r="C17" s="136">
        <f>AVERAGE(C49:C50)</f>
        <v>6440149443.8355007</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3220074721.9177504</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ht="46.5" x14ac:dyDescent="0.35">
      <c r="A20" s="77" t="s">
        <v>64</v>
      </c>
      <c r="B20" s="106" t="s">
        <v>195</v>
      </c>
      <c r="C20" s="137">
        <v>134349670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154</v>
      </c>
      <c r="B22" s="178" t="s">
        <v>187</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194</v>
      </c>
      <c r="C24" s="136">
        <v>112166000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77.5" x14ac:dyDescent="0.35">
      <c r="A25" s="77" t="s">
        <v>1</v>
      </c>
      <c r="B25" s="106" t="s">
        <v>197</v>
      </c>
      <c r="C25" s="136">
        <v>66390921.568859689</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205">
        <v>-5.3364653995168203E-2</v>
      </c>
      <c r="D31" s="202"/>
      <c r="E31" s="204"/>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79">
        <v>-3.8900000000000004E-2</v>
      </c>
      <c r="D32" s="20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-6.4873865583915391E-3</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-2.6603498788033697E-3</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-1.7942368749922499E-3</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-4.7122008999237464E-3</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-1.9191742594163452E-3</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-1.2901738855216616E-3</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0.99351261344160846</v>
      </c>
      <c r="I43" s="142">
        <f>H43*(1+$C$35)</f>
        <v>0.98706731306757489</v>
      </c>
      <c r="J43" s="142">
        <f>I43*(1+$C$35)</f>
        <v>0.98066382584855261</v>
      </c>
      <c r="K43" s="142">
        <f>J43*(1+$C$35)</f>
        <v>0.97430188052644184</v>
      </c>
      <c r="L43" s="142">
        <f>K43*(1+$C$35)</f>
        <v>0.96798120760289896</v>
      </c>
      <c r="M43" s="142">
        <f>L43*(1+$C$36)</f>
        <v>0.96540603891456866</v>
      </c>
      <c r="N43" s="142">
        <f>M43*(1+$C$36)</f>
        <v>0.96283772107594623</v>
      </c>
      <c r="O43" s="142">
        <f>N43*(1+$C$36)</f>
        <v>0.96027623586137456</v>
      </c>
      <c r="P43" s="142">
        <f>O43*(1+$C$36)</f>
        <v>0.957721565093683</v>
      </c>
      <c r="Q43" s="142">
        <f>P43*(1+$C$36)</f>
        <v>0.95517369064405866</v>
      </c>
      <c r="R43" s="142">
        <f>Q43*(1+$C$37)</f>
        <v>0.95345988278628269</v>
      </c>
      <c r="S43" s="142">
        <f>R43*(1+$C$37)</f>
        <v>0.95174914990576176</v>
      </c>
      <c r="T43" s="142">
        <f>S43*(1+$C$37)</f>
        <v>0.95004148648525832</v>
      </c>
      <c r="U43" s="142">
        <f>T43*(1+$C$37)</f>
        <v>0.94833688701743402</v>
      </c>
      <c r="V43" s="142">
        <f>U43*(1+$C$37)</f>
        <v>0.94663534600483201</v>
      </c>
      <c r="W43" s="142">
        <f t="shared" ref="W43:AG43" si="4">V43</f>
        <v>0.94663534600483201</v>
      </c>
      <c r="X43" s="142">
        <f t="shared" si="4"/>
        <v>0.94663534600483201</v>
      </c>
      <c r="Y43" s="142">
        <f t="shared" si="4"/>
        <v>0.94663534600483201</v>
      </c>
      <c r="Z43" s="142">
        <f t="shared" si="4"/>
        <v>0.94663534600483201</v>
      </c>
      <c r="AA43" s="142">
        <f t="shared" si="4"/>
        <v>0.94663534600483201</v>
      </c>
      <c r="AB43" s="142">
        <f t="shared" si="4"/>
        <v>0.94663534600483201</v>
      </c>
      <c r="AC43" s="142">
        <f t="shared" si="4"/>
        <v>0.94663534600483201</v>
      </c>
      <c r="AD43" s="142">
        <f t="shared" si="4"/>
        <v>0.94663534600483201</v>
      </c>
      <c r="AE43" s="142">
        <f t="shared" si="4"/>
        <v>0.94663534600483201</v>
      </c>
      <c r="AF43" s="142">
        <f t="shared" si="4"/>
        <v>0.94663534600483201</v>
      </c>
      <c r="AG43" s="142">
        <f t="shared" si="4"/>
        <v>0.94663534600483201</v>
      </c>
    </row>
    <row r="44" spans="1:33" x14ac:dyDescent="0.35">
      <c r="A44" s="69" t="s">
        <v>60</v>
      </c>
      <c r="B44" s="69" t="s">
        <v>86</v>
      </c>
      <c r="C44" s="141">
        <v>1</v>
      </c>
      <c r="D44" s="142">
        <v>1</v>
      </c>
      <c r="E44" s="142">
        <v>1</v>
      </c>
      <c r="F44" s="142">
        <v>1</v>
      </c>
      <c r="G44" s="142">
        <v>1</v>
      </c>
      <c r="H44" s="142">
        <f>G44*(1+$C$39)</f>
        <v>0.99528779910007625</v>
      </c>
      <c r="I44" s="142">
        <f>H44*(1+$C$39)</f>
        <v>0.9905978030374738</v>
      </c>
      <c r="J44" s="142">
        <f>I44*(1+$C$39)</f>
        <v>0.98592990717853812</v>
      </c>
      <c r="K44" s="142">
        <f>J44*(1+$C$39)</f>
        <v>0.98128400738266963</v>
      </c>
      <c r="L44" s="142">
        <f>K44*(1+$C$39)</f>
        <v>0.97666000000000019</v>
      </c>
      <c r="M44" s="142">
        <f>L44*(1+$C$40)</f>
        <v>0.97478561926779861</v>
      </c>
      <c r="N44" s="142">
        <f>M44*(1+$C$40)</f>
        <v>0.97291483579885063</v>
      </c>
      <c r="O44" s="142">
        <f>N44*(1+$C$40)</f>
        <v>0.97104764268938115</v>
      </c>
      <c r="P44" s="142">
        <f>O44*(1+$C$40)</f>
        <v>0.9691840330488648</v>
      </c>
      <c r="Q44" s="142">
        <f>P44*(1+$C$40)</f>
        <v>0.96732400000000007</v>
      </c>
      <c r="R44" s="142">
        <f>Q44*(1+$C$41)</f>
        <v>0.96607598383636173</v>
      </c>
      <c r="S44" s="142">
        <f>R44*(1+$C$41)</f>
        <v>0.96482957783058643</v>
      </c>
      <c r="T44" s="142">
        <f>S44*(1+$C$41)</f>
        <v>0.96358477990529057</v>
      </c>
      <c r="U44" s="142">
        <f>T44*(1+$C$41)</f>
        <v>0.96234158798577063</v>
      </c>
      <c r="V44" s="142">
        <f>U44*(1+$C$41)</f>
        <v>0.96109999999999995</v>
      </c>
      <c r="W44" s="142">
        <f t="shared" ref="W44:AG44" si="5">V44</f>
        <v>0.96109999999999995</v>
      </c>
      <c r="X44" s="142">
        <f t="shared" si="5"/>
        <v>0.96109999999999995</v>
      </c>
      <c r="Y44" s="142">
        <f t="shared" si="5"/>
        <v>0.96109999999999995</v>
      </c>
      <c r="Z44" s="142">
        <f t="shared" si="5"/>
        <v>0.96109999999999995</v>
      </c>
      <c r="AA44" s="142">
        <f t="shared" si="5"/>
        <v>0.96109999999999995</v>
      </c>
      <c r="AB44" s="142">
        <f t="shared" si="5"/>
        <v>0.96109999999999995</v>
      </c>
      <c r="AC44" s="142">
        <f t="shared" si="5"/>
        <v>0.96109999999999995</v>
      </c>
      <c r="AD44" s="142">
        <f t="shared" si="5"/>
        <v>0.96109999999999995</v>
      </c>
      <c r="AE44" s="142">
        <f t="shared" si="5"/>
        <v>0.96109999999999995</v>
      </c>
      <c r="AF44" s="142">
        <f t="shared" si="5"/>
        <v>0.96109999999999995</v>
      </c>
      <c r="AG44" s="142">
        <f t="shared" si="5"/>
        <v>0.96109999999999995</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155</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ht="46.5" x14ac:dyDescent="0.35">
      <c r="A49" s="69" t="s">
        <v>106</v>
      </c>
      <c r="B49" s="106" t="s">
        <v>192</v>
      </c>
      <c r="C49" s="71">
        <v>4456605423.1660004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ht="49" customHeight="1" x14ac:dyDescent="0.35">
      <c r="A50" s="69" t="s">
        <v>107</v>
      </c>
      <c r="B50" s="106" t="s">
        <v>193</v>
      </c>
      <c r="C50" s="71">
        <v>8423693464.5050001</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166</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166</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13162779.806926856</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35187147.724662691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24174963.765794773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35878063.649831854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90234586.948436931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63056325.299134389</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98243473.02379708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93" x14ac:dyDescent="0.35">
      <c r="A77" s="69" t="s">
        <v>136</v>
      </c>
      <c r="B77" s="180" t="s">
        <v>198</v>
      </c>
      <c r="C77" s="87">
        <v>1573131391.1568887</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137</v>
      </c>
      <c r="B79" s="69" t="s">
        <v>150</v>
      </c>
      <c r="C79" s="87">
        <v>25075019.795034885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138</v>
      </c>
      <c r="B80" s="69" t="s">
        <v>150</v>
      </c>
      <c r="C80" s="87">
        <v>1746510102.0135901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139</v>
      </c>
      <c r="B82" s="69" t="s">
        <v>86</v>
      </c>
      <c r="C82" s="87">
        <f>C79+$C$77</f>
        <v>1598206410.9519236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140</v>
      </c>
      <c r="B83" s="69" t="s">
        <v>86</v>
      </c>
      <c r="C83" s="87">
        <f>C80+$C$77</f>
        <v>3319641493.1704788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145</v>
      </c>
      <c r="B85" s="69" t="s">
        <v>190</v>
      </c>
      <c r="C85" s="150">
        <v>222600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146</v>
      </c>
      <c r="B86" s="69" t="s">
        <v>133</v>
      </c>
      <c r="C86" s="150">
        <v>222600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222600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141</v>
      </c>
      <c r="B89" s="69" t="s">
        <v>86</v>
      </c>
      <c r="C89" s="150">
        <f>C82/$C$87</f>
        <v>7179.7233196402676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141</v>
      </c>
      <c r="B90" s="69" t="s">
        <v>86</v>
      </c>
      <c r="C90" s="150">
        <f>C83/$C$87</f>
        <v>14913.034560514281</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142</v>
      </c>
      <c r="B92" s="69" t="s">
        <v>149</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143</v>
      </c>
      <c r="B94" s="69" t="s">
        <v>86</v>
      </c>
      <c r="C94" s="87">
        <f>IF(C89&lt;$C$92,C89*$C$87,$C$92*$C$87)</f>
        <v>1598206410.9519236</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144</v>
      </c>
      <c r="B95" s="69" t="s">
        <v>86</v>
      </c>
      <c r="C95" s="87">
        <f>IF(C90&lt;$C$92,C90*$C$87,$C$92*$C$87)</f>
        <v>3319641493.1704788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148</v>
      </c>
      <c r="B96" s="69" t="s">
        <v>86</v>
      </c>
      <c r="C96" s="87">
        <f>AVERAGE(C94:C95)</f>
        <v>2458923952.0612011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2458923952.0612011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81964131.735373363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164</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164</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98243473.02379708</v>
      </c>
      <c r="E111" s="149">
        <f t="shared" si="7"/>
        <v>98243473.02379708</v>
      </c>
      <c r="F111" s="149">
        <f t="shared" si="7"/>
        <v>98243473.02379708</v>
      </c>
      <c r="G111" s="149">
        <f t="shared" si="7"/>
        <v>98243473.02379708</v>
      </c>
      <c r="H111" s="149">
        <f t="shared" si="7"/>
        <v>98243473.02379708</v>
      </c>
      <c r="I111" s="149">
        <f t="shared" si="7"/>
        <v>98243473.02379708</v>
      </c>
      <c r="J111" s="149">
        <f t="shared" si="7"/>
        <v>98243473.02379708</v>
      </c>
      <c r="K111" s="149">
        <f t="shared" si="7"/>
        <v>98243473.02379708</v>
      </c>
      <c r="L111" s="149">
        <f t="shared" si="7"/>
        <v>98243473.02379708</v>
      </c>
      <c r="M111" s="149">
        <f t="shared" si="7"/>
        <v>98243473.02379708</v>
      </c>
      <c r="N111" s="149">
        <f t="shared" si="7"/>
        <v>98243473.02379708</v>
      </c>
      <c r="O111" s="149">
        <f t="shared" si="7"/>
        <v>98243473.02379708</v>
      </c>
      <c r="P111" s="149">
        <f t="shared" si="7"/>
        <v>98243473.02379708</v>
      </c>
      <c r="Q111" s="149">
        <f t="shared" si="7"/>
        <v>98243473.02379708</v>
      </c>
      <c r="R111" s="149">
        <f t="shared" si="7"/>
        <v>98243473.02379708</v>
      </c>
      <c r="S111" s="149">
        <f t="shared" si="7"/>
        <v>98243473.02379708</v>
      </c>
      <c r="T111" s="149">
        <f t="shared" si="7"/>
        <v>98243473.02379708</v>
      </c>
      <c r="U111" s="149">
        <f t="shared" si="7"/>
        <v>98243473.02379708</v>
      </c>
      <c r="V111" s="149">
        <f t="shared" si="7"/>
        <v>98243473.02379708</v>
      </c>
      <c r="W111" s="149">
        <f t="shared" si="7"/>
        <v>98243473.02379708</v>
      </c>
      <c r="X111" s="149">
        <f t="shared" si="7"/>
        <v>98243473.02379708</v>
      </c>
      <c r="Y111" s="149">
        <f t="shared" si="7"/>
        <v>98243473.02379708</v>
      </c>
      <c r="Z111" s="149">
        <f t="shared" si="7"/>
        <v>98243473.02379708</v>
      </c>
      <c r="AA111" s="149">
        <f t="shared" si="7"/>
        <v>98243473.02379708</v>
      </c>
      <c r="AB111" s="149">
        <f t="shared" si="7"/>
        <v>98243473.02379708</v>
      </c>
      <c r="AC111" s="149">
        <f t="shared" si="7"/>
        <v>98243473.02379708</v>
      </c>
      <c r="AD111" s="149">
        <f t="shared" si="7"/>
        <v>98243473.02379708</v>
      </c>
      <c r="AE111" s="149">
        <f t="shared" si="7"/>
        <v>98243473.02379708</v>
      </c>
      <c r="AF111" s="149">
        <f t="shared" si="7"/>
        <v>98243473.02379708</v>
      </c>
      <c r="AG111" s="149">
        <f t="shared" si="7"/>
        <v>98243473.02379708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2458923952.0612001</v>
      </c>
      <c r="D113" s="149">
        <f t="shared" ref="D113:AG113" si="8">$C$102</f>
        <v>81964131.735373363</v>
      </c>
      <c r="E113" s="149">
        <f t="shared" si="8"/>
        <v>81964131.735373363</v>
      </c>
      <c r="F113" s="149">
        <f t="shared" si="8"/>
        <v>81964131.735373363</v>
      </c>
      <c r="G113" s="149">
        <f t="shared" si="8"/>
        <v>81964131.735373363</v>
      </c>
      <c r="H113" s="149">
        <f t="shared" si="8"/>
        <v>81964131.735373363</v>
      </c>
      <c r="I113" s="149">
        <f t="shared" si="8"/>
        <v>81964131.735373363</v>
      </c>
      <c r="J113" s="149">
        <f t="shared" si="8"/>
        <v>81964131.735373363</v>
      </c>
      <c r="K113" s="149">
        <f t="shared" si="8"/>
        <v>81964131.735373363</v>
      </c>
      <c r="L113" s="149">
        <f t="shared" si="8"/>
        <v>81964131.735373363</v>
      </c>
      <c r="M113" s="149">
        <f t="shared" si="8"/>
        <v>81964131.735373363</v>
      </c>
      <c r="N113" s="149">
        <f t="shared" si="8"/>
        <v>81964131.735373363</v>
      </c>
      <c r="O113" s="149">
        <f t="shared" si="8"/>
        <v>81964131.735373363</v>
      </c>
      <c r="P113" s="149">
        <f t="shared" si="8"/>
        <v>81964131.735373363</v>
      </c>
      <c r="Q113" s="149">
        <f t="shared" si="8"/>
        <v>81964131.735373363</v>
      </c>
      <c r="R113" s="149">
        <f t="shared" si="8"/>
        <v>81964131.735373363</v>
      </c>
      <c r="S113" s="149">
        <f t="shared" si="8"/>
        <v>81964131.735373363</v>
      </c>
      <c r="T113" s="149">
        <f t="shared" si="8"/>
        <v>81964131.735373363</v>
      </c>
      <c r="U113" s="149">
        <f t="shared" si="8"/>
        <v>81964131.735373363</v>
      </c>
      <c r="V113" s="149">
        <f t="shared" si="8"/>
        <v>81964131.735373363</v>
      </c>
      <c r="W113" s="149">
        <f t="shared" si="8"/>
        <v>81964131.735373363</v>
      </c>
      <c r="X113" s="149">
        <f t="shared" si="8"/>
        <v>81964131.735373363</v>
      </c>
      <c r="Y113" s="149">
        <f t="shared" si="8"/>
        <v>81964131.735373363</v>
      </c>
      <c r="Z113" s="149">
        <f t="shared" si="8"/>
        <v>81964131.735373363</v>
      </c>
      <c r="AA113" s="149">
        <f t="shared" si="8"/>
        <v>81964131.735373363</v>
      </c>
      <c r="AB113" s="149">
        <f t="shared" si="8"/>
        <v>81964131.735373363</v>
      </c>
      <c r="AC113" s="149">
        <f t="shared" si="8"/>
        <v>81964131.735373363</v>
      </c>
      <c r="AD113" s="149">
        <f t="shared" si="8"/>
        <v>81964131.735373363</v>
      </c>
      <c r="AE113" s="149">
        <f t="shared" si="8"/>
        <v>81964131.735373363</v>
      </c>
      <c r="AF113" s="149">
        <f t="shared" si="8"/>
        <v>81964131.735373363</v>
      </c>
      <c r="AG113" s="149">
        <f t="shared" si="8"/>
        <v>81964131.735373363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-386231.45532488823</v>
      </c>
      <c r="I115" s="149">
        <f t="shared" si="9"/>
        <v>-770642.91043841839</v>
      </c>
      <c r="J115" s="149">
        <f t="shared" si="9"/>
        <v>-1153242.9415472299</v>
      </c>
      <c r="K115" s="149">
        <f t="shared" si="9"/>
        <v>-1534040.0844451487</v>
      </c>
      <c r="L115" s="149">
        <f t="shared" si="9"/>
        <v>-1913042.8347035944</v>
      </c>
      <c r="M115" s="149">
        <f t="shared" si="9"/>
        <v>-2066674.8239600211</v>
      </c>
      <c r="N115" s="149">
        <f t="shared" si="9"/>
        <v>-2220011.9666572213</v>
      </c>
      <c r="O115" s="149">
        <f t="shared" si="9"/>
        <v>-2373054.8286571652</v>
      </c>
      <c r="P115" s="149">
        <f t="shared" si="9"/>
        <v>-2525803.9747357517</v>
      </c>
      <c r="Q115" s="149">
        <f t="shared" si="9"/>
        <v>-2678259.968585059</v>
      </c>
      <c r="R115" s="149">
        <f t="shared" si="9"/>
        <v>-2780552.5298293829</v>
      </c>
      <c r="S115" s="149">
        <f t="shared" si="9"/>
        <v>-2882713.1158825159</v>
      </c>
      <c r="T115" s="149">
        <f t="shared" si="9"/>
        <v>-2984741.8970153779</v>
      </c>
      <c r="U115" s="149">
        <f t="shared" si="9"/>
        <v>-3086639.0432792604</v>
      </c>
      <c r="V115" s="149">
        <f t="shared" si="9"/>
        <v>-3188404.7245060205</v>
      </c>
      <c r="W115" s="149">
        <f t="shared" si="9"/>
        <v>-3188404.7245060205</v>
      </c>
      <c r="X115" s="149">
        <f t="shared" si="9"/>
        <v>-3188404.7245060205</v>
      </c>
      <c r="Y115" s="149">
        <f t="shared" si="9"/>
        <v>-3188404.7245060205</v>
      </c>
      <c r="Z115" s="149">
        <f t="shared" si="9"/>
        <v>-3188404.7245060205</v>
      </c>
      <c r="AA115" s="149">
        <f t="shared" si="9"/>
        <v>-3188404.7245060205</v>
      </c>
      <c r="AB115" s="149">
        <f t="shared" si="9"/>
        <v>-3188404.7245060205</v>
      </c>
      <c r="AC115" s="149">
        <f t="shared" si="9"/>
        <v>-3188404.7245060205</v>
      </c>
      <c r="AD115" s="149">
        <f t="shared" si="9"/>
        <v>-3188404.7245060205</v>
      </c>
      <c r="AE115" s="149">
        <f t="shared" si="9"/>
        <v>-3188404.7245060205</v>
      </c>
      <c r="AF115" s="149">
        <f t="shared" si="9"/>
        <v>-3188404.7245060205</v>
      </c>
      <c r="AG115" s="149">
        <f t="shared" si="9"/>
        <v>-3188404.7245060205</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81964131.735373363</v>
      </c>
      <c r="E118" s="149">
        <f t="shared" ref="E118:AG118" si="11">E113+E115+E116</f>
        <v>81964131.735373363</v>
      </c>
      <c r="F118" s="149">
        <f>F113+F115+F116</f>
        <v>81964131.735373363</v>
      </c>
      <c r="G118" s="149">
        <f t="shared" si="11"/>
        <v>81964131.735373363</v>
      </c>
      <c r="H118" s="149">
        <f t="shared" si="11"/>
        <v>81577900.280048475</v>
      </c>
      <c r="I118" s="149">
        <f t="shared" si="11"/>
        <v>81193488.824934945</v>
      </c>
      <c r="J118" s="149">
        <f t="shared" si="11"/>
        <v>80810888.793826133</v>
      </c>
      <c r="K118" s="149">
        <f t="shared" si="11"/>
        <v>80430091.650928214</v>
      </c>
      <c r="L118" s="149">
        <f t="shared" si="11"/>
        <v>80051088.900669768</v>
      </c>
      <c r="M118" s="149">
        <f t="shared" si="11"/>
        <v>79897456.911413342</v>
      </c>
      <c r="N118" s="149">
        <f t="shared" si="11"/>
        <v>79744119.768716142</v>
      </c>
      <c r="O118" s="149">
        <f t="shared" si="11"/>
        <v>79591076.906716198</v>
      </c>
      <c r="P118" s="149">
        <f t="shared" si="11"/>
        <v>79438327.760637611</v>
      </c>
      <c r="Q118" s="149">
        <f t="shared" si="11"/>
        <v>79285871.766788304</v>
      </c>
      <c r="R118" s="149">
        <f t="shared" si="11"/>
        <v>79183579.20554398</v>
      </c>
      <c r="S118" s="149">
        <f t="shared" si="11"/>
        <v>79081418.619490847</v>
      </c>
      <c r="T118" s="149">
        <f t="shared" si="11"/>
        <v>78979389.838357985</v>
      </c>
      <c r="U118" s="149">
        <f t="shared" si="11"/>
        <v>78877492.692094103</v>
      </c>
      <c r="V118" s="149">
        <f t="shared" si="11"/>
        <v>78775727.010867342</v>
      </c>
      <c r="W118" s="149">
        <f t="shared" si="11"/>
        <v>78775727.010867342</v>
      </c>
      <c r="X118" s="149">
        <f t="shared" si="11"/>
        <v>78775727.010867342</v>
      </c>
      <c r="Y118" s="149">
        <f t="shared" si="11"/>
        <v>78775727.010867342</v>
      </c>
      <c r="Z118" s="149">
        <f t="shared" si="11"/>
        <v>78775727.010867342</v>
      </c>
      <c r="AA118" s="149">
        <f t="shared" si="11"/>
        <v>78775727.010867342</v>
      </c>
      <c r="AB118" s="149">
        <f t="shared" si="11"/>
        <v>78775727.010867342</v>
      </c>
      <c r="AC118" s="149">
        <f t="shared" si="11"/>
        <v>78775727.010867342</v>
      </c>
      <c r="AD118" s="149">
        <f t="shared" si="11"/>
        <v>78775727.010867342</v>
      </c>
      <c r="AE118" s="149">
        <f t="shared" si="11"/>
        <v>78775727.010867342</v>
      </c>
      <c r="AF118" s="149">
        <f t="shared" si="11"/>
        <v>78775727.010867342</v>
      </c>
      <c r="AG118" s="149">
        <f t="shared" si="11"/>
        <v>78775727.010867342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1967139.1616489606</v>
      </c>
      <c r="E120" s="149">
        <f>(SUM($D$118:E118)*$C$104/$C$106)+(SUM($D$118:E118)*$C$105/$C$107)</f>
        <v>3934278.3232979211</v>
      </c>
      <c r="F120" s="149">
        <f>(SUM($D$118:F118)*$C$104/$C$106)+(SUM($D$118:F118)*$C$105/$C$107)</f>
        <v>5901417.4849468814</v>
      </c>
      <c r="G120" s="149">
        <f>(SUM($D$118:G118)*$C$104/$C$106)+(SUM($D$118:G118)*$C$105/$C$107)</f>
        <v>7868556.6465958422</v>
      </c>
      <c r="H120" s="149">
        <f>(SUM($D$118:H118)*$C$104/$C$106)+(SUM($D$118:H118)*$C$105/$C$107)</f>
        <v>9826426.2533170059</v>
      </c>
      <c r="I120" s="149">
        <f>(SUM($D$118:I118)*$C$104/$C$106)+(SUM($D$118:I118)*$C$105/$C$107)</f>
        <v>11775069.985115444</v>
      </c>
      <c r="J120" s="149">
        <f>(SUM($D$118:J118)*$C$104/$C$106)+(SUM($D$118:J118)*$C$105/$C$107)</f>
        <v>13714531.316167273</v>
      </c>
      <c r="K120" s="149">
        <f>(SUM($D$118:K118)*$C$104/$C$106)+(SUM($D$118:K118)*$C$105/$C$107)</f>
        <v>15644853.515789552</v>
      </c>
      <c r="L120" s="149">
        <f>(SUM($D$118:L118)*$C$104/$C$106)+(SUM($D$118:L118)*$C$105/$C$107)</f>
        <v>17566079.649405628</v>
      </c>
      <c r="M120" s="149">
        <f>(SUM($D$118:M118)*$C$104/$C$106)+(SUM($D$118:M118)*$C$105/$C$107)</f>
        <v>19483618.615279548</v>
      </c>
      <c r="N120" s="149">
        <f>(SUM($D$118:N118)*$C$104/$C$106)+(SUM($D$118:N118)*$C$105/$C$107)</f>
        <v>21397477.48972873</v>
      </c>
      <c r="O120" s="149">
        <f>(SUM($D$118:O118)*$C$104/$C$106)+(SUM($D$118:O118)*$C$105/$C$107)</f>
        <v>23307663.335489921</v>
      </c>
      <c r="P120" s="149">
        <f>(SUM($D$118:P118)*$C$104/$C$106)+(SUM($D$118:P118)*$C$105/$C$107)</f>
        <v>25214183.201745223</v>
      </c>
      <c r="Q120" s="149">
        <f>(SUM($D$118:Q118)*$C$104/$C$106)+(SUM($D$118:Q118)*$C$105/$C$107)</f>
        <v>27117044.124148145</v>
      </c>
      <c r="R120" s="149">
        <f>(SUM($D$118:R118)*$C$104/$C$106)+(SUM($D$118:R118)*$C$105/$C$107)</f>
        <v>29017450.025081202</v>
      </c>
      <c r="S120" s="149">
        <f>(SUM($D$118:S118)*$C$104/$C$106)+(SUM($D$118:S118)*$C$105/$C$107)</f>
        <v>30915404.071948979</v>
      </c>
      <c r="T120" s="149">
        <f>(SUM($D$118:T118)*$C$104/$C$106)+(SUM($D$118:T118)*$C$105/$C$107)</f>
        <v>32810909.428069569</v>
      </c>
      <c r="U120" s="149">
        <f>(SUM($D$118:U118)*$C$104/$C$106)+(SUM($D$118:U118)*$C$105/$C$107)</f>
        <v>34703969.252679832</v>
      </c>
      <c r="V120" s="149">
        <f>(SUM($D$118:V118)*$C$104/$C$106)+(SUM($D$118:V118)*$C$105/$C$107)</f>
        <v>36594586.700940646</v>
      </c>
      <c r="W120" s="149">
        <f>(SUM($D$118:W118)*$C$104/$C$106)+(SUM($D$118:W118)*$C$105/$C$107)</f>
        <v>38485204.14920146</v>
      </c>
      <c r="X120" s="149">
        <f>(SUM($D$118:X118)*$C$104/$C$106)+(SUM($D$118:X118)*$C$105/$C$107)</f>
        <v>40375821.597462282</v>
      </c>
      <c r="Y120" s="149">
        <f>(SUM($D$118:Y118)*$C$104/$C$106)+(SUM($D$118:Y118)*$C$105/$C$107)</f>
        <v>42266439.045723096</v>
      </c>
      <c r="Z120" s="149">
        <f>(SUM($D$118:Z118)*$C$104/$C$106)+(SUM($D$118:Z118)*$C$105/$C$107)</f>
        <v>44157056.493983909</v>
      </c>
      <c r="AA120" s="149">
        <f>(SUM($D$118:AA118)*$C$104/$C$106)+(SUM($D$118:AA118)*$C$105/$C$107)</f>
        <v>46047673.942244731</v>
      </c>
      <c r="AB120" s="149">
        <f>(SUM($D$118:AB118)*$C$104/$C$106)+(SUM($D$118:AB118)*$C$105/$C$107)</f>
        <v>47938291.390505537</v>
      </c>
      <c r="AC120" s="149">
        <f>(SUM($D$118:AC118)*$C$104/$C$106)+(SUM($D$118:AC118)*$C$105/$C$107)</f>
        <v>49828908.838766359</v>
      </c>
      <c r="AD120" s="149">
        <f>(SUM($D$118:AD118)*$C$104/$C$106)+(SUM($D$118:AD118)*$C$105/$C$107)</f>
        <v>51719526.287027165</v>
      </c>
      <c r="AE120" s="149">
        <f>(SUM($D$118:AE118)*$C$104/$C$106)+(SUM($D$118:AE118)*$C$105/$C$107)</f>
        <v>53610143.735287979</v>
      </c>
      <c r="AF120" s="149">
        <f>(SUM($D$118:AF118)*$C$104/$C$106)+(SUM($D$118:AF118)*$C$105/$C$107)</f>
        <v>55500761.183548793</v>
      </c>
      <c r="AG120" s="149">
        <f>(SUM($D$118:AG118)*$C$104/$C$106)+(SUM($D$118:AG118)*$C$105/$C$107)</f>
        <v>57391378.631809607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2458923.952061201</v>
      </c>
      <c r="E122" s="72">
        <f>(SUM($D$118:E118)*$C$109)</f>
        <v>4917847.904122402</v>
      </c>
      <c r="F122" s="72">
        <f>(SUM($D$118:F118)*$C$109)</f>
        <v>7376771.8561836015</v>
      </c>
      <c r="G122" s="72">
        <f>(SUM($D$118:G118)*$C$109)</f>
        <v>9835695.8082448039</v>
      </c>
      <c r="H122" s="72">
        <f>(SUM($D$118:H118)*$C$109)</f>
        <v>12283032.816646257</v>
      </c>
      <c r="I122" s="72">
        <f>(SUM($D$118:I118)*$C$109)</f>
        <v>14718837.481394306</v>
      </c>
      <c r="J122" s="72">
        <f>(SUM($D$118:J118)*$C$109)</f>
        <v>17143164.145209093</v>
      </c>
      <c r="K122" s="72">
        <f>(SUM($D$118:K118)*$C$109)</f>
        <v>19556066.894736938</v>
      </c>
      <c r="L122" s="72">
        <f>(SUM($D$118:L118)*$C$109)</f>
        <v>21957599.561757032</v>
      </c>
      <c r="M122" s="72">
        <f>(SUM($D$118:M118)*$C$109)</f>
        <v>24354523.269099433</v>
      </c>
      <c r="N122" s="72">
        <f>(SUM($D$118:N118)*$C$109)</f>
        <v>26746846.862160914</v>
      </c>
      <c r="O122" s="72">
        <f>(SUM($D$118:O118)*$C$109)</f>
        <v>29134579.169362403</v>
      </c>
      <c r="P122" s="72">
        <f>(SUM($D$118:P118)*$C$109)</f>
        <v>31517729.00218153</v>
      </c>
      <c r="Q122" s="72">
        <f>(SUM($D$118:Q118)*$C$109)</f>
        <v>33896305.155185178</v>
      </c>
      <c r="R122" s="72">
        <f>(SUM($D$118:R118)*$C$109)</f>
        <v>36271812.531351499</v>
      </c>
      <c r="S122" s="72">
        <f>(SUM($D$118:S118)*$C$109)</f>
        <v>38644255.089936227</v>
      </c>
      <c r="T122" s="72">
        <f>(SUM($D$118:T118)*$C$109)</f>
        <v>41013636.78508696</v>
      </c>
      <c r="U122" s="72">
        <f>(SUM($D$118:U118)*$C$109)</f>
        <v>43379961.565849781</v>
      </c>
      <c r="V122" s="72">
        <f>(SUM($D$118:V118)*$C$109)</f>
        <v>45743233.376175806</v>
      </c>
      <c r="W122" s="72">
        <f>(SUM($D$118:W118)*$C$109)</f>
        <v>48106505.186501823</v>
      </c>
      <c r="X122" s="72">
        <f>(SUM($D$118:X118)*$C$109)</f>
        <v>50469776.996827848</v>
      </c>
      <c r="Y122" s="72">
        <f>(SUM($D$118:Y118)*$C$109)</f>
        <v>52833048.807153866</v>
      </c>
      <c r="Z122" s="72">
        <f>(SUM($D$118:Z118)*$C$109)</f>
        <v>55196320.617479891</v>
      </c>
      <c r="AA122" s="72">
        <f>(SUM($D$118:AA118)*$C$109)</f>
        <v>57559592.427805908</v>
      </c>
      <c r="AB122" s="72">
        <f>(SUM($D$118:AB118)*$C$109)</f>
        <v>59922864.238131925</v>
      </c>
      <c r="AC122" s="72">
        <f>(SUM($D$118:AC118)*$C$109)</f>
        <v>62286136.04845795</v>
      </c>
      <c r="AD122" s="72">
        <f>(SUM($D$118:AD118)*$C$109)</f>
        <v>64649407.85878396</v>
      </c>
      <c r="AE122" s="72">
        <f>(SUM($D$118:AE118)*$C$109)</f>
        <v>67012679.669109978</v>
      </c>
      <c r="AF122" s="72">
        <f>(SUM($D$118:AF118)*$C$109)</f>
        <v>69375951.479435995</v>
      </c>
      <c r="AG122" s="72">
        <f>(SUM($D$118:AG118)*$C$109)</f>
        <v>71739223.289762005</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147</v>
      </c>
      <c r="B126" s="77" t="s">
        <v>190</v>
      </c>
      <c r="C126" s="126">
        <v>222600</v>
      </c>
      <c r="D126" s="140"/>
    </row>
    <row r="127" spans="1:33" x14ac:dyDescent="0.35">
      <c r="A127" s="77" t="s">
        <v>146</v>
      </c>
      <c r="B127" s="77" t="s">
        <v>133</v>
      </c>
      <c r="C127" s="126">
        <v>222600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222600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151</v>
      </c>
      <c r="B133" s="77" t="s">
        <v>152</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82444.444444444438</v>
      </c>
      <c r="D135" s="157">
        <f t="shared" ref="D135:AG135" si="12">$C$135*D13</f>
        <v>83701.393136767118</v>
      </c>
      <c r="E135" s="157">
        <f t="shared" si="12"/>
        <v>84977.505279408084</v>
      </c>
      <c r="F135" s="157">
        <f t="shared" si="12"/>
        <v>86273.073038491857</v>
      </c>
      <c r="G135" s="157">
        <f t="shared" si="12"/>
        <v>87588.393034510067</v>
      </c>
      <c r="H135" s="157">
        <f t="shared" si="12"/>
        <v>88923.7664102329</v>
      </c>
      <c r="I135" s="157">
        <f t="shared" si="12"/>
        <v>90279.498899655737</v>
      </c>
      <c r="J135" s="157">
        <f t="shared" si="12"/>
        <v>91655.900897997009</v>
      </c>
      <c r="K135" s="157">
        <f t="shared" si="12"/>
        <v>93053.287532763206</v>
      </c>
      <c r="L135" s="157">
        <f t="shared" si="12"/>
        <v>94471.978735897559</v>
      </c>
      <c r="M135" s="157">
        <f t="shared" si="12"/>
        <v>95912.299317028272</v>
      </c>
      <c r="N135" s="157">
        <f t="shared" si="12"/>
        <v>97374.579037833959</v>
      </c>
      <c r="O135" s="157">
        <f t="shared" si="12"/>
        <v>98859.152687542388</v>
      </c>
      <c r="P135" s="157">
        <f t="shared" si="12"/>
        <v>100366.36015958096</v>
      </c>
      <c r="Q135" s="157">
        <f t="shared" si="12"/>
        <v>101896.54652939489</v>
      </c>
      <c r="R135" s="157">
        <f t="shared" si="12"/>
        <v>103450.06213345269</v>
      </c>
      <c r="S135" s="157">
        <f t="shared" si="12"/>
        <v>105027.26264945546</v>
      </c>
      <c r="T135" s="157">
        <f t="shared" si="12"/>
        <v>106628.50917776971</v>
      </c>
      <c r="U135" s="157">
        <f t="shared" si="12"/>
        <v>108254.168324101</v>
      </c>
      <c r="V135" s="157">
        <f t="shared" si="12"/>
        <v>109904.61228342865</v>
      </c>
      <c r="W135" s="157">
        <f t="shared" si="12"/>
        <v>111580.21892521971</v>
      </c>
      <c r="X135" s="157">
        <f t="shared" si="12"/>
        <v>113281.37187994235</v>
      </c>
      <c r="Y135" s="157">
        <f t="shared" si="12"/>
        <v>115008.460626898</v>
      </c>
      <c r="Z135" s="157">
        <f t="shared" si="12"/>
        <v>116761.88058339291</v>
      </c>
      <c r="AA135" s="157">
        <f t="shared" si="12"/>
        <v>118542.03319526873</v>
      </c>
      <c r="AB135" s="157">
        <f t="shared" si="12"/>
        <v>120349.32602881396</v>
      </c>
      <c r="AC135" s="157">
        <f t="shared" si="12"/>
        <v>122184.17286407607</v>
      </c>
      <c r="AD135" s="157">
        <f t="shared" si="12"/>
        <v>124046.99378959667</v>
      </c>
      <c r="AE135" s="157">
        <f t="shared" si="12"/>
        <v>125938.21529859061</v>
      </c>
      <c r="AF135" s="157">
        <f t="shared" si="12"/>
        <v>127858.27038659215</v>
      </c>
      <c r="AG135" s="157">
        <f t="shared" si="12"/>
        <v>129807.59865058892</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v>
      </c>
      <c r="F4" s="65">
        <v>0.15</v>
      </c>
      <c r="G4" s="65">
        <v>0.15</v>
      </c>
      <c r="H4" s="65">
        <v>0.1</v>
      </c>
      <c r="I4" s="65">
        <v>0.1</v>
      </c>
      <c r="J4" s="65">
        <v>7.0000000000000007E-2</v>
      </c>
      <c r="K4" s="65">
        <v>7.0000000000000007E-2</v>
      </c>
      <c r="L4" s="65">
        <v>7.0000000000000007E-2</v>
      </c>
      <c r="M4" s="65">
        <v>7.0000000000000007E-2</v>
      </c>
      <c r="N4" s="65">
        <v>0.05</v>
      </c>
      <c r="O4" s="65">
        <v>0.05</v>
      </c>
      <c r="P4" s="65">
        <v>0.04</v>
      </c>
      <c r="Q4" s="65">
        <v>0.03</v>
      </c>
      <c r="R4" s="65">
        <v>0.03</v>
      </c>
      <c r="S4" s="65">
        <v>0.03</v>
      </c>
      <c r="T4" s="65">
        <v>0.03</v>
      </c>
      <c r="U4" s="65">
        <v>0.03</v>
      </c>
      <c r="V4" s="65">
        <v>0.03</v>
      </c>
      <c r="W4" s="65">
        <v>0.03</v>
      </c>
      <c r="X4" s="65">
        <v>0.03</v>
      </c>
      <c r="Y4" s="65">
        <v>0.03</v>
      </c>
      <c r="Z4" s="65">
        <v>2.5000000000000001E-2</v>
      </c>
      <c r="AA4" s="65">
        <v>2.5000000000000001E-2</v>
      </c>
      <c r="AB4" s="65">
        <v>2.5000000000000001E-2</v>
      </c>
      <c r="AC4" s="65">
        <v>2.5000000000000001E-2</v>
      </c>
      <c r="AD4" s="65">
        <v>2.5000000000000001E-2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2.5037072276212924</v>
      </c>
      <c r="C6" s="25"/>
      <c r="D6" s="25"/>
      <c r="E6" s="27">
        <f>'Debt worksheet'!C5/'Profit and Loss'!C5</f>
        <v>0.90752945281781228</v>
      </c>
      <c r="F6" s="28">
        <f ca="1">'Debt worksheet'!D5/'Profit and Loss'!D5</f>
        <v>1.4731866188768246</v>
      </c>
      <c r="G6" s="28">
        <f ca="1">'Debt worksheet'!E5/'Profit and Loss'!E5</f>
        <v>1.8204984594039757</v>
      </c>
      <c r="H6" s="28">
        <f ca="1">'Debt worksheet'!F5/'Profit and Loss'!F5</f>
        <v>2.0791662130795383</v>
      </c>
      <c r="I6" s="28">
        <f ca="1">'Debt worksheet'!G5/'Profit and Loss'!G5</f>
        <v>2.2407697724420816</v>
      </c>
      <c r="J6" s="28">
        <f ca="1">'Debt worksheet'!H5/'Profit and Loss'!H5</f>
        <v>2.377274449053342</v>
      </c>
      <c r="K6" s="28">
        <f ca="1">'Debt worksheet'!I5/'Profit and Loss'!I5</f>
        <v>2.4628547656884145</v>
      </c>
      <c r="L6" s="28">
        <f ca="1">'Debt worksheet'!J5/'Profit and Loss'!J5</f>
        <v>2.50098431364292</v>
      </c>
      <c r="M6" s="28">
        <f ca="1">'Debt worksheet'!K5/'Profit and Loss'!K5</f>
        <v>2.4950018653860533</v>
      </c>
      <c r="N6" s="28">
        <f ca="1">'Debt worksheet'!L5/'Profit and Loss'!L5</f>
        <v>2.4947409540347887</v>
      </c>
      <c r="O6" s="28">
        <f ca="1">'Debt worksheet'!M5/'Profit and Loss'!M5</f>
        <v>2.474837747212967</v>
      </c>
      <c r="P6" s="28">
        <f ca="1">'Debt worksheet'!N5/'Profit and Loss'!N5</f>
        <v>2.4592634908753426</v>
      </c>
      <c r="Q6" s="28">
        <f ca="1">'Debt worksheet'!O5/'Profit and Loss'!O5</f>
        <v>2.4573395473949224</v>
      </c>
      <c r="R6" s="28">
        <f ca="1">'Debt worksheet'!P5/'Profit and Loss'!P5</f>
        <v>2.4545484799743513</v>
      </c>
      <c r="S6" s="28">
        <f ca="1">'Debt worksheet'!Q5/'Profit and Loss'!Q5</f>
        <v>2.4505719289308301</v>
      </c>
      <c r="T6" s="28">
        <f ca="1">'Debt worksheet'!R5/'Profit and Loss'!R5</f>
        <v>2.4455642475414243</v>
      </c>
      <c r="U6" s="28">
        <f ca="1">'Debt worksheet'!S5/'Profit and Loss'!S5</f>
        <v>2.4392422861801566</v>
      </c>
      <c r="V6" s="28">
        <f ca="1">'Debt worksheet'!T5/'Profit and Loss'!T5</f>
        <v>2.4313378807523507</v>
      </c>
      <c r="W6" s="28">
        <f ca="1">'Debt worksheet'!U5/'Profit and Loss'!U5</f>
        <v>2.4215973044066654</v>
      </c>
      <c r="X6" s="28">
        <f ca="1">'Debt worksheet'!V5/'Profit and Loss'!V5</f>
        <v>2.4097807369066127</v>
      </c>
      <c r="Y6" s="28">
        <f ca="1">'Debt worksheet'!W5/'Profit and Loss'!W5</f>
        <v>2.396587970515931</v>
      </c>
      <c r="Z6" s="28">
        <f ca="1">'Debt worksheet'!X5/'Profit and Loss'!X5</f>
        <v>2.3934245096289826</v>
      </c>
      <c r="AA6" s="28">
        <f ca="1">'Debt worksheet'!Y5/'Profit and Loss'!Y5</f>
        <v>2.393221732738422</v>
      </c>
      <c r="AB6" s="28">
        <f ca="1">'Debt worksheet'!Z5/'Profit and Loss'!Z5</f>
        <v>2.3957610811693471</v>
      </c>
      <c r="AC6" s="28">
        <f ca="1">'Debt worksheet'!AA5/'Profit and Loss'!AA5</f>
        <v>2.4008303096587351</v>
      </c>
      <c r="AD6" s="28">
        <f ca="1">'Debt worksheet'!AB5/'Profit and Loss'!AB5</f>
        <v>2.4082233361585632</v>
      </c>
      <c r="AE6" s="28">
        <f ca="1">'Debt worksheet'!AC5/'Profit and Loss'!AC5</f>
        <v>2.4248371794065786</v>
      </c>
      <c r="AF6" s="28">
        <f ca="1">'Debt worksheet'!AD5/'Profit and Loss'!AD5</f>
        <v>2.4464004020081775</v>
      </c>
      <c r="AG6" s="28">
        <f ca="1">'Debt worksheet'!AE5/'Profit and Loss'!AE5</f>
        <v>2.4727451772326297</v>
      </c>
      <c r="AH6" s="28">
        <f ca="1">'Debt worksheet'!AF5/'Profit and Loss'!AF5</f>
        <v>2.5037072276212924</v>
      </c>
      <c r="AI6" s="31"/>
    </row>
    <row r="7" spans="1:35" ht="21" x14ac:dyDescent="0.5">
      <c r="A7" s="19" t="s">
        <v>38</v>
      </c>
      <c r="B7" s="26">
        <f ca="1">MIN('Price and Financial ratios'!E7:AH7)</f>
        <v>0.2186069714096037</v>
      </c>
      <c r="C7" s="26"/>
      <c r="D7" s="26"/>
      <c r="E7" s="56">
        <f ca="1">'Cash Flow'!C7/'Debt worksheet'!C5</f>
        <v>0.50411728898362018</v>
      </c>
      <c r="F7" s="32">
        <f ca="1">'Cash Flow'!D7/'Debt worksheet'!D5</f>
        <v>0.32742487932136588</v>
      </c>
      <c r="G7" s="32">
        <f ca="1">'Cash Flow'!E7/'Debt worksheet'!E5</f>
        <v>0.28135531108748113</v>
      </c>
      <c r="H7" s="32">
        <f ca="1">'Cash Flow'!F7/'Debt worksheet'!F5</f>
        <v>0.25171516639656066</v>
      </c>
      <c r="I7" s="32">
        <f ca="1">'Cash Flow'!G7/'Debt worksheet'!G5</f>
        <v>0.24115705205257471</v>
      </c>
      <c r="J7" s="32">
        <f ca="1">'Cash Flow'!H7/'Debt worksheet'!H5</f>
        <v>0.22997979716103611</v>
      </c>
      <c r="K7" s="32">
        <f ca="1">'Cash Flow'!I7/'Debt worksheet'!I5</f>
        <v>0.22542039902087599</v>
      </c>
      <c r="L7" s="32">
        <f ca="1">'Cash Flow'!J7/'Debt worksheet'!J5</f>
        <v>0.22612227569964372</v>
      </c>
      <c r="M7" s="17">
        <f ca="1">'Cash Flow'!K7/'Debt worksheet'!K5</f>
        <v>0.23149648877330259</v>
      </c>
      <c r="N7" s="17">
        <f ca="1">'Cash Flow'!L7/'Debt worksheet'!L5</f>
        <v>0.23302535228885168</v>
      </c>
      <c r="O7" s="17">
        <f ca="1">'Cash Flow'!M7/'Debt worksheet'!M5</f>
        <v>0.23683677272205828</v>
      </c>
      <c r="P7" s="17">
        <f ca="1">'Cash Flow'!N7/'Debt worksheet'!N5</f>
        <v>0.23894995910574351</v>
      </c>
      <c r="Q7" s="17">
        <f ca="1">'Cash Flow'!O7/'Debt worksheet'!O5</f>
        <v>0.23826365832666804</v>
      </c>
      <c r="R7" s="17">
        <f ca="1">'Cash Flow'!P7/'Debt worksheet'!P5</f>
        <v>0.23779205349725116</v>
      </c>
      <c r="S7" s="17">
        <f ca="1">'Cash Flow'!Q7/'Debt worksheet'!Q5</f>
        <v>0.23744078378645322</v>
      </c>
      <c r="T7" s="17">
        <f ca="1">'Cash Flow'!R7/'Debt worksheet'!R5</f>
        <v>0.23730984793743928</v>
      </c>
      <c r="U7" s="17">
        <f ca="1">'Cash Flow'!S7/'Debt worksheet'!S5</f>
        <v>0.237427631161993</v>
      </c>
      <c r="V7" s="17">
        <f ca="1">'Cash Flow'!T7/'Debt worksheet'!T5</f>
        <v>0.23782206448200022</v>
      </c>
      <c r="W7" s="17">
        <f ca="1">'Cash Flow'!U7/'Debt worksheet'!U5</f>
        <v>0.23852112904974987</v>
      </c>
      <c r="X7" s="17">
        <f ca="1">'Cash Flow'!V7/'Debt worksheet'!V5</f>
        <v>0.2392863451617373</v>
      </c>
      <c r="Y7" s="17">
        <f ca="1">'Cash Flow'!W7/'Debt worksheet'!W5</f>
        <v>0.24030002995084518</v>
      </c>
      <c r="Z7" s="17">
        <f ca="1">'Cash Flow'!X7/'Debt worksheet'!X5</f>
        <v>0.23947763986453405</v>
      </c>
      <c r="AA7" s="17">
        <f ca="1">'Cash Flow'!Y7/'Debt worksheet'!Y5</f>
        <v>0.23838181404180878</v>
      </c>
      <c r="AB7" s="17">
        <f ca="1">'Cash Flow'!Z7/'Debt worksheet'!Z5</f>
        <v>0.23703946967875486</v>
      </c>
      <c r="AC7" s="17">
        <f ca="1">'Cash Flow'!AA7/'Debt worksheet'!AA5</f>
        <v>0.23547805680856887</v>
      </c>
      <c r="AD7" s="17">
        <f ca="1">'Cash Flow'!AB7/'Debt worksheet'!AB5</f>
        <v>0.23372508304331555</v>
      </c>
      <c r="AE7" s="17">
        <f ca="1">'Cash Flow'!AC7/'Debt worksheet'!AC5</f>
        <v>0.2305532260860555</v>
      </c>
      <c r="AF7" s="17">
        <f ca="1">'Cash Flow'!AD7/'Debt worksheet'!AD5</f>
        <v>0.22694306183220334</v>
      </c>
      <c r="AG7" s="17">
        <f ca="1">'Cash Flow'!AE7/'Debt worksheet'!AE5</f>
        <v>0.22294407719811918</v>
      </c>
      <c r="AH7" s="17">
        <f ca="1">'Cash Flow'!AF7/'Debt worksheet'!AF5</f>
        <v>0.2186069714096037</v>
      </c>
      <c r="AI7" s="29"/>
    </row>
    <row r="8" spans="1:35" ht="21" x14ac:dyDescent="0.5">
      <c r="A8" s="19" t="s">
        <v>33</v>
      </c>
      <c r="B8" s="26">
        <f ca="1">MAX('Price and Financial ratios'!E8:AH8)</f>
        <v>0.34115729584362792</v>
      </c>
      <c r="C8" s="26"/>
      <c r="D8" s="176"/>
      <c r="E8" s="17">
        <f>'Balance Sheet'!B11/'Balance Sheet'!B8</f>
        <v>4.3106974570599935E-2</v>
      </c>
      <c r="F8" s="17">
        <f ca="1">'Balance Sheet'!C11/'Balance Sheet'!C8</f>
        <v>8.2790033660804924E-2</v>
      </c>
      <c r="G8" s="17">
        <f ca="1">'Balance Sheet'!D11/'Balance Sheet'!D8</f>
        <v>0.11635915889635304</v>
      </c>
      <c r="H8" s="17">
        <f ca="1">'Balance Sheet'!E11/'Balance Sheet'!E8</f>
        <v>0.1445552592288723</v>
      </c>
      <c r="I8" s="17">
        <f ca="1">'Balance Sheet'!F11/'Balance Sheet'!F8</f>
        <v>0.1694437922041343</v>
      </c>
      <c r="J8" s="17">
        <f ca="1">'Balance Sheet'!G11/'Balance Sheet'!G8</f>
        <v>0.1901911975679515</v>
      </c>
      <c r="K8" s="17">
        <f ca="1">'Balance Sheet'!H11/'Balance Sheet'!H8</f>
        <v>0.20846840867697519</v>
      </c>
      <c r="L8" s="17">
        <f ca="1">'Balance Sheet'!I11/'Balance Sheet'!I8</f>
        <v>0.2239805625695474</v>
      </c>
      <c r="M8" s="17">
        <f ca="1">'Balance Sheet'!J11/'Balance Sheet'!J8</f>
        <v>0.2364152976857799</v>
      </c>
      <c r="N8" s="17">
        <f ca="1">'Balance Sheet'!K11/'Balance Sheet'!K8</f>
        <v>0.24544215176588849</v>
      </c>
      <c r="O8" s="17">
        <f ca="1">'Balance Sheet'!L11/'Balance Sheet'!L8</f>
        <v>0.25279199042333245</v>
      </c>
      <c r="P8" s="17">
        <f ca="1">'Balance Sheet'!M11/'Balance Sheet'!M8</f>
        <v>0.25830517701132311</v>
      </c>
      <c r="Q8" s="17">
        <f ca="1">'Balance Sheet'!N11/'Balance Sheet'!N8</f>
        <v>0.26283534010791415</v>
      </c>
      <c r="R8" s="17">
        <f ca="1">'Balance Sheet'!O11/'Balance Sheet'!O8</f>
        <v>0.26733545321872026</v>
      </c>
      <c r="S8" s="17">
        <f ca="1">'Balance Sheet'!P11/'Balance Sheet'!P8</f>
        <v>0.27176615722644348</v>
      </c>
      <c r="T8" s="17">
        <f ca="1">'Balance Sheet'!Q11/'Balance Sheet'!Q8</f>
        <v>0.2761336912093304</v>
      </c>
      <c r="U8" s="17">
        <f ca="1">'Balance Sheet'!R11/'Balance Sheet'!R8</f>
        <v>0.28039989178496494</v>
      </c>
      <c r="V8" s="17">
        <f ca="1">'Balance Sheet'!S11/'Balance Sheet'!S8</f>
        <v>0.28452583842904272</v>
      </c>
      <c r="W8" s="17">
        <f ca="1">'Balance Sheet'!T11/'Balance Sheet'!T8</f>
        <v>0.28847185740614345</v>
      </c>
      <c r="X8" s="17">
        <f ca="1">'Balance Sheet'!U11/'Balance Sheet'!U8</f>
        <v>0.29219779475764046</v>
      </c>
      <c r="Y8" s="17">
        <f ca="1">'Balance Sheet'!V11/'Balance Sheet'!V8</f>
        <v>0.29576572316901534</v>
      </c>
      <c r="Z8" s="17">
        <f ca="1">'Balance Sheet'!W11/'Balance Sheet'!W8</f>
        <v>0.29913972116521265</v>
      </c>
      <c r="AA8" s="17">
        <f ca="1">'Balance Sheet'!X11/'Balance Sheet'!X8</f>
        <v>0.30289795479331794</v>
      </c>
      <c r="AB8" s="17">
        <f ca="1">'Balance Sheet'!Y11/'Balance Sheet'!Y8</f>
        <v>0.30702666812338913</v>
      </c>
      <c r="AC8" s="17">
        <f ca="1">'Balance Sheet'!Z11/'Balance Sheet'!Z8</f>
        <v>0.31151168623481051</v>
      </c>
      <c r="AD8" s="17">
        <f ca="1">'Balance Sheet'!AA11/'Balance Sheet'!AA8</f>
        <v>0.31633843030812703</v>
      </c>
      <c r="AE8" s="17">
        <f ca="1">'Balance Sheet'!AB11/'Balance Sheet'!AB8</f>
        <v>0.32149193226660716</v>
      </c>
      <c r="AF8" s="17">
        <f ca="1">'Balance Sheet'!AC11/'Balance Sheet'!AC8</f>
        <v>0.32734913649559244</v>
      </c>
      <c r="AG8" s="17">
        <f ca="1">'Balance Sheet'!AD11/'Balance Sheet'!AD8</f>
        <v>0.33390578243647023</v>
      </c>
      <c r="AH8" s="17">
        <f ca="1">'Balance Sheet'!AE11/'Balance Sheet'!AE8</f>
        <v>0.34115729584362792</v>
      </c>
      <c r="AI8" s="29"/>
    </row>
    <row r="9" spans="1:35" ht="21.5" thickBot="1" x14ac:dyDescent="0.55000000000000004">
      <c r="A9" s="20" t="s">
        <v>32</v>
      </c>
      <c r="B9" s="21">
        <f ca="1">MIN('Price and Financial ratios'!E9:AH9)</f>
        <v>6.8384549832137669</v>
      </c>
      <c r="C9" s="21"/>
      <c r="D9" s="177"/>
      <c r="E9" s="21">
        <f ca="1">('Cash Flow'!C7+'Profit and Loss'!C8)/('Profit and Loss'!C8)</f>
        <v>8.5997162908865796</v>
      </c>
      <c r="F9" s="21">
        <f ca="1">('Cash Flow'!D7+'Profit and Loss'!D8)/('Profit and Loss'!D8)</f>
        <v>7.4839842381162232</v>
      </c>
      <c r="G9" s="21">
        <f ca="1">('Cash Flow'!E7+'Profit and Loss'!E8)/('Profit and Loss'!E8)</f>
        <v>7.3026647096916779</v>
      </c>
      <c r="H9" s="21">
        <f ca="1">('Cash Flow'!F7+'Profit and Loss'!F8)/('Profit and Loss'!F8)</f>
        <v>6.9754323674550545</v>
      </c>
      <c r="I9" s="21">
        <f ca="1">('Cash Flow'!G7+'Profit and Loss'!G8)/('Profit and Loss'!G8)</f>
        <v>6.978534893666466</v>
      </c>
      <c r="J9" s="21">
        <f ca="1">('Cash Flow'!H7+'Profit and Loss'!H8)/('Profit and Loss'!H8)</f>
        <v>6.8385781033857302</v>
      </c>
      <c r="K9" s="21">
        <f ca="1">('Cash Flow'!I7+'Profit and Loss'!I8)/('Profit and Loss'!I8)</f>
        <v>6.8384549832137669</v>
      </c>
      <c r="L9" s="21">
        <f ca="1">('Cash Flow'!J7+'Profit and Loss'!J8)/('Profit and Loss'!J8)</f>
        <v>6.9615656109020216</v>
      </c>
      <c r="M9" s="21">
        <f ca="1">('Cash Flow'!K7+'Profit and Loss'!K8)/('Profit and Loss'!K8)</f>
        <v>7.2052772763483679</v>
      </c>
      <c r="N9" s="21">
        <f ca="1">('Cash Flow'!L7+'Profit and Loss'!L8)/('Profit and Loss'!L8)</f>
        <v>7.2958339365809435</v>
      </c>
      <c r="O9" s="21">
        <f ca="1">('Cash Flow'!M7+'Profit and Loss'!M8)/('Profit and Loss'!M8)</f>
        <v>7.4493824150384382</v>
      </c>
      <c r="P9" s="21">
        <f ca="1">('Cash Flow'!N7+'Profit and Loss'!N8)/('Profit and Loss'!N8)</f>
        <v>7.5338670493913913</v>
      </c>
      <c r="Q9" s="21">
        <f ca="1">('Cash Flow'!O7+'Profit and Loss'!O8)/('Profit and Loss'!O8)</f>
        <v>7.5174063848895942</v>
      </c>
      <c r="R9" s="21">
        <f ca="1">('Cash Flow'!P7+'Profit and Loss'!P8)/('Profit and Loss'!P8)</f>
        <v>7.5076612415439721</v>
      </c>
      <c r="S9" s="21">
        <f ca="1">('Cash Flow'!Q7+'Profit and Loss'!Q8)/('Profit and Loss'!Q8)</f>
        <v>7.5008049428724295</v>
      </c>
      <c r="T9" s="21">
        <f ca="1">('Cash Flow'!R7+'Profit and Loss'!R8)/('Profit and Loss'!R8)</f>
        <v>7.5007481002851923</v>
      </c>
      <c r="U9" s="21">
        <f ca="1">('Cash Flow'!S7+'Profit and Loss'!S8)/('Profit and Loss'!S8)</f>
        <v>7.5082514459654961</v>
      </c>
      <c r="V9" s="21">
        <f ca="1">('Cash Flow'!T7+'Profit and Loss'!T8)/('Profit and Loss'!T8)</f>
        <v>7.5240754823793781</v>
      </c>
      <c r="W9" s="21">
        <f ca="1">('Cash Flow'!U7+'Profit and Loss'!U8)/('Profit and Loss'!U8)</f>
        <v>7.5489955117216079</v>
      </c>
      <c r="X9" s="21">
        <f ca="1">('Cash Flow'!V7+'Profit and Loss'!V8)/('Profit and Loss'!V8)</f>
        <v>7.5739365793613249</v>
      </c>
      <c r="Y9" s="21">
        <f ca="1">('Cash Flow'!W7+'Profit and Loss'!W8)/('Profit and Loss'!W8)</f>
        <v>7.6063908730463803</v>
      </c>
      <c r="Z9" s="21">
        <f ca="1">('Cash Flow'!X7+'Profit and Loss'!X8)/('Profit and Loss'!X8)</f>
        <v>7.5756481215679665</v>
      </c>
      <c r="AA9" s="21">
        <f ca="1">('Cash Flow'!Y7+'Profit and Loss'!Y8)/('Profit and Loss'!Y8)</f>
        <v>7.5380667830072685</v>
      </c>
      <c r="AB9" s="21">
        <f ca="1">('Cash Flow'!Z7+'Profit and Loss'!Z8)/('Profit and Loss'!Z8)</f>
        <v>7.4944070696731533</v>
      </c>
      <c r="AC9" s="21">
        <f ca="1">('Cash Flow'!AA7+'Profit and Loss'!AA8)/('Profit and Loss'!AA8)</f>
        <v>7.4454307649362947</v>
      </c>
      <c r="AD9" s="21">
        <f ca="1">('Cash Flow'!AB7+'Profit and Loss'!AB8)/('Profit and Loss'!AB8)</f>
        <v>7.3918896706330068</v>
      </c>
      <c r="AE9" s="21">
        <f ca="1">('Cash Flow'!AC7+'Profit and Loss'!AC8)/('Profit and Loss'!AC8)</f>
        <v>7.2926853384252937</v>
      </c>
      <c r="AF9" s="21">
        <f ca="1">('Cash Flow'!AD7+'Profit and Loss'!AD8)/('Profit and Loss'!AD8)</f>
        <v>7.1826527511754055</v>
      </c>
      <c r="AG9" s="21">
        <f ca="1">('Cash Flow'!AE7+'Profit and Loss'!AE8)/('Profit and Loss'!AE8)</f>
        <v>7.0631949017048115</v>
      </c>
      <c r="AH9" s="21">
        <f ca="1">('Cash Flow'!AF7+'Profit and Loss'!AF8)/('Profit and Loss'!AF8)</f>
        <v>6.9357159371784727</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157</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98243473.02379708</v>
      </c>
      <c r="D5" s="1">
        <f>Assumptions!E111</f>
        <v>98243473.02379708</v>
      </c>
      <c r="E5" s="1">
        <f>Assumptions!F111</f>
        <v>98243473.02379708</v>
      </c>
      <c r="F5" s="1">
        <f>Assumptions!G111</f>
        <v>98243473.02379708</v>
      </c>
      <c r="G5" s="1">
        <f>Assumptions!H111</f>
        <v>98243473.02379708</v>
      </c>
      <c r="H5" s="1">
        <f>Assumptions!I111</f>
        <v>98243473.02379708</v>
      </c>
      <c r="I5" s="1">
        <f>Assumptions!J111</f>
        <v>98243473.02379708</v>
      </c>
      <c r="J5" s="1">
        <f>Assumptions!K111</f>
        <v>98243473.02379708</v>
      </c>
      <c r="K5" s="1">
        <f>Assumptions!L111</f>
        <v>98243473.02379708</v>
      </c>
      <c r="L5" s="1">
        <f>Assumptions!M111</f>
        <v>98243473.02379708</v>
      </c>
      <c r="M5" s="1">
        <f>Assumptions!N111</f>
        <v>98243473.02379708</v>
      </c>
      <c r="N5" s="1">
        <f>Assumptions!O111</f>
        <v>98243473.02379708</v>
      </c>
      <c r="O5" s="1">
        <f>Assumptions!P111</f>
        <v>98243473.02379708</v>
      </c>
      <c r="P5" s="1">
        <f>Assumptions!Q111</f>
        <v>98243473.02379708</v>
      </c>
      <c r="Q5" s="1">
        <f>Assumptions!R111</f>
        <v>98243473.02379708</v>
      </c>
      <c r="R5" s="1">
        <f>Assumptions!S111</f>
        <v>98243473.02379708</v>
      </c>
      <c r="S5" s="1">
        <f>Assumptions!T111</f>
        <v>98243473.02379708</v>
      </c>
      <c r="T5" s="1">
        <f>Assumptions!U111</f>
        <v>98243473.02379708</v>
      </c>
      <c r="U5" s="1">
        <f>Assumptions!V111</f>
        <v>98243473.02379708</v>
      </c>
      <c r="V5" s="1">
        <f>Assumptions!W111</f>
        <v>98243473.02379708</v>
      </c>
      <c r="W5" s="1">
        <f>Assumptions!X111</f>
        <v>98243473.02379708</v>
      </c>
      <c r="X5" s="1">
        <f>Assumptions!Y111</f>
        <v>98243473.02379708</v>
      </c>
      <c r="Y5" s="1">
        <f>Assumptions!Z111</f>
        <v>98243473.02379708</v>
      </c>
      <c r="Z5" s="1">
        <f>Assumptions!AA111</f>
        <v>98243473.02379708</v>
      </c>
      <c r="AA5" s="1">
        <f>Assumptions!AB111</f>
        <v>98243473.02379708</v>
      </c>
      <c r="AB5" s="1">
        <f>Assumptions!AC111</f>
        <v>98243473.02379708</v>
      </c>
      <c r="AC5" s="1">
        <f>Assumptions!AD111</f>
        <v>98243473.02379708</v>
      </c>
      <c r="AD5" s="1">
        <f>Assumptions!AE111</f>
        <v>98243473.02379708</v>
      </c>
      <c r="AE5" s="1">
        <f>Assumptions!AF111</f>
        <v>98243473.02379708</v>
      </c>
      <c r="AF5" s="1">
        <f>Assumptions!AG111</f>
        <v>98243473.02379708</v>
      </c>
    </row>
    <row r="6" spans="1:32" x14ac:dyDescent="0.35">
      <c r="A6" t="s">
        <v>68</v>
      </c>
      <c r="C6" s="1">
        <f>Assumptions!D113</f>
        <v>81964131.735373363</v>
      </c>
      <c r="D6" s="1">
        <f>Assumptions!E113</f>
        <v>81964131.735373363</v>
      </c>
      <c r="E6" s="1">
        <f>Assumptions!F113</f>
        <v>81964131.735373363</v>
      </c>
      <c r="F6" s="1">
        <f>Assumptions!G113</f>
        <v>81964131.735373363</v>
      </c>
      <c r="G6" s="1">
        <f>Assumptions!H113</f>
        <v>81964131.735373363</v>
      </c>
      <c r="H6" s="1">
        <f>Assumptions!I113</f>
        <v>81964131.735373363</v>
      </c>
      <c r="I6" s="1">
        <f>Assumptions!J113</f>
        <v>81964131.735373363</v>
      </c>
      <c r="J6" s="1">
        <f>Assumptions!K113</f>
        <v>81964131.735373363</v>
      </c>
      <c r="K6" s="1">
        <f>Assumptions!L113</f>
        <v>81964131.735373363</v>
      </c>
      <c r="L6" s="1">
        <f>Assumptions!M113</f>
        <v>81964131.735373363</v>
      </c>
      <c r="M6" s="1">
        <f>Assumptions!N113</f>
        <v>81964131.735373363</v>
      </c>
      <c r="N6" s="1">
        <f>Assumptions!O113</f>
        <v>81964131.735373363</v>
      </c>
      <c r="O6" s="1">
        <f>Assumptions!P113</f>
        <v>81964131.735373363</v>
      </c>
      <c r="P6" s="1">
        <f>Assumptions!Q113</f>
        <v>81964131.735373363</v>
      </c>
      <c r="Q6" s="1">
        <f>Assumptions!R113</f>
        <v>81964131.735373363</v>
      </c>
      <c r="R6" s="1">
        <f>Assumptions!S113</f>
        <v>81964131.735373363</v>
      </c>
      <c r="S6" s="1">
        <f>Assumptions!T113</f>
        <v>81964131.735373363</v>
      </c>
      <c r="T6" s="1">
        <f>Assumptions!U113</f>
        <v>81964131.735373363</v>
      </c>
      <c r="U6" s="1">
        <f>Assumptions!V113</f>
        <v>81964131.735373363</v>
      </c>
      <c r="V6" s="1">
        <f>Assumptions!W113</f>
        <v>81964131.735373363</v>
      </c>
      <c r="W6" s="1">
        <f>Assumptions!X113</f>
        <v>81964131.735373363</v>
      </c>
      <c r="X6" s="1">
        <f>Assumptions!Y113</f>
        <v>81964131.735373363</v>
      </c>
      <c r="Y6" s="1">
        <f>Assumptions!Z113</f>
        <v>81964131.735373363</v>
      </c>
      <c r="Z6" s="1">
        <f>Assumptions!AA113</f>
        <v>81964131.735373363</v>
      </c>
      <c r="AA6" s="1">
        <f>Assumptions!AB113</f>
        <v>81964131.735373363</v>
      </c>
      <c r="AB6" s="1">
        <f>Assumptions!AC113</f>
        <v>81964131.735373363</v>
      </c>
      <c r="AC6" s="1">
        <f>Assumptions!AD113</f>
        <v>81964131.735373363</v>
      </c>
      <c r="AD6" s="1">
        <f>Assumptions!AE113</f>
        <v>81964131.735373363</v>
      </c>
      <c r="AE6" s="1">
        <f>Assumptions!AF113</f>
        <v>81964131.735373363</v>
      </c>
      <c r="AF6" s="1">
        <f>Assumptions!AG113</f>
        <v>81964131.735373363</v>
      </c>
    </row>
    <row r="7" spans="1:32" x14ac:dyDescent="0.35">
      <c r="A7" t="s">
        <v>73</v>
      </c>
      <c r="C7" s="1">
        <f>Assumptions!D120</f>
        <v>1967139.1616489606</v>
      </c>
      <c r="D7" s="1">
        <f>Assumptions!E120</f>
        <v>3934278.3232979211</v>
      </c>
      <c r="E7" s="1">
        <f>Assumptions!F120</f>
        <v>5901417.4849468814</v>
      </c>
      <c r="F7" s="1">
        <f>Assumptions!G120</f>
        <v>7868556.6465958422</v>
      </c>
      <c r="G7" s="1">
        <f>Assumptions!H120</f>
        <v>9826426.2533170059</v>
      </c>
      <c r="H7" s="1">
        <f>Assumptions!I120</f>
        <v>11775069.985115444</v>
      </c>
      <c r="I7" s="1">
        <f>Assumptions!J120</f>
        <v>13714531.316167273</v>
      </c>
      <c r="J7" s="1">
        <f>Assumptions!K120</f>
        <v>15644853.515789552</v>
      </c>
      <c r="K7" s="1">
        <f>Assumptions!L120</f>
        <v>17566079.649405628</v>
      </c>
      <c r="L7" s="1">
        <f>Assumptions!M120</f>
        <v>19483618.615279548</v>
      </c>
      <c r="M7" s="1">
        <f>Assumptions!N120</f>
        <v>21397477.48972873</v>
      </c>
      <c r="N7" s="1">
        <f>Assumptions!O120</f>
        <v>23307663.335489921</v>
      </c>
      <c r="O7" s="1">
        <f>Assumptions!P120</f>
        <v>25214183.201745223</v>
      </c>
      <c r="P7" s="1">
        <f>Assumptions!Q120</f>
        <v>27117044.124148145</v>
      </c>
      <c r="Q7" s="1">
        <f>Assumptions!R120</f>
        <v>29017450.025081202</v>
      </c>
      <c r="R7" s="1">
        <f>Assumptions!S120</f>
        <v>30915404.071948979</v>
      </c>
      <c r="S7" s="1">
        <f>Assumptions!T120</f>
        <v>32810909.428069569</v>
      </c>
      <c r="T7" s="1">
        <f>Assumptions!U120</f>
        <v>34703969.252679832</v>
      </c>
      <c r="U7" s="1">
        <f>Assumptions!V120</f>
        <v>36594586.700940646</v>
      </c>
      <c r="V7" s="1">
        <f>Assumptions!W120</f>
        <v>38485204.14920146</v>
      </c>
      <c r="W7" s="1">
        <f>Assumptions!X120</f>
        <v>40375821.597462282</v>
      </c>
      <c r="X7" s="1">
        <f>Assumptions!Y120</f>
        <v>42266439.045723096</v>
      </c>
      <c r="Y7" s="1">
        <f>Assumptions!Z120</f>
        <v>44157056.493983909</v>
      </c>
      <c r="Z7" s="1">
        <f>Assumptions!AA120</f>
        <v>46047673.942244731</v>
      </c>
      <c r="AA7" s="1">
        <f>Assumptions!AB120</f>
        <v>47938291.390505537</v>
      </c>
      <c r="AB7" s="1">
        <f>Assumptions!AC120</f>
        <v>49828908.838766359</v>
      </c>
      <c r="AC7" s="1">
        <f>Assumptions!AD120</f>
        <v>51719526.287027165</v>
      </c>
      <c r="AD7" s="1">
        <f>Assumptions!AE120</f>
        <v>53610143.735287979</v>
      </c>
      <c r="AE7" s="1">
        <f>Assumptions!AF120</f>
        <v>55500761.183548793</v>
      </c>
      <c r="AF7" s="1">
        <f>Assumptions!AG120</f>
        <v>57391378.631809607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101387264.1605586</v>
      </c>
      <c r="D11" s="1">
        <f>D5*D$9</f>
        <v>104631656.61369646</v>
      </c>
      <c r="E11" s="1">
        <f t="shared" ref="D11:AF13" si="1">E5*E$9</f>
        <v>107979869.62533474</v>
      </c>
      <c r="F11" s="1">
        <f t="shared" si="1"/>
        <v>111435225.45334545</v>
      </c>
      <c r="G11" s="1">
        <f t="shared" si="1"/>
        <v>115001152.66785252</v>
      </c>
      <c r="H11" s="1">
        <f t="shared" si="1"/>
        <v>118681189.55322379</v>
      </c>
      <c r="I11" s="1">
        <f t="shared" si="1"/>
        <v>122478987.61892693</v>
      </c>
      <c r="J11" s="1">
        <f t="shared" si="1"/>
        <v>126398315.2227326</v>
      </c>
      <c r="K11" s="1">
        <f t="shared" si="1"/>
        <v>130443061.30986007</v>
      </c>
      <c r="L11" s="1">
        <f t="shared" si="1"/>
        <v>134617239.27177557</v>
      </c>
      <c r="M11" s="1">
        <f t="shared" si="1"/>
        <v>138924990.92847237</v>
      </c>
      <c r="N11" s="1">
        <f t="shared" si="1"/>
        <v>143370590.6381835</v>
      </c>
      <c r="O11" s="1">
        <f t="shared" si="1"/>
        <v>147958449.53860539</v>
      </c>
      <c r="P11" s="1">
        <f t="shared" si="1"/>
        <v>152693119.92384073</v>
      </c>
      <c r="Q11" s="1">
        <f t="shared" si="1"/>
        <v>157579299.76140362</v>
      </c>
      <c r="R11" s="1">
        <f t="shared" si="1"/>
        <v>162621837.35376856</v>
      </c>
      <c r="S11" s="1">
        <f t="shared" si="1"/>
        <v>167825736.14908919</v>
      </c>
      <c r="T11" s="1">
        <f t="shared" si="1"/>
        <v>173196159.70586002</v>
      </c>
      <c r="U11" s="1">
        <f t="shared" si="1"/>
        <v>178738436.8164475</v>
      </c>
      <c r="V11" s="1">
        <f t="shared" si="1"/>
        <v>184458066.79457384</v>
      </c>
      <c r="W11" s="1">
        <f t="shared" si="1"/>
        <v>190360724.93200022</v>
      </c>
      <c r="X11" s="1">
        <f t="shared" si="1"/>
        <v>196452268.12982422</v>
      </c>
      <c r="Y11" s="1">
        <f t="shared" si="1"/>
        <v>202738740.70997855</v>
      </c>
      <c r="Z11" s="1">
        <f t="shared" si="1"/>
        <v>209226380.41269788</v>
      </c>
      <c r="AA11" s="1">
        <f t="shared" si="1"/>
        <v>215921624.58590427</v>
      </c>
      <c r="AB11" s="1">
        <f t="shared" si="1"/>
        <v>222831116.57265317</v>
      </c>
      <c r="AC11" s="1">
        <f t="shared" si="1"/>
        <v>229961712.30297804</v>
      </c>
      <c r="AD11" s="1">
        <f t="shared" si="1"/>
        <v>237320487.09667337</v>
      </c>
      <c r="AE11" s="1">
        <f t="shared" si="1"/>
        <v>244914742.68376693</v>
      </c>
      <c r="AF11" s="1">
        <f t="shared" si="1"/>
        <v>252752014.44964743</v>
      </c>
    </row>
    <row r="12" spans="1:32" x14ac:dyDescent="0.35">
      <c r="A12" t="s">
        <v>71</v>
      </c>
      <c r="C12" s="1">
        <f t="shared" ref="C12:R12" si="2">C6*C$9</f>
        <v>84586983.950905308</v>
      </c>
      <c r="D12" s="1">
        <f t="shared" si="2"/>
        <v>87293767.437334284</v>
      </c>
      <c r="E12" s="1">
        <f t="shared" si="2"/>
        <v>90087167.995328963</v>
      </c>
      <c r="F12" s="1">
        <f t="shared" si="2"/>
        <v>92969957.371179491</v>
      </c>
      <c r="G12" s="1">
        <f t="shared" si="2"/>
        <v>95944996.00705725</v>
      </c>
      <c r="H12" s="1">
        <f t="shared" si="2"/>
        <v>99015235.879283071</v>
      </c>
      <c r="I12" s="1">
        <f t="shared" si="2"/>
        <v>102183723.42742011</v>
      </c>
      <c r="J12" s="1">
        <f t="shared" si="2"/>
        <v>105453602.57709758</v>
      </c>
      <c r="K12" s="1">
        <f t="shared" si="2"/>
        <v>108828117.85956471</v>
      </c>
      <c r="L12" s="1">
        <f t="shared" si="2"/>
        <v>112310617.63107076</v>
      </c>
      <c r="M12" s="1">
        <f t="shared" si="2"/>
        <v>115904557.39526503</v>
      </c>
      <c r="N12" s="1">
        <f t="shared" si="2"/>
        <v>119613503.23191351</v>
      </c>
      <c r="O12" s="1">
        <f t="shared" si="2"/>
        <v>123441135.33533475</v>
      </c>
      <c r="P12" s="1">
        <f t="shared" si="2"/>
        <v>127391251.66606544</v>
      </c>
      <c r="Q12" s="1">
        <f t="shared" si="2"/>
        <v>131467771.71937951</v>
      </c>
      <c r="R12" s="1">
        <f t="shared" si="2"/>
        <v>135674740.41439968</v>
      </c>
      <c r="S12" s="1">
        <f t="shared" si="1"/>
        <v>140016332.1076605</v>
      </c>
      <c r="T12" s="1">
        <f t="shared" si="1"/>
        <v>144496854.7351056</v>
      </c>
      <c r="U12" s="1">
        <f t="shared" si="1"/>
        <v>149120754.08662897</v>
      </c>
      <c r="V12" s="1">
        <f t="shared" si="1"/>
        <v>153892618.21740112</v>
      </c>
      <c r="W12" s="1">
        <f t="shared" si="1"/>
        <v>158817182.00035799</v>
      </c>
      <c r="X12" s="1">
        <f t="shared" si="1"/>
        <v>163899331.8243694</v>
      </c>
      <c r="Y12" s="1">
        <f t="shared" si="1"/>
        <v>169144110.4427492</v>
      </c>
      <c r="Z12" s="1">
        <f t="shared" si="1"/>
        <v>174556721.97691718</v>
      </c>
      <c r="AA12" s="1">
        <f t="shared" si="1"/>
        <v>180142537.08017859</v>
      </c>
      <c r="AB12" s="1">
        <f t="shared" si="1"/>
        <v>185907098.26674426</v>
      </c>
      <c r="AC12" s="1">
        <f t="shared" si="1"/>
        <v>191856125.41128007</v>
      </c>
      <c r="AD12" s="1">
        <f t="shared" si="1"/>
        <v>197995521.42444104</v>
      </c>
      <c r="AE12" s="1">
        <f t="shared" si="1"/>
        <v>204331378.11002317</v>
      </c>
      <c r="AF12" s="1">
        <f t="shared" si="1"/>
        <v>210869982.20954385</v>
      </c>
    </row>
    <row r="13" spans="1:32" x14ac:dyDescent="0.35">
      <c r="A13" t="s">
        <v>74</v>
      </c>
      <c r="C13" s="1">
        <f>C7*C$9</f>
        <v>2030087.6148217274</v>
      </c>
      <c r="D13" s="1">
        <f t="shared" si="1"/>
        <v>4190100.8369920449</v>
      </c>
      <c r="E13" s="1">
        <f t="shared" si="1"/>
        <v>6486276.0956636854</v>
      </c>
      <c r="F13" s="1">
        <f t="shared" si="1"/>
        <v>8925115.907633232</v>
      </c>
      <c r="G13" s="1">
        <f t="shared" si="1"/>
        <v>11502548.830530208</v>
      </c>
      <c r="H13" s="1">
        <f t="shared" si="1"/>
        <v>14224652.996209294</v>
      </c>
      <c r="I13" s="1">
        <f t="shared" si="1"/>
        <v>17097745.626982879</v>
      </c>
      <c r="J13" s="1">
        <f t="shared" si="1"/>
        <v>20128391.896561384</v>
      </c>
      <c r="K13" s="1">
        <f t="shared" si="1"/>
        <v>23323414.107380696</v>
      </c>
      <c r="L13" s="1">
        <f t="shared" si="1"/>
        <v>26697253.957805328</v>
      </c>
      <c r="M13" s="1">
        <f t="shared" si="1"/>
        <v>30257932.406692356</v>
      </c>
      <c r="N13" s="1">
        <f t="shared" si="1"/>
        <v>34013796.092038557</v>
      </c>
      <c r="O13" s="1">
        <f t="shared" si="1"/>
        <v>37973529.824306123</v>
      </c>
      <c r="P13" s="1">
        <f t="shared" si="1"/>
        <v>42146169.541722916</v>
      </c>
      <c r="Q13" s="1">
        <f t="shared" si="1"/>
        <v>46543035.532815814</v>
      </c>
      <c r="R13" s="1">
        <f t="shared" si="1"/>
        <v>51174084.730257116</v>
      </c>
      <c r="S13" s="1">
        <f t="shared" si="1"/>
        <v>56049677.998995893</v>
      </c>
      <c r="T13" s="1">
        <f t="shared" si="1"/>
        <v>61180595.6784373</v>
      </c>
      <c r="U13" s="1">
        <f t="shared" si="1"/>
        <v>66578053.702211104</v>
      </c>
      <c r="V13" s="1">
        <f t="shared" si="1"/>
        <v>72258300.10953173</v>
      </c>
      <c r="W13" s="1">
        <f t="shared" si="1"/>
        <v>78233906.359929815</v>
      </c>
      <c r="X13" s="1">
        <f t="shared" si="1"/>
        <v>84517958.911041185</v>
      </c>
      <c r="Y13" s="1">
        <f t="shared" si="1"/>
        <v>91124079.305311114</v>
      </c>
      <c r="Z13" s="1">
        <f t="shared" si="1"/>
        <v>98066445.014889449</v>
      </c>
      <c r="AA13" s="1">
        <f t="shared" si="1"/>
        <v>105359811.07267216</v>
      </c>
      <c r="AB13" s="1">
        <f t="shared" si="1"/>
        <v>113019532.51845768</v>
      </c>
      <c r="AC13" s="1">
        <f t="shared" si="1"/>
        <v>121061587.69023505</v>
      </c>
      <c r="AD13" s="1">
        <f t="shared" si="1"/>
        <v>129502602.3917073</v>
      </c>
      <c r="AE13" s="1">
        <f t="shared" si="1"/>
        <v>138359874.96827897</v>
      </c>
      <c r="AF13" s="1">
        <f t="shared" si="1"/>
        <v>147651402.32490209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0.99528779910007625</v>
      </c>
      <c r="H15" s="38">
        <f>Assumptions!I44</f>
        <v>0.9905978030374738</v>
      </c>
      <c r="I15" s="38">
        <f>Assumptions!J44</f>
        <v>0.98592990717853812</v>
      </c>
      <c r="J15" s="38">
        <f>Assumptions!K44</f>
        <v>0.98128400738266963</v>
      </c>
      <c r="K15" s="38">
        <f>Assumptions!L44</f>
        <v>0.97666000000000019</v>
      </c>
      <c r="L15" s="38">
        <f>Assumptions!M44</f>
        <v>0.97478561926779861</v>
      </c>
      <c r="M15" s="38">
        <f>Assumptions!N44</f>
        <v>0.97291483579885063</v>
      </c>
      <c r="N15" s="38">
        <f>Assumptions!O44</f>
        <v>0.97104764268938115</v>
      </c>
      <c r="O15" s="38">
        <f>Assumptions!P44</f>
        <v>0.9691840330488648</v>
      </c>
      <c r="P15" s="38">
        <f>Assumptions!Q44</f>
        <v>0.96732400000000007</v>
      </c>
      <c r="Q15" s="38">
        <f>Assumptions!R44</f>
        <v>0.96607598383636173</v>
      </c>
      <c r="R15" s="38">
        <f>Assumptions!S44</f>
        <v>0.96482957783058643</v>
      </c>
      <c r="S15" s="38">
        <f>Assumptions!T44</f>
        <v>0.96358477990529057</v>
      </c>
      <c r="T15" s="38">
        <f>Assumptions!U44</f>
        <v>0.96234158798577063</v>
      </c>
      <c r="U15" s="38">
        <f>Assumptions!V44</f>
        <v>0.96109999999999995</v>
      </c>
      <c r="V15" s="38">
        <f>Assumptions!W44</f>
        <v>0.96109999999999995</v>
      </c>
      <c r="W15" s="38">
        <f>Assumptions!X44</f>
        <v>0.96109999999999995</v>
      </c>
      <c r="X15" s="38">
        <f>Assumptions!Y44</f>
        <v>0.96109999999999995</v>
      </c>
      <c r="Y15" s="38">
        <f>Assumptions!Z44</f>
        <v>0.96109999999999995</v>
      </c>
      <c r="Z15" s="38">
        <f>Assumptions!AA44</f>
        <v>0.96109999999999995</v>
      </c>
      <c r="AA15" s="38">
        <f>Assumptions!AB44</f>
        <v>0.96109999999999995</v>
      </c>
      <c r="AB15" s="38">
        <f>Assumptions!AC44</f>
        <v>0.96109999999999995</v>
      </c>
      <c r="AC15" s="38">
        <f>Assumptions!AD44</f>
        <v>0.96109999999999995</v>
      </c>
      <c r="AD15" s="38">
        <f>Assumptions!AE44</f>
        <v>0.96109999999999995</v>
      </c>
      <c r="AE15" s="38">
        <f>Assumptions!AF44</f>
        <v>0.96109999999999995</v>
      </c>
      <c r="AF15" s="38">
        <f>Assumptions!AG44</f>
        <v>0.96109999999999995</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-452112.09652763605</v>
      </c>
      <c r="H20" s="1">
        <f t="shared" si="4"/>
        <v>-930960.75002801418</v>
      </c>
      <c r="I20" s="1">
        <f t="shared" si="4"/>
        <v>-1437734.4734663963</v>
      </c>
      <c r="J20" s="1">
        <f t="shared" si="4"/>
        <v>-1973668.8473038524</v>
      </c>
      <c r="K20" s="1">
        <f t="shared" si="4"/>
        <v>-2540048.2708422244</v>
      </c>
      <c r="L20" s="1">
        <f t="shared" si="4"/>
        <v>-2831842.6732185036</v>
      </c>
      <c r="M20" s="1">
        <f t="shared" si="4"/>
        <v>-3139293.9687123001</v>
      </c>
      <c r="N20" s="1">
        <f t="shared" si="4"/>
        <v>-3463092.8847452253</v>
      </c>
      <c r="O20" s="1">
        <f t="shared" si="4"/>
        <v>-3803957.9469042867</v>
      </c>
      <c r="P20" s="1">
        <f t="shared" si="4"/>
        <v>-4162636.5394403487</v>
      </c>
      <c r="Q20" s="1">
        <f t="shared" si="4"/>
        <v>-4459914.812805742</v>
      </c>
      <c r="R20" s="1">
        <f t="shared" si="4"/>
        <v>-4771737.8981000334</v>
      </c>
      <c r="S20" s="1">
        <f t="shared" si="4"/>
        <v>-5098725.5505543947</v>
      </c>
      <c r="T20" s="1">
        <f t="shared" si="4"/>
        <v>-5441522.0903748572</v>
      </c>
      <c r="U20" s="1">
        <f t="shared" si="4"/>
        <v>-5800797.3339698613</v>
      </c>
      <c r="V20" s="1">
        <f t="shared" si="4"/>
        <v>-5986422.8486569226</v>
      </c>
      <c r="W20" s="1">
        <f t="shared" si="4"/>
        <v>-6177988.3798139393</v>
      </c>
      <c r="X20" s="1">
        <f t="shared" si="4"/>
        <v>-6375684.0079679787</v>
      </c>
      <c r="Y20" s="1">
        <f t="shared" si="4"/>
        <v>-6579705.896222949</v>
      </c>
      <c r="Z20" s="1">
        <f t="shared" si="4"/>
        <v>-6790256.4849020839</v>
      </c>
      <c r="AA20" s="1">
        <f t="shared" si="4"/>
        <v>-7007544.6924189627</v>
      </c>
      <c r="AB20" s="1">
        <f t="shared" si="4"/>
        <v>-7231786.1225763559</v>
      </c>
      <c r="AC20" s="1">
        <f t="shared" si="4"/>
        <v>-7463203.2784987986</v>
      </c>
      <c r="AD20" s="1">
        <f t="shared" si="4"/>
        <v>-7702025.7834107578</v>
      </c>
      <c r="AE20" s="1">
        <f t="shared" si="4"/>
        <v>-7948490.608479917</v>
      </c>
      <c r="AF20" s="1">
        <f t="shared" si="4"/>
        <v>-8202842.3079512715</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188004335.72628564</v>
      </c>
      <c r="D25" s="40">
        <f>SUM(D11:D13,D18:D23)</f>
        <v>196115524.88802281</v>
      </c>
      <c r="E25" s="40">
        <f t="shared" ref="E25:AF25" si="7">SUM(E11:E13,E18:E23)</f>
        <v>204553313.7163274</v>
      </c>
      <c r="F25" s="40">
        <f t="shared" si="7"/>
        <v>213330298.73215818</v>
      </c>
      <c r="G25" s="40">
        <f t="shared" si="7"/>
        <v>221996585.40891233</v>
      </c>
      <c r="H25" s="40">
        <f t="shared" si="7"/>
        <v>230990117.67868814</v>
      </c>
      <c r="I25" s="40">
        <f t="shared" si="7"/>
        <v>240322722.19986349</v>
      </c>
      <c r="J25" s="40">
        <f t="shared" si="7"/>
        <v>250006640.84908772</v>
      </c>
      <c r="K25" s="40">
        <f t="shared" si="7"/>
        <v>260054545.00596324</v>
      </c>
      <c r="L25" s="40">
        <f t="shared" si="7"/>
        <v>270793268.18743318</v>
      </c>
      <c r="M25" s="40">
        <f t="shared" si="7"/>
        <v>281948186.76171744</v>
      </c>
      <c r="N25" s="40">
        <f t="shared" si="7"/>
        <v>293534797.07739031</v>
      </c>
      <c r="O25" s="40">
        <f t="shared" si="7"/>
        <v>305569156.75134194</v>
      </c>
      <c r="P25" s="40">
        <f t="shared" si="7"/>
        <v>318067904.59218872</v>
      </c>
      <c r="Q25" s="40">
        <f t="shared" si="7"/>
        <v>331130192.20079315</v>
      </c>
      <c r="R25" s="40">
        <f t="shared" si="7"/>
        <v>344698924.60032529</v>
      </c>
      <c r="S25" s="40">
        <f t="shared" si="7"/>
        <v>358793020.7051912</v>
      </c>
      <c r="T25" s="40">
        <f t="shared" si="7"/>
        <v>373432088.02902806</v>
      </c>
      <c r="U25" s="40">
        <f t="shared" si="7"/>
        <v>388636447.27131772</v>
      </c>
      <c r="V25" s="40">
        <f t="shared" si="7"/>
        <v>404622562.2728498</v>
      </c>
      <c r="W25" s="40">
        <f t="shared" si="7"/>
        <v>421233824.91247404</v>
      </c>
      <c r="X25" s="40">
        <f t="shared" si="7"/>
        <v>438493874.85726678</v>
      </c>
      <c r="Y25" s="40">
        <f t="shared" si="7"/>
        <v>456427224.56181586</v>
      </c>
      <c r="Z25" s="40">
        <f t="shared" si="7"/>
        <v>475059290.91960245</v>
      </c>
      <c r="AA25" s="40">
        <f t="shared" si="7"/>
        <v>494416428.04633605</v>
      </c>
      <c r="AB25" s="40">
        <f t="shared" si="7"/>
        <v>514525961.23527873</v>
      </c>
      <c r="AC25" s="40">
        <f t="shared" si="7"/>
        <v>535416222.12599432</v>
      </c>
      <c r="AD25" s="40">
        <f t="shared" si="7"/>
        <v>557116585.12941098</v>
      </c>
      <c r="AE25" s="40">
        <f t="shared" si="7"/>
        <v>579657505.15358925</v>
      </c>
      <c r="AF25" s="40">
        <f t="shared" si="7"/>
        <v>603070556.67614198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158</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148038908.91128013</v>
      </c>
      <c r="D5" s="59">
        <f>C5*('Price and Financial ratios'!F4+1)*(1+Assumptions!$C$13)</f>
        <v>172840298.06364357</v>
      </c>
      <c r="E5" s="59">
        <f>D5*('Price and Financial ratios'!G4+1)*(1+Assumptions!$C$13)</f>
        <v>201796736.10423952</v>
      </c>
      <c r="F5" s="59">
        <f>E5*('Price and Financial ratios'!H4+1)*(1+Assumptions!$C$13)</f>
        <v>225360663.92120793</v>
      </c>
      <c r="G5" s="59">
        <f>F5*('Price and Financial ratios'!I4+1)*(1+Assumptions!$C$13)</f>
        <v>251676165.94538486</v>
      </c>
      <c r="H5" s="59">
        <f>G5*('Price and Financial ratios'!J4+1)*(1+Assumptions!$C$13)</f>
        <v>273399148.4867627</v>
      </c>
      <c r="I5" s="59">
        <f>H5*('Price and Financial ratios'!K4+1)*(1+Assumptions!$C$13)</f>
        <v>296997111.7944774</v>
      </c>
      <c r="J5" s="59">
        <f>I5*('Price and Financial ratios'!L4+1)*(1+Assumptions!$C$13)</f>
        <v>322631891.51275676</v>
      </c>
      <c r="K5" s="59">
        <f>J5*('Price and Financial ratios'!M4+1)*(1+Assumptions!$C$13)</f>
        <v>350479291.84284681</v>
      </c>
      <c r="L5" s="59">
        <f>K5*('Price and Financial ratios'!N4+1)*(1+Assumptions!$C$13)</f>
        <v>373613837.17288405</v>
      </c>
      <c r="M5" s="59">
        <f>L5*('Price and Financial ratios'!O4+1)*(1+Assumptions!$C$13)</f>
        <v>398275454.71541464</v>
      </c>
      <c r="N5" s="59">
        <f>M5*('Price and Financial ratios'!P4+1)*(1+Assumptions!$C$13)</f>
        <v>420521468.26820207</v>
      </c>
      <c r="O5" s="59">
        <f>N5*('Price and Financial ratios'!Q4+1)*(1+Assumptions!$C$13)</f>
        <v>439740724.36786664</v>
      </c>
      <c r="P5" s="59">
        <f>O5*('Price and Financial ratios'!R4+1)*(1+Assumptions!$C$13)</f>
        <v>459838365.59860593</v>
      </c>
      <c r="Q5" s="59">
        <f>P5*('Price and Financial ratios'!S4+1)*(1+Assumptions!$C$13)</f>
        <v>480854537.13744932</v>
      </c>
      <c r="R5" s="59">
        <f>Q5*('Price and Financial ratios'!T4+1)*(1+Assumptions!$C$13)</f>
        <v>502831218.93205422</v>
      </c>
      <c r="S5" s="59">
        <f>R5*('Price and Financial ratios'!U4+1)*(1+Assumptions!$C$13)</f>
        <v>525812309.55594146</v>
      </c>
      <c r="T5" s="59">
        <f>S5*('Price and Financial ratios'!V4+1)*(1+Assumptions!$C$13)</f>
        <v>549843713.89619863</v>
      </c>
      <c r="U5" s="59">
        <f>T5*('Price and Financial ratios'!W4+1)*(1+Assumptions!$C$13)</f>
        <v>574973434.84880865</v>
      </c>
      <c r="V5" s="59">
        <f>U5*('Price and Financial ratios'!X4+1)*(1+Assumptions!$C$13)</f>
        <v>601251669.20476592</v>
      </c>
      <c r="W5" s="59">
        <f>V5*('Price and Financial ratios'!Y4+1)*(1+Assumptions!$C$13)</f>
        <v>628730907.9185127</v>
      </c>
      <c r="X5" s="59">
        <f>W5*('Price and Financial ratios'!Z4+1)*(1+Assumptions!$C$13)</f>
        <v>654274458.23588073</v>
      </c>
      <c r="Y5" s="59">
        <f>X5*('Price and Financial ratios'!AA4+1)*(1+Assumptions!$C$13)</f>
        <v>680855770.423388</v>
      </c>
      <c r="Z5" s="59">
        <f>Y5*('Price and Financial ratios'!AB4+1)*(1+Assumptions!$C$13)</f>
        <v>708517005.79712939</v>
      </c>
      <c r="AA5" s="59">
        <f>Z5*('Price and Financial ratios'!AC4+1)*(1+Assumptions!$C$13)</f>
        <v>737302038.56767595</v>
      </c>
      <c r="AB5" s="59">
        <f>AA5*('Price and Financial ratios'!AD4+1)*(1+Assumptions!$C$13)</f>
        <v>767256525.4301101</v>
      </c>
      <c r="AC5" s="59">
        <f>AB5*('Price and Financial ratios'!AE4+1)*(1+Assumptions!$C$13)</f>
        <v>796091115.60672772</v>
      </c>
      <c r="AD5" s="59">
        <f>AC5*('Price and Financial ratios'!AF4+1)*(1+Assumptions!$C$13)</f>
        <v>826009350.64408791</v>
      </c>
      <c r="AE5" s="59">
        <f>AD5*('Price and Financial ratios'!AG4+1)*(1+Assumptions!$C$13)</f>
        <v>857051955.45546389</v>
      </c>
      <c r="AF5" s="59">
        <f>AE5*('Price and Financial ratios'!AH4+1)*(1+Assumptions!$C$13)</f>
        <v>889261185.45422292</v>
      </c>
    </row>
    <row r="6" spans="1:32" s="11" customFormat="1" x14ac:dyDescent="0.35">
      <c r="A6" s="11" t="s">
        <v>20</v>
      </c>
      <c r="C6" s="59">
        <f>C27</f>
        <v>71399006.994184658</v>
      </c>
      <c r="D6" s="59">
        <f t="shared" ref="D6:AF6" si="1">D27</f>
        <v>76611433.404429644</v>
      </c>
      <c r="E6" s="59">
        <f>E27</f>
        <v>82035373.643166661</v>
      </c>
      <c r="F6" s="59">
        <f t="shared" si="1"/>
        <v>87678240.023128152</v>
      </c>
      <c r="G6" s="59">
        <f t="shared" si="1"/>
        <v>92927977.179290324</v>
      </c>
      <c r="H6" s="59">
        <f t="shared" si="1"/>
        <v>98323846.570021078</v>
      </c>
      <c r="I6" s="59">
        <f t="shared" si="1"/>
        <v>103869531.67883727</v>
      </c>
      <c r="J6" s="59">
        <f t="shared" si="1"/>
        <v>109568810.79395783</v>
      </c>
      <c r="K6" s="59">
        <f t="shared" si="1"/>
        <v>115425559.57845205</v>
      </c>
      <c r="L6" s="59">
        <f t="shared" si="1"/>
        <v>121919607.99515463</v>
      </c>
      <c r="M6" s="59">
        <f t="shared" si="1"/>
        <v>128637174.58541864</v>
      </c>
      <c r="N6" s="59">
        <f t="shared" si="1"/>
        <v>135585120.1981535</v>
      </c>
      <c r="O6" s="59">
        <f t="shared" si="1"/>
        <v>142770511.695236</v>
      </c>
      <c r="P6" s="59">
        <f t="shared" si="1"/>
        <v>150200628.22924751</v>
      </c>
      <c r="Q6" s="59">
        <f t="shared" si="1"/>
        <v>158022054.09162509</v>
      </c>
      <c r="R6" s="59">
        <f t="shared" si="1"/>
        <v>166119436.12452388</v>
      </c>
      <c r="S6" s="59">
        <f t="shared" si="1"/>
        <v>174501564.12410426</v>
      </c>
      <c r="T6" s="59">
        <f t="shared" si="1"/>
        <v>183177501.51536548</v>
      </c>
      <c r="U6" s="59">
        <f t="shared" si="1"/>
        <v>192156593.9578754</v>
      </c>
      <c r="V6" s="59">
        <f t="shared" si="1"/>
        <v>201815034.4870742</v>
      </c>
      <c r="W6" s="59">
        <f t="shared" si="1"/>
        <v>211836198.41014361</v>
      </c>
      <c r="X6" s="59">
        <f t="shared" si="1"/>
        <v>222232526.71793038</v>
      </c>
      <c r="Y6" s="59">
        <f t="shared" si="1"/>
        <v>233016875.68511826</v>
      </c>
      <c r="Z6" s="59">
        <f t="shared" si="1"/>
        <v>244202530.75375211</v>
      </c>
      <c r="AA6" s="59">
        <f t="shared" si="1"/>
        <v>255803220.88799161</v>
      </c>
      <c r="AB6" s="59">
        <f t="shared" si="1"/>
        <v>267833133.41641223</v>
      </c>
      <c r="AC6" s="59">
        <f t="shared" si="1"/>
        <v>280306929.37875229</v>
      </c>
      <c r="AD6" s="59">
        <f t="shared" si="1"/>
        <v>293239759.39459956</v>
      </c>
      <c r="AE6" s="59">
        <f t="shared" si="1"/>
        <v>306647280.07212919</v>
      </c>
      <c r="AF6" s="59">
        <f t="shared" si="1"/>
        <v>320545670.97564918</v>
      </c>
    </row>
    <row r="7" spans="1:32" x14ac:dyDescent="0.35">
      <c r="A7" t="s">
        <v>21</v>
      </c>
      <c r="C7" s="4">
        <f>Depreciation!C8+Depreciation!C9</f>
        <v>103417351.77538033</v>
      </c>
      <c r="D7" s="4">
        <f>Depreciation!D8+Depreciation!D9</f>
        <v>108821757.4506885</v>
      </c>
      <c r="E7" s="4">
        <f>Depreciation!E8+Depreciation!E9</f>
        <v>114466145.72099842</v>
      </c>
      <c r="F7" s="4">
        <f>Depreciation!F8+Depreciation!F9</f>
        <v>120360341.36097868</v>
      </c>
      <c r="G7" s="4">
        <f>Depreciation!G8+Depreciation!G9</f>
        <v>126503701.49838273</v>
      </c>
      <c r="H7" s="4">
        <f>Depreciation!H8+Depreciation!H9</f>
        <v>132905842.54943308</v>
      </c>
      <c r="I7" s="4">
        <f>Depreciation!I8+Depreciation!I9</f>
        <v>139576733.24590981</v>
      </c>
      <c r="J7" s="4">
        <f>Depreciation!J8+Depreciation!J9</f>
        <v>146526707.11929399</v>
      </c>
      <c r="K7" s="4">
        <f>Depreciation!K8+Depreciation!K9</f>
        <v>153766475.41724077</v>
      </c>
      <c r="L7" s="4">
        <f>Depreciation!L8+Depreciation!L9</f>
        <v>161314493.22958091</v>
      </c>
      <c r="M7" s="4">
        <f>Depreciation!M8+Depreciation!M9</f>
        <v>169182923.33516473</v>
      </c>
      <c r="N7" s="4">
        <f>Depreciation!N8+Depreciation!N9</f>
        <v>177384386.73022205</v>
      </c>
      <c r="O7" s="4">
        <f>Depreciation!O8+Depreciation!O9</f>
        <v>185931979.36291152</v>
      </c>
      <c r="P7" s="4">
        <f>Depreciation!P8+Depreciation!P9</f>
        <v>194839289.46556365</v>
      </c>
      <c r="Q7" s="4">
        <f>Depreciation!Q8+Depreciation!Q9</f>
        <v>204122335.29421943</v>
      </c>
      <c r="R7" s="4">
        <f>Depreciation!R8+Depreciation!R9</f>
        <v>213795922.08402568</v>
      </c>
      <c r="S7" s="4">
        <f>Depreciation!S8+Depreciation!S9</f>
        <v>223875414.14808509</v>
      </c>
      <c r="T7" s="4">
        <f>Depreciation!T8+Depreciation!T9</f>
        <v>234376755.38429731</v>
      </c>
      <c r="U7" s="4">
        <f>Depreciation!U8+Depreciation!U9</f>
        <v>245316490.51865861</v>
      </c>
      <c r="V7" s="4">
        <f>Depreciation!V8+Depreciation!V9</f>
        <v>256716366.90410557</v>
      </c>
      <c r="W7" s="4">
        <f>Depreciation!W8+Depreciation!W9</f>
        <v>268594631.29193002</v>
      </c>
      <c r="X7" s="4">
        <f>Depreciation!X8+Depreciation!X9</f>
        <v>280970227.04086542</v>
      </c>
      <c r="Y7" s="4">
        <f>Depreciation!Y8+Depreciation!Y9</f>
        <v>293862820.01528966</v>
      </c>
      <c r="Z7" s="4">
        <f>Depreciation!Z8+Depreciation!Z9</f>
        <v>307292825.42758733</v>
      </c>
      <c r="AA7" s="4">
        <f>Depreciation!AA8+Depreciation!AA9</f>
        <v>321281435.65857643</v>
      </c>
      <c r="AB7" s="4">
        <f>Depreciation!AB8+Depreciation!AB9</f>
        <v>335850649.09111083</v>
      </c>
      <c r="AC7" s="4">
        <f>Depreciation!AC8+Depreciation!AC9</f>
        <v>351023299.99321306</v>
      </c>
      <c r="AD7" s="4">
        <f>Depreciation!AD8+Depreciation!AD9</f>
        <v>366823089.48838067</v>
      </c>
      <c r="AE7" s="4">
        <f>Depreciation!AE8+Depreciation!AE9</f>
        <v>383274617.65204591</v>
      </c>
      <c r="AF7" s="4">
        <f>Depreciation!AF8+Depreciation!AF9</f>
        <v>400403416.77454948</v>
      </c>
    </row>
    <row r="8" spans="1:32" x14ac:dyDescent="0.35">
      <c r="A8" t="s">
        <v>6</v>
      </c>
      <c r="C8" s="4">
        <f ca="1">'Debt worksheet'!C8</f>
        <v>8911910.5008514579</v>
      </c>
      <c r="D8" s="4">
        <f ca="1">'Debt worksheet'!D8</f>
        <v>12857972.651668156</v>
      </c>
      <c r="E8" s="4">
        <f ca="1">'Debt worksheet'!E8</f>
        <v>16399679.736375196</v>
      </c>
      <c r="F8" s="4">
        <f ca="1">'Debt worksheet'!F8</f>
        <v>19738192.078308746</v>
      </c>
      <c r="G8" s="4">
        <f ca="1">'Debt worksheet'!G8</f>
        <v>22748068.353168257</v>
      </c>
      <c r="H8" s="4">
        <f ca="1">'Debt worksheet'!H8</f>
        <v>25601126.326255322</v>
      </c>
      <c r="I8" s="4">
        <f ca="1">'Debt worksheet'!I8</f>
        <v>28241405.491402216</v>
      </c>
      <c r="J8" s="4">
        <f ca="1">'Debt worksheet'!J8</f>
        <v>30605627.042448003</v>
      </c>
      <c r="K8" s="4">
        <f ca="1">'Debt worksheet'!K8</f>
        <v>32622440.920624766</v>
      </c>
      <c r="L8" s="4">
        <f ca="1">'Debt worksheet'!L8</f>
        <v>34498349.519134097</v>
      </c>
      <c r="M8" s="4">
        <f ca="1">'Debt worksheet'!M8</f>
        <v>36196058.291444913</v>
      </c>
      <c r="N8" s="4">
        <f ca="1">'Debt worksheet'!N8</f>
        <v>37820729.54062371</v>
      </c>
      <c r="O8" s="4">
        <f ca="1">'Debt worksheet'!O8</f>
        <v>39504344.645988189</v>
      </c>
      <c r="P8" s="4">
        <f ca="1">'Debt worksheet'!P8</f>
        <v>41242902.071282126</v>
      </c>
      <c r="Q8" s="4">
        <f ca="1">'Debt worksheet'!Q8</f>
        <v>43039711.80487673</v>
      </c>
      <c r="R8" s="4">
        <f ca="1">'Debt worksheet'!R8</f>
        <v>44890426.702201605</v>
      </c>
      <c r="S8" s="4">
        <f ca="1">'Debt worksheet'!S8</f>
        <v>46789954.753128499</v>
      </c>
      <c r="T8" s="4">
        <f ca="1">'Debt worksheet'!T8</f>
        <v>48732394.197736084</v>
      </c>
      <c r="U8" s="4">
        <f ca="1">'Debt worksheet'!U8</f>
        <v>50710964.166890711</v>
      </c>
      <c r="V8" s="4">
        <f ca="1">'Debt worksheet'!V8</f>
        <v>52738312.571317352</v>
      </c>
      <c r="W8" s="4">
        <f ca="1">'Debt worksheet'!W8</f>
        <v>54808478.352809347</v>
      </c>
      <c r="X8" s="4">
        <f ca="1">'Debt worksheet'!X8</f>
        <v>57030358.932316497</v>
      </c>
      <c r="Y8" s="4">
        <f ca="1">'Debt worksheet'!Y8</f>
        <v>59410311.374238975</v>
      </c>
      <c r="Z8" s="4">
        <f ca="1">'Debt worksheet'!Z8</f>
        <v>61954797.854825757</v>
      </c>
      <c r="AA8" s="4">
        <f ca="1">'Debt worksheet'!AA8</f>
        <v>64670377.427625462</v>
      </c>
      <c r="AB8" s="4">
        <f ca="1">'Debt worksheet'!AB8</f>
        <v>67563696.736145899</v>
      </c>
      <c r="AC8" s="4">
        <f ca="1">'Debt worksheet'!AC8</f>
        <v>70726236.261737362</v>
      </c>
      <c r="AD8" s="4">
        <f ca="1">'Debt worksheet'!AD8</f>
        <v>74174488.132160261</v>
      </c>
      <c r="AE8" s="4">
        <f ca="1">'Debt worksheet'!AE8</f>
        <v>77925738.004268572</v>
      </c>
      <c r="AF8" s="4">
        <f ca="1">'Debt worksheet'!AF8</f>
        <v>81998097.907962143</v>
      </c>
    </row>
    <row r="9" spans="1:32" x14ac:dyDescent="0.35">
      <c r="A9" t="s">
        <v>22</v>
      </c>
      <c r="C9" s="4">
        <f ca="1">C5-C6-C7-C8</f>
        <v>-35689360.359136321</v>
      </c>
      <c r="D9" s="4">
        <f t="shared" ref="D9:AF9" ca="1" si="2">D5-D6-D7-D8</f>
        <v>-25450865.44314272</v>
      </c>
      <c r="E9" s="4">
        <f t="shared" ca="1" si="2"/>
        <v>-11104462.996300755</v>
      </c>
      <c r="F9" s="4">
        <f t="shared" ca="1" si="2"/>
        <v>-2416109.5412076414</v>
      </c>
      <c r="G9" s="4">
        <f t="shared" ca="1" si="2"/>
        <v>9496418.9145435467</v>
      </c>
      <c r="H9" s="4">
        <f t="shared" ca="1" si="2"/>
        <v>16568333.041053206</v>
      </c>
      <c r="I9" s="4">
        <f t="shared" ca="1" si="2"/>
        <v>25309441.378328107</v>
      </c>
      <c r="J9" s="4">
        <f t="shared" ca="1" si="2"/>
        <v>35930746.557056949</v>
      </c>
      <c r="K9" s="4">
        <f t="shared" ca="1" si="2"/>
        <v>48664815.926529229</v>
      </c>
      <c r="L9" s="4">
        <f t="shared" ca="1" si="2"/>
        <v>55881386.429014422</v>
      </c>
      <c r="M9" s="4">
        <f t="shared" ca="1" si="2"/>
        <v>64259298.503386363</v>
      </c>
      <c r="N9" s="4">
        <f t="shared" ca="1" si="2"/>
        <v>69731231.799202815</v>
      </c>
      <c r="O9" s="4">
        <f t="shared" ca="1" si="2"/>
        <v>71533888.663730949</v>
      </c>
      <c r="P9" s="4">
        <f t="shared" ca="1" si="2"/>
        <v>73555545.832512647</v>
      </c>
      <c r="Q9" s="4">
        <f t="shared" ca="1" si="2"/>
        <v>75670435.946728066</v>
      </c>
      <c r="R9" s="4">
        <f t="shared" ca="1" si="2"/>
        <v>78025434.021303058</v>
      </c>
      <c r="S9" s="4">
        <f t="shared" ca="1" si="2"/>
        <v>80645376.530623615</v>
      </c>
      <c r="T9" s="4">
        <f t="shared" ca="1" si="2"/>
        <v>83557062.798799753</v>
      </c>
      <c r="U9" s="4">
        <f t="shared" ca="1" si="2"/>
        <v>86789386.205383956</v>
      </c>
      <c r="V9" s="4">
        <f t="shared" ca="1" si="2"/>
        <v>89981955.242268801</v>
      </c>
      <c r="W9" s="4">
        <f t="shared" ca="1" si="2"/>
        <v>93491599.863629729</v>
      </c>
      <c r="X9" s="4">
        <f t="shared" ca="1" si="2"/>
        <v>94041345.544768438</v>
      </c>
      <c r="Y9" s="4">
        <f t="shared" ca="1" si="2"/>
        <v>94565763.348741114</v>
      </c>
      <c r="Z9" s="4">
        <f t="shared" ca="1" si="2"/>
        <v>95066851.760964185</v>
      </c>
      <c r="AA9" s="4">
        <f t="shared" ca="1" si="2"/>
        <v>95547004.59348245</v>
      </c>
      <c r="AB9" s="4">
        <f t="shared" ca="1" si="2"/>
        <v>96009046.186441138</v>
      </c>
      <c r="AC9" s="4">
        <f t="shared" ca="1" si="2"/>
        <v>94034649.973025009</v>
      </c>
      <c r="AD9" s="4">
        <f t="shared" ca="1" si="2"/>
        <v>91772013.628947422</v>
      </c>
      <c r="AE9" s="4">
        <f t="shared" ca="1" si="2"/>
        <v>89204319.727020159</v>
      </c>
      <c r="AF9" s="4">
        <f t="shared" ca="1" si="2"/>
        <v>86313999.796062171</v>
      </c>
    </row>
    <row r="12" spans="1:32" x14ac:dyDescent="0.35">
      <c r="A12" t="s">
        <v>79</v>
      </c>
      <c r="C12" s="2">
        <f>Assumptions!$C$25*Assumptions!D9*Assumptions!D13</f>
        <v>68885986.715178117</v>
      </c>
      <c r="D12" s="2">
        <f>Assumptions!$C$25*Assumptions!E9*Assumptions!E13</f>
        <v>71474819.954140261</v>
      </c>
      <c r="E12" s="2">
        <f>Assumptions!$C$25*Assumptions!F9*Assumptions!F13</f>
        <v>74160945.223873034</v>
      </c>
      <c r="F12" s="2">
        <f>Assumptions!$C$25*Assumptions!G9*Assumptions!G13</f>
        <v>76948018.89710404</v>
      </c>
      <c r="G12" s="2">
        <f>Assumptions!$C$25*Assumptions!H9*Assumptions!H13</f>
        <v>79839834.758242294</v>
      </c>
      <c r="H12" s="2">
        <f>Assumptions!$C$25*Assumptions!I9*Assumptions!I13</f>
        <v>82840329.167504236</v>
      </c>
      <c r="I12" s="2">
        <f>Assumptions!$C$25*Assumptions!J9*Assumptions!J13</f>
        <v>85953586.419115171</v>
      </c>
      <c r="J12" s="2">
        <f>Assumptions!$C$25*Assumptions!K9*Assumptions!K13</f>
        <v>89183844.300879419</v>
      </c>
      <c r="K12" s="2">
        <f>Assumptions!$C$25*Assumptions!L9*Assumptions!L13</f>
        <v>92535499.862687171</v>
      </c>
      <c r="L12" s="2">
        <f>Assumptions!$C$25*Assumptions!M9*Assumptions!M13</f>
        <v>96013115.401809871</v>
      </c>
      <c r="M12" s="2">
        <f>Assumptions!$C$25*Assumptions!N9*Assumptions!N13</f>
        <v>99621424.673131526</v>
      </c>
      <c r="N12" s="2">
        <f>Assumptions!$C$25*Assumptions!O9*Assumptions!O13</f>
        <v>103365339.33276927</v>
      </c>
      <c r="O12" s="2">
        <f>Assumptions!$C$25*Assumptions!P9*Assumptions!P13</f>
        <v>107249955.62385474</v>
      </c>
      <c r="P12" s="2">
        <f>Assumptions!$C$25*Assumptions!Q9*Assumptions!Q13</f>
        <v>111280561.31357588</v>
      </c>
      <c r="Q12" s="2">
        <f>Assumptions!$C$25*Assumptions!R9*Assumptions!R13</f>
        <v>115462642.89092343</v>
      </c>
      <c r="R12" s="2">
        <f>Assumptions!$C$25*Assumptions!S9*Assumptions!S13</f>
        <v>119801893.03493823</v>
      </c>
      <c r="S12" s="2">
        <f>Assumptions!$C$25*Assumptions!T9*Assumptions!T13</f>
        <v>124304218.36362661</v>
      </c>
      <c r="T12" s="2">
        <f>Assumptions!$C$25*Assumptions!U9*Assumptions!U13</f>
        <v>128975747.47409028</v>
      </c>
      <c r="U12" s="2">
        <f>Assumptions!$C$25*Assumptions!V9*Assumptions!V13</f>
        <v>133822839.28481621</v>
      </c>
      <c r="V12" s="2">
        <f>Assumptions!$C$25*Assumptions!W9*Assumptions!W13</f>
        <v>138852091.69148153</v>
      </c>
      <c r="W12" s="2">
        <f>Assumptions!$C$25*Assumptions!X9*Assumptions!X13</f>
        <v>144070350.54805571</v>
      </c>
      <c r="X12" s="2">
        <f>Assumptions!$C$25*Assumptions!Y9*Assumptions!Y13</f>
        <v>149484718.9854255</v>
      </c>
      <c r="Y12" s="2">
        <f>Assumptions!$C$25*Assumptions!Z9*Assumptions!Z13</f>
        <v>155102567.08022708</v>
      </c>
      <c r="Z12" s="2">
        <f>Assumptions!$C$25*Assumptions!AA9*Assumptions!AA13</f>
        <v>160931541.88704616</v>
      </c>
      <c r="AA12" s="2">
        <f>Assumptions!$C$25*Assumptions!AB9*Assumptions!AB13</f>
        <v>166979577.84764335</v>
      </c>
      <c r="AB12" s="2">
        <f>Assumptions!$C$25*Assumptions!AC9*Assumptions!AC13</f>
        <v>173254907.59137192</v>
      </c>
      <c r="AC12" s="2">
        <f>Assumptions!$C$25*Assumptions!AD9*Assumptions!AD13</f>
        <v>179766073.14149153</v>
      </c>
      <c r="AD12" s="2">
        <f>Assumptions!$C$25*Assumptions!AE9*Assumptions!AE13</f>
        <v>186521937.54263037</v>
      </c>
      <c r="AE12" s="2">
        <f>Assumptions!$C$25*Assumptions!AF9*Assumptions!AF13</f>
        <v>193531696.92522469</v>
      </c>
      <c r="AF12" s="2">
        <f>Assumptions!$C$25*Assumptions!AG9*Assumptions!AG13</f>
        <v>200804893.02335623</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2513020.2790065473</v>
      </c>
      <c r="D14" s="5">
        <f>Assumptions!E122*Assumptions!E9</f>
        <v>5136613.4502893826</v>
      </c>
      <c r="E14" s="5">
        <f>Assumptions!F122*Assumptions!F9</f>
        <v>7874428.4192936225</v>
      </c>
      <c r="F14" s="5">
        <f>Assumptions!G122*Assumptions!G9</f>
        <v>10730221.126024112</v>
      </c>
      <c r="G14" s="5">
        <f>Assumptions!H122*Assumptions!H9</f>
        <v>13694938.652817139</v>
      </c>
      <c r="H14" s="5">
        <f>Assumptions!I122*Assumptions!I9</f>
        <v>16771769.489124861</v>
      </c>
      <c r="I14" s="5">
        <f>Assumptions!J122*Assumptions!J9</f>
        <v>19963985.883463275</v>
      </c>
      <c r="J14" s="5">
        <f>Assumptions!K122*Assumptions!K9</f>
        <v>23274945.920027073</v>
      </c>
      <c r="K14" s="5">
        <f>Assumptions!L122*Assumptions!L9</f>
        <v>26708095.645009708</v>
      </c>
      <c r="L14" s="5">
        <f>Assumptions!M122*Assumptions!M9</f>
        <v>30275309.448144492</v>
      </c>
      <c r="M14" s="5">
        <f>Assumptions!N122*Assumptions!N9</f>
        <v>33980709.694506183</v>
      </c>
      <c r="N14" s="5">
        <f>Assumptions!O122*Assumptions!O9</f>
        <v>37828532.945588946</v>
      </c>
      <c r="O14" s="5">
        <f>Assumptions!P122*Assumptions!P9</f>
        <v>41823132.942622706</v>
      </c>
      <c r="P14" s="5">
        <f>Assumptions!Q122*Assumptions!Q9</f>
        <v>45968983.664960518</v>
      </c>
      <c r="Q14" s="5">
        <f>Assumptions!R122*Assumptions!R9</f>
        <v>50272756.096016057</v>
      </c>
      <c r="R14" s="5">
        <f>Assumptions!S122*Assumptions!S9</f>
        <v>54739304.23429215</v>
      </c>
      <c r="S14" s="5">
        <f>Assumptions!T122*Assumptions!T9</f>
        <v>59373617.400877088</v>
      </c>
      <c r="T14" s="5">
        <f>Assumptions!U122*Assumptions!U9</f>
        <v>64180823.806678623</v>
      </c>
      <c r="U14" s="5">
        <f>Assumptions!V122*Assumptions!V9</f>
        <v>69166194.210341856</v>
      </c>
      <c r="V14" s="5">
        <f>Assumptions!W122*Assumptions!W9</f>
        <v>74339857.393043816</v>
      </c>
      <c r="W14" s="5">
        <f>Assumptions!X122*Assumptions!X9</f>
        <v>79707685.317786872</v>
      </c>
      <c r="X14" s="5">
        <f>Assumptions!Y122*Assumptions!Y9</f>
        <v>85275717.180240363</v>
      </c>
      <c r="Y14" s="5">
        <f>Assumptions!Z122*Assumptions!Z9</f>
        <v>91050163.924948022</v>
      </c>
      <c r="Z14" s="5">
        <f>Assumptions!AA122*Assumptions!AA9</f>
        <v>97037412.879307583</v>
      </c>
      <c r="AA14" s="5">
        <f>Assumptions!AB122*Assumptions!AB9</f>
        <v>103244032.50831929</v>
      </c>
      <c r="AB14" s="5">
        <f>Assumptions!AC122*Assumptions!AC9</f>
        <v>109676777.29317392</v>
      </c>
      <c r="AC14" s="5">
        <f>Assumptions!AD122*Assumptions!AD9</f>
        <v>116342592.73682812</v>
      </c>
      <c r="AD14" s="5">
        <f>Assumptions!AE122*Assumptions!AE9</f>
        <v>123248620.49979322</v>
      </c>
      <c r="AE14" s="5">
        <f>Assumptions!AF122*Assumptions!AF9</f>
        <v>130402203.66944414</v>
      </c>
      <c r="AF14" s="5">
        <f>Assumptions!AG122*Assumptions!AG9</f>
        <v>137810892.1662378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188</v>
      </c>
      <c r="C16" s="37">
        <f>Assumptions!D43</f>
        <v>1</v>
      </c>
      <c r="D16" s="37">
        <f>Assumptions!E43</f>
        <v>1</v>
      </c>
      <c r="E16" s="37">
        <f>Assumptions!F43</f>
        <v>1</v>
      </c>
      <c r="F16" s="37">
        <f>Assumptions!G43</f>
        <v>1</v>
      </c>
      <c r="G16" s="37">
        <f>Assumptions!H43</f>
        <v>0.99351261344160846</v>
      </c>
      <c r="H16" s="37">
        <f>Assumptions!I43</f>
        <v>0.98706731306757489</v>
      </c>
      <c r="I16" s="37">
        <f>Assumptions!J43</f>
        <v>0.98066382584855261</v>
      </c>
      <c r="J16" s="37">
        <f>Assumptions!K43</f>
        <v>0.97430188052644184</v>
      </c>
      <c r="K16" s="37">
        <f>Assumptions!L43</f>
        <v>0.96798120760289896</v>
      </c>
      <c r="L16" s="37">
        <f>Assumptions!M43</f>
        <v>0.96540603891456866</v>
      </c>
      <c r="M16" s="37">
        <f>Assumptions!N43</f>
        <v>0.96283772107594623</v>
      </c>
      <c r="N16" s="37">
        <f>Assumptions!O43</f>
        <v>0.96027623586137456</v>
      </c>
      <c r="O16" s="37">
        <f>Assumptions!P43</f>
        <v>0.957721565093683</v>
      </c>
      <c r="P16" s="37">
        <f>Assumptions!Q43</f>
        <v>0.95517369064405866</v>
      </c>
      <c r="Q16" s="37">
        <f>Assumptions!R43</f>
        <v>0.95345988278628269</v>
      </c>
      <c r="R16" s="37">
        <f>Assumptions!S43</f>
        <v>0.95174914990576176</v>
      </c>
      <c r="S16" s="37">
        <f>Assumptions!T43</f>
        <v>0.95004148648525832</v>
      </c>
      <c r="T16" s="37">
        <f>Assumptions!U43</f>
        <v>0.94833688701743402</v>
      </c>
      <c r="U16" s="37">
        <f>Assumptions!V43</f>
        <v>0.94663534600483201</v>
      </c>
      <c r="V16" s="37">
        <f>Assumptions!W43</f>
        <v>0.94663534600483201</v>
      </c>
      <c r="W16" s="37">
        <f>Assumptions!X43</f>
        <v>0.94663534600483201</v>
      </c>
      <c r="X16" s="37">
        <f>Assumptions!Y43</f>
        <v>0.94663534600483201</v>
      </c>
      <c r="Y16" s="37">
        <f>Assumptions!Z43</f>
        <v>0.94663534600483201</v>
      </c>
      <c r="Z16" s="37">
        <f>Assumptions!AA43</f>
        <v>0.94663534600483201</v>
      </c>
      <c r="AA16" s="37">
        <f>Assumptions!AB43</f>
        <v>0.94663534600483201</v>
      </c>
      <c r="AB16" s="37">
        <f>Assumptions!AC43</f>
        <v>0.94663534600483201</v>
      </c>
      <c r="AC16" s="37">
        <f>Assumptions!AD43</f>
        <v>0.94663534600483201</v>
      </c>
      <c r="AD16" s="37">
        <f>Assumptions!AE43</f>
        <v>0.94663534600483201</v>
      </c>
      <c r="AE16" s="37">
        <f>Assumptions!AF43</f>
        <v>0.94663534600483201</v>
      </c>
      <c r="AF16" s="37">
        <f>Assumptions!AG43</f>
        <v>0.94663534600483201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-517951.87083482742</v>
      </c>
      <c r="H19" s="44">
        <f t="shared" si="3"/>
        <v>-1071348.0425023735</v>
      </c>
      <c r="I19" s="44">
        <f t="shared" si="3"/>
        <v>-1662013.5159415007</v>
      </c>
      <c r="J19" s="44">
        <f t="shared" si="3"/>
        <v>-2291857.0859552026</v>
      </c>
      <c r="K19" s="44">
        <f t="shared" si="3"/>
        <v>-2962874.9594653547</v>
      </c>
      <c r="L19" s="44">
        <f t="shared" si="3"/>
        <v>-3321473.9779012352</v>
      </c>
      <c r="M19" s="44">
        <f t="shared" si="3"/>
        <v>-3702159.170514524</v>
      </c>
      <c r="N19" s="44">
        <f t="shared" si="3"/>
        <v>-4106060.3597639054</v>
      </c>
      <c r="O19" s="44">
        <f t="shared" si="3"/>
        <v>-4534360.2675485313</v>
      </c>
      <c r="P19" s="44">
        <f t="shared" si="3"/>
        <v>-4988296.8667451441</v>
      </c>
      <c r="Q19" s="44">
        <f t="shared" si="3"/>
        <v>-5373644.9339491576</v>
      </c>
      <c r="R19" s="44">
        <f t="shared" si="3"/>
        <v>-5780543.1818347722</v>
      </c>
      <c r="S19" s="44">
        <f t="shared" si="3"/>
        <v>-6210053.973058641</v>
      </c>
      <c r="T19" s="44">
        <f t="shared" si="3"/>
        <v>-6663288.6137648225</v>
      </c>
      <c r="U19" s="44">
        <f t="shared" si="3"/>
        <v>-7141409.5150851905</v>
      </c>
      <c r="V19" s="44">
        <f t="shared" si="3"/>
        <v>-7409793.8296212554</v>
      </c>
      <c r="W19" s="44">
        <f t="shared" si="3"/>
        <v>-7688264.4079595506</v>
      </c>
      <c r="X19" s="44">
        <f t="shared" si="3"/>
        <v>-7977200.3062221408</v>
      </c>
      <c r="Y19" s="44">
        <f t="shared" si="3"/>
        <v>-8276994.8259986639</v>
      </c>
      <c r="Z19" s="44">
        <f t="shared" si="3"/>
        <v>-8588056.0497111082</v>
      </c>
      <c r="AA19" s="44">
        <f t="shared" si="3"/>
        <v>-8910807.3960987031</v>
      </c>
      <c r="AB19" s="44">
        <f t="shared" si="3"/>
        <v>-9245688.1965783536</v>
      </c>
      <c r="AC19" s="44">
        <f t="shared" si="3"/>
        <v>-9593154.2932657599</v>
      </c>
      <c r="AD19" s="44">
        <f t="shared" si="3"/>
        <v>-9953678.6594707966</v>
      </c>
      <c r="AE19" s="44">
        <f t="shared" si="3"/>
        <v>-10327752.043512344</v>
      </c>
      <c r="AF19" s="44">
        <f t="shared" si="3"/>
        <v>-10715883.636728138</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-88844.360934281722</v>
      </c>
      <c r="H24" s="44">
        <f t="shared" si="6"/>
        <v>-216904.04410565086</v>
      </c>
      <c r="I24" s="44">
        <f t="shared" si="6"/>
        <v>-386027.10779968277</v>
      </c>
      <c r="J24" s="44">
        <f t="shared" si="6"/>
        <v>-598122.34099346027</v>
      </c>
      <c r="K24" s="44">
        <f t="shared" si="6"/>
        <v>-855160.96977948397</v>
      </c>
      <c r="L24" s="44">
        <f t="shared" si="6"/>
        <v>-1047342.8768985011</v>
      </c>
      <c r="M24" s="44">
        <f t="shared" si="6"/>
        <v>-1262800.6117045358</v>
      </c>
      <c r="N24" s="44">
        <f t="shared" si="6"/>
        <v>-1502691.7204407975</v>
      </c>
      <c r="O24" s="44">
        <f t="shared" si="6"/>
        <v>-1768216.603692919</v>
      </c>
      <c r="P24" s="44">
        <f t="shared" si="6"/>
        <v>-2060619.8825437352</v>
      </c>
      <c r="Q24" s="44">
        <f t="shared" si="6"/>
        <v>-2339699.961365208</v>
      </c>
      <c r="R24" s="44">
        <f t="shared" si="6"/>
        <v>-2641217.9628717303</v>
      </c>
      <c r="S24" s="44">
        <f t="shared" si="6"/>
        <v>-2966217.6673408225</v>
      </c>
      <c r="T24" s="44">
        <f t="shared" si="6"/>
        <v>-3315781.1516385972</v>
      </c>
      <c r="U24" s="44">
        <f t="shared" si="6"/>
        <v>-3691030.022197485</v>
      </c>
      <c r="V24" s="44">
        <f t="shared" si="6"/>
        <v>-3967120.7678299099</v>
      </c>
      <c r="W24" s="44">
        <f t="shared" si="6"/>
        <v>-4253573.0477394313</v>
      </c>
      <c r="X24" s="44">
        <f t="shared" si="6"/>
        <v>-4550709.1415133327</v>
      </c>
      <c r="Y24" s="44">
        <f t="shared" si="6"/>
        <v>-4858860.4940581769</v>
      </c>
      <c r="Z24" s="44">
        <f t="shared" si="6"/>
        <v>-5178367.9628905058</v>
      </c>
      <c r="AA24" s="44">
        <f t="shared" si="6"/>
        <v>-5509582.0718723387</v>
      </c>
      <c r="AB24" s="44">
        <f t="shared" si="6"/>
        <v>-5852863.2715553194</v>
      </c>
      <c r="AC24" s="44">
        <f t="shared" si="6"/>
        <v>-6208582.2063015699</v>
      </c>
      <c r="AD24" s="44">
        <f t="shared" si="6"/>
        <v>-6577119.9883532375</v>
      </c>
      <c r="AE24" s="44">
        <f t="shared" si="6"/>
        <v>-6958868.479027316</v>
      </c>
      <c r="AF24" s="44">
        <f t="shared" si="6"/>
        <v>-7354230.5772166848</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71399006.994184658</v>
      </c>
      <c r="D27" s="2">
        <f t="shared" ref="D27:AF27" si="8">D12+D13+D14+D19+D20+D22+D24+D25</f>
        <v>76611433.404429644</v>
      </c>
      <c r="E27" s="2">
        <f t="shared" si="8"/>
        <v>82035373.643166661</v>
      </c>
      <c r="F27" s="2">
        <f t="shared" si="8"/>
        <v>87678240.023128152</v>
      </c>
      <c r="G27" s="2">
        <f t="shared" si="8"/>
        <v>92927977.179290324</v>
      </c>
      <c r="H27" s="2">
        <f t="shared" si="8"/>
        <v>98323846.570021078</v>
      </c>
      <c r="I27" s="2">
        <f t="shared" si="8"/>
        <v>103869531.67883727</v>
      </c>
      <c r="J27" s="2">
        <f t="shared" si="8"/>
        <v>109568810.79395783</v>
      </c>
      <c r="K27" s="2">
        <f t="shared" si="8"/>
        <v>115425559.57845205</v>
      </c>
      <c r="L27" s="2">
        <f t="shared" si="8"/>
        <v>121919607.99515463</v>
      </c>
      <c r="M27" s="2">
        <f t="shared" si="8"/>
        <v>128637174.58541864</v>
      </c>
      <c r="N27" s="2">
        <f t="shared" si="8"/>
        <v>135585120.1981535</v>
      </c>
      <c r="O27" s="2">
        <f t="shared" si="8"/>
        <v>142770511.695236</v>
      </c>
      <c r="P27" s="2">
        <f t="shared" si="8"/>
        <v>150200628.22924751</v>
      </c>
      <c r="Q27" s="2">
        <f t="shared" si="8"/>
        <v>158022054.09162509</v>
      </c>
      <c r="R27" s="2">
        <f t="shared" si="8"/>
        <v>166119436.12452388</v>
      </c>
      <c r="S27" s="2">
        <f t="shared" si="8"/>
        <v>174501564.12410426</v>
      </c>
      <c r="T27" s="2">
        <f t="shared" si="8"/>
        <v>183177501.51536548</v>
      </c>
      <c r="U27" s="2">
        <f t="shared" si="8"/>
        <v>192156593.9578754</v>
      </c>
      <c r="V27" s="2">
        <f t="shared" si="8"/>
        <v>201815034.4870742</v>
      </c>
      <c r="W27" s="2">
        <f t="shared" si="8"/>
        <v>211836198.41014361</v>
      </c>
      <c r="X27" s="2">
        <f t="shared" si="8"/>
        <v>222232526.71793038</v>
      </c>
      <c r="Y27" s="2">
        <f t="shared" si="8"/>
        <v>233016875.68511826</v>
      </c>
      <c r="Z27" s="2">
        <f t="shared" si="8"/>
        <v>244202530.75375211</v>
      </c>
      <c r="AA27" s="2">
        <f t="shared" si="8"/>
        <v>255803220.88799161</v>
      </c>
      <c r="AB27" s="2">
        <f t="shared" si="8"/>
        <v>267833133.41641223</v>
      </c>
      <c r="AC27" s="2">
        <f t="shared" si="8"/>
        <v>280306929.37875229</v>
      </c>
      <c r="AD27" s="2">
        <f t="shared" si="8"/>
        <v>293239759.39459956</v>
      </c>
      <c r="AE27" s="2">
        <f t="shared" si="8"/>
        <v>306647280.07212919</v>
      </c>
      <c r="AF27" s="2">
        <f t="shared" si="8"/>
        <v>320545670.97564918</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3W2DU3RAJ5R2-1900874439-843</_dlc_DocId>
    <_dlc_DocIdUrl xmlns="f54e2983-00ce-40fc-8108-18f351fc47bf">
      <Url>https://dia.cohesion.net.nz/Sites/LGV/TWRP/CAE/_layouts/15/DocIdRedir.aspx?ID=3W2DU3RAJ5R2-1900874439-843</Url>
      <Description>3W2DU3RAJ5R2-1900874439-843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3D156289-BD5C-4FCB-A89C-2169FF2E0F10}"/>
</file>

<file path=customXml/itemProps3.xml><?xml version="1.0" encoding="utf-8"?>
<ds:datastoreItem xmlns:ds="http://schemas.openxmlformats.org/officeDocument/2006/customXml" ds:itemID="{CBCC2D2A-763C-48F8-A3E5-6B0A81386C3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5b6d800-2dda-48d6-88d8-9e2b35e6f7ea"/>
    <ds:schemaRef ds:uri="08a23fc5-e034-477c-ac83-93bc1440f322"/>
    <ds:schemaRef ds:uri="http://purl.org/dc/terms/"/>
    <ds:schemaRef ds:uri="http://schemas.microsoft.com/office/2006/documentManagement/typ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F7CC12CE-9B0B-482F-A97C-A910CC27D8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2021-07-01T15:09:55Z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449decd5-1a1a-4ab7-8851-02c7424d5c5a</vt:lpwstr>
  </property>
</Properties>
</file>