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4" documentId="8_{8EED2B17-7400-43C5-91A7-5AF0B57DE0F7}" xr6:coauthVersionLast="47" xr6:coauthVersionMax="47" xr10:uidLastSave="{E9FE7498-C5FD-4322-9C61-F095F738C4F7}"/>
  <bookViews>
    <workbookView xWindow="0" yWindow="38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"DtR_Solver"</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<sst xmlns="http://schemas.openxmlformats.org/spreadsheetml/2006/main" count="277" uniqueCount="204">
  <si>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</si>
  <si>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</si>
  <si>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</si>
  <si>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</si>
  <si>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</si>
  <si>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</si>
  <si>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</si>
  <si>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</si>
  <si>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</si>
  <si>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</si>
  <si>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</si>
  <si>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</si>
  <si>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</si>
  <si>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</si>
  <si>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</si>
  <si>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</si>
  <si>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</si>
  <si>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</si>
  <si>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</si>
  <si>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</si>
  <si>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</si>
  <si>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</si>
  <si>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</si>
  <si>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</si>
  <si>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</si>
  <si>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</si>
  <si>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</si>
  <si>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</si>
  <si>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</si>
  <si>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</si>
  <si>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</si>
  <si>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</si>
  <si>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</si>
  <si>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</si>
  <si>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</si>
  <si>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</si>
  <si>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</si>
  <si>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</si>
  <si>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</si>
  <si>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</si>
  <si>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</si>
  <si>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</si>
  <si>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</si>
  <si>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</si>
  <si>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</si>
  <si>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</si>
  <si>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</si>
  <si>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</si>
  <si>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</si>
  <si>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</si>
  <si>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</si>
  <si>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</si>
  <si>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</si>
  <si>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</si>
  <si>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</si>
  <si>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</si>
  <si>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</si>
  <si>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</si>
  <si>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</si>
  <si>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</si>
  <si>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</si>
  <si>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</si>
  <si>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</si>
  <si>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</si>
  <si>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</si>
  <si>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</si>
  <si>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</si>
  <si>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</si>
  <si>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</si>
  <si>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</si>
  <si>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</si>
  <si>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</si>
  <si>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</si>
  <si>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</si>
  <si>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</si>
  <si>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</si>
  <si>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</si>
  <si>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</si>
  <si>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</si>
  <si>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</si>
  <si>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</si>
  <si>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</si>
  <si>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</si>
  <si>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</si>
  <si>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</si>
  <si>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</si>
  <si>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</si>
  <si>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</si>
  <si>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</si>
  <si>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</si>
  <si>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</si>
  <si>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</si>
  <si>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</si>
  <si>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</si>
  <si>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</si>
  <si>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</si>
  <si>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</si>
  <si>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</si>
  <si>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</si>
  <si>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</si>
  <si>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</si>
  <si>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</si>
  <si>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</si>
  <si>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</si>
  <si>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</si>
  <si>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</si>
  <si>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</si>
  <si>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</si>
  <si>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</si>
  <si>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</si>
  <si>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</si>
  <si>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</si>
  <si>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</si>
  <si>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</si>
  <si>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</si>
  <si>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</si>
  <si>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</si>
  <si>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</si>
  <si>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</si>
  <si>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</si>
  <si>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</si>
  <si>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</si>
  <si>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</si>
  <si>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</si>
  <si>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</si>
  <si>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</si>
  <si>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</si>
  <si>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</si>
  <si>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</si>
  <si>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</si>
  <si>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</si>
  <si>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</si>
  <si>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</si>
  <si>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</si>
  <si>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</si>
  <si>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</si>
  <si>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</si>
  <si>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</si>
  <si>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</si>
  <si>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</si>
  <si>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</si>
  <si>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</si>
  <si>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</si>
  <si>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</si>
  <si>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</si>
  <si>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</si>
  <si>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</si>
  <si>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</si>
  <si>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</si>
  <si>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</si>
  <si>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</si>
  <si>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</si>
  <si>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</si>
  <si>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</si>
  <si>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</si>
  <si>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</si>
  <si>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</si>
  <si>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</si>
  <si>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</si>
  <si>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</si>
  <si>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</si>
  <si>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</si>
  <si>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</si>
  <si>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</si>
  <si>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</si>
  <si>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</si>
  <si>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</si>
  <si>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</si>
  <si>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</si>
  <si>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</si>
  <si>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</si>
  <si>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</si>
  <si>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</si>
  <si>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</si>
  <si>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</si>
  <si>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</si>
  <si>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</si>
  <si>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</si>
  <si>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</si>
  <si>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</si>
  <si>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</si>
  <si>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</si>
  <si>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</si>
  <si>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</si>
  <si>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</si>
  <si>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</si>
  <si>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</si>
  <si>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</si>
  <si>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</si>
  <si>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</si>
  <si>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</si>
  <si>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</si>
  <si>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</si>
  <si>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</si>
  <si>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</si>
  <si>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</si>
  <si>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</si>
  <si>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</si>
  <si>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Waitomo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</si>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</sst>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0" xfId="0" applyAlignment="1">
      <alignment wrapText="1"/>
    </xf>
    <xf numFmtId="0" fontId="0" fillId="0" borderId="11" xfId="0" applyFill="1" applyBorder="1" applyAlignment="1">
      <alignment vertical="top" wrapText="1"/>
    </xf>
    <xf numFmtId="0" fontId="0" fillId="0" borderId="0" xfId="0" applyAlignment="1">
      <alignment horizontal="right" vertical="center"/>
    </xf>
    <xf numFmtId="0" fontId="16" fillId="0" borderId="0" xfId="0" applyFont="1" applyAlignment="1">
      <alignment horizontal="right" vertical="center"/>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166" fontId="10" fillId="0" borderId="0" xfId="0" applyNumberFormat="1" applyFont="1" applyFill="1" applyAlignment="1">
      <alignment vertical="top"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0"/>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6">
        <v>1</v>
      </c>
      <c r="B7" s="104" t="s">
        <v>168</v>
      </c>
    </row>
    <row r="8" spans="1:6" ht="408" customHeight="1" x14ac:dyDescent="0.35">
      <c r="A8" s="106">
        <v>2</v>
      </c>
      <c r="B8" s="104" t="s">
        <v>189</v>
      </c>
    </row>
    <row r="9" spans="1:6" ht="195.5" customHeight="1" x14ac:dyDescent="0.35">
      <c r="A9" s="106">
        <f>A8+1</f>
        <v>3</v>
      </c>
      <c r="B9" s="105" t="s">
        <v>172</v>
      </c>
    </row>
    <row r="10" spans="1:6" ht="236" customHeight="1" x14ac:dyDescent="0.35">
      <c r="A10" s="106">
        <v>4</v>
      </c>
      <c r="B10" s="105" t="s">
        <v>173</v>
      </c>
    </row>
    <row r="11" spans="1:6" ht="21" x14ac:dyDescent="0.35">
      <c r="A11" s="106">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100436250.00000003</v>
      </c>
      <c r="C6" s="12">
        <f ca="1">B6+Depreciation!C18+'Cash Flow'!C13</f>
        <v>104161093.50287648</v>
      </c>
      <c r="D6" s="1">
        <f ca="1">C6+Depreciation!D18</f>
        <v>119947005.18571666</v>
      </c>
      <c r="E6" s="1">
        <f ca="1">D6+Depreciation!E18</f>
        <v>136575051.56427652</v>
      </c>
      <c r="F6" s="1">
        <f ca="1">E6+Depreciation!F18</f>
        <v>154082964.4855189</v>
      </c>
      <c r="G6" s="1">
        <f ca="1">F6+Depreciation!G18</f>
        <v>172510028.28868383</v>
      </c>
      <c r="H6" s="1">
        <f ca="1">G6+Depreciation!H18</f>
        <v>191897140.52738303</v>
      </c>
      <c r="I6" s="1">
        <f ca="1">H6+Depreciation!I18</f>
        <v>212286874.9881562</v>
      </c>
      <c r="J6" s="1">
        <f ca="1">I6+Depreciation!J18</f>
        <v>233723547.09028369</v>
      </c>
      <c r="K6" s="1">
        <f ca="1">J6+Depreciation!K18</f>
        <v>256253281.75472432</v>
      </c>
      <c r="L6" s="1">
        <f ca="1">K6+Depreciation!L18</f>
        <v>279924083.83323359</v>
      </c>
      <c r="M6" s="1">
        <f ca="1">L6+Depreciation!M18</f>
        <v>304785911.19201547</v>
      </c>
      <c r="N6" s="1">
        <f ca="1">M6+Depreciation!N18</f>
        <v>330890750.54767901</v>
      </c>
      <c r="O6" s="1">
        <f ca="1">N6+Depreciation!O18</f>
        <v>358292696.15680921</v>
      </c>
      <c r="P6" s="1">
        <f ca="1">O6+Depreciation!P18</f>
        <v>387048031.46412778</v>
      </c>
      <c r="Q6" s="1">
        <f ca="1">P6+Depreciation!Q18</f>
        <v>417215313.81801504</v>
      </c>
      <c r="R6" s="1">
        <f ca="1">Q6+Depreciation!R18</f>
        <v>448855462.36609668</v>
      </c>
      <c r="S6" s="1">
        <f ca="1">R6+Depreciation!S18</f>
        <v>482031849.24767077</v>
      </c>
      <c r="T6" s="1">
        <f ca="1">S6+Depreciation!T18</f>
        <v>516810394.20396757</v>
      </c>
      <c r="U6" s="1">
        <f ca="1">T6+Depreciation!U18</f>
        <v>553259662.73160267</v>
      </c>
      <c r="V6" s="1">
        <f ca="1">U6+Depreciation!V18</f>
        <v>591450967.90910637</v>
      </c>
      <c r="W6" s="1">
        <f ca="1">V6+Depreciation!W18</f>
        <v>631458476.03109801</v>
      </c>
      <c r="X6" s="1">
        <f ca="1">W6+Depreciation!X18</f>
        <v>673359316.18952298</v>
      </c>
      <c r="Y6" s="1">
        <f ca="1">X6+Depreciation!Y18</f>
        <v>717233693.94639623</v>
      </c>
      <c r="Z6" s="1">
        <f ca="1">Y6+Depreciation!Z18</f>
        <v>763165009.24769616</v>
      </c>
      <c r="AA6" s="1">
        <f ca="1">Z6+Depreciation!AA18</f>
        <v>811239978.73344302</v>
      </c>
      <c r="AB6" s="1">
        <f ca="1">AA6+Depreciation!AB18</f>
        <v>861548762.60457289</v>
      </c>
      <c r="AC6" s="1">
        <f ca="1">AB6+Depreciation!AC18</f>
        <v>914185096.21299684</v>
      </c>
      <c r="AD6" s="1">
        <f ca="1">AC6+Depreciation!AD18</f>
        <v>969246426.54721773</v>
      </c>
      <c r="AE6" s="1">
        <f ca="1">AD6+Depreciation!AE18</f>
        <v>1026834053.7920715</v>
      </c>
      <c r="AF6" s="1"/>
      <c r="AG6" s="1"/>
      <c r="AH6" s="1"/>
      <c r="AI6" s="1"/>
      <c r="AJ6" s="1"/>
      <c r="AK6" s="1"/>
      <c r="AL6" s="1"/>
      <c r="AM6" s="1"/>
      <c r="AN6" s="1"/>
      <c r="AO6" s="1"/>
      <c r="AP6" s="1"/>
    </row>
    <row r="7" spans="1:42" x14ac:dyDescent="0.35">
      <c r="A7" t="s">
        <v>12</v>
      </c>
      <c r="B7" s="1">
        <f>Depreciation!C12</f>
        <v>52014339.849263765</v>
      </c>
      <c r="C7" s="1">
        <f>Depreciation!D12</f>
        <v>54194569.932103947</v>
      </c>
      <c r="D7" s="1">
        <f>Depreciation!E12</f>
        <v>56781552.899463817</v>
      </c>
      <c r="E7" s="1">
        <f>Depreciation!F12</f>
        <v>59799088.380347811</v>
      </c>
      <c r="F7" s="1">
        <f>Depreciation!G12</f>
        <v>63272082.665062882</v>
      </c>
      <c r="G7" s="1">
        <f>Depreciation!H12</f>
        <v>67226595.160721809</v>
      </c>
      <c r="H7" s="1">
        <f>Depreciation!I12</f>
        <v>71689886.686677441</v>
      </c>
      <c r="I7" s="1">
        <f>Depreciation!J12</f>
        <v>76690469.680073202</v>
      </c>
      <c r="J7" s="1">
        <f>Depreciation!K12</f>
        <v>82258160.384302706</v>
      </c>
      <c r="K7" s="1">
        <f>Depreciation!L12</f>
        <v>88424133.095874071</v>
      </c>
      <c r="L7" s="1">
        <f>Depreciation!M12</f>
        <v>95220976.547976017</v>
      </c>
      <c r="M7" s="1">
        <f>Depreciation!N12</f>
        <v>102682752.51194589</v>
      </c>
      <c r="N7" s="1">
        <f>Depreciation!O12</f>
        <v>110845056.70084825</v>
      </c>
      <c r="O7" s="1">
        <f>Depreciation!P12</f>
        <v>119745082.0624917</v>
      </c>
      <c r="P7" s="1">
        <f>Depreciation!Q12</f>
        <v>129421684.55244222</v>
      </c>
      <c r="Q7" s="1">
        <f>Depreciation!R12</f>
        <v>139915451.48094115</v>
      </c>
      <c r="R7" s="1">
        <f>Depreciation!S12</f>
        <v>151268772.53110588</v>
      </c>
      <c r="S7" s="1">
        <f>Depreciation!T12</f>
        <v>163525913.5493882</v>
      </c>
      <c r="T7" s="1">
        <f>Depreciation!U12</f>
        <v>176733093.21299231</v>
      </c>
      <c r="U7" s="1">
        <f>Depreciation!V12</f>
        <v>190938562.68281609</v>
      </c>
      <c r="V7" s="1">
        <f>Depreciation!W12</f>
        <v>206192688.35448202</v>
      </c>
      <c r="W7" s="1">
        <f>Depreciation!X12</f>
        <v>222548037.82417095</v>
      </c>
      <c r="X7" s="1">
        <f>Depreciation!Y12</f>
        <v>240059469.19026852</v>
      </c>
      <c r="Y7" s="1">
        <f>Depreciation!Z12</f>
        <v>258784223.81628793</v>
      </c>
      <c r="Z7" s="1">
        <f>Depreciation!AA12</f>
        <v>278782022.68514532</v>
      </c>
      <c r="AA7" s="1">
        <f>Depreciation!AB12</f>
        <v>300115166.47964525</v>
      </c>
      <c r="AB7" s="1">
        <f>Depreciation!AC12</f>
        <v>322848639.52898717</v>
      </c>
      <c r="AC7" s="1">
        <f>Depreciation!AD12</f>
        <v>347050217.76623535</v>
      </c>
      <c r="AD7" s="1">
        <f>Depreciation!AE12</f>
        <v>372790580.84701335</v>
      </c>
      <c r="AE7" s="1">
        <f>Depreciation!AF12</f>
        <v>400143428.58519202</v>
      </c>
      <c r="AF7" s="1"/>
      <c r="AG7" s="1"/>
      <c r="AH7" s="1"/>
      <c r="AI7" s="1"/>
      <c r="AJ7" s="1"/>
      <c r="AK7" s="1"/>
      <c r="AL7" s="1"/>
      <c r="AM7" s="1"/>
      <c r="AN7" s="1"/>
      <c r="AO7" s="1"/>
      <c r="AP7" s="1"/>
    </row>
    <row r="8" spans="1:42" x14ac:dyDescent="0.35">
      <c r="A8" t="s">
        <v>191</v>
      </c>
      <c r="B8" s="1">
        <f t="shared" ref="B8:AE8" si="1">B6-B7</f>
        <v>48421910.150736265</v>
      </c>
      <c r="C8" s="1">
        <f t="shared" ca="1" si="1"/>
        <v>49966523.570772529</v>
      </c>
      <c r="D8" s="1">
        <f ca="1">D6-D7</f>
        <v>63165452.286252841</v>
      </c>
      <c r="E8" s="1">
        <f t="shared" ca="1" si="1"/>
        <v>76775963.183928698</v>
      </c>
      <c r="F8" s="1">
        <f t="shared" ca="1" si="1"/>
        <v>90810881.820456028</v>
      </c>
      <c r="G8" s="1">
        <f t="shared" ca="1" si="1"/>
        <v>105283433.12796202</v>
      </c>
      <c r="H8" s="1">
        <f t="shared" ca="1" si="1"/>
        <v>120207253.84070559</v>
      </c>
      <c r="I8" s="1">
        <f t="shared" ca="1" si="1"/>
        <v>135596405.308083</v>
      </c>
      <c r="J8" s="1">
        <f t="shared" ca="1" si="1"/>
        <v>151465386.70598099</v>
      </c>
      <c r="K8" s="1">
        <f t="shared" ca="1" si="1"/>
        <v>167829148.65885025</v>
      </c>
      <c r="L8" s="1">
        <f t="shared" ca="1" si="1"/>
        <v>184703107.28525758</v>
      </c>
      <c r="M8" s="1">
        <f t="shared" ca="1" si="1"/>
        <v>202103158.68006957</v>
      </c>
      <c r="N8" s="1">
        <f t="shared" ca="1" si="1"/>
        <v>220045693.84683076</v>
      </c>
      <c r="O8" s="1">
        <f t="shared" ca="1" si="1"/>
        <v>238547614.0943175</v>
      </c>
      <c r="P8" s="1">
        <f t="shared" ca="1" si="1"/>
        <v>257626346.91168556</v>
      </c>
      <c r="Q8" s="1">
        <f t="shared" ca="1" si="1"/>
        <v>277299862.33707392</v>
      </c>
      <c r="R8" s="1">
        <f t="shared" ca="1" si="1"/>
        <v>297586689.8349908</v>
      </c>
      <c r="S8" s="1">
        <f t="shared" ca="1" si="1"/>
        <v>318505935.6982826</v>
      </c>
      <c r="T8" s="1">
        <f t="shared" ca="1" si="1"/>
        <v>340077300.99097526</v>
      </c>
      <c r="U8" s="1">
        <f t="shared" ca="1" si="1"/>
        <v>362321100.04878658</v>
      </c>
      <c r="V8" s="1">
        <f t="shared" ca="1" si="1"/>
        <v>385258279.55462432</v>
      </c>
      <c r="W8" s="1">
        <f t="shared" ca="1" si="1"/>
        <v>408910438.20692706</v>
      </c>
      <c r="X8" s="1">
        <f t="shared" ca="1" si="1"/>
        <v>433299846.99925447</v>
      </c>
      <c r="Y8" s="1">
        <f t="shared" ca="1" si="1"/>
        <v>458449470.1301083</v>
      </c>
      <c r="Z8" s="1">
        <f t="shared" ca="1" si="1"/>
        <v>484382986.56255084</v>
      </c>
      <c r="AA8" s="1">
        <f t="shared" ca="1" si="1"/>
        <v>511124812.25379777</v>
      </c>
      <c r="AB8" s="1">
        <f t="shared" ca="1" si="1"/>
        <v>538700123.07558572</v>
      </c>
      <c r="AC8" s="1">
        <f t="shared" ca="1" si="1"/>
        <v>567134878.44676149</v>
      </c>
      <c r="AD8" s="1">
        <f t="shared" ca="1" si="1"/>
        <v>596455845.70020437</v>
      </c>
      <c r="AE8" s="1">
        <f t="shared" ca="1" si="1"/>
        <v>626690625.20687938</v>
      </c>
      <c r="AF8" s="1"/>
      <c r="AG8" s="1"/>
      <c r="AH8" s="1"/>
      <c r="AI8" s="1"/>
      <c r="AJ8" s="1"/>
      <c r="AK8" s="1"/>
      <c r="AL8" s="1"/>
      <c r="AM8" s="1"/>
      <c r="AN8" s="1"/>
      <c r="AO8" s="1"/>
      <c r="AP8" s="1"/>
    </row>
    <row r="10" spans="1:42" x14ac:dyDescent="0.35">
      <c r="A10" t="s">
        <v>17</v>
      </c>
      <c r="B10" s="1">
        <f>B8-B11</f>
        <v>48421910.150736265</v>
      </c>
      <c r="C10" s="1">
        <f ca="1">C8-C11</f>
        <v>38711352.224385232</v>
      </c>
      <c r="D10" s="1">
        <f ca="1">D8-D11</f>
        <v>40803085.464255445</v>
      </c>
      <c r="E10" s="1">
        <f t="shared" ref="E10:AE10" ca="1" si="2">E8-E11</f>
        <v>43609363.976269349</v>
      </c>
      <c r="F10" s="1">
        <f t="shared" ca="1" si="2"/>
        <v>47515886.892306089</v>
      </c>
      <c r="G10" s="1">
        <f ca="1">G8-G11</f>
        <v>53004401.433770508</v>
      </c>
      <c r="H10" s="1">
        <f t="shared" ca="1" si="2"/>
        <v>60672982.584599055</v>
      </c>
      <c r="I10" s="1">
        <f t="shared" ca="1" si="2"/>
        <v>69947813.241036758</v>
      </c>
      <c r="J10" s="1">
        <f t="shared" ca="1" si="2"/>
        <v>80246245.016555786</v>
      </c>
      <c r="K10" s="1">
        <f t="shared" ca="1" si="2"/>
        <v>91231322.208955452</v>
      </c>
      <c r="L10" s="1">
        <f t="shared" ca="1" si="2"/>
        <v>102729641.25620678</v>
      </c>
      <c r="M10" s="1">
        <f t="shared" ca="1" si="2"/>
        <v>114824500.96148764</v>
      </c>
      <c r="N10" s="1">
        <f t="shared" ca="1" si="2"/>
        <v>127609386.22370382</v>
      </c>
      <c r="O10" s="1">
        <f t="shared" ca="1" si="2"/>
        <v>140825983.52422547</v>
      </c>
      <c r="P10" s="1">
        <f t="shared" ca="1" si="2"/>
        <v>154530803.1533829</v>
      </c>
      <c r="Q10" s="1">
        <f t="shared" ca="1" si="2"/>
        <v>168786914.12097251</v>
      </c>
      <c r="R10" s="1">
        <f t="shared" ca="1" si="2"/>
        <v>183664533.46842825</v>
      </c>
      <c r="S10" s="1">
        <f t="shared" ca="1" si="2"/>
        <v>198783434.78744131</v>
      </c>
      <c r="T10" s="1">
        <f t="shared" ca="1" si="2"/>
        <v>214163059.50136095</v>
      </c>
      <c r="U10" s="1">
        <f t="shared" ca="1" si="2"/>
        <v>229825449.70672882</v>
      </c>
      <c r="V10" s="1">
        <f t="shared" ca="1" si="2"/>
        <v>245795492.31597146</v>
      </c>
      <c r="W10" s="1">
        <f t="shared" ca="1" si="2"/>
        <v>262101181.58163488</v>
      </c>
      <c r="X10" s="1">
        <f t="shared" ca="1" si="2"/>
        <v>278773901.21783417</v>
      </c>
      <c r="Y10" s="1">
        <f t="shared" ca="1" si="2"/>
        <v>295848727.40868986</v>
      </c>
      <c r="Z10" s="1">
        <f t="shared" ca="1" si="2"/>
        <v>313364754.07189167</v>
      </c>
      <c r="AA10" s="1">
        <f t="shared" ca="1" si="2"/>
        <v>331365441.82842135</v>
      </c>
      <c r="AB10" s="1">
        <f t="shared" ca="1" si="2"/>
        <v>349898992.21711516</v>
      </c>
      <c r="AC10" s="1">
        <f t="shared" ca="1" si="2"/>
        <v>369018748.78542888</v>
      </c>
      <c r="AD10" s="1">
        <f t="shared" ca="1" si="2"/>
        <v>388783626.7857582</v>
      </c>
      <c r="AE10" s="1">
        <f t="shared" ca="1" si="2"/>
        <v>409258573.31025505</v>
      </c>
      <c r="AF10" s="1"/>
      <c r="AG10" s="1"/>
      <c r="AH10" s="1"/>
      <c r="AI10" s="1"/>
      <c r="AJ10" s="1"/>
      <c r="AK10" s="1"/>
      <c r="AL10" s="1"/>
      <c r="AM10" s="1"/>
      <c r="AN10" s="1"/>
      <c r="AO10" s="1"/>
    </row>
    <row r="11" spans="1:42" x14ac:dyDescent="0.35">
      <c r="A11" t="s">
        <v>9</v>
      </c>
      <c r="B11" s="1">
        <f>Assumptions!$C$20</f>
        <v>0</v>
      </c>
      <c r="C11" s="1">
        <f ca="1">'Debt worksheet'!D5</f>
        <v>11255171.346387301</v>
      </c>
      <c r="D11" s="1">
        <f ca="1">'Debt worksheet'!E5</f>
        <v>22362366.821997397</v>
      </c>
      <c r="E11" s="1">
        <f ca="1">'Debt worksheet'!F5</f>
        <v>33166599.207659345</v>
      </c>
      <c r="F11" s="1">
        <f ca="1">'Debt worksheet'!G5</f>
        <v>43294994.928149939</v>
      </c>
      <c r="G11" s="1">
        <f ca="1">'Debt worksheet'!H5</f>
        <v>52279031.694191515</v>
      </c>
      <c r="H11" s="1">
        <f ca="1">'Debt worksheet'!I5</f>
        <v>59534271.256106533</v>
      </c>
      <c r="I11" s="1">
        <f ca="1">'Debt worksheet'!J5</f>
        <v>65648592.06704624</v>
      </c>
      <c r="J11" s="1">
        <f ca="1">'Debt worksheet'!K5</f>
        <v>71219141.6894252</v>
      </c>
      <c r="K11" s="1">
        <f ca="1">'Debt worksheet'!L5</f>
        <v>76597826.449894801</v>
      </c>
      <c r="L11" s="1">
        <f ca="1">'Debt worksheet'!M5</f>
        <v>81973466.029050797</v>
      </c>
      <c r="M11" s="1">
        <f ca="1">'Debt worksheet'!N5</f>
        <v>87278657.71858193</v>
      </c>
      <c r="N11" s="1">
        <f ca="1">'Debt worksheet'!O5</f>
        <v>92436307.623126939</v>
      </c>
      <c r="O11" s="1">
        <f ca="1">'Debt worksheet'!P5</f>
        <v>97721630.570092008</v>
      </c>
      <c r="P11" s="1">
        <f ca="1">'Debt worksheet'!Q5</f>
        <v>103095543.75830267</v>
      </c>
      <c r="Q11" s="1">
        <f ca="1">'Debt worksheet'!R5</f>
        <v>108512948.21610142</v>
      </c>
      <c r="R11" s="1">
        <f ca="1">'Debt worksheet'!S5</f>
        <v>113922156.36656255</v>
      </c>
      <c r="S11" s="1">
        <f ca="1">'Debt worksheet'!T5</f>
        <v>119722500.91084129</v>
      </c>
      <c r="T11" s="1">
        <f ca="1">'Debt worksheet'!U5</f>
        <v>125914241.48961432</v>
      </c>
      <c r="U11" s="1">
        <f ca="1">'Debt worksheet'!V5</f>
        <v>132495650.34205776</v>
      </c>
      <c r="V11" s="1">
        <f ca="1">'Debt worksheet'!W5</f>
        <v>139462787.23865286</v>
      </c>
      <c r="W11" s="1">
        <f ca="1">'Debt worksheet'!X5</f>
        <v>146809256.62529218</v>
      </c>
      <c r="X11" s="1">
        <f ca="1">'Debt worksheet'!Y5</f>
        <v>154525945.78142029</v>
      </c>
      <c r="Y11" s="1">
        <f ca="1">'Debt worksheet'!Z5</f>
        <v>162600742.72141844</v>
      </c>
      <c r="Z11" s="1">
        <f ca="1">'Debt worksheet'!AA5</f>
        <v>171018232.49065918</v>
      </c>
      <c r="AA11" s="1">
        <f ca="1">'Debt worksheet'!AB5</f>
        <v>179759370.42537639</v>
      </c>
      <c r="AB11" s="1">
        <f ca="1">'Debt worksheet'!AC5</f>
        <v>188801130.85847056</v>
      </c>
      <c r="AC11" s="1">
        <f ca="1">'Debt worksheet'!AD5</f>
        <v>198116129.66133261</v>
      </c>
      <c r="AD11" s="1">
        <f ca="1">'Debt worksheet'!AE5</f>
        <v>207672218.91444618</v>
      </c>
      <c r="AE11" s="1">
        <f ca="1">'Debt worksheet'!AF5</f>
        <v>217432051.89662433</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1928628.6536126973</v>
      </c>
      <c r="D5" s="4">
        <f ca="1">'Profit and Loss'!D9</f>
        <v>2498486.1243899036</v>
      </c>
      <c r="E5" s="4">
        <f ca="1">'Profit and Loss'!E9</f>
        <v>3236831.0255380501</v>
      </c>
      <c r="F5" s="4">
        <f ca="1">'Profit and Loss'!F9</f>
        <v>4361981.7198678013</v>
      </c>
      <c r="G5" s="4">
        <f ca="1">'Profit and Loss'!G9</f>
        <v>5970032.7524082866</v>
      </c>
      <c r="H5" s="4">
        <f ca="1">'Profit and Loss'!H9</f>
        <v>8177360.1811252432</v>
      </c>
      <c r="I5" s="4">
        <f ca="1">'Profit and Loss'!I9</f>
        <v>9812122.1238778383</v>
      </c>
      <c r="J5" s="4">
        <f ca="1">'Profit and Loss'!J9</f>
        <v>10865539.48635276</v>
      </c>
      <c r="K5" s="4">
        <f ca="1">'Profit and Loss'!K9</f>
        <v>11583359.199741531</v>
      </c>
      <c r="L5" s="4">
        <f ca="1">'Profit and Loss'!L9</f>
        <v>12129189.787781896</v>
      </c>
      <c r="M5" s="4">
        <f ca="1">'Profit and Loss'!M9</f>
        <v>12759792.217148762</v>
      </c>
      <c r="N5" s="4">
        <f ca="1">'Profit and Loss'!N9</f>
        <v>13485413.487148644</v>
      </c>
      <c r="O5" s="4">
        <f ca="1">'Profit and Loss'!O9</f>
        <v>13954318.473262789</v>
      </c>
      <c r="P5" s="4">
        <f ca="1">'Profit and Loss'!P9</f>
        <v>14481396.757464468</v>
      </c>
      <c r="Q5" s="4">
        <f ca="1">'Profit and Loss'!Q9</f>
        <v>15073275.406137995</v>
      </c>
      <c r="R5" s="4">
        <f ca="1">'Profit and Loss'!R9</f>
        <v>15737173.469121601</v>
      </c>
      <c r="S5" s="4">
        <f ca="1">'Profit and Loss'!S9</f>
        <v>16022721.287130637</v>
      </c>
      <c r="T5" s="4">
        <f ca="1">'Profit and Loss'!T9</f>
        <v>16329663.359241433</v>
      </c>
      <c r="U5" s="4">
        <f ca="1">'Profit and Loss'!U9</f>
        <v>16660680.011587489</v>
      </c>
      <c r="V5" s="4">
        <f ca="1">'Profit and Loss'!V9</f>
        <v>17018698.811084818</v>
      </c>
      <c r="W5" s="4">
        <f ca="1">'Profit and Loss'!W9</f>
        <v>17406913.063686363</v>
      </c>
      <c r="X5" s="4">
        <f ca="1">'Profit and Loss'!X9</f>
        <v>17828801.532608014</v>
      </c>
      <c r="Y5" s="4">
        <f ca="1">'Profit and Loss'!Y9</f>
        <v>18288149.450777508</v>
      </c>
      <c r="Z5" s="4">
        <f ca="1">'Profit and Loss'!Z9</f>
        <v>18789070.906039752</v>
      </c>
      <c r="AA5" s="4">
        <f ca="1">'Profit and Loss'!AA9</f>
        <v>19336032.68217225</v>
      </c>
      <c r="AB5" s="4">
        <f ca="1">'Profit and Loss'!AB9</f>
        <v>19933879.643535741</v>
      </c>
      <c r="AC5" s="4">
        <f ca="1">'Profit and Loss'!AC9</f>
        <v>20587861.756220017</v>
      </c>
      <c r="AD5" s="4">
        <f ca="1">'Profit and Loss'!AD9</f>
        <v>21303662.843859136</v>
      </c>
      <c r="AE5" s="4">
        <f ca="1">'Profit and Loss'!AE9</f>
        <v>22087431.181897677</v>
      </c>
      <c r="AF5" s="4">
        <f ca="1">'Profit and Loss'!AF9</f>
        <v>22945812.040006369</v>
      </c>
      <c r="AG5" s="4"/>
      <c r="AH5" s="4"/>
      <c r="AI5" s="4"/>
      <c r="AJ5" s="4"/>
      <c r="AK5" s="4"/>
      <c r="AL5" s="4"/>
      <c r="AM5" s="4"/>
      <c r="AN5" s="4"/>
      <c r="AO5" s="4"/>
      <c r="AP5" s="4"/>
    </row>
    <row r="6" spans="1:42" x14ac:dyDescent="0.35">
      <c r="A6" t="s">
        <v>21</v>
      </c>
      <c r="C6" s="4">
        <f>Depreciation!C8+Depreciation!C9</f>
        <v>1796214.8492637475</v>
      </c>
      <c r="D6" s="4">
        <f>Depreciation!D8+Depreciation!D9</f>
        <v>2180230.0828401875</v>
      </c>
      <c r="E6" s="4">
        <f>Depreciation!E8+Depreciation!E9</f>
        <v>2586982.9673598735</v>
      </c>
      <c r="F6" s="4">
        <f>Depreciation!F8+Depreciation!F9</f>
        <v>3017535.4808839904</v>
      </c>
      <c r="G6" s="4">
        <f>Depreciation!G8+Depreciation!G9</f>
        <v>3472994.284715076</v>
      </c>
      <c r="H6" s="4">
        <f>Depreciation!H8+Depreciation!H9</f>
        <v>3954512.4956589239</v>
      </c>
      <c r="I6" s="4">
        <f>Depreciation!I8+Depreciation!I9</f>
        <v>4463291.5259556305</v>
      </c>
      <c r="J6" s="4">
        <f>Depreciation!J8+Depreciation!J9</f>
        <v>5000582.9933957718</v>
      </c>
      <c r="K6" s="4">
        <f>Depreciation!K8+Depreciation!K9</f>
        <v>5567690.7042295048</v>
      </c>
      <c r="L6" s="4">
        <f>Depreciation!L8+Depreciation!L9</f>
        <v>6165972.7115713572</v>
      </c>
      <c r="M6" s="4">
        <f>Depreciation!M8+Depreciation!M9</f>
        <v>6796843.452101958</v>
      </c>
      <c r="N6" s="4">
        <f>Depreciation!N8+Depreciation!N9</f>
        <v>7461775.9639698686</v>
      </c>
      <c r="O6" s="4">
        <f>Depreciation!O8+Depreciation!O9</f>
        <v>8162304.1889023734</v>
      </c>
      <c r="P6" s="4">
        <f>Depreciation!P8+Depreciation!P9</f>
        <v>8900025.3616434522</v>
      </c>
      <c r="Q6" s="4">
        <f>Depreciation!Q8+Depreciation!Q9</f>
        <v>9676602.4899505228</v>
      </c>
      <c r="R6" s="4">
        <f>Depreciation!R8+Depreciation!R9</f>
        <v>10493766.928498926</v>
      </c>
      <c r="S6" s="4">
        <f>Depreciation!S8+Depreciation!S9</f>
        <v>11353321.050164718</v>
      </c>
      <c r="T6" s="4">
        <f>Depreciation!T8+Depreciation!T9</f>
        <v>12257141.018282333</v>
      </c>
      <c r="U6" s="4">
        <f>Depreciation!U8+Depreciation!U9</f>
        <v>13207179.663604109</v>
      </c>
      <c r="V6" s="4">
        <f>Depreciation!V8+Depreciation!V9</f>
        <v>14205469.469823761</v>
      </c>
      <c r="W6" s="4">
        <f>Depreciation!W8+Depreciation!W9</f>
        <v>15254125.67166594</v>
      </c>
      <c r="X6" s="4">
        <f>Depreciation!X8+Depreciation!X9</f>
        <v>16355349.469688915</v>
      </c>
      <c r="Y6" s="4">
        <f>Depreciation!Y8+Depreciation!Y9</f>
        <v>17511431.366097573</v>
      </c>
      <c r="Z6" s="4">
        <f>Depreciation!Z8+Depreciation!Z9</f>
        <v>18724754.626019426</v>
      </c>
      <c r="AA6" s="4">
        <f>Depreciation!AA8+Depreciation!AA9</f>
        <v>19997798.868857399</v>
      </c>
      <c r="AB6" s="4">
        <f>Depreciation!AB8+Depreciation!AB9</f>
        <v>21333143.794499952</v>
      </c>
      <c r="AC6" s="4">
        <f>Depreciation!AC8+Depreciation!AC9</f>
        <v>22733473.049341917</v>
      </c>
      <c r="AD6" s="4">
        <f>Depreciation!AD8+Depreciation!AD9</f>
        <v>24201578.237248205</v>
      </c>
      <c r="AE6" s="4">
        <f>Depreciation!AE8+Depreciation!AE9</f>
        <v>25740363.080777969</v>
      </c>
      <c r="AF6" s="4">
        <f>Depreciation!AF8+Depreciation!AF9</f>
        <v>27352847.738178685</v>
      </c>
      <c r="AG6" s="4"/>
      <c r="AH6" s="4"/>
      <c r="AI6" s="4"/>
      <c r="AJ6" s="4"/>
      <c r="AK6" s="4"/>
      <c r="AL6" s="4"/>
      <c r="AM6" s="4"/>
      <c r="AN6" s="4"/>
      <c r="AO6" s="4"/>
      <c r="AP6" s="4"/>
    </row>
    <row r="7" spans="1:42" x14ac:dyDescent="0.35">
      <c r="A7" t="s">
        <v>23</v>
      </c>
      <c r="C7" s="4">
        <f ca="1">C6+C5</f>
        <v>3724843.5028764447</v>
      </c>
      <c r="D7" s="4">
        <f ca="1">D6+D5</f>
        <v>4678716.2072300911</v>
      </c>
      <c r="E7" s="4">
        <f t="shared" ref="E7:AF7" ca="1" si="1">E6+E5</f>
        <v>5823813.992897924</v>
      </c>
      <c r="F7" s="4">
        <f t="shared" ca="1" si="1"/>
        <v>7379517.2007517917</v>
      </c>
      <c r="G7" s="4">
        <f ca="1">G6+G5</f>
        <v>9443027.0371233635</v>
      </c>
      <c r="H7" s="4">
        <f t="shared" ca="1" si="1"/>
        <v>12131872.676784167</v>
      </c>
      <c r="I7" s="4">
        <f t="shared" ca="1" si="1"/>
        <v>14275413.649833469</v>
      </c>
      <c r="J7" s="4">
        <f t="shared" ca="1" si="1"/>
        <v>15866122.479748532</v>
      </c>
      <c r="K7" s="4">
        <f t="shared" ca="1" si="1"/>
        <v>17151049.903971035</v>
      </c>
      <c r="L7" s="4">
        <f t="shared" ca="1" si="1"/>
        <v>18295162.499353252</v>
      </c>
      <c r="M7" s="4">
        <f t="shared" ca="1" si="1"/>
        <v>19556635.669250719</v>
      </c>
      <c r="N7" s="4">
        <f t="shared" ca="1" si="1"/>
        <v>20947189.451118514</v>
      </c>
      <c r="O7" s="4">
        <f t="shared" ca="1" si="1"/>
        <v>22116622.662165161</v>
      </c>
      <c r="P7" s="4">
        <f t="shared" ca="1" si="1"/>
        <v>23381422.119107921</v>
      </c>
      <c r="Q7" s="4">
        <f t="shared" ca="1" si="1"/>
        <v>24749877.896088518</v>
      </c>
      <c r="R7" s="4">
        <f t="shared" ca="1" si="1"/>
        <v>26230940.397620529</v>
      </c>
      <c r="S7" s="4">
        <f t="shared" ca="1" si="1"/>
        <v>27376042.337295353</v>
      </c>
      <c r="T7" s="4">
        <f t="shared" ca="1" si="1"/>
        <v>28586804.377523765</v>
      </c>
      <c r="U7" s="4">
        <f t="shared" ca="1" si="1"/>
        <v>29867859.675191596</v>
      </c>
      <c r="V7" s="4">
        <f t="shared" ca="1" si="1"/>
        <v>31224168.280908577</v>
      </c>
      <c r="W7" s="4">
        <f t="shared" ca="1" si="1"/>
        <v>32661038.735352304</v>
      </c>
      <c r="X7" s="4">
        <f t="shared" ca="1" si="1"/>
        <v>34184151.002296925</v>
      </c>
      <c r="Y7" s="4">
        <f t="shared" ca="1" si="1"/>
        <v>35799580.816875085</v>
      </c>
      <c r="Z7" s="4">
        <f t="shared" ca="1" si="1"/>
        <v>37513825.532059178</v>
      </c>
      <c r="AA7" s="4">
        <f t="shared" ca="1" si="1"/>
        <v>39333831.551029652</v>
      </c>
      <c r="AB7" s="4">
        <f t="shared" ca="1" si="1"/>
        <v>41267023.438035697</v>
      </c>
      <c r="AC7" s="4">
        <f t="shared" ca="1" si="1"/>
        <v>43321334.80556193</v>
      </c>
      <c r="AD7" s="4">
        <f t="shared" ca="1" si="1"/>
        <v>45505241.081107341</v>
      </c>
      <c r="AE7" s="4">
        <f t="shared" ca="1" si="1"/>
        <v>47827794.262675643</v>
      </c>
      <c r="AF7" s="4">
        <f t="shared" ca="1" si="1"/>
        <v>50298659.778185055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14980014.849263746</v>
      </c>
      <c r="D10" s="9">
        <f>Investment!D25</f>
        <v>15785911.682840187</v>
      </c>
      <c r="E10" s="9">
        <f>Investment!E25</f>
        <v>16628046.378559873</v>
      </c>
      <c r="F10" s="9">
        <f>Investment!F25</f>
        <v>17507912.92124239</v>
      </c>
      <c r="G10" s="9">
        <f>Investment!G25</f>
        <v>18427063.803164944</v>
      </c>
      <c r="H10" s="9">
        <f>Investment!H25</f>
        <v>19387112.238699187</v>
      </c>
      <c r="I10" s="9">
        <f>Investment!I25</f>
        <v>20389734.460773177</v>
      </c>
      <c r="J10" s="9">
        <f>Investment!J25</f>
        <v>21436672.102127485</v>
      </c>
      <c r="K10" s="9">
        <f>Investment!K25</f>
        <v>22529734.664440632</v>
      </c>
      <c r="L10" s="9">
        <f>Investment!L25</f>
        <v>23670802.078509241</v>
      </c>
      <c r="M10" s="9">
        <f>Investment!M25</f>
        <v>24861827.358781852</v>
      </c>
      <c r="N10" s="9">
        <f>Investment!N25</f>
        <v>26104839.355663523</v>
      </c>
      <c r="O10" s="9">
        <f>Investment!O25</f>
        <v>27401945.609130226</v>
      </c>
      <c r="P10" s="9">
        <f>Investment!P25</f>
        <v>28755335.307318591</v>
      </c>
      <c r="Q10" s="9">
        <f>Investment!Q25</f>
        <v>30167282.353887264</v>
      </c>
      <c r="R10" s="9">
        <f>Investment!R25</f>
        <v>31640148.548081644</v>
      </c>
      <c r="S10" s="9">
        <f>Investment!S25</f>
        <v>33176386.881574087</v>
      </c>
      <c r="T10" s="9">
        <f>Investment!T25</f>
        <v>34778544.956296802</v>
      </c>
      <c r="U10" s="9">
        <f>Investment!U25</f>
        <v>36449268.527635038</v>
      </c>
      <c r="V10" s="9">
        <f>Investment!V25</f>
        <v>38191305.177503675</v>
      </c>
      <c r="W10" s="9">
        <f>Investment!W25</f>
        <v>40007508.121991619</v>
      </c>
      <c r="X10" s="9">
        <f>Investment!X25</f>
        <v>41900840.158425018</v>
      </c>
      <c r="Y10" s="9">
        <f>Investment!Y25</f>
        <v>43874377.75687322</v>
      </c>
      <c r="Z10" s="9">
        <f>Investment!Z25</f>
        <v>45931315.3012999</v>
      </c>
      <c r="AA10" s="9">
        <f>Investment!AA25</f>
        <v>48074969.485746853</v>
      </c>
      <c r="AB10" s="9">
        <f>Investment!AB25</f>
        <v>50308783.871129863</v>
      </c>
      <c r="AC10" s="9">
        <f>Investment!AC25</f>
        <v>52636333.608423978</v>
      </c>
      <c r="AD10" s="9">
        <f>Investment!AD25</f>
        <v>55061330.334220901</v>
      </c>
      <c r="AE10" s="9">
        <f>Investment!AE25</f>
        <v>57587627.244853787</v>
      </c>
      <c r="AF10" s="9">
        <f>Investment!AF25</f>
        <v>60219224.35550493</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-11255171.346387301</v>
      </c>
      <c r="D12" s="1">
        <f t="shared" ref="D12:AF12" ca="1" si="2">D7-D9-D10</f>
        <v>-11107195.475610096</v>
      </c>
      <c r="E12" s="1">
        <f ca="1">E7-E9-E10</f>
        <v>-10804232.385661948</v>
      </c>
      <c r="F12" s="1">
        <f t="shared" ca="1" si="2"/>
        <v>-10128395.720490597</v>
      </c>
      <c r="G12" s="1">
        <f ca="1">G7-G9-G10</f>
        <v>-8984036.7660415806</v>
      </c>
      <c r="H12" s="1">
        <f t="shared" ca="1" si="2"/>
        <v>-7255239.5619150195</v>
      </c>
      <c r="I12" s="1">
        <f t="shared" ca="1" si="2"/>
        <v>-6114320.8109397087</v>
      </c>
      <c r="J12" s="1">
        <f t="shared" ca="1" si="2"/>
        <v>-5570549.6223789528</v>
      </c>
      <c r="K12" s="1">
        <f t="shared" ca="1" si="2"/>
        <v>-5378684.7604695968</v>
      </c>
      <c r="L12" s="1">
        <f t="shared" ca="1" si="2"/>
        <v>-5375639.579155989</v>
      </c>
      <c r="M12" s="1">
        <f t="shared" ca="1" si="2"/>
        <v>-5305191.6895311326</v>
      </c>
      <c r="N12" s="1">
        <f t="shared" ca="1" si="2"/>
        <v>-5157649.9045450091</v>
      </c>
      <c r="O12" s="1">
        <f t="shared" ca="1" si="2"/>
        <v>-5285322.9469650649</v>
      </c>
      <c r="P12" s="1">
        <f t="shared" ca="1" si="2"/>
        <v>-5373913.1882106699</v>
      </c>
      <c r="Q12" s="1">
        <f t="shared" ca="1" si="2"/>
        <v>-5417404.4577987455</v>
      </c>
      <c r="R12" s="1">
        <f t="shared" ca="1" si="2"/>
        <v>-5409208.1504611149</v>
      </c>
      <c r="S12" s="1">
        <f t="shared" ca="1" si="2"/>
        <v>-5800344.5442787334</v>
      </c>
      <c r="T12" s="1">
        <f t="shared" ca="1" si="2"/>
        <v>-6191740.5787730366</v>
      </c>
      <c r="U12" s="1">
        <f t="shared" ca="1" si="2"/>
        <v>-6581408.8524434417</v>
      </c>
      <c r="V12" s="1">
        <f t="shared" ca="1" si="2"/>
        <v>-6967136.8965950981</v>
      </c>
      <c r="W12" s="1">
        <f t="shared" ca="1" si="2"/>
        <v>-7346469.3866393156</v>
      </c>
      <c r="X12" s="1">
        <f t="shared" ca="1" si="2"/>
        <v>-7716689.1561280936</v>
      </c>
      <c r="Y12" s="1">
        <f t="shared" ca="1" si="2"/>
        <v>-8074796.939998135</v>
      </c>
      <c r="Z12" s="1">
        <f t="shared" ca="1" si="2"/>
        <v>-8417489.7692407221</v>
      </c>
      <c r="AA12" s="1">
        <f t="shared" ca="1" si="2"/>
        <v>-8741137.9347172007</v>
      </c>
      <c r="AB12" s="1">
        <f t="shared" ca="1" si="2"/>
        <v>-9041760.4330941662</v>
      </c>
      <c r="AC12" s="1">
        <f t="shared" ca="1" si="2"/>
        <v>-9314998.8028620481</v>
      </c>
      <c r="AD12" s="1">
        <f t="shared" ca="1" si="2"/>
        <v>-9556089.2531135604</v>
      </c>
      <c r="AE12" s="1">
        <f t="shared" ca="1" si="2"/>
        <v>-9759832.9821781442</v>
      </c>
      <c r="AF12" s="1">
        <f t="shared" ca="1" si="2"/>
        <v>-9920564.5773198754</v>
      </c>
      <c r="AG12" s="1"/>
      <c r="AH12" s="1"/>
      <c r="AI12" s="1"/>
      <c r="AJ12" s="1"/>
      <c r="AK12" s="1"/>
      <c r="AL12" s="1"/>
      <c r="AM12" s="1"/>
      <c r="AN12" s="1"/>
      <c r="AO12" s="1"/>
      <c r="AP12" s="1"/>
    </row>
    <row r="13" spans="1:42" x14ac:dyDescent="0.35">
      <c r="A13" t="s">
        <v>19</v>
      </c>
      <c r="C13" s="1">
        <f ca="1">C12</f>
        <v>-11255171.346387301</v>
      </c>
      <c r="D13" s="1">
        <f ca="1">D12</f>
        <v>-11107195.475610096</v>
      </c>
      <c r="E13" s="1">
        <f ca="1">E12</f>
        <v>-10804232.385661948</v>
      </c>
      <c r="F13" s="1">
        <f t="shared" ref="F13:AF13" ca="1" si="3">F12</f>
        <v>-10128395.720490597</v>
      </c>
      <c r="G13" s="1">
        <f ca="1">G12</f>
        <v>-8984036.7660415806</v>
      </c>
      <c r="H13" s="1">
        <f t="shared" ca="1" si="3"/>
        <v>-7255239.5619150195</v>
      </c>
      <c r="I13" s="1">
        <f t="shared" ca="1" si="3"/>
        <v>-6114320.8109397087</v>
      </c>
      <c r="J13" s="1">
        <f t="shared" ca="1" si="3"/>
        <v>-5570549.6223789528</v>
      </c>
      <c r="K13" s="1">
        <f t="shared" ca="1" si="3"/>
        <v>-5378684.7604695968</v>
      </c>
      <c r="L13" s="1">
        <f t="shared" ca="1" si="3"/>
        <v>-5375639.579155989</v>
      </c>
      <c r="M13" s="1">
        <f t="shared" ca="1" si="3"/>
        <v>-5305191.6895311326</v>
      </c>
      <c r="N13" s="1">
        <f t="shared" ca="1" si="3"/>
        <v>-5157649.9045450091</v>
      </c>
      <c r="O13" s="1">
        <f t="shared" ca="1" si="3"/>
        <v>-5285322.9469650649</v>
      </c>
      <c r="P13" s="1">
        <f t="shared" ca="1" si="3"/>
        <v>-5373913.1882106699</v>
      </c>
      <c r="Q13" s="1">
        <f t="shared" ca="1" si="3"/>
        <v>-5417404.4577987455</v>
      </c>
      <c r="R13" s="1">
        <f t="shared" ca="1" si="3"/>
        <v>-5409208.1504611149</v>
      </c>
      <c r="S13" s="1">
        <f t="shared" ca="1" si="3"/>
        <v>-5800344.5442787334</v>
      </c>
      <c r="T13" s="1">
        <f t="shared" ca="1" si="3"/>
        <v>-6191740.5787730366</v>
      </c>
      <c r="U13" s="1">
        <f t="shared" ca="1" si="3"/>
        <v>-6581408.8524434417</v>
      </c>
      <c r="V13" s="1">
        <f t="shared" ca="1" si="3"/>
        <v>-6967136.8965950981</v>
      </c>
      <c r="W13" s="1">
        <f t="shared" ca="1" si="3"/>
        <v>-7346469.3866393156</v>
      </c>
      <c r="X13" s="1">
        <f t="shared" ca="1" si="3"/>
        <v>-7716689.1561280936</v>
      </c>
      <c r="Y13" s="1">
        <f t="shared" ca="1" si="3"/>
        <v>-8074796.939998135</v>
      </c>
      <c r="Z13" s="1">
        <f t="shared" ca="1" si="3"/>
        <v>-8417489.7692407221</v>
      </c>
      <c r="AA13" s="1">
        <f t="shared" ca="1" si="3"/>
        <v>-8741137.9347172007</v>
      </c>
      <c r="AB13" s="1">
        <f t="shared" ca="1" si="3"/>
        <v>-9041760.4330941662</v>
      </c>
      <c r="AC13" s="1">
        <f t="shared" ca="1" si="3"/>
        <v>-9314998.8028620481</v>
      </c>
      <c r="AD13" s="1">
        <f t="shared" ca="1" si="3"/>
        <v>-9556089.2531135604</v>
      </c>
      <c r="AE13" s="1">
        <f t="shared" ca="1" si="3"/>
        <v>-9759832.9821781442</v>
      </c>
      <c r="AF13" s="1">
        <f t="shared" ca="1" si="3"/>
        <v>-9920564.5773198754</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100436250.00000003</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50218125.000000015</v>
      </c>
      <c r="D7" s="9">
        <f>C12</f>
        <v>52014339.849263765</v>
      </c>
      <c r="E7" s="9">
        <f>D12</f>
        <v>54194569.932103947</v>
      </c>
      <c r="F7" s="9">
        <f t="shared" ref="F7:H7" si="1">E12</f>
        <v>56781552.899463817</v>
      </c>
      <c r="G7" s="9">
        <f t="shared" si="1"/>
        <v>59799088.380347811</v>
      </c>
      <c r="H7" s="9">
        <f t="shared" si="1"/>
        <v>63272082.665062882</v>
      </c>
      <c r="I7" s="9">
        <f t="shared" ref="I7" si="2">H12</f>
        <v>67226595.160721809</v>
      </c>
      <c r="J7" s="9">
        <f t="shared" ref="J7" si="3">I12</f>
        <v>71689886.686677441</v>
      </c>
      <c r="K7" s="9">
        <f t="shared" ref="K7" si="4">J12</f>
        <v>76690469.680073202</v>
      </c>
      <c r="L7" s="9">
        <f t="shared" ref="L7" si="5">K12</f>
        <v>82258160.384302706</v>
      </c>
      <c r="M7" s="9">
        <f t="shared" ref="M7" si="6">L12</f>
        <v>88424133.095874071</v>
      </c>
      <c r="N7" s="9">
        <f t="shared" ref="N7" si="7">M12</f>
        <v>95220976.547976017</v>
      </c>
      <c r="O7" s="9">
        <f t="shared" ref="O7" si="8">N12</f>
        <v>102682752.51194589</v>
      </c>
      <c r="P7" s="9">
        <f t="shared" ref="P7" si="9">O12</f>
        <v>110845056.70084825</v>
      </c>
      <c r="Q7" s="9">
        <f t="shared" ref="Q7" si="10">P12</f>
        <v>119745082.0624917</v>
      </c>
      <c r="R7" s="9">
        <f t="shared" ref="R7" si="11">Q12</f>
        <v>129421684.55244222</v>
      </c>
      <c r="S7" s="9">
        <f t="shared" ref="S7" si="12">R12</f>
        <v>139915451.48094115</v>
      </c>
      <c r="T7" s="9">
        <f t="shared" ref="T7" si="13">S12</f>
        <v>151268772.53110588</v>
      </c>
      <c r="U7" s="9">
        <f t="shared" ref="U7" si="14">T12</f>
        <v>163525913.5493882</v>
      </c>
      <c r="V7" s="9">
        <f t="shared" ref="V7" si="15">U12</f>
        <v>176733093.21299231</v>
      </c>
      <c r="W7" s="9">
        <f t="shared" ref="W7" si="16">V12</f>
        <v>190938562.68281609</v>
      </c>
      <c r="X7" s="9">
        <f t="shared" ref="X7" si="17">W12</f>
        <v>206192688.35448202</v>
      </c>
      <c r="Y7" s="9">
        <f t="shared" ref="Y7" si="18">X12</f>
        <v>222548037.82417095</v>
      </c>
      <c r="Z7" s="9">
        <f t="shared" ref="Z7" si="19">Y12</f>
        <v>240059469.19026852</v>
      </c>
      <c r="AA7" s="9">
        <f t="shared" ref="AA7" si="20">Z12</f>
        <v>258784223.81628793</v>
      </c>
      <c r="AB7" s="9">
        <f t="shared" ref="AB7" si="21">AA12</f>
        <v>278782022.68514532</v>
      </c>
      <c r="AC7" s="9">
        <f t="shared" ref="AC7" si="22">AB12</f>
        <v>300115166.47964525</v>
      </c>
      <c r="AD7" s="9">
        <f t="shared" ref="AD7" si="23">AC12</f>
        <v>322848639.52898717</v>
      </c>
      <c r="AE7" s="9">
        <f t="shared" ref="AE7" si="24">AD12</f>
        <v>347050217.76623535</v>
      </c>
      <c r="AF7" s="9">
        <f t="shared" ref="AF7" si="25">AE12</f>
        <v>372790580.84701335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1479803.6492637475</v>
      </c>
      <c r="D8" s="9">
        <f>Assumptions!E111*Assumptions!E11</f>
        <v>1527157.3660401874</v>
      </c>
      <c r="E8" s="9">
        <f>Assumptions!F111*Assumptions!F11</f>
        <v>1576026.4017534733</v>
      </c>
      <c r="F8" s="9">
        <f>Assumptions!G111*Assumptions!G11</f>
        <v>1626459.2466095844</v>
      </c>
      <c r="G8" s="9">
        <f>Assumptions!H111*Assumptions!H11</f>
        <v>1678505.9425010914</v>
      </c>
      <c r="H8" s="9">
        <f>Assumptions!I111*Assumptions!I11</f>
        <v>1732218.1326611261</v>
      </c>
      <c r="I8" s="9">
        <f>Assumptions!J111*Assumptions!J11</f>
        <v>1787649.1129062818</v>
      </c>
      <c r="J8" s="9">
        <f>Assumptions!K111*Assumptions!K11</f>
        <v>1844853.8845192832</v>
      </c>
      <c r="K8" s="9">
        <f>Assumptions!L111*Assumptions!L11</f>
        <v>1903889.2088239004</v>
      </c>
      <c r="L8" s="9">
        <f>Assumptions!M111*Assumptions!M11</f>
        <v>1964813.663506265</v>
      </c>
      <c r="M8" s="9">
        <f>Assumptions!N111*Assumptions!N11</f>
        <v>2027687.7007384654</v>
      </c>
      <c r="N8" s="9">
        <f>Assumptions!O111*Assumptions!O11</f>
        <v>2092573.7071620964</v>
      </c>
      <c r="O8" s="9">
        <f>Assumptions!P111*Assumptions!P11</f>
        <v>2159536.0657912837</v>
      </c>
      <c r="P8" s="9">
        <f>Assumptions!Q111*Assumptions!Q11</f>
        <v>2228641.2198966043</v>
      </c>
      <c r="Q8" s="9">
        <f>Assumptions!R111*Assumptions!R11</f>
        <v>2299957.738933295</v>
      </c>
      <c r="R8" s="9">
        <f>Assumptions!S111*Assumptions!S11</f>
        <v>2373556.386579161</v>
      </c>
      <c r="S8" s="9">
        <f>Assumptions!T111*Assumptions!T11</f>
        <v>2449510.1909496947</v>
      </c>
      <c r="T8" s="9">
        <f>Assumptions!U111*Assumptions!U11</f>
        <v>2527894.5170600843</v>
      </c>
      <c r="U8" s="9">
        <f>Assumptions!V111*Assumptions!V11</f>
        <v>2608787.1416060068</v>
      </c>
      <c r="V8" s="9">
        <f>Assumptions!W111*Assumptions!W11</f>
        <v>2692268.3301373995</v>
      </c>
      <c r="W8" s="9">
        <f>Assumptions!X111*Assumptions!X11</f>
        <v>2778420.9167017965</v>
      </c>
      <c r="X8" s="9">
        <f>Assumptions!Y111*Assumptions!Y11</f>
        <v>2867330.3860362535</v>
      </c>
      <c r="Y8" s="9">
        <f>Assumptions!Z111*Assumptions!Z11</f>
        <v>2959084.9583894131</v>
      </c>
      <c r="Z8" s="9">
        <f>Assumptions!AA111*Assumptions!AA11</f>
        <v>3053775.6770578749</v>
      </c>
      <c r="AA8" s="9">
        <f>Assumptions!AB111*Assumptions!AB11</f>
        <v>3151496.4987237277</v>
      </c>
      <c r="AB8" s="9">
        <f>Assumptions!AC111*Assumptions!AC11</f>
        <v>3252344.3866828862</v>
      </c>
      <c r="AC8" s="9">
        <f>Assumptions!AD111*Assumptions!AD11</f>
        <v>3356419.4070567382</v>
      </c>
      <c r="AD8" s="9">
        <f>Assumptions!AE111*Assumptions!AE11</f>
        <v>3463824.8280825545</v>
      </c>
      <c r="AE8" s="9">
        <f>Assumptions!AF111*Assumptions!AF11</f>
        <v>3574667.2225811961</v>
      </c>
      <c r="AF8" s="9">
        <f>Assumptions!AG111*Assumptions!AG11</f>
        <v>3689056.5737037938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316411.2</v>
      </c>
      <c r="D9" s="9">
        <f>Assumptions!E120*Assumptions!E11</f>
        <v>653072.71679999994</v>
      </c>
      <c r="E9" s="9">
        <f>Assumptions!F120*Assumptions!F11</f>
        <v>1010956.5656063999</v>
      </c>
      <c r="F9" s="9">
        <f>Assumptions!G120*Assumptions!G11</f>
        <v>1391076.2342744062</v>
      </c>
      <c r="G9" s="9">
        <f>Assumptions!H120*Assumptions!H11</f>
        <v>1794488.3422139843</v>
      </c>
      <c r="H9" s="9">
        <f>Assumptions!I120*Assumptions!I11</f>
        <v>2222294.3629977978</v>
      </c>
      <c r="I9" s="9">
        <f>Assumptions!J120*Assumptions!J11</f>
        <v>2675642.4130493482</v>
      </c>
      <c r="J9" s="9">
        <f>Assumptions!K120*Assumptions!K11</f>
        <v>3155729.1088764891</v>
      </c>
      <c r="K9" s="9">
        <f>Assumptions!L120*Assumptions!L11</f>
        <v>3663801.4954056041</v>
      </c>
      <c r="L9" s="9">
        <f>Assumptions!M120*Assumptions!M11</f>
        <v>4201159.0480650924</v>
      </c>
      <c r="M9" s="9">
        <f>Assumptions!N120*Assumptions!N11</f>
        <v>4769155.7513634926</v>
      </c>
      <c r="N9" s="9">
        <f>Assumptions!O120*Assumptions!O11</f>
        <v>5369202.2568077724</v>
      </c>
      <c r="O9" s="9">
        <f>Assumptions!P120*Assumptions!P11</f>
        <v>6002768.1231110897</v>
      </c>
      <c r="P9" s="9">
        <f>Assumptions!Q120*Assumptions!Q11</f>
        <v>6671384.141746847</v>
      </c>
      <c r="Q9" s="9">
        <f>Assumptions!R120*Assumptions!R11</f>
        <v>7376644.7510172268</v>
      </c>
      <c r="R9" s="9">
        <f>Assumptions!S120*Assumptions!S11</f>
        <v>8120210.5419197651</v>
      </c>
      <c r="S9" s="9">
        <f>Assumptions!T120*Assumptions!T11</f>
        <v>8903810.859215023</v>
      </c>
      <c r="T9" s="9">
        <f>Assumptions!U120*Assumptions!U11</f>
        <v>9729246.5012222491</v>
      </c>
      <c r="U9" s="9">
        <f>Assumptions!V120*Assumptions!V11</f>
        <v>10598392.521998102</v>
      </c>
      <c r="V9" s="9">
        <f>Assumptions!W120*Assumptions!W11</f>
        <v>11513201.139686361</v>
      </c>
      <c r="W9" s="9">
        <f>Assumptions!X120*Assumptions!X11</f>
        <v>12475704.754964143</v>
      </c>
      <c r="X9" s="9">
        <f>Assumptions!Y120*Assumptions!Y11</f>
        <v>13488019.08365266</v>
      </c>
      <c r="Y9" s="9">
        <f>Assumptions!Z120*Assumptions!Z11</f>
        <v>14552346.407708159</v>
      </c>
      <c r="Z9" s="9">
        <f>Assumptions!AA120*Assumptions!AA11</f>
        <v>15670978.948961552</v>
      </c>
      <c r="AA9" s="9">
        <f>Assumptions!AB120*Assumptions!AB11</f>
        <v>16846302.370133672</v>
      </c>
      <c r="AB9" s="9">
        <f>Assumptions!AC120*Assumptions!AC11</f>
        <v>18080799.407817066</v>
      </c>
      <c r="AC9" s="9">
        <f>Assumptions!AD120*Assumptions!AD11</f>
        <v>19377053.642285179</v>
      </c>
      <c r="AD9" s="9">
        <f>Assumptions!AE120*Assumptions!AE11</f>
        <v>20737753.409165651</v>
      </c>
      <c r="AE9" s="9">
        <f>Assumptions!AF120*Assumptions!AF11</f>
        <v>22165695.858196773</v>
      </c>
      <c r="AF9" s="9">
        <f>Assumptions!AG120*Assumptions!AG11</f>
        <v>23663791.164474893</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1796214.8492637475</v>
      </c>
      <c r="D10" s="9">
        <f>SUM($C$8:D9)</f>
        <v>3976444.9321039352</v>
      </c>
      <c r="E10" s="9">
        <f>SUM($C$8:E9)</f>
        <v>6563427.8994638082</v>
      </c>
      <c r="F10" s="9">
        <f>SUM($C$8:F9)</f>
        <v>9580963.3803477976</v>
      </c>
      <c r="G10" s="9">
        <f>SUM($C$8:G9)</f>
        <v>13053957.665062875</v>
      </c>
      <c r="H10" s="9">
        <f>SUM($C$8:H9)</f>
        <v>17008470.160721797</v>
      </c>
      <c r="I10" s="9">
        <f>SUM($C$8:I9)</f>
        <v>21471761.686677426</v>
      </c>
      <c r="J10" s="9">
        <f>SUM($C$8:J9)</f>
        <v>26472344.680073198</v>
      </c>
      <c r="K10" s="9">
        <f>SUM($C$8:K9)</f>
        <v>32040035.384302702</v>
      </c>
      <c r="L10" s="9">
        <f>SUM($C$8:L9)</f>
        <v>38206008.095874056</v>
      </c>
      <c r="M10" s="9">
        <f>SUM($C$8:M9)</f>
        <v>45002851.547976024</v>
      </c>
      <c r="N10" s="9">
        <f>SUM($C$8:N9)</f>
        <v>52464627.511945896</v>
      </c>
      <c r="O10" s="9">
        <f>SUM($C$8:O9)</f>
        <v>60626931.700848266</v>
      </c>
      <c r="P10" s="9">
        <f>SUM($C$8:P9)</f>
        <v>69526957.06249173</v>
      </c>
      <c r="Q10" s="9">
        <f>SUM($C$8:Q9)</f>
        <v>79203559.552442253</v>
      </c>
      <c r="R10" s="9">
        <f>SUM($C$8:R9)</f>
        <v>89697326.480941176</v>
      </c>
      <c r="S10" s="9">
        <f>SUM($C$8:S9)</f>
        <v>101050647.53110589</v>
      </c>
      <c r="T10" s="9">
        <f>SUM($C$8:T9)</f>
        <v>113307788.54938823</v>
      </c>
      <c r="U10" s="9">
        <f>SUM($C$8:U9)</f>
        <v>126514968.21299233</v>
      </c>
      <c r="V10" s="9">
        <f>SUM($C$8:V9)</f>
        <v>140720437.68281609</v>
      </c>
      <c r="W10" s="9">
        <f>SUM($C$8:W9)</f>
        <v>155974563.35448202</v>
      </c>
      <c r="X10" s="9">
        <f>SUM($C$8:X9)</f>
        <v>172329912.82417089</v>
      </c>
      <c r="Y10" s="9">
        <f>SUM($C$8:Y9)</f>
        <v>189841344.19026852</v>
      </c>
      <c r="Z10" s="9">
        <f>SUM($C$8:Z9)</f>
        <v>208566098.81628793</v>
      </c>
      <c r="AA10" s="9">
        <f>SUM($C$8:AA9)</f>
        <v>228563897.68514535</v>
      </c>
      <c r="AB10" s="9">
        <f>SUM($C$8:AB9)</f>
        <v>249897041.47964528</v>
      </c>
      <c r="AC10" s="9">
        <f>SUM($C$8:AC9)</f>
        <v>272630514.52898723</v>
      </c>
      <c r="AD10" s="9">
        <f>SUM($C$8:AD9)</f>
        <v>296832092.76623547</v>
      </c>
      <c r="AE10" s="9">
        <f>SUM($C$8:AE9)</f>
        <v>322572455.84701341</v>
      </c>
      <c r="AF10" s="9">
        <f>SUM($C$8:AF9)</f>
        <v>349925303.5851922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52014339.849263765</v>
      </c>
      <c r="D12" s="9">
        <f>D7+D8+D9</f>
        <v>54194569.932103947</v>
      </c>
      <c r="E12" s="9">
        <f>E7+E8+E9</f>
        <v>56781552.899463817</v>
      </c>
      <c r="F12" s="9">
        <f t="shared" ref="F12:H12" si="26">F7+F8+F9</f>
        <v>59799088.380347811</v>
      </c>
      <c r="G12" s="9">
        <f t="shared" si="26"/>
        <v>63272082.665062882</v>
      </c>
      <c r="H12" s="9">
        <f t="shared" si="26"/>
        <v>67226595.160721809</v>
      </c>
      <c r="I12" s="9">
        <f t="shared" ref="I12:AF12" si="27">I7+I8+I9</f>
        <v>71689886.686677441</v>
      </c>
      <c r="J12" s="9">
        <f t="shared" si="27"/>
        <v>76690469.680073202</v>
      </c>
      <c r="K12" s="9">
        <f t="shared" si="27"/>
        <v>82258160.384302706</v>
      </c>
      <c r="L12" s="9">
        <f t="shared" si="27"/>
        <v>88424133.095874071</v>
      </c>
      <c r="M12" s="9">
        <f t="shared" si="27"/>
        <v>95220976.547976017</v>
      </c>
      <c r="N12" s="9">
        <f t="shared" si="27"/>
        <v>102682752.51194589</v>
      </c>
      <c r="O12" s="9">
        <f t="shared" si="27"/>
        <v>110845056.70084825</v>
      </c>
      <c r="P12" s="9">
        <f t="shared" si="27"/>
        <v>119745082.0624917</v>
      </c>
      <c r="Q12" s="9">
        <f t="shared" si="27"/>
        <v>129421684.55244222</v>
      </c>
      <c r="R12" s="9">
        <f t="shared" si="27"/>
        <v>139915451.48094115</v>
      </c>
      <c r="S12" s="9">
        <f t="shared" si="27"/>
        <v>151268772.53110588</v>
      </c>
      <c r="T12" s="9">
        <f t="shared" si="27"/>
        <v>163525913.5493882</v>
      </c>
      <c r="U12" s="9">
        <f t="shared" si="27"/>
        <v>176733093.21299231</v>
      </c>
      <c r="V12" s="9">
        <f t="shared" si="27"/>
        <v>190938562.68281609</v>
      </c>
      <c r="W12" s="9">
        <f t="shared" si="27"/>
        <v>206192688.35448202</v>
      </c>
      <c r="X12" s="9">
        <f t="shared" si="27"/>
        <v>222548037.82417095</v>
      </c>
      <c r="Y12" s="9">
        <f t="shared" si="27"/>
        <v>240059469.19026852</v>
      </c>
      <c r="Z12" s="9">
        <f t="shared" si="27"/>
        <v>258784223.81628793</v>
      </c>
      <c r="AA12" s="9">
        <f t="shared" si="27"/>
        <v>278782022.68514532</v>
      </c>
      <c r="AB12" s="9">
        <f t="shared" si="27"/>
        <v>300115166.47964525</v>
      </c>
      <c r="AC12" s="9">
        <f t="shared" si="27"/>
        <v>322848639.52898717</v>
      </c>
      <c r="AD12" s="9">
        <f t="shared" si="27"/>
        <v>347050217.76623535</v>
      </c>
      <c r="AE12" s="9">
        <f t="shared" si="27"/>
        <v>372790580.84701335</v>
      </c>
      <c r="AF12" s="9">
        <f t="shared" si="27"/>
        <v>400143428.58519202</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14980014.849263746</v>
      </c>
      <c r="D18" s="9">
        <f>Investment!D25</f>
        <v>15785911.682840187</v>
      </c>
      <c r="E18" s="9">
        <f>Investment!E25</f>
        <v>16628046.378559873</v>
      </c>
      <c r="F18" s="9">
        <f>Investment!F25</f>
        <v>17507912.92124239</v>
      </c>
      <c r="G18" s="9">
        <f>Investment!G25</f>
        <v>18427063.803164944</v>
      </c>
      <c r="H18" s="9">
        <f>Investment!H25</f>
        <v>19387112.238699187</v>
      </c>
      <c r="I18" s="9">
        <f>Investment!I25</f>
        <v>20389734.460773177</v>
      </c>
      <c r="J18" s="9">
        <f>Investment!J25</f>
        <v>21436672.102127485</v>
      </c>
      <c r="K18" s="9">
        <f>Investment!K25</f>
        <v>22529734.664440632</v>
      </c>
      <c r="L18" s="9">
        <f>Investment!L25</f>
        <v>23670802.078509241</v>
      </c>
      <c r="M18" s="9">
        <f>Investment!M25</f>
        <v>24861827.358781852</v>
      </c>
      <c r="N18" s="9">
        <f>Investment!N25</f>
        <v>26104839.355663523</v>
      </c>
      <c r="O18" s="9">
        <f>Investment!O25</f>
        <v>27401945.609130226</v>
      </c>
      <c r="P18" s="9">
        <f>Investment!P25</f>
        <v>28755335.307318591</v>
      </c>
      <c r="Q18" s="9">
        <f>Investment!Q25</f>
        <v>30167282.353887264</v>
      </c>
      <c r="R18" s="9">
        <f>Investment!R25</f>
        <v>31640148.548081644</v>
      </c>
      <c r="S18" s="9">
        <f>Investment!S25</f>
        <v>33176386.881574087</v>
      </c>
      <c r="T18" s="9">
        <f>Investment!T25</f>
        <v>34778544.956296802</v>
      </c>
      <c r="U18" s="9">
        <f>Investment!U25</f>
        <v>36449268.527635038</v>
      </c>
      <c r="V18" s="9">
        <f>Investment!V25</f>
        <v>38191305.177503675</v>
      </c>
      <c r="W18" s="9">
        <f>Investment!W25</f>
        <v>40007508.121991619</v>
      </c>
      <c r="X18" s="9">
        <f>Investment!X25</f>
        <v>41900840.158425018</v>
      </c>
      <c r="Y18" s="9">
        <f>Investment!Y25</f>
        <v>43874377.75687322</v>
      </c>
      <c r="Z18" s="9">
        <f>Investment!Z25</f>
        <v>45931315.3012999</v>
      </c>
      <c r="AA18" s="9">
        <f>Investment!AA25</f>
        <v>48074969.485746853</v>
      </c>
      <c r="AB18" s="9">
        <f>Investment!AB25</f>
        <v>50308783.871129863</v>
      </c>
      <c r="AC18" s="9">
        <f>Investment!AC25</f>
        <v>52636333.608423978</v>
      </c>
      <c r="AD18" s="9">
        <f>Investment!AD25</f>
        <v>55061330.334220901</v>
      </c>
      <c r="AE18" s="9">
        <f>Investment!AE25</f>
        <v>57587627.244853787</v>
      </c>
      <c r="AF18" s="9">
        <f>Investment!AF25</f>
        <v>60219224.35550493</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65198139.849263757</v>
      </c>
      <c r="D19" s="9">
        <f>D18+C20</f>
        <v>79187836.682840198</v>
      </c>
      <c r="E19" s="9">
        <f>E18+D20</f>
        <v>93635652.978559881</v>
      </c>
      <c r="F19" s="9">
        <f t="shared" ref="F19:AF19" si="28">F18+E20</f>
        <v>108556582.9324424</v>
      </c>
      <c r="G19" s="9">
        <f t="shared" si="28"/>
        <v>123966111.25472336</v>
      </c>
      <c r="H19" s="9">
        <f t="shared" si="28"/>
        <v>139880229.20870745</v>
      </c>
      <c r="I19" s="9">
        <f t="shared" si="28"/>
        <v>156315451.17382169</v>
      </c>
      <c r="J19" s="9">
        <f t="shared" si="28"/>
        <v>173288831.74999356</v>
      </c>
      <c r="K19" s="9">
        <f t="shared" si="28"/>
        <v>190817983.42103842</v>
      </c>
      <c r="L19" s="9">
        <f t="shared" si="28"/>
        <v>208921094.79531816</v>
      </c>
      <c r="M19" s="9">
        <f t="shared" si="28"/>
        <v>227616949.44252864</v>
      </c>
      <c r="N19" s="9">
        <f t="shared" si="28"/>
        <v>246924945.3460902</v>
      </c>
      <c r="O19" s="9">
        <f t="shared" si="28"/>
        <v>266865114.99125057</v>
      </c>
      <c r="P19" s="9">
        <f t="shared" si="28"/>
        <v>287458146.10966676</v>
      </c>
      <c r="Q19" s="9">
        <f t="shared" si="28"/>
        <v>308725403.10191059</v>
      </c>
      <c r="R19" s="9">
        <f t="shared" si="28"/>
        <v>330688949.16004169</v>
      </c>
      <c r="S19" s="9">
        <f t="shared" si="28"/>
        <v>353371569.11311686</v>
      </c>
      <c r="T19" s="9">
        <f t="shared" si="28"/>
        <v>376796793.01924896</v>
      </c>
      <c r="U19" s="9">
        <f t="shared" si="28"/>
        <v>400988920.52860165</v>
      </c>
      <c r="V19" s="9">
        <f t="shared" si="28"/>
        <v>425973046.04250121</v>
      </c>
      <c r="W19" s="9">
        <f t="shared" si="28"/>
        <v>451775084.69466913</v>
      </c>
      <c r="X19" s="9">
        <f t="shared" si="28"/>
        <v>478421799.18142825</v>
      </c>
      <c r="Y19" s="9">
        <f t="shared" si="28"/>
        <v>505940827.46861255</v>
      </c>
      <c r="Z19" s="9">
        <f t="shared" si="28"/>
        <v>534360711.40381491</v>
      </c>
      <c r="AA19" s="9">
        <f t="shared" si="28"/>
        <v>563710926.26354229</v>
      </c>
      <c r="AB19" s="9">
        <f t="shared" si="28"/>
        <v>594021911.26581478</v>
      </c>
      <c r="AC19" s="9">
        <f t="shared" si="28"/>
        <v>625325101.07973886</v>
      </c>
      <c r="AD19" s="9">
        <f t="shared" si="28"/>
        <v>657652958.36461782</v>
      </c>
      <c r="AE19" s="9">
        <f t="shared" si="28"/>
        <v>691039007.37222338</v>
      </c>
      <c r="AF19" s="9">
        <f t="shared" si="28"/>
        <v>725517868.64695048</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63401925.000000007</v>
      </c>
      <c r="D20" s="9">
        <f>D19-D8-D9</f>
        <v>77007606.600000009</v>
      </c>
      <c r="E20" s="9">
        <f t="shared" ref="E20:AF20" si="29">E19-E8-E9</f>
        <v>91048670.011200011</v>
      </c>
      <c r="F20" s="9">
        <f t="shared" si="29"/>
        <v>105539047.45155841</v>
      </c>
      <c r="G20" s="9">
        <f t="shared" si="29"/>
        <v>120493116.97000827</v>
      </c>
      <c r="H20" s="9">
        <f t="shared" si="29"/>
        <v>135925716.71304852</v>
      </c>
      <c r="I20" s="9">
        <f t="shared" si="29"/>
        <v>151852159.64786607</v>
      </c>
      <c r="J20" s="9">
        <f t="shared" si="29"/>
        <v>168288248.75659779</v>
      </c>
      <c r="K20" s="9">
        <f t="shared" si="29"/>
        <v>185250292.71680892</v>
      </c>
      <c r="L20" s="9">
        <f t="shared" si="29"/>
        <v>202755122.08374679</v>
      </c>
      <c r="M20" s="9">
        <f t="shared" si="29"/>
        <v>220820105.99042669</v>
      </c>
      <c r="N20" s="9">
        <f t="shared" si="29"/>
        <v>239463169.38212034</v>
      </c>
      <c r="O20" s="9">
        <f t="shared" si="29"/>
        <v>258702810.8023482</v>
      </c>
      <c r="P20" s="9">
        <f t="shared" si="29"/>
        <v>278558120.74802333</v>
      </c>
      <c r="Q20" s="9">
        <f t="shared" si="29"/>
        <v>299048800.61196005</v>
      </c>
      <c r="R20" s="9">
        <f t="shared" si="29"/>
        <v>320195182.23154277</v>
      </c>
      <c r="S20" s="9">
        <f t="shared" si="29"/>
        <v>342018248.06295216</v>
      </c>
      <c r="T20" s="9">
        <f t="shared" si="29"/>
        <v>364539652.00096661</v>
      </c>
      <c r="U20" s="9">
        <f t="shared" si="29"/>
        <v>387781740.86499751</v>
      </c>
      <c r="V20" s="9">
        <f t="shared" si="29"/>
        <v>411767576.57267749</v>
      </c>
      <c r="W20" s="9">
        <f t="shared" si="29"/>
        <v>436520959.02300322</v>
      </c>
      <c r="X20" s="9">
        <f t="shared" si="29"/>
        <v>462066449.7117393</v>
      </c>
      <c r="Y20" s="9">
        <f t="shared" si="29"/>
        <v>488429396.10251498</v>
      </c>
      <c r="Z20" s="9">
        <f t="shared" si="29"/>
        <v>515635956.77779549</v>
      </c>
      <c r="AA20" s="9">
        <f t="shared" si="29"/>
        <v>543713127.39468491</v>
      </c>
      <c r="AB20" s="9">
        <f t="shared" si="29"/>
        <v>572688767.47131491</v>
      </c>
      <c r="AC20" s="9">
        <f t="shared" si="29"/>
        <v>602591628.03039694</v>
      </c>
      <c r="AD20" s="9">
        <f t="shared" si="29"/>
        <v>633451380.12736964</v>
      </c>
      <c r="AE20" s="9">
        <f t="shared" si="29"/>
        <v>665298644.29144549</v>
      </c>
      <c r="AF20" s="9">
        <f t="shared" si="29"/>
        <v>698165020.90877187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0</v>
      </c>
      <c r="D22" s="9">
        <f ca="1">'Balance Sheet'!C11</f>
        <v>11255171.346387301</v>
      </c>
      <c r="E22" s="9">
        <f ca="1">'Balance Sheet'!D11</f>
        <v>22362366.821997397</v>
      </c>
      <c r="F22" s="9">
        <f ca="1">'Balance Sheet'!E11</f>
        <v>33166599.207659345</v>
      </c>
      <c r="G22" s="9">
        <f ca="1">'Balance Sheet'!F11</f>
        <v>43294994.928149939</v>
      </c>
      <c r="H22" s="9">
        <f ca="1">'Balance Sheet'!G11</f>
        <v>52279031.694191515</v>
      </c>
      <c r="I22" s="9">
        <f ca="1">'Balance Sheet'!H11</f>
        <v>59534271.256106533</v>
      </c>
      <c r="J22" s="9">
        <f ca="1">'Balance Sheet'!I11</f>
        <v>65648592.06704624</v>
      </c>
      <c r="K22" s="9">
        <f ca="1">'Balance Sheet'!J11</f>
        <v>71219141.6894252</v>
      </c>
      <c r="L22" s="9">
        <f ca="1">'Balance Sheet'!K11</f>
        <v>76597826.449894801</v>
      </c>
      <c r="M22" s="9">
        <f ca="1">'Balance Sheet'!L11</f>
        <v>81973466.029050797</v>
      </c>
      <c r="N22" s="9">
        <f ca="1">'Balance Sheet'!M11</f>
        <v>87278657.71858193</v>
      </c>
      <c r="O22" s="9">
        <f ca="1">'Balance Sheet'!N11</f>
        <v>92436307.623126939</v>
      </c>
      <c r="P22" s="9">
        <f ca="1">'Balance Sheet'!O11</f>
        <v>97721630.570092008</v>
      </c>
      <c r="Q22" s="9">
        <f ca="1">'Balance Sheet'!P11</f>
        <v>103095543.75830267</v>
      </c>
      <c r="R22" s="9">
        <f ca="1">'Balance Sheet'!Q11</f>
        <v>108512948.21610142</v>
      </c>
      <c r="S22" s="9">
        <f ca="1">'Balance Sheet'!R11</f>
        <v>113922156.36656255</v>
      </c>
      <c r="T22" s="9">
        <f ca="1">'Balance Sheet'!S11</f>
        <v>119722500.91084129</v>
      </c>
      <c r="U22" s="9">
        <f ca="1">'Balance Sheet'!T11</f>
        <v>125914241.48961432</v>
      </c>
      <c r="V22" s="9">
        <f ca="1">'Balance Sheet'!U11</f>
        <v>132495650.34205776</v>
      </c>
      <c r="W22" s="9">
        <f ca="1">'Balance Sheet'!V11</f>
        <v>139462787.23865286</v>
      </c>
      <c r="X22" s="9">
        <f ca="1">'Balance Sheet'!W11</f>
        <v>146809256.62529218</v>
      </c>
      <c r="Y22" s="9">
        <f ca="1">'Balance Sheet'!X11</f>
        <v>154525945.78142029</v>
      </c>
      <c r="Z22" s="9">
        <f ca="1">'Balance Sheet'!Y11</f>
        <v>162600742.72141844</v>
      </c>
      <c r="AA22" s="9">
        <f ca="1">'Balance Sheet'!Z11</f>
        <v>171018232.49065918</v>
      </c>
      <c r="AB22" s="9">
        <f ca="1">'Balance Sheet'!AA11</f>
        <v>179759370.42537639</v>
      </c>
      <c r="AC22" s="9">
        <f ca="1">'Balance Sheet'!AB11</f>
        <v>188801130.85847056</v>
      </c>
      <c r="AD22" s="9">
        <f ca="1">'Balance Sheet'!AC11</f>
        <v>198116129.66133261</v>
      </c>
      <c r="AE22" s="9">
        <f ca="1">'Balance Sheet'!AD11</f>
        <v>207672218.91444618</v>
      </c>
      <c r="AF22" s="9">
        <f ca="1">'Balance Sheet'!AE11</f>
        <v>217432051.89662433</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63401925.000000007</v>
      </c>
      <c r="D23" s="9">
        <f t="shared" ref="D23:AF23" ca="1" si="30">D20-D22</f>
        <v>65752435.253612712</v>
      </c>
      <c r="E23" s="9">
        <f t="shared" ca="1" si="30"/>
        <v>68686303.189202607</v>
      </c>
      <c r="F23" s="9">
        <f t="shared" ca="1" si="30"/>
        <v>72372448.243899062</v>
      </c>
      <c r="G23" s="9">
        <f t="shared" ca="1" si="30"/>
        <v>77198122.04185833</v>
      </c>
      <c r="H23" s="9">
        <f t="shared" ca="1" si="30"/>
        <v>83646685.018857002</v>
      </c>
      <c r="I23" s="9">
        <f t="shared" ca="1" si="30"/>
        <v>92317888.391759545</v>
      </c>
      <c r="J23" s="9">
        <f ca="1">J20-J22</f>
        <v>102639656.68955155</v>
      </c>
      <c r="K23" s="9">
        <f t="shared" ca="1" si="30"/>
        <v>114031151.02738371</v>
      </c>
      <c r="L23" s="9">
        <f t="shared" ca="1" si="30"/>
        <v>126157295.63385199</v>
      </c>
      <c r="M23" s="9">
        <f t="shared" ca="1" si="30"/>
        <v>138846639.96137589</v>
      </c>
      <c r="N23" s="9">
        <f t="shared" ca="1" si="30"/>
        <v>152184511.6635384</v>
      </c>
      <c r="O23" s="9">
        <f t="shared" ca="1" si="30"/>
        <v>166266503.17922127</v>
      </c>
      <c r="P23" s="9">
        <f t="shared" ca="1" si="30"/>
        <v>180836490.17793131</v>
      </c>
      <c r="Q23" s="9">
        <f t="shared" ca="1" si="30"/>
        <v>195953256.85365736</v>
      </c>
      <c r="R23" s="9">
        <f t="shared" ca="1" si="30"/>
        <v>211682234.01544136</v>
      </c>
      <c r="S23" s="9">
        <f t="shared" ca="1" si="30"/>
        <v>228096091.69638962</v>
      </c>
      <c r="T23" s="9">
        <f t="shared" ca="1" si="30"/>
        <v>244817151.09012532</v>
      </c>
      <c r="U23" s="9">
        <f t="shared" ca="1" si="30"/>
        <v>261867499.3753832</v>
      </c>
      <c r="V23" s="9">
        <f t="shared" ca="1" si="30"/>
        <v>279271926.23061973</v>
      </c>
      <c r="W23" s="9">
        <f t="shared" ca="1" si="30"/>
        <v>297058171.7843504</v>
      </c>
      <c r="X23" s="9">
        <f t="shared" ca="1" si="30"/>
        <v>315257193.08644712</v>
      </c>
      <c r="Y23" s="9">
        <f t="shared" ca="1" si="30"/>
        <v>333903450.32109469</v>
      </c>
      <c r="Z23" s="9">
        <f t="shared" ca="1" si="30"/>
        <v>353035214.05637705</v>
      </c>
      <c r="AA23" s="9">
        <f t="shared" ca="1" si="30"/>
        <v>372694894.90402573</v>
      </c>
      <c r="AB23" s="9">
        <f t="shared" ca="1" si="30"/>
        <v>392929397.04593849</v>
      </c>
      <c r="AC23" s="9">
        <f t="shared" ca="1" si="30"/>
        <v>413790497.17192638</v>
      </c>
      <c r="AD23" s="9">
        <f t="shared" ca="1" si="30"/>
        <v>435335250.46603703</v>
      </c>
      <c r="AE23" s="9">
        <f t="shared" ca="1" si="30"/>
        <v>457626425.37699932</v>
      </c>
      <c r="AF23" s="9">
        <f t="shared" ca="1" si="30"/>
        <v>480732969.01214755</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0</v>
      </c>
      <c r="D5" s="1">
        <f ca="1">C5+C6</f>
        <v>11255171.346387301</v>
      </c>
      <c r="E5" s="1">
        <f t="shared" ref="E5:AF5" ca="1" si="1">D5+D6</f>
        <v>22362366.821997397</v>
      </c>
      <c r="F5" s="1">
        <f t="shared" ca="1" si="1"/>
        <v>33166599.207659345</v>
      </c>
      <c r="G5" s="1">
        <f t="shared" ca="1" si="1"/>
        <v>43294994.928149939</v>
      </c>
      <c r="H5" s="1">
        <f t="shared" ca="1" si="1"/>
        <v>52279031.694191515</v>
      </c>
      <c r="I5" s="1">
        <f t="shared" ca="1" si="1"/>
        <v>59534271.256106533</v>
      </c>
      <c r="J5" s="1">
        <f t="shared" ca="1" si="1"/>
        <v>65648592.06704624</v>
      </c>
      <c r="K5" s="1">
        <f t="shared" ca="1" si="1"/>
        <v>71219141.6894252</v>
      </c>
      <c r="L5" s="1">
        <f t="shared" ca="1" si="1"/>
        <v>76597826.449894801</v>
      </c>
      <c r="M5" s="1">
        <f t="shared" ca="1" si="1"/>
        <v>81973466.029050797</v>
      </c>
      <c r="N5" s="1">
        <f t="shared" ca="1" si="1"/>
        <v>87278657.71858193</v>
      </c>
      <c r="O5" s="1">
        <f t="shared" ca="1" si="1"/>
        <v>92436307.623126939</v>
      </c>
      <c r="P5" s="1">
        <f t="shared" ca="1" si="1"/>
        <v>97721630.570092008</v>
      </c>
      <c r="Q5" s="1">
        <f t="shared" ca="1" si="1"/>
        <v>103095543.75830267</v>
      </c>
      <c r="R5" s="1">
        <f t="shared" ca="1" si="1"/>
        <v>108512948.21610142</v>
      </c>
      <c r="S5" s="1">
        <f t="shared" ca="1" si="1"/>
        <v>113922156.36656255</v>
      </c>
      <c r="T5" s="1">
        <f t="shared" ca="1" si="1"/>
        <v>119722500.91084129</v>
      </c>
      <c r="U5" s="1">
        <f t="shared" ca="1" si="1"/>
        <v>125914241.48961432</v>
      </c>
      <c r="V5" s="1">
        <f t="shared" ca="1" si="1"/>
        <v>132495650.34205776</v>
      </c>
      <c r="W5" s="1">
        <f t="shared" ca="1" si="1"/>
        <v>139462787.23865286</v>
      </c>
      <c r="X5" s="1">
        <f t="shared" ca="1" si="1"/>
        <v>146809256.62529218</v>
      </c>
      <c r="Y5" s="1">
        <f t="shared" ca="1" si="1"/>
        <v>154525945.78142029</v>
      </c>
      <c r="Z5" s="1">
        <f t="shared" ca="1" si="1"/>
        <v>162600742.72141844</v>
      </c>
      <c r="AA5" s="1">
        <f t="shared" ca="1" si="1"/>
        <v>171018232.49065918</v>
      </c>
      <c r="AB5" s="1">
        <f t="shared" ca="1" si="1"/>
        <v>179759370.42537639</v>
      </c>
      <c r="AC5" s="1">
        <f t="shared" ca="1" si="1"/>
        <v>188801130.85847056</v>
      </c>
      <c r="AD5" s="1">
        <f t="shared" ca="1" si="1"/>
        <v>198116129.66133261</v>
      </c>
      <c r="AE5" s="1">
        <f t="shared" ca="1" si="1"/>
        <v>207672218.91444618</v>
      </c>
      <c r="AF5" s="1">
        <f t="shared" ca="1" si="1"/>
        <v>217432051.89662433</v>
      </c>
      <c r="AG5" s="1"/>
      <c r="AH5" s="1"/>
      <c r="AI5" s="1"/>
      <c r="AJ5" s="1"/>
      <c r="AK5" s="1"/>
      <c r="AL5" s="1"/>
      <c r="AM5" s="1"/>
      <c r="AN5" s="1"/>
      <c r="AO5" s="1"/>
      <c r="AP5" s="1"/>
    </row>
    <row r="6" spans="1:42" x14ac:dyDescent="0.35">
      <c r="A6" s="63" t="s">
        <v>3</v>
      </c>
      <c r="C6" s="1">
        <f ca="1">-'Cash Flow'!C13</f>
        <v>11255171.346387301</v>
      </c>
      <c r="D6" s="1">
        <f ca="1">-'Cash Flow'!D13</f>
        <v>11107195.475610096</v>
      </c>
      <c r="E6" s="1">
        <f ca="1">-'Cash Flow'!E13</f>
        <v>10804232.385661948</v>
      </c>
      <c r="F6" s="1">
        <f ca="1">-'Cash Flow'!F13</f>
        <v>10128395.720490597</v>
      </c>
      <c r="G6" s="1">
        <f ca="1">-'Cash Flow'!G13</f>
        <v>8984036.7660415806</v>
      </c>
      <c r="H6" s="1">
        <f ca="1">-'Cash Flow'!H13</f>
        <v>7255239.5619150195</v>
      </c>
      <c r="I6" s="1">
        <f ca="1">-'Cash Flow'!I13</f>
        <v>6114320.8109397087</v>
      </c>
      <c r="J6" s="1">
        <f ca="1">-'Cash Flow'!J13</f>
        <v>5570549.6223789528</v>
      </c>
      <c r="K6" s="1">
        <f ca="1">-'Cash Flow'!K13</f>
        <v>5378684.7604695968</v>
      </c>
      <c r="L6" s="1">
        <f ca="1">-'Cash Flow'!L13</f>
        <v>5375639.579155989</v>
      </c>
      <c r="M6" s="1">
        <f ca="1">-'Cash Flow'!M13</f>
        <v>5305191.6895311326</v>
      </c>
      <c r="N6" s="1">
        <f ca="1">-'Cash Flow'!N13</f>
        <v>5157649.9045450091</v>
      </c>
      <c r="O6" s="1">
        <f ca="1">-'Cash Flow'!O13</f>
        <v>5285322.9469650649</v>
      </c>
      <c r="P6" s="1">
        <f ca="1">-'Cash Flow'!P13</f>
        <v>5373913.1882106699</v>
      </c>
      <c r="Q6" s="1">
        <f ca="1">-'Cash Flow'!Q13</f>
        <v>5417404.4577987455</v>
      </c>
      <c r="R6" s="1">
        <f ca="1">-'Cash Flow'!R13</f>
        <v>5409208.1504611149</v>
      </c>
      <c r="S6" s="1">
        <f ca="1">-'Cash Flow'!S13</f>
        <v>5800344.5442787334</v>
      </c>
      <c r="T6" s="1">
        <f ca="1">-'Cash Flow'!T13</f>
        <v>6191740.5787730366</v>
      </c>
      <c r="U6" s="1">
        <f ca="1">-'Cash Flow'!U13</f>
        <v>6581408.8524434417</v>
      </c>
      <c r="V6" s="1">
        <f ca="1">-'Cash Flow'!V13</f>
        <v>6967136.8965950981</v>
      </c>
      <c r="W6" s="1">
        <f ca="1">-'Cash Flow'!W13</f>
        <v>7346469.3866393156</v>
      </c>
      <c r="X6" s="1">
        <f ca="1">-'Cash Flow'!X13</f>
        <v>7716689.1561280936</v>
      </c>
      <c r="Y6" s="1">
        <f ca="1">-'Cash Flow'!Y13</f>
        <v>8074796.939998135</v>
      </c>
      <c r="Z6" s="1">
        <f ca="1">-'Cash Flow'!Z13</f>
        <v>8417489.7692407221</v>
      </c>
      <c r="AA6" s="1">
        <f ca="1">-'Cash Flow'!AA13</f>
        <v>8741137.9347172007</v>
      </c>
      <c r="AB6" s="1">
        <f ca="1">-'Cash Flow'!AB13</f>
        <v>9041760.4330941662</v>
      </c>
      <c r="AC6" s="1">
        <f ca="1">-'Cash Flow'!AC13</f>
        <v>9314998.8028620481</v>
      </c>
      <c r="AD6" s="1">
        <f ca="1">-'Cash Flow'!AD13</f>
        <v>9556089.2531135604</v>
      </c>
      <c r="AE6" s="1">
        <f ca="1">-'Cash Flow'!AE13</f>
        <v>9759832.9821781442</v>
      </c>
      <c r="AF6" s="1">
        <f ca="1">-'Cash Flow'!AF13</f>
        <v>9920564.5773198754</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393930.99712355557</v>
      </c>
      <c r="D8" s="1">
        <f ca="1">IF(SUM(D5:D6)&gt;0,Assumptions!$C$26*SUM(D5:D6),Assumptions!$C$27*(SUM(D5:D6)))</f>
        <v>782682.83876990899</v>
      </c>
      <c r="E8" s="1">
        <f ca="1">IF(SUM(E5:E6)&gt;0,Assumptions!$C$26*SUM(E5:E6),Assumptions!$C$27*(SUM(E5:E6)))</f>
        <v>1160830.9722680771</v>
      </c>
      <c r="F8" s="1">
        <f ca="1">IF(SUM(F5:F6)&gt;0,Assumptions!$C$26*SUM(F5:F6),Assumptions!$C$27*(SUM(F5:F6)))</f>
        <v>1515324.8224852481</v>
      </c>
      <c r="G8" s="1">
        <f ca="1">IF(SUM(G5:G6)&gt;0,Assumptions!$C$26*SUM(G5:G6),Assumptions!$C$27*(SUM(G5:G6)))</f>
        <v>1829766.1092967032</v>
      </c>
      <c r="H8" s="1">
        <f ca="1">IF(SUM(H5:H6)&gt;0,Assumptions!$C$26*SUM(H5:H6),Assumptions!$C$27*(SUM(H5:H6)))</f>
        <v>2083699.4939637289</v>
      </c>
      <c r="I8" s="1">
        <f ca="1">IF(SUM(I5:I6)&gt;0,Assumptions!$C$26*SUM(I5:I6),Assumptions!$C$27*(SUM(I5:I6)))</f>
        <v>2297700.7223466188</v>
      </c>
      <c r="J8" s="1">
        <f ca="1">IF(SUM(J5:J6)&gt;0,Assumptions!$C$26*SUM(J5:J6),Assumptions!$C$27*(SUM(J5:J6)))</f>
        <v>2492669.959129882</v>
      </c>
      <c r="K8" s="1">
        <f ca="1">IF(SUM(K5:K6)&gt;0,Assumptions!$C$26*SUM(K5:K6),Assumptions!$C$27*(SUM(K5:K6)))</f>
        <v>2680923.9257463184</v>
      </c>
      <c r="L8" s="1">
        <f ca="1">IF(SUM(L5:L6)&gt;0,Assumptions!$C$26*SUM(L5:L6),Assumptions!$C$27*(SUM(L5:L6)))</f>
        <v>2869071.311016778</v>
      </c>
      <c r="M8" s="1">
        <f ca="1">IF(SUM(M5:M6)&gt;0,Assumptions!$C$26*SUM(M5:M6),Assumptions!$C$27*(SUM(M5:M6)))</f>
        <v>3054753.0201503676</v>
      </c>
      <c r="N8" s="1">
        <f ca="1">IF(SUM(N5:N6)&gt;0,Assumptions!$C$26*SUM(N5:N6),Assumptions!$C$27*(SUM(N5:N6)))</f>
        <v>3235270.766809443</v>
      </c>
      <c r="O8" s="1">
        <f ca="1">IF(SUM(O5:O6)&gt;0,Assumptions!$C$26*SUM(O5:O6),Assumptions!$C$27*(SUM(O5:O6)))</f>
        <v>3420257.0699532204</v>
      </c>
      <c r="P8" s="1">
        <f ca="1">IF(SUM(P5:P6)&gt;0,Assumptions!$C$26*SUM(P5:P6),Assumptions!$C$27*(SUM(P5:P6)))</f>
        <v>3608344.0315405941</v>
      </c>
      <c r="Q8" s="1">
        <f ca="1">IF(SUM(Q5:Q6)&gt;0,Assumptions!$C$26*SUM(Q5:Q6),Assumptions!$C$27*(SUM(Q5:Q6)))</f>
        <v>3797953.1875635502</v>
      </c>
      <c r="R8" s="1">
        <f ca="1">IF(SUM(R5:R6)&gt;0,Assumptions!$C$26*SUM(R5:R6),Assumptions!$C$27*(SUM(R5:R6)))</f>
        <v>3987275.4728296893</v>
      </c>
      <c r="S8" s="1">
        <f ca="1">IF(SUM(S5:S6)&gt;0,Assumptions!$C$26*SUM(S5:S6),Assumptions!$C$27*(SUM(S5:S6)))</f>
        <v>4190287.5318794455</v>
      </c>
      <c r="T8" s="1">
        <f ca="1">IF(SUM(T5:T6)&gt;0,Assumptions!$C$26*SUM(T5:T6),Assumptions!$C$27*(SUM(T5:T6)))</f>
        <v>4406998.4521365017</v>
      </c>
      <c r="U8" s="1">
        <f ca="1">IF(SUM(U5:U6)&gt;0,Assumptions!$C$26*SUM(U5:U6),Assumptions!$C$27*(SUM(U5:U6)))</f>
        <v>4637347.7619720222</v>
      </c>
      <c r="V8" s="1">
        <f ca="1">IF(SUM(V5:V6)&gt;0,Assumptions!$C$26*SUM(V5:V6),Assumptions!$C$27*(SUM(V5:V6)))</f>
        <v>4881197.5533528505</v>
      </c>
      <c r="W8" s="1">
        <f ca="1">IF(SUM(W5:W6)&gt;0,Assumptions!$C$26*SUM(W5:W6),Assumptions!$C$27*(SUM(W5:W6)))</f>
        <v>5138323.9818852264</v>
      </c>
      <c r="X8" s="1">
        <f ca="1">IF(SUM(X5:X6)&gt;0,Assumptions!$C$26*SUM(X5:X6),Assumptions!$C$27*(SUM(X5:X6)))</f>
        <v>5408408.1023497107</v>
      </c>
      <c r="Y8" s="1">
        <f ca="1">IF(SUM(Y5:Y6)&gt;0,Assumptions!$C$26*SUM(Y5:Y6),Assumptions!$C$27*(SUM(Y5:Y6)))</f>
        <v>5691025.9952496458</v>
      </c>
      <c r="Z8" s="1">
        <f ca="1">IF(SUM(Z5:Z6)&gt;0,Assumptions!$C$26*SUM(Z5:Z6),Assumptions!$C$27*(SUM(Z5:Z6)))</f>
        <v>5985638.1371730715</v>
      </c>
      <c r="AA8" s="1">
        <f ca="1">IF(SUM(AA5:AA6)&gt;0,Assumptions!$C$26*SUM(AA5:AA6),Assumptions!$C$27*(SUM(AA5:AA6)))</f>
        <v>6291577.9648881741</v>
      </c>
      <c r="AB8" s="1">
        <f ca="1">IF(SUM(AB5:AB6)&gt;0,Assumptions!$C$26*SUM(AB5:AB6),Assumptions!$C$27*(SUM(AB5:AB6)))</f>
        <v>6608039.5800464703</v>
      </c>
      <c r="AC8" s="1">
        <f ca="1">IF(SUM(AC5:AC6)&gt;0,Assumptions!$C$26*SUM(AC5:AC6),Assumptions!$C$27*(SUM(AC5:AC6)))</f>
        <v>6934064.538146642</v>
      </c>
      <c r="AD8" s="1">
        <f ca="1">IF(SUM(AD5:AD6)&gt;0,Assumptions!$C$26*SUM(AD5:AD6),Assumptions!$C$27*(SUM(AD5:AD6)))</f>
        <v>7268527.6620056173</v>
      </c>
      <c r="AE8" s="1">
        <f ca="1">IF(SUM(AE5:AE6)&gt;0,Assumptions!$C$26*SUM(AE5:AE6),Assumptions!$C$27*(SUM(AE5:AE6)))</f>
        <v>7610121.8163818521</v>
      </c>
      <c r="AF8" s="1">
        <f ca="1">IF(SUM(AF5:AF6)&gt;0,Assumptions!$C$26*SUM(AF5:AF6),Assumptions!$C$27*(SUM(AF5:AF6)))</f>
        <v>7957341.5765880477</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3"/>
  </cols>
  <sheetData>
    <row r="1" spans="1:1" x14ac:dyDescent="0.35">
      <c r="A1" s="174"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3" customWidth="1"/>
    <col min="2" max="2" width="18.1640625" style="180" bestFit="1" customWidth="1"/>
    <col min="3" max="3" width="56.9140625" style="63" bestFit="1" customWidth="1"/>
    <col min="4" max="16384" width="8.6640625" style="63"/>
  </cols>
  <sheetData>
    <row r="1" spans="1:3" ht="26" x14ac:dyDescent="0.6">
      <c r="A1" s="13" t="s">
        <v>185</v>
      </c>
    </row>
    <row r="2" spans="1:3" ht="26" x14ac:dyDescent="0.6">
      <c r="A2" s="13"/>
    </row>
    <row r="3" spans="1:3" ht="186" x14ac:dyDescent="0.35">
      <c r="A3" s="172" t="s">
        <v>188</v>
      </c>
    </row>
    <row r="4" spans="1:3" ht="26" x14ac:dyDescent="0.6">
      <c r="A4" s="13"/>
    </row>
    <row r="5" spans="1:3" ht="18.5" x14ac:dyDescent="0.45">
      <c r="A5" s="89" t="s">
        <v>177</v>
      </c>
      <c r="B5" s="181"/>
    </row>
    <row r="6" spans="1:3" ht="18.5" x14ac:dyDescent="0.45">
      <c r="A6" s="90"/>
      <c r="B6" s="181"/>
    </row>
    <row r="7" spans="1:3" ht="18.5" x14ac:dyDescent="0.45">
      <c r="A7" s="90" t="s">
        <v>96</v>
      </c>
      <c r="B7" s="182">
        <f>Assumptions!C24</f>
        <v>6676000</v>
      </c>
      <c r="C7" s="178" t="s">
        <v>136</v>
      </c>
    </row>
    <row r="8" spans="1:3" ht="32" x14ac:dyDescent="0.45">
      <c r="A8" s="90" t="s">
        <v>174</v>
      </c>
      <c r="B8" s="183">
        <f>Assumptions!$C$133</f>
        <v>0.7</v>
      </c>
      <c r="C8" s="178" t="s">
        <v>199</v>
      </c>
    </row>
    <row r="9" spans="1:3" ht="18.5" x14ac:dyDescent="0.45">
      <c r="A9" s="90"/>
      <c r="B9" s="184"/>
      <c r="C9" s="178"/>
    </row>
    <row r="10" spans="1:3" ht="47.5" x14ac:dyDescent="0.45">
      <c r="A10" s="94" t="s">
        <v>102</v>
      </c>
      <c r="B10" s="185">
        <f>Assumptions!C135</f>
        <v>2027.7777777777776</v>
      </c>
      <c r="C10" s="178" t="s">
        <v>200</v>
      </c>
    </row>
    <row r="11" spans="1:3" ht="18.5" x14ac:dyDescent="0.45">
      <c r="A11" s="94"/>
      <c r="B11" s="186"/>
      <c r="C11" s="178"/>
    </row>
    <row r="12" spans="1:3" ht="18.5" x14ac:dyDescent="0.45">
      <c r="A12" s="94" t="s">
        <v>184</v>
      </c>
      <c r="B12" s="182">
        <f>(B7*B8)/B10</f>
        <v>2304.5917808219178</v>
      </c>
      <c r="C12" s="178"/>
    </row>
    <row r="13" spans="1:3" ht="18.5" x14ac:dyDescent="0.45">
      <c r="A13" s="96"/>
      <c r="B13" s="187"/>
      <c r="C13" s="178"/>
    </row>
    <row r="14" spans="1:3" ht="18.5" x14ac:dyDescent="0.45">
      <c r="A14" s="94" t="s">
        <v>103</v>
      </c>
      <c r="B14" s="188">
        <v>1</v>
      </c>
      <c r="C14" s="178"/>
    </row>
    <row r="15" spans="1:3" ht="18.5" x14ac:dyDescent="0.45">
      <c r="A15" s="96"/>
      <c r="B15" s="189"/>
      <c r="C15" s="178"/>
    </row>
    <row r="16" spans="1:3" ht="18.5" x14ac:dyDescent="0.45">
      <c r="A16" s="96" t="s">
        <v>179</v>
      </c>
      <c r="B16" s="190">
        <f>B12/B14</f>
        <v>2304.5917808219178</v>
      </c>
      <c r="C16" s="178"/>
    </row>
    <row r="17" spans="1:3" ht="18.5" x14ac:dyDescent="0.45">
      <c r="A17" s="94"/>
      <c r="B17" s="191"/>
      <c r="C17" s="178"/>
    </row>
    <row r="18" spans="1:3" ht="18.5" x14ac:dyDescent="0.45">
      <c r="A18" s="102" t="s">
        <v>178</v>
      </c>
      <c r="B18" s="191"/>
      <c r="C18" s="178"/>
    </row>
    <row r="19" spans="1:3" ht="18.5" x14ac:dyDescent="0.45">
      <c r="A19" s="94"/>
      <c r="B19" s="191"/>
      <c r="C19" s="178"/>
    </row>
    <row r="20" spans="1:3" ht="32" x14ac:dyDescent="0.45">
      <c r="A20" s="94" t="s">
        <v>65</v>
      </c>
      <c r="B20" s="182">
        <f>'Profit and Loss'!L5</f>
        <v>30592588.534142982</v>
      </c>
      <c r="C20" s="178" t="s">
        <v>201</v>
      </c>
    </row>
    <row r="21" spans="1:3" ht="32" x14ac:dyDescent="0.45">
      <c r="A21" s="94" t="str">
        <f>A8</f>
        <v>Assumed revenue from households</v>
      </c>
      <c r="B21" s="183">
        <f>B8</f>
        <v>0.7</v>
      </c>
      <c r="C21" s="178" t="s">
        <v>199</v>
      </c>
    </row>
    <row r="22" spans="1:3" ht="18.5" x14ac:dyDescent="0.45">
      <c r="A22" s="94"/>
      <c r="B22" s="186"/>
      <c r="C22" s="178"/>
    </row>
    <row r="23" spans="1:3" ht="32" x14ac:dyDescent="0.45">
      <c r="A23" s="94" t="s">
        <v>101</v>
      </c>
      <c r="B23" s="185">
        <f>Assumptions!M135</f>
        <v>2027.7777777777776</v>
      </c>
      <c r="C23" s="178" t="s">
        <v>202</v>
      </c>
    </row>
    <row r="24" spans="1:3" ht="18.5" x14ac:dyDescent="0.45">
      <c r="A24" s="94"/>
      <c r="B24" s="186"/>
      <c r="C24" s="178"/>
    </row>
    <row r="25" spans="1:3" ht="18.5" x14ac:dyDescent="0.45">
      <c r="A25" s="94" t="s">
        <v>183</v>
      </c>
      <c r="B25" s="182">
        <f>(B20*B21)/B23</f>
        <v>10560.729192608263</v>
      </c>
      <c r="C25" s="178"/>
    </row>
    <row r="26" spans="1:3" ht="18.5" x14ac:dyDescent="0.45">
      <c r="A26" s="94"/>
      <c r="B26" s="182"/>
      <c r="C26" s="178"/>
    </row>
    <row r="27" spans="1:3" ht="32" x14ac:dyDescent="0.45">
      <c r="A27" s="94" t="s">
        <v>103</v>
      </c>
      <c r="B27" s="188">
        <f>1.022^11</f>
        <v>1.2704566586717592</v>
      </c>
      <c r="C27" s="178" t="s">
        <v>203</v>
      </c>
    </row>
    <row r="28" spans="1:3" ht="18.5" x14ac:dyDescent="0.45">
      <c r="A28" s="96"/>
      <c r="B28" s="187"/>
      <c r="C28" s="178"/>
    </row>
    <row r="29" spans="1:3" ht="18.5" x14ac:dyDescent="0.45">
      <c r="A29" s="96" t="s">
        <v>180</v>
      </c>
      <c r="B29" s="182">
        <f>B25/B27</f>
        <v>8312.5458239947566</v>
      </c>
      <c r="C29" s="178"/>
    </row>
    <row r="30" spans="1:3" ht="18.5" x14ac:dyDescent="0.45">
      <c r="A30" s="96"/>
      <c r="B30" s="187"/>
      <c r="C30" s="178"/>
    </row>
    <row r="31" spans="1:3" ht="18.5" x14ac:dyDescent="0.45">
      <c r="A31" s="102" t="s">
        <v>186</v>
      </c>
      <c r="B31" s="192"/>
      <c r="C31" s="178"/>
    </row>
    <row r="32" spans="1:3" ht="18.5" x14ac:dyDescent="0.45">
      <c r="A32" s="94"/>
      <c r="B32" s="182"/>
      <c r="C32" s="178"/>
    </row>
    <row r="33" spans="1:3" ht="32" x14ac:dyDescent="0.45">
      <c r="A33" s="94" t="s">
        <v>66</v>
      </c>
      <c r="B33" s="182">
        <f>'Profit and Loss'!AF5</f>
        <v>87550257.742254198</v>
      </c>
      <c r="C33" s="178" t="s">
        <v>201</v>
      </c>
    </row>
    <row r="34" spans="1:3" ht="32" x14ac:dyDescent="0.45">
      <c r="A34" s="94" t="str">
        <f>A21</f>
        <v>Assumed revenue from households</v>
      </c>
      <c r="B34" s="183">
        <f>B21</f>
        <v>0.7</v>
      </c>
      <c r="C34" s="178" t="s">
        <v>199</v>
      </c>
    </row>
    <row r="35" spans="1:3" ht="18.5" x14ac:dyDescent="0.45">
      <c r="A35" s="94"/>
      <c r="B35" s="186"/>
      <c r="C35" s="178"/>
    </row>
    <row r="36" spans="1:3" ht="32" x14ac:dyDescent="0.45">
      <c r="A36" s="94" t="s">
        <v>100</v>
      </c>
      <c r="B36" s="185">
        <f>Assumptions!AG135</f>
        <v>2027.7777777777776</v>
      </c>
      <c r="C36" s="178" t="s">
        <v>202</v>
      </c>
    </row>
    <row r="37" spans="1:3" ht="18.5" x14ac:dyDescent="0.45">
      <c r="A37" s="94"/>
      <c r="B37" s="186"/>
      <c r="C37" s="178"/>
    </row>
    <row r="38" spans="1:3" ht="18.5" x14ac:dyDescent="0.45">
      <c r="A38" s="94" t="s">
        <v>182</v>
      </c>
      <c r="B38" s="182">
        <f>(B33*B34)/B36</f>
        <v>30222.828700065835</v>
      </c>
      <c r="C38" s="178"/>
    </row>
    <row r="39" spans="1:3" ht="18.5" x14ac:dyDescent="0.45">
      <c r="A39" s="94"/>
      <c r="B39" s="186"/>
      <c r="C39" s="178"/>
    </row>
    <row r="40" spans="1:3" ht="32" x14ac:dyDescent="0.45">
      <c r="A40" s="94" t="s">
        <v>103</v>
      </c>
      <c r="B40" s="188">
        <f>1.022^31</f>
        <v>1.9632597808456462</v>
      </c>
      <c r="C40" s="178" t="s">
        <v>203</v>
      </c>
    </row>
    <row r="41" spans="1:3" ht="18.5" x14ac:dyDescent="0.45">
      <c r="A41" s="96"/>
      <c r="B41" s="187"/>
    </row>
    <row r="42" spans="1:3" ht="18.5" x14ac:dyDescent="0.45">
      <c r="A42" s="96" t="s">
        <v>181</v>
      </c>
      <c r="B42" s="182">
        <f>B38/B40</f>
        <v>15394.207631069476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3"/>
  </cols>
  <sheetData>
    <row r="1" spans="1:1" x14ac:dyDescent="0.35">
      <c r="A1" s="174"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8" bestFit="1" customWidth="1"/>
    <col min="4" max="4" width="29.58203125" style="109"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7" t="s">
        <v>161</v>
      </c>
    </row>
    <row r="2" spans="1:33" ht="26.5" thickBot="1" x14ac:dyDescent="0.4">
      <c r="A2" s="110"/>
      <c r="B2" s="110"/>
      <c r="D2" s="111"/>
    </row>
    <row r="3" spans="1:33" s="113" customFormat="1" ht="21.5" thickBot="1" x14ac:dyDescent="0.4">
      <c r="A3" s="84"/>
      <c r="B3" s="84"/>
      <c r="C3" s="112"/>
      <c r="D3" s="194" t="s">
        <v>27</v>
      </c>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row>
    <row r="4" spans="1:33" s="119" customFormat="1" ht="16" thickBot="1" x14ac:dyDescent="0.4">
      <c r="A4" s="114" t="s">
        <v>25</v>
      </c>
      <c r="B4" s="114" t="s">
        <v>196</v>
      </c>
      <c r="C4" s="115" t="s">
        <v>26</v>
      </c>
      <c r="D4" s="116">
        <v>2022</v>
      </c>
      <c r="E4" s="117">
        <f t="shared" ref="E4:AG4" si="0">D4+1</f>
        <v>2023</v>
      </c>
      <c r="F4" s="118">
        <f t="shared" si="0"/>
        <v>2024</v>
      </c>
      <c r="G4" s="117">
        <f t="shared" si="0"/>
        <v>2025</v>
      </c>
      <c r="H4" s="118">
        <f t="shared" si="0"/>
        <v>2026</v>
      </c>
      <c r="I4" s="117">
        <f t="shared" si="0"/>
        <v>2027</v>
      </c>
      <c r="J4" s="118">
        <f t="shared" si="0"/>
        <v>2028</v>
      </c>
      <c r="K4" s="117">
        <f t="shared" si="0"/>
        <v>2029</v>
      </c>
      <c r="L4" s="118">
        <f t="shared" si="0"/>
        <v>2030</v>
      </c>
      <c r="M4" s="117">
        <f t="shared" si="0"/>
        <v>2031</v>
      </c>
      <c r="N4" s="118">
        <f t="shared" si="0"/>
        <v>2032</v>
      </c>
      <c r="O4" s="117">
        <f t="shared" si="0"/>
        <v>2033</v>
      </c>
      <c r="P4" s="118">
        <f t="shared" si="0"/>
        <v>2034</v>
      </c>
      <c r="Q4" s="117">
        <f t="shared" si="0"/>
        <v>2035</v>
      </c>
      <c r="R4" s="118">
        <f t="shared" si="0"/>
        <v>2036</v>
      </c>
      <c r="S4" s="117">
        <f t="shared" si="0"/>
        <v>2037</v>
      </c>
      <c r="T4" s="118">
        <f t="shared" si="0"/>
        <v>2038</v>
      </c>
      <c r="U4" s="117">
        <f t="shared" si="0"/>
        <v>2039</v>
      </c>
      <c r="V4" s="118">
        <f t="shared" si="0"/>
        <v>2040</v>
      </c>
      <c r="W4" s="117">
        <f t="shared" si="0"/>
        <v>2041</v>
      </c>
      <c r="X4" s="118">
        <f t="shared" si="0"/>
        <v>2042</v>
      </c>
      <c r="Y4" s="117">
        <f t="shared" si="0"/>
        <v>2043</v>
      </c>
      <c r="Z4" s="118">
        <f t="shared" si="0"/>
        <v>2044</v>
      </c>
      <c r="AA4" s="117">
        <f t="shared" si="0"/>
        <v>2045</v>
      </c>
      <c r="AB4" s="118">
        <f t="shared" si="0"/>
        <v>2046</v>
      </c>
      <c r="AC4" s="117">
        <f t="shared" si="0"/>
        <v>2047</v>
      </c>
      <c r="AD4" s="118">
        <f t="shared" si="0"/>
        <v>2048</v>
      </c>
      <c r="AE4" s="117">
        <f t="shared" si="0"/>
        <v>2049</v>
      </c>
      <c r="AF4" s="118">
        <f t="shared" si="0"/>
        <v>2050</v>
      </c>
      <c r="AG4" s="117">
        <f t="shared" si="0"/>
        <v>2051</v>
      </c>
    </row>
    <row r="5" spans="1:33" s="119" customFormat="1" x14ac:dyDescent="0.35">
      <c r="A5" s="120"/>
      <c r="B5" s="120"/>
      <c r="C5" s="121"/>
      <c r="D5" s="122"/>
      <c r="E5" s="123"/>
      <c r="F5" s="122"/>
      <c r="G5" s="123"/>
      <c r="H5" s="122"/>
      <c r="I5" s="123"/>
      <c r="J5" s="122"/>
      <c r="K5" s="123"/>
      <c r="L5" s="122"/>
      <c r="M5" s="123"/>
      <c r="N5" s="122"/>
      <c r="O5" s="123"/>
      <c r="P5" s="122"/>
      <c r="Q5" s="123"/>
      <c r="R5" s="122"/>
      <c r="S5" s="123"/>
      <c r="T5" s="122"/>
      <c r="U5" s="123"/>
      <c r="V5" s="122"/>
      <c r="W5" s="123"/>
      <c r="X5" s="122"/>
      <c r="Y5" s="123"/>
      <c r="Z5" s="122"/>
      <c r="AA5" s="123"/>
      <c r="AB5" s="122"/>
      <c r="AC5" s="123"/>
      <c r="AD5" s="122"/>
      <c r="AE5" s="123"/>
      <c r="AF5" s="122"/>
      <c r="AG5" s="123"/>
    </row>
    <row r="6" spans="1:33" s="119" customFormat="1" x14ac:dyDescent="0.35">
      <c r="A6" s="124" t="s">
        <v>28</v>
      </c>
      <c r="B6" s="124"/>
      <c r="C6" s="115"/>
      <c r="D6" s="116"/>
      <c r="E6" s="117"/>
      <c r="F6" s="116"/>
      <c r="G6" s="117"/>
      <c r="H6" s="116"/>
      <c r="I6" s="117"/>
      <c r="J6" s="116"/>
      <c r="K6" s="117"/>
      <c r="L6" s="116"/>
      <c r="M6" s="117"/>
      <c r="N6" s="116"/>
      <c r="O6" s="117"/>
      <c r="P6" s="116"/>
      <c r="Q6" s="117"/>
      <c r="R6" s="116"/>
      <c r="S6" s="117"/>
      <c r="T6" s="116"/>
      <c r="U6" s="117"/>
      <c r="V6" s="116"/>
      <c r="W6" s="117"/>
      <c r="X6" s="116"/>
      <c r="Y6" s="117"/>
      <c r="Z6" s="116"/>
      <c r="AA6" s="117"/>
      <c r="AB6" s="116"/>
      <c r="AC6" s="117"/>
      <c r="AD6" s="116"/>
      <c r="AE6" s="117"/>
      <c r="AF6" s="116"/>
      <c r="AG6" s="117"/>
    </row>
    <row r="7" spans="1:33" s="119" customFormat="1" x14ac:dyDescent="0.35">
      <c r="A7" s="124"/>
      <c r="B7" s="124"/>
      <c r="C7" s="115"/>
      <c r="D7" s="116"/>
      <c r="E7" s="117"/>
      <c r="F7" s="116"/>
      <c r="G7" s="117"/>
      <c r="H7" s="116"/>
      <c r="I7" s="117"/>
      <c r="J7" s="116"/>
      <c r="K7" s="117"/>
      <c r="L7" s="116"/>
      <c r="M7" s="117"/>
      <c r="N7" s="116"/>
      <c r="O7" s="117"/>
      <c r="P7" s="116"/>
      <c r="Q7" s="117"/>
      <c r="R7" s="116"/>
      <c r="S7" s="117"/>
      <c r="T7" s="116"/>
      <c r="U7" s="117"/>
      <c r="V7" s="116"/>
      <c r="W7" s="117"/>
      <c r="X7" s="116"/>
      <c r="Y7" s="117"/>
      <c r="Z7" s="116"/>
      <c r="AA7" s="117"/>
      <c r="AB7" s="116"/>
      <c r="AC7" s="117"/>
      <c r="AD7" s="116"/>
      <c r="AE7" s="117"/>
      <c r="AF7" s="116"/>
      <c r="AG7" s="117"/>
    </row>
    <row r="8" spans="1:33" x14ac:dyDescent="0.35">
      <c r="A8" s="77" t="s">
        <v>29</v>
      </c>
      <c r="B8" s="77"/>
      <c r="C8" s="125"/>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19" customFormat="1" x14ac:dyDescent="0.35">
      <c r="A9" s="78" t="s">
        <v>62</v>
      </c>
      <c r="B9" s="78" t="s">
        <v>128</v>
      </c>
      <c r="C9" s="126">
        <v>2.1999999999999999E-2</v>
      </c>
      <c r="D9" s="127">
        <f t="shared" ref="D9:AG9" si="1">(1+$C$9)^D8</f>
        <v>1.022</v>
      </c>
      <c r="E9" s="127">
        <f t="shared" si="1"/>
        <v>1.044484</v>
      </c>
      <c r="F9" s="127">
        <f t="shared" si="1"/>
        <v>1.067462648</v>
      </c>
      <c r="G9" s="127">
        <f t="shared" si="1"/>
        <v>1.090946826256</v>
      </c>
      <c r="H9" s="127">
        <f t="shared" si="1"/>
        <v>1.114947656433632</v>
      </c>
      <c r="I9" s="127">
        <f t="shared" si="1"/>
        <v>1.1394765048751718</v>
      </c>
      <c r="J9" s="127">
        <f t="shared" si="1"/>
        <v>1.1645449879824257</v>
      </c>
      <c r="K9" s="127">
        <f t="shared" si="1"/>
        <v>1.1901649777180392</v>
      </c>
      <c r="L9" s="127">
        <f t="shared" si="1"/>
        <v>1.216348607227836</v>
      </c>
      <c r="M9" s="127">
        <f t="shared" si="1"/>
        <v>1.2431082765868484</v>
      </c>
      <c r="N9" s="127">
        <f t="shared" si="1"/>
        <v>1.2704566586717592</v>
      </c>
      <c r="O9" s="127">
        <f t="shared" si="1"/>
        <v>1.2984067051625379</v>
      </c>
      <c r="P9" s="127">
        <f t="shared" si="1"/>
        <v>1.3269716526761137</v>
      </c>
      <c r="Q9" s="127">
        <f t="shared" si="1"/>
        <v>1.356165029034988</v>
      </c>
      <c r="R9" s="127">
        <f t="shared" si="1"/>
        <v>1.386000659673758</v>
      </c>
      <c r="S9" s="127">
        <f t="shared" si="1"/>
        <v>1.4164926741865806</v>
      </c>
      <c r="T9" s="127">
        <f t="shared" si="1"/>
        <v>1.4476555130186854</v>
      </c>
      <c r="U9" s="127">
        <f t="shared" si="1"/>
        <v>1.4795039343050964</v>
      </c>
      <c r="V9" s="127">
        <f t="shared" si="1"/>
        <v>1.5120530208598086</v>
      </c>
      <c r="W9" s="127">
        <f t="shared" si="1"/>
        <v>1.5453181873187245</v>
      </c>
      <c r="X9" s="127">
        <f t="shared" si="1"/>
        <v>1.5793151874397364</v>
      </c>
      <c r="Y9" s="127">
        <f t="shared" si="1"/>
        <v>1.6140601215634105</v>
      </c>
      <c r="Z9" s="127">
        <f t="shared" si="1"/>
        <v>1.6495694442378055</v>
      </c>
      <c r="AA9" s="127">
        <f t="shared" si="1"/>
        <v>1.6858599720110374</v>
      </c>
      <c r="AB9" s="127">
        <f t="shared" si="1"/>
        <v>1.7229488913952802</v>
      </c>
      <c r="AC9" s="127">
        <f t="shared" si="1"/>
        <v>1.7608537670059765</v>
      </c>
      <c r="AD9" s="127">
        <f t="shared" si="1"/>
        <v>1.799592549880108</v>
      </c>
      <c r="AE9" s="127">
        <f t="shared" si="1"/>
        <v>1.8391835859774703</v>
      </c>
      <c r="AF9" s="127">
        <f t="shared" si="1"/>
        <v>1.8796456248689748</v>
      </c>
      <c r="AG9" s="127">
        <f t="shared" si="1"/>
        <v>1.920997828616092</v>
      </c>
    </row>
    <row r="10" spans="1:33" s="119" customFormat="1" x14ac:dyDescent="0.35">
      <c r="A10" s="78"/>
      <c r="B10" s="78"/>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row>
    <row r="11" spans="1:33" s="119" customFormat="1" x14ac:dyDescent="0.35">
      <c r="A11" s="77" t="s">
        <v>63</v>
      </c>
      <c r="B11" s="78" t="s">
        <v>128</v>
      </c>
      <c r="C11" s="126">
        <v>0.01</v>
      </c>
      <c r="D11" s="127">
        <f t="shared" ref="D11:AG11" si="2">(1+$C$9+$C$11)^D8</f>
        <v>1.032</v>
      </c>
      <c r="E11" s="127">
        <f t="shared" si="2"/>
        <v>1.065024</v>
      </c>
      <c r="F11" s="127">
        <f t="shared" si="2"/>
        <v>1.0991047679999999</v>
      </c>
      <c r="G11" s="127">
        <f t="shared" si="2"/>
        <v>1.1342761205759999</v>
      </c>
      <c r="H11" s="127">
        <f t="shared" si="2"/>
        <v>1.170572956434432</v>
      </c>
      <c r="I11" s="127">
        <f t="shared" si="2"/>
        <v>1.2080312910403337</v>
      </c>
      <c r="J11" s="127">
        <f t="shared" si="2"/>
        <v>1.2466882923536242</v>
      </c>
      <c r="K11" s="127">
        <f t="shared" si="2"/>
        <v>1.2865823177089404</v>
      </c>
      <c r="L11" s="127">
        <f t="shared" si="2"/>
        <v>1.3277529518756266</v>
      </c>
      <c r="M11" s="127">
        <f t="shared" si="2"/>
        <v>1.3702410463356465</v>
      </c>
      <c r="N11" s="127">
        <f t="shared" si="2"/>
        <v>1.4140887598183871</v>
      </c>
      <c r="O11" s="127">
        <f t="shared" si="2"/>
        <v>1.4593396001325756</v>
      </c>
      <c r="P11" s="127">
        <f t="shared" si="2"/>
        <v>1.5060384673368181</v>
      </c>
      <c r="Q11" s="127">
        <f t="shared" si="2"/>
        <v>1.554231698291596</v>
      </c>
      <c r="R11" s="127">
        <f t="shared" si="2"/>
        <v>1.6039671126369268</v>
      </c>
      <c r="S11" s="127">
        <f t="shared" si="2"/>
        <v>1.6552940602413089</v>
      </c>
      <c r="T11" s="127">
        <f t="shared" si="2"/>
        <v>1.7082634701690309</v>
      </c>
      <c r="U11" s="127">
        <f t="shared" si="2"/>
        <v>1.7629279012144397</v>
      </c>
      <c r="V11" s="127">
        <f t="shared" si="2"/>
        <v>1.8193415940533015</v>
      </c>
      <c r="W11" s="127">
        <f t="shared" si="2"/>
        <v>1.8775605250630074</v>
      </c>
      <c r="X11" s="127">
        <f t="shared" si="2"/>
        <v>1.9376424618650239</v>
      </c>
      <c r="Y11" s="127">
        <f t="shared" si="2"/>
        <v>1.9996470206447043</v>
      </c>
      <c r="Z11" s="127">
        <f t="shared" si="2"/>
        <v>2.0636357253053346</v>
      </c>
      <c r="AA11" s="127">
        <f t="shared" si="2"/>
        <v>2.1296720685151054</v>
      </c>
      <c r="AB11" s="127">
        <f t="shared" si="2"/>
        <v>2.1978215747075893</v>
      </c>
      <c r="AC11" s="127">
        <f t="shared" si="2"/>
        <v>2.2681518650982317</v>
      </c>
      <c r="AD11" s="127">
        <f t="shared" si="2"/>
        <v>2.340732724781375</v>
      </c>
      <c r="AE11" s="127">
        <f t="shared" si="2"/>
        <v>2.4156361719743793</v>
      </c>
      <c r="AF11" s="127">
        <f t="shared" si="2"/>
        <v>2.4929365294775594</v>
      </c>
      <c r="AG11" s="127">
        <f t="shared" si="2"/>
        <v>2.5727104984208409</v>
      </c>
    </row>
    <row r="12" spans="1:33" s="119" customFormat="1" x14ac:dyDescent="0.35">
      <c r="A12" s="77"/>
      <c r="B12" s="77"/>
      <c r="C12" s="126"/>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row>
    <row r="13" spans="1:33" s="119" customFormat="1" ht="31" x14ac:dyDescent="0.35">
      <c r="A13" s="77" t="s">
        <v>31</v>
      </c>
      <c r="B13" s="179" t="s">
        <v>138</v>
      </c>
      <c r="C13" s="126">
        <v>0</v>
      </c>
      <c r="D13" s="127">
        <f t="shared" ref="D13:AG13" si="3">(1+$C$13)^D8</f>
        <v>1</v>
      </c>
      <c r="E13" s="127">
        <f t="shared" si="3"/>
        <v>1</v>
      </c>
      <c r="F13" s="127">
        <f t="shared" si="3"/>
        <v>1</v>
      </c>
      <c r="G13" s="127">
        <f t="shared" si="3"/>
        <v>1</v>
      </c>
      <c r="H13" s="127">
        <f t="shared" si="3"/>
        <v>1</v>
      </c>
      <c r="I13" s="127">
        <f t="shared" si="3"/>
        <v>1</v>
      </c>
      <c r="J13" s="127">
        <f t="shared" si="3"/>
        <v>1</v>
      </c>
      <c r="K13" s="127">
        <f t="shared" si="3"/>
        <v>1</v>
      </c>
      <c r="L13" s="127">
        <f t="shared" si="3"/>
        <v>1</v>
      </c>
      <c r="M13" s="127">
        <f t="shared" si="3"/>
        <v>1</v>
      </c>
      <c r="N13" s="127">
        <f t="shared" si="3"/>
        <v>1</v>
      </c>
      <c r="O13" s="127">
        <f t="shared" si="3"/>
        <v>1</v>
      </c>
      <c r="P13" s="127">
        <f t="shared" si="3"/>
        <v>1</v>
      </c>
      <c r="Q13" s="127">
        <f t="shared" si="3"/>
        <v>1</v>
      </c>
      <c r="R13" s="127">
        <f t="shared" si="3"/>
        <v>1</v>
      </c>
      <c r="S13" s="127">
        <f t="shared" si="3"/>
        <v>1</v>
      </c>
      <c r="T13" s="127">
        <f t="shared" si="3"/>
        <v>1</v>
      </c>
      <c r="U13" s="127">
        <f t="shared" si="3"/>
        <v>1</v>
      </c>
      <c r="V13" s="127">
        <f t="shared" si="3"/>
        <v>1</v>
      </c>
      <c r="W13" s="127">
        <f t="shared" si="3"/>
        <v>1</v>
      </c>
      <c r="X13" s="127">
        <f t="shared" si="3"/>
        <v>1</v>
      </c>
      <c r="Y13" s="127">
        <f t="shared" si="3"/>
        <v>1</v>
      </c>
      <c r="Z13" s="127">
        <f t="shared" si="3"/>
        <v>1</v>
      </c>
      <c r="AA13" s="127">
        <f t="shared" si="3"/>
        <v>1</v>
      </c>
      <c r="AB13" s="127">
        <f t="shared" si="3"/>
        <v>1</v>
      </c>
      <c r="AC13" s="127">
        <f t="shared" si="3"/>
        <v>1</v>
      </c>
      <c r="AD13" s="127">
        <f t="shared" si="3"/>
        <v>1</v>
      </c>
      <c r="AE13" s="127">
        <f t="shared" si="3"/>
        <v>1</v>
      </c>
      <c r="AF13" s="127">
        <f t="shared" si="3"/>
        <v>1</v>
      </c>
      <c r="AG13" s="127">
        <f t="shared" si="3"/>
        <v>1</v>
      </c>
    </row>
    <row r="14" spans="1:33" ht="16" thickBot="1" x14ac:dyDescent="0.4">
      <c r="A14" s="79"/>
      <c r="B14" s="79"/>
      <c r="C14" s="128"/>
      <c r="D14" s="166"/>
      <c r="E14" s="130"/>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row>
    <row r="15" spans="1:33" x14ac:dyDescent="0.35">
      <c r="A15" s="80" t="s">
        <v>192</v>
      </c>
      <c r="B15" s="177" t="s">
        <v>193</v>
      </c>
      <c r="C15" s="132"/>
      <c r="D15" s="133"/>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row>
    <row r="16" spans="1:33" x14ac:dyDescent="0.35">
      <c r="A16" s="77"/>
      <c r="B16" s="77"/>
      <c r="C16" s="125"/>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5">
        <f>AVERAGE(C49:C50)</f>
        <v>100436250.00000003</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5">
        <f>C17/2</f>
        <v>50218125.000000015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5"/>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6">
        <v>0</v>
      </c>
      <c r="D20" s="139"/>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6"/>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7" customFormat="1" x14ac:dyDescent="0.35">
      <c r="A22" s="80" t="s">
        <v>159</v>
      </c>
      <c r="B22" s="177" t="s">
        <v>193</v>
      </c>
      <c r="C22" s="132"/>
      <c r="D22" s="133"/>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row>
    <row r="23" spans="1:33" x14ac:dyDescent="0.35">
      <c r="A23" s="77"/>
      <c r="B23" s="77"/>
      <c r="C23" s="125"/>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5">
        <v>6676000</v>
      </c>
      <c r="D24" s="139"/>
      <c r="E24" s="167"/>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5">
        <v>3752000</v>
      </c>
      <c r="D25" s="139"/>
      <c r="E25" s="167"/>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8">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8">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5"/>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7" customFormat="1" x14ac:dyDescent="0.35">
      <c r="A29" s="80" t="s">
        <v>50</v>
      </c>
      <c r="B29" s="80"/>
      <c r="C29" s="132"/>
      <c r="D29" s="133"/>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row>
    <row r="30" spans="1:33" x14ac:dyDescent="0.35">
      <c r="A30" s="77"/>
      <c r="B30" s="77"/>
      <c r="C30" s="125"/>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6">
        <v>0</v>
      </c>
      <c r="D31" s="139"/>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6">
        <v>0</v>
      </c>
      <c r="D32" s="139"/>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6">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6"/>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6">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6">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6">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6">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6">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6">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0">
        <v>1</v>
      </c>
      <c r="D43" s="141">
        <v>1</v>
      </c>
      <c r="E43" s="141">
        <v>1</v>
      </c>
      <c r="F43" s="141">
        <v>1</v>
      </c>
      <c r="G43" s="141">
        <v>1</v>
      </c>
      <c r="H43" s="141">
        <f>G43*(1+$C$35)</f>
        <v>1</v>
      </c>
      <c r="I43" s="141">
        <f>H43*(1+$C$35)</f>
        <v>1</v>
      </c>
      <c r="J43" s="141">
        <f>I43*(1+$C$35)</f>
        <v>1</v>
      </c>
      <c r="K43" s="141">
        <f>J43*(1+$C$35)</f>
        <v>1</v>
      </c>
      <c r="L43" s="141">
        <f>K43*(1+$C$35)</f>
        <v>1</v>
      </c>
      <c r="M43" s="141">
        <f>L43*(1+$C$36)</f>
        <v>1</v>
      </c>
      <c r="N43" s="141">
        <f>M43*(1+$C$36)</f>
        <v>1</v>
      </c>
      <c r="O43" s="141">
        <f>N43*(1+$C$36)</f>
        <v>1</v>
      </c>
      <c r="P43" s="141">
        <f>O43*(1+$C$36)</f>
        <v>1</v>
      </c>
      <c r="Q43" s="141">
        <f>P43*(1+$C$36)</f>
        <v>1</v>
      </c>
      <c r="R43" s="141">
        <f>Q43*(1+$C$37)</f>
        <v>1</v>
      </c>
      <c r="S43" s="141">
        <f>R43*(1+$C$37)</f>
        <v>1</v>
      </c>
      <c r="T43" s="141">
        <f>S43*(1+$C$37)</f>
        <v>1</v>
      </c>
      <c r="U43" s="141">
        <f>T43*(1+$C$37)</f>
        <v>1</v>
      </c>
      <c r="V43" s="141">
        <f>U43*(1+$C$37)</f>
        <v>1</v>
      </c>
      <c r="W43" s="141">
        <f t="shared" ref="W43:AG43" si="6">V43</f>
        <v>1</v>
      </c>
      <c r="X43" s="141">
        <f t="shared" si="6"/>
        <v>1</v>
      </c>
      <c r="Y43" s="141">
        <f t="shared" si="6"/>
        <v>1</v>
      </c>
      <c r="Z43" s="141">
        <f t="shared" si="6"/>
        <v>1</v>
      </c>
      <c r="AA43" s="141">
        <f t="shared" si="6"/>
        <v>1</v>
      </c>
      <c r="AB43" s="141">
        <f t="shared" si="6"/>
        <v>1</v>
      </c>
      <c r="AC43" s="141">
        <f t="shared" si="6"/>
        <v>1</v>
      </c>
      <c r="AD43" s="141">
        <f t="shared" si="6"/>
        <v>1</v>
      </c>
      <c r="AE43" s="141">
        <f t="shared" si="6"/>
        <v>1</v>
      </c>
      <c r="AF43" s="141">
        <f t="shared" si="6"/>
        <v>1</v>
      </c>
      <c r="AG43" s="141">
        <f t="shared" si="6"/>
        <v>1</v>
      </c>
    </row>
    <row r="44" spans="1:33" x14ac:dyDescent="0.35">
      <c r="A44" s="69" t="s">
        <v>60</v>
      </c>
      <c r="B44" s="69" t="s">
        <v>86</v>
      </c>
      <c r="C44" s="140">
        <v>1</v>
      </c>
      <c r="D44" s="141">
        <v>1</v>
      </c>
      <c r="E44" s="141">
        <v>1</v>
      </c>
      <c r="F44" s="141">
        <v>1</v>
      </c>
      <c r="G44" s="141">
        <v>1</v>
      </c>
      <c r="H44" s="141">
        <f>G44*(1+$C$39)</f>
        <v>1</v>
      </c>
      <c r="I44" s="141">
        <f>H44*(1+$C$39)</f>
        <v>1</v>
      </c>
      <c r="J44" s="141">
        <f>I44*(1+$C$39)</f>
        <v>1</v>
      </c>
      <c r="K44" s="141">
        <f>J44*(1+$C$39)</f>
        <v>1</v>
      </c>
      <c r="L44" s="141">
        <f>K44*(1+$C$39)</f>
        <v>1</v>
      </c>
      <c r="M44" s="141">
        <f>L44*(1+$C$40)</f>
        <v>1</v>
      </c>
      <c r="N44" s="141">
        <f>M44*(1+$C$40)</f>
        <v>1</v>
      </c>
      <c r="O44" s="141">
        <f>N44*(1+$C$40)</f>
        <v>1</v>
      </c>
      <c r="P44" s="141">
        <f>O44*(1+$C$40)</f>
        <v>1</v>
      </c>
      <c r="Q44" s="141">
        <f>P44*(1+$C$40)</f>
        <v>1</v>
      </c>
      <c r="R44" s="141">
        <f>Q44*(1+$C$41)</f>
        <v>1</v>
      </c>
      <c r="S44" s="141">
        <f>R44*(1+$C$41)</f>
        <v>1</v>
      </c>
      <c r="T44" s="141">
        <f>S44*(1+$C$41)</f>
        <v>1</v>
      </c>
      <c r="U44" s="141">
        <f>T44*(1+$C$41)</f>
        <v>1</v>
      </c>
      <c r="V44" s="141">
        <f>U44*(1+$C$41)</f>
        <v>1</v>
      </c>
      <c r="W44" s="141">
        <f t="shared" ref="W44:AG44" si="7">V44</f>
        <v>1</v>
      </c>
      <c r="X44" s="141">
        <f t="shared" si="7"/>
        <v>1</v>
      </c>
      <c r="Y44" s="141">
        <f t="shared" si="7"/>
        <v>1</v>
      </c>
      <c r="Z44" s="141">
        <f t="shared" si="7"/>
        <v>1</v>
      </c>
      <c r="AA44" s="141">
        <f t="shared" si="7"/>
        <v>1</v>
      </c>
      <c r="AB44" s="141">
        <f t="shared" si="7"/>
        <v>1</v>
      </c>
      <c r="AC44" s="141">
        <f t="shared" si="7"/>
        <v>1</v>
      </c>
      <c r="AD44" s="141">
        <f t="shared" si="7"/>
        <v>1</v>
      </c>
      <c r="AE44" s="141">
        <f t="shared" si="7"/>
        <v>1</v>
      </c>
      <c r="AF44" s="141">
        <f t="shared" si="7"/>
        <v>1</v>
      </c>
      <c r="AG44" s="141">
        <f t="shared" si="7"/>
        <v>1</v>
      </c>
    </row>
    <row r="45" spans="1:33" x14ac:dyDescent="0.35">
      <c r="A45" s="69" t="s">
        <v>87</v>
      </c>
      <c r="B45" s="69" t="s">
        <v>86</v>
      </c>
      <c r="C45" s="140">
        <v>1</v>
      </c>
      <c r="D45" s="141">
        <f t="shared" ref="D45:AG45" si="8">C45*(1+$C$33)</f>
        <v>1</v>
      </c>
      <c r="E45" s="141">
        <f t="shared" si="8"/>
        <v>1</v>
      </c>
      <c r="F45" s="141">
        <f t="shared" si="8"/>
        <v>1</v>
      </c>
      <c r="G45" s="141">
        <f t="shared" si="8"/>
        <v>1</v>
      </c>
      <c r="H45" s="141">
        <f t="shared" si="8"/>
        <v>1</v>
      </c>
      <c r="I45" s="141">
        <f t="shared" si="8"/>
        <v>1</v>
      </c>
      <c r="J45" s="141">
        <f t="shared" si="8"/>
        <v>1</v>
      </c>
      <c r="K45" s="141">
        <f t="shared" si="8"/>
        <v>1</v>
      </c>
      <c r="L45" s="141">
        <f t="shared" si="8"/>
        <v>1</v>
      </c>
      <c r="M45" s="141">
        <f t="shared" si="8"/>
        <v>1</v>
      </c>
      <c r="N45" s="141">
        <f t="shared" si="8"/>
        <v>1</v>
      </c>
      <c r="O45" s="141">
        <f t="shared" si="8"/>
        <v>1</v>
      </c>
      <c r="P45" s="141">
        <f t="shared" si="8"/>
        <v>1</v>
      </c>
      <c r="Q45" s="141">
        <f t="shared" si="8"/>
        <v>1</v>
      </c>
      <c r="R45" s="141">
        <f t="shared" si="8"/>
        <v>1</v>
      </c>
      <c r="S45" s="141">
        <f t="shared" si="8"/>
        <v>1</v>
      </c>
      <c r="T45" s="141">
        <f t="shared" si="8"/>
        <v>1</v>
      </c>
      <c r="U45" s="141">
        <f t="shared" si="8"/>
        <v>1</v>
      </c>
      <c r="V45" s="141">
        <f t="shared" si="8"/>
        <v>1</v>
      </c>
      <c r="W45" s="141">
        <f t="shared" si="8"/>
        <v>1</v>
      </c>
      <c r="X45" s="141">
        <f t="shared" si="8"/>
        <v>1</v>
      </c>
      <c r="Y45" s="141">
        <f t="shared" si="8"/>
        <v>1</v>
      </c>
      <c r="Z45" s="141">
        <f t="shared" si="8"/>
        <v>1</v>
      </c>
      <c r="AA45" s="141">
        <f t="shared" si="8"/>
        <v>1</v>
      </c>
      <c r="AB45" s="141">
        <f t="shared" si="8"/>
        <v>1</v>
      </c>
      <c r="AC45" s="141">
        <f t="shared" si="8"/>
        <v>1</v>
      </c>
      <c r="AD45" s="141">
        <f t="shared" si="8"/>
        <v>1</v>
      </c>
      <c r="AE45" s="141">
        <f t="shared" si="8"/>
        <v>1</v>
      </c>
      <c r="AF45" s="141">
        <f t="shared" si="8"/>
        <v>1</v>
      </c>
      <c r="AG45" s="141">
        <f t="shared" si="8"/>
        <v>1</v>
      </c>
    </row>
    <row r="46" spans="1:33" ht="16" thickBot="1" x14ac:dyDescent="0.4">
      <c r="A46" s="83"/>
      <c r="B46" s="83"/>
      <c r="C46" s="142"/>
      <c r="D46" s="129"/>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row>
    <row r="47" spans="1:33" x14ac:dyDescent="0.35">
      <c r="A47" s="84" t="s">
        <v>160</v>
      </c>
      <c r="B47" s="84"/>
      <c r="C47" s="132"/>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row>
    <row r="48" spans="1:33" x14ac:dyDescent="0.35">
      <c r="A48" s="69"/>
      <c r="B48" s="69"/>
      <c r="C48" s="125"/>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87335000.000000015</v>
      </c>
      <c r="D49" s="139"/>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113537500.00000003</v>
      </c>
      <c r="D50" s="139"/>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5"/>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3">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3">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3"/>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3"/>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5"/>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5"/>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257947.75738106392</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474264.73928840342</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4">
        <f>AVERAGE(C66:C67)</f>
        <v>366106.24833473365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5"/>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5"/>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703093.58611157245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1216213.4648925269</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4">
        <f>AVERAGE(C71:C72)</f>
        <v>959653.5255020496</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4"/>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1433918.264790453</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5"/>
      <c r="D76" s="146"/>
      <c r="E76" s="146"/>
      <c r="F76" s="147"/>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93" t="s">
        <v>176</v>
      </c>
      <c r="C77" s="87">
        <v>0</v>
      </c>
      <c r="D77" s="171"/>
      <c r="E77" s="168"/>
      <c r="F77" s="147"/>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5"/>
      <c r="D78" s="146"/>
      <c r="E78" s="146"/>
      <c r="F78" s="147"/>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701826191.12441552</v>
      </c>
      <c r="D79" s="146"/>
      <c r="E79" s="146"/>
      <c r="F79" s="147"/>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803435986.11875772</v>
      </c>
      <c r="D80" s="146"/>
      <c r="E80" s="146"/>
      <c r="F80" s="147"/>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6"/>
      <c r="E81" s="146"/>
      <c r="F81" s="147"/>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701826191.12441552</v>
      </c>
      <c r="D82" s="146"/>
      <c r="E82" s="148"/>
      <c r="F82" s="147"/>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803435986.11875772</v>
      </c>
      <c r="D83" s="146"/>
      <c r="E83" s="146"/>
      <c r="F83" s="147"/>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6"/>
      <c r="E84" s="146"/>
      <c r="F84" s="147"/>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49">
        <v>5600</v>
      </c>
      <c r="D85" s="146"/>
      <c r="E85" s="146"/>
      <c r="F85" s="147"/>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49">
        <v>5350</v>
      </c>
      <c r="D86" s="146"/>
      <c r="E86" s="146"/>
      <c r="F86" s="147"/>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49">
        <f>AVERAGE(C85:C86)</f>
        <v>5475</v>
      </c>
      <c r="D87" s="146"/>
      <c r="E87" s="146"/>
      <c r="F87" s="147"/>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49"/>
      <c r="D88" s="146"/>
      <c r="E88" s="146"/>
      <c r="F88" s="147"/>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49">
        <f>C82/$C$87</f>
        <v>128187.43216884302</v>
      </c>
      <c r="D89" s="146"/>
      <c r="E89" s="146"/>
      <c r="F89" s="147"/>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49">
        <f>C83/$C$87</f>
        <v>146746.2988344763</v>
      </c>
      <c r="D90" s="146"/>
      <c r="E90" s="146"/>
      <c r="F90" s="147"/>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49"/>
      <c r="D91" s="146"/>
      <c r="E91" s="146"/>
      <c r="F91" s="147"/>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6"/>
      <c r="E92" s="146"/>
      <c r="F92" s="147"/>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6"/>
      <c r="E93" s="146"/>
      <c r="F93" s="147"/>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383250000</v>
      </c>
      <c r="D94" s="146"/>
      <c r="E94" s="146"/>
      <c r="F94" s="147"/>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383250000</v>
      </c>
      <c r="D95" s="146"/>
      <c r="E95" s="74"/>
      <c r="F95" s="147"/>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383250000</v>
      </c>
      <c r="D96" s="146"/>
      <c r="E96" s="74"/>
      <c r="F96" s="147"/>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6"/>
      <c r="E97" s="74"/>
      <c r="F97" s="147"/>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383250000</v>
      </c>
      <c r="D98" s="168"/>
      <c r="E98" s="169"/>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6"/>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5">
        <v>30</v>
      </c>
      <c r="D100" s="146"/>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5"/>
      <c r="D101" s="146"/>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12775000</v>
      </c>
      <c r="D102" s="146"/>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6"/>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0">
        <v>0.6</v>
      </c>
      <c r="D104" s="72"/>
      <c r="E104" s="73"/>
      <c r="F104" s="74"/>
      <c r="G104" s="73"/>
      <c r="H104" s="75"/>
      <c r="I104" s="73"/>
      <c r="J104" s="73"/>
      <c r="K104" s="73"/>
      <c r="L104" s="148"/>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0">
        <v>0.4</v>
      </c>
      <c r="D105" s="72"/>
      <c r="E105" s="73"/>
      <c r="F105" s="74"/>
      <c r="G105" s="73"/>
      <c r="H105" s="75"/>
      <c r="I105" s="73"/>
      <c r="J105" s="73"/>
      <c r="K105" s="73"/>
      <c r="L105" s="151"/>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4">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4">
        <f>ROUND(C63/100,1)*100</f>
        <v>100</v>
      </c>
      <c r="D107" s="72"/>
      <c r="E107" s="148"/>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5"/>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8">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0"/>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8">
        <f t="shared" ref="D111:AG111" si="9">$C$75</f>
        <v>1433918.264790453</v>
      </c>
      <c r="E111" s="148">
        <f t="shared" si="9"/>
        <v>1433918.264790453</v>
      </c>
      <c r="F111" s="148">
        <f t="shared" si="9"/>
        <v>1433918.264790453</v>
      </c>
      <c r="G111" s="148">
        <f t="shared" si="9"/>
        <v>1433918.264790453</v>
      </c>
      <c r="H111" s="148">
        <f t="shared" si="9"/>
        <v>1433918.264790453</v>
      </c>
      <c r="I111" s="148">
        <f t="shared" si="9"/>
        <v>1433918.264790453</v>
      </c>
      <c r="J111" s="148">
        <f t="shared" si="9"/>
        <v>1433918.264790453</v>
      </c>
      <c r="K111" s="148">
        <f t="shared" si="9"/>
        <v>1433918.264790453</v>
      </c>
      <c r="L111" s="148">
        <f t="shared" si="9"/>
        <v>1433918.264790453</v>
      </c>
      <c r="M111" s="148">
        <f t="shared" si="9"/>
        <v>1433918.264790453</v>
      </c>
      <c r="N111" s="148">
        <f t="shared" si="9"/>
        <v>1433918.264790453</v>
      </c>
      <c r="O111" s="148">
        <f t="shared" si="9"/>
        <v>1433918.264790453</v>
      </c>
      <c r="P111" s="148">
        <f t="shared" si="9"/>
        <v>1433918.264790453</v>
      </c>
      <c r="Q111" s="148">
        <f t="shared" si="9"/>
        <v>1433918.264790453</v>
      </c>
      <c r="R111" s="148">
        <f t="shared" si="9"/>
        <v>1433918.264790453</v>
      </c>
      <c r="S111" s="148">
        <f t="shared" si="9"/>
        <v>1433918.264790453</v>
      </c>
      <c r="T111" s="148">
        <f t="shared" si="9"/>
        <v>1433918.264790453</v>
      </c>
      <c r="U111" s="148">
        <f t="shared" si="9"/>
        <v>1433918.264790453</v>
      </c>
      <c r="V111" s="148">
        <f t="shared" si="9"/>
        <v>1433918.264790453</v>
      </c>
      <c r="W111" s="148">
        <f t="shared" si="9"/>
        <v>1433918.264790453</v>
      </c>
      <c r="X111" s="148">
        <f t="shared" si="9"/>
        <v>1433918.264790453</v>
      </c>
      <c r="Y111" s="148">
        <f t="shared" si="9"/>
        <v>1433918.264790453</v>
      </c>
      <c r="Z111" s="148">
        <f t="shared" si="9"/>
        <v>1433918.264790453</v>
      </c>
      <c r="AA111" s="148">
        <f t="shared" si="9"/>
        <v>1433918.264790453</v>
      </c>
      <c r="AB111" s="148">
        <f t="shared" si="9"/>
        <v>1433918.264790453</v>
      </c>
      <c r="AC111" s="148">
        <f t="shared" si="9"/>
        <v>1433918.264790453</v>
      </c>
      <c r="AD111" s="148">
        <f t="shared" si="9"/>
        <v>1433918.264790453</v>
      </c>
      <c r="AE111" s="148">
        <f t="shared" si="9"/>
        <v>1433918.264790453</v>
      </c>
      <c r="AF111" s="148">
        <f t="shared" si="9"/>
        <v>1433918.264790453</v>
      </c>
      <c r="AG111" s="148">
        <f t="shared" si="9"/>
        <v>1433918.264790453</v>
      </c>
    </row>
    <row r="112" spans="1:33" x14ac:dyDescent="0.35">
      <c r="A112" s="69"/>
      <c r="B112" s="69"/>
      <c r="C112" s="71"/>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row>
    <row r="113" spans="1:33" s="152" customFormat="1" x14ac:dyDescent="0.35">
      <c r="A113" s="69" t="s">
        <v>68</v>
      </c>
      <c r="B113" s="69" t="s">
        <v>86</v>
      </c>
      <c r="C113" s="71">
        <f>SUM(D113:AG113)</f>
        <v>383250000</v>
      </c>
      <c r="D113" s="148">
        <f t="shared" ref="D113:AG113" si="10">$C$102</f>
        <v>12775000</v>
      </c>
      <c r="E113" s="148">
        <f t="shared" si="10"/>
        <v>12775000</v>
      </c>
      <c r="F113" s="148">
        <f t="shared" si="10"/>
        <v>12775000</v>
      </c>
      <c r="G113" s="148">
        <f t="shared" si="10"/>
        <v>12775000</v>
      </c>
      <c r="H113" s="148">
        <f t="shared" si="10"/>
        <v>12775000</v>
      </c>
      <c r="I113" s="148">
        <f t="shared" si="10"/>
        <v>12775000</v>
      </c>
      <c r="J113" s="148">
        <f t="shared" si="10"/>
        <v>12775000</v>
      </c>
      <c r="K113" s="148">
        <f t="shared" si="10"/>
        <v>12775000</v>
      </c>
      <c r="L113" s="148">
        <f t="shared" si="10"/>
        <v>12775000</v>
      </c>
      <c r="M113" s="148">
        <f t="shared" si="10"/>
        <v>12775000</v>
      </c>
      <c r="N113" s="148">
        <f t="shared" si="10"/>
        <v>12775000</v>
      </c>
      <c r="O113" s="148">
        <f t="shared" si="10"/>
        <v>12775000</v>
      </c>
      <c r="P113" s="148">
        <f t="shared" si="10"/>
        <v>12775000</v>
      </c>
      <c r="Q113" s="148">
        <f t="shared" si="10"/>
        <v>12775000</v>
      </c>
      <c r="R113" s="148">
        <f t="shared" si="10"/>
        <v>12775000</v>
      </c>
      <c r="S113" s="148">
        <f t="shared" si="10"/>
        <v>12775000</v>
      </c>
      <c r="T113" s="148">
        <f t="shared" si="10"/>
        <v>12775000</v>
      </c>
      <c r="U113" s="148">
        <f t="shared" si="10"/>
        <v>12775000</v>
      </c>
      <c r="V113" s="148">
        <f t="shared" si="10"/>
        <v>12775000</v>
      </c>
      <c r="W113" s="148">
        <f t="shared" si="10"/>
        <v>12775000</v>
      </c>
      <c r="X113" s="148">
        <f t="shared" si="10"/>
        <v>12775000</v>
      </c>
      <c r="Y113" s="148">
        <f t="shared" si="10"/>
        <v>12775000</v>
      </c>
      <c r="Z113" s="148">
        <f t="shared" si="10"/>
        <v>12775000</v>
      </c>
      <c r="AA113" s="148">
        <f t="shared" si="10"/>
        <v>12775000</v>
      </c>
      <c r="AB113" s="148">
        <f t="shared" si="10"/>
        <v>12775000</v>
      </c>
      <c r="AC113" s="148">
        <f t="shared" si="10"/>
        <v>12775000</v>
      </c>
      <c r="AD113" s="148">
        <f t="shared" si="10"/>
        <v>12775000</v>
      </c>
      <c r="AE113" s="148">
        <f t="shared" si="10"/>
        <v>12775000</v>
      </c>
      <c r="AF113" s="148">
        <f t="shared" si="10"/>
        <v>12775000</v>
      </c>
      <c r="AG113" s="148">
        <f t="shared" si="10"/>
        <v>12775000</v>
      </c>
    </row>
    <row r="114" spans="1:33" s="152" customFormat="1" x14ac:dyDescent="0.35">
      <c r="A114" s="69"/>
      <c r="B114" s="69"/>
      <c r="C114" s="153">
        <f>C113-C98</f>
        <v>0</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row>
    <row r="115" spans="1:33" s="152" customFormat="1" x14ac:dyDescent="0.35">
      <c r="A115" s="69" t="s">
        <v>88</v>
      </c>
      <c r="B115" s="69" t="s">
        <v>86</v>
      </c>
      <c r="C115" s="125"/>
      <c r="D115" s="148">
        <f>(D113*D$44)-D113</f>
        <v>0</v>
      </c>
      <c r="E115" s="148">
        <f t="shared" ref="E115:AG115" si="11">(E113*E$44)-E113</f>
        <v>0</v>
      </c>
      <c r="F115" s="148">
        <f t="shared" si="11"/>
        <v>0</v>
      </c>
      <c r="G115" s="148">
        <f t="shared" si="11"/>
        <v>0</v>
      </c>
      <c r="H115" s="148">
        <f>(H113*H$44)-H113</f>
        <v>0</v>
      </c>
      <c r="I115" s="148">
        <f t="shared" si="11"/>
        <v>0</v>
      </c>
      <c r="J115" s="148">
        <f t="shared" si="11"/>
        <v>0</v>
      </c>
      <c r="K115" s="148">
        <f t="shared" si="11"/>
        <v>0</v>
      </c>
      <c r="L115" s="148">
        <f t="shared" si="11"/>
        <v>0</v>
      </c>
      <c r="M115" s="148">
        <f t="shared" si="11"/>
        <v>0</v>
      </c>
      <c r="N115" s="148">
        <f t="shared" si="11"/>
        <v>0</v>
      </c>
      <c r="O115" s="148">
        <f t="shared" si="11"/>
        <v>0</v>
      </c>
      <c r="P115" s="148">
        <f t="shared" si="11"/>
        <v>0</v>
      </c>
      <c r="Q115" s="148">
        <f t="shared" si="11"/>
        <v>0</v>
      </c>
      <c r="R115" s="148">
        <f t="shared" si="11"/>
        <v>0</v>
      </c>
      <c r="S115" s="148">
        <f t="shared" si="11"/>
        <v>0</v>
      </c>
      <c r="T115" s="148">
        <f t="shared" si="11"/>
        <v>0</v>
      </c>
      <c r="U115" s="148">
        <f t="shared" si="11"/>
        <v>0</v>
      </c>
      <c r="V115" s="148">
        <f t="shared" si="11"/>
        <v>0</v>
      </c>
      <c r="W115" s="148">
        <f t="shared" si="11"/>
        <v>0</v>
      </c>
      <c r="X115" s="148">
        <f t="shared" si="11"/>
        <v>0</v>
      </c>
      <c r="Y115" s="148">
        <f t="shared" si="11"/>
        <v>0</v>
      </c>
      <c r="Z115" s="148">
        <f t="shared" si="11"/>
        <v>0</v>
      </c>
      <c r="AA115" s="148">
        <f t="shared" si="11"/>
        <v>0</v>
      </c>
      <c r="AB115" s="148">
        <f t="shared" si="11"/>
        <v>0</v>
      </c>
      <c r="AC115" s="148">
        <f t="shared" si="11"/>
        <v>0</v>
      </c>
      <c r="AD115" s="148">
        <f t="shared" si="11"/>
        <v>0</v>
      </c>
      <c r="AE115" s="148">
        <f t="shared" si="11"/>
        <v>0</v>
      </c>
      <c r="AF115" s="148">
        <f t="shared" si="11"/>
        <v>0</v>
      </c>
      <c r="AG115" s="148">
        <f t="shared" si="11"/>
        <v>0</v>
      </c>
    </row>
    <row r="116" spans="1:33" s="152" customFormat="1" x14ac:dyDescent="0.35">
      <c r="A116" s="69" t="s">
        <v>89</v>
      </c>
      <c r="B116" s="69" t="s">
        <v>86</v>
      </c>
      <c r="C116" s="125"/>
      <c r="D116" s="148">
        <f t="shared" ref="D116:AG116" si="12">(D113*D$45)-D113</f>
        <v>0</v>
      </c>
      <c r="E116" s="148">
        <f t="shared" si="12"/>
        <v>0</v>
      </c>
      <c r="F116" s="148">
        <f t="shared" si="12"/>
        <v>0</v>
      </c>
      <c r="G116" s="148">
        <f t="shared" si="12"/>
        <v>0</v>
      </c>
      <c r="H116" s="148">
        <f t="shared" si="12"/>
        <v>0</v>
      </c>
      <c r="I116" s="148">
        <f t="shared" si="12"/>
        <v>0</v>
      </c>
      <c r="J116" s="148">
        <f t="shared" si="12"/>
        <v>0</v>
      </c>
      <c r="K116" s="148">
        <f t="shared" si="12"/>
        <v>0</v>
      </c>
      <c r="L116" s="148">
        <f t="shared" si="12"/>
        <v>0</v>
      </c>
      <c r="M116" s="148">
        <f t="shared" si="12"/>
        <v>0</v>
      </c>
      <c r="N116" s="148">
        <f t="shared" si="12"/>
        <v>0</v>
      </c>
      <c r="O116" s="148">
        <f t="shared" si="12"/>
        <v>0</v>
      </c>
      <c r="P116" s="148">
        <f t="shared" si="12"/>
        <v>0</v>
      </c>
      <c r="Q116" s="148">
        <f t="shared" si="12"/>
        <v>0</v>
      </c>
      <c r="R116" s="148">
        <f t="shared" si="12"/>
        <v>0</v>
      </c>
      <c r="S116" s="148">
        <f t="shared" si="12"/>
        <v>0</v>
      </c>
      <c r="T116" s="148">
        <f t="shared" si="12"/>
        <v>0</v>
      </c>
      <c r="U116" s="148">
        <f t="shared" si="12"/>
        <v>0</v>
      </c>
      <c r="V116" s="148">
        <f t="shared" si="12"/>
        <v>0</v>
      </c>
      <c r="W116" s="148">
        <f t="shared" si="12"/>
        <v>0</v>
      </c>
      <c r="X116" s="148">
        <f t="shared" si="12"/>
        <v>0</v>
      </c>
      <c r="Y116" s="148">
        <f t="shared" si="12"/>
        <v>0</v>
      </c>
      <c r="Z116" s="148">
        <f t="shared" si="12"/>
        <v>0</v>
      </c>
      <c r="AA116" s="148">
        <f t="shared" si="12"/>
        <v>0</v>
      </c>
      <c r="AB116" s="148">
        <f t="shared" si="12"/>
        <v>0</v>
      </c>
      <c r="AC116" s="148">
        <f t="shared" si="12"/>
        <v>0</v>
      </c>
      <c r="AD116" s="148">
        <f t="shared" si="12"/>
        <v>0</v>
      </c>
      <c r="AE116" s="148">
        <f t="shared" si="12"/>
        <v>0</v>
      </c>
      <c r="AF116" s="148">
        <f t="shared" si="12"/>
        <v>0</v>
      </c>
      <c r="AG116" s="148">
        <f t="shared" si="12"/>
        <v>0</v>
      </c>
    </row>
    <row r="117" spans="1:33" s="152" customFormat="1" x14ac:dyDescent="0.35">
      <c r="A117" s="69"/>
      <c r="B117" s="69"/>
      <c r="C117" s="125"/>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row>
    <row r="118" spans="1:33" s="152" customFormat="1" x14ac:dyDescent="0.35">
      <c r="A118" s="69" t="s">
        <v>90</v>
      </c>
      <c r="B118" s="69" t="s">
        <v>86</v>
      </c>
      <c r="C118" s="125"/>
      <c r="D118" s="148">
        <f>D113+D115+D116</f>
        <v>12775000</v>
      </c>
      <c r="E118" s="148">
        <f t="shared" ref="E118:AG118" si="13">E113+E115+E116</f>
        <v>12775000</v>
      </c>
      <c r="F118" s="148">
        <f>F113+F115+F116</f>
        <v>12775000</v>
      </c>
      <c r="G118" s="148">
        <f t="shared" si="13"/>
        <v>12775000</v>
      </c>
      <c r="H118" s="148">
        <f t="shared" si="13"/>
        <v>12775000</v>
      </c>
      <c r="I118" s="148">
        <f t="shared" si="13"/>
        <v>12775000</v>
      </c>
      <c r="J118" s="148">
        <f t="shared" si="13"/>
        <v>12775000</v>
      </c>
      <c r="K118" s="148">
        <f t="shared" si="13"/>
        <v>12775000</v>
      </c>
      <c r="L118" s="148">
        <f t="shared" si="13"/>
        <v>12775000</v>
      </c>
      <c r="M118" s="148">
        <f t="shared" si="13"/>
        <v>12775000</v>
      </c>
      <c r="N118" s="148">
        <f t="shared" si="13"/>
        <v>12775000</v>
      </c>
      <c r="O118" s="148">
        <f t="shared" si="13"/>
        <v>12775000</v>
      </c>
      <c r="P118" s="148">
        <f t="shared" si="13"/>
        <v>12775000</v>
      </c>
      <c r="Q118" s="148">
        <f t="shared" si="13"/>
        <v>12775000</v>
      </c>
      <c r="R118" s="148">
        <f t="shared" si="13"/>
        <v>12775000</v>
      </c>
      <c r="S118" s="148">
        <f t="shared" si="13"/>
        <v>12775000</v>
      </c>
      <c r="T118" s="148">
        <f t="shared" si="13"/>
        <v>12775000</v>
      </c>
      <c r="U118" s="148">
        <f t="shared" si="13"/>
        <v>12775000</v>
      </c>
      <c r="V118" s="148">
        <f t="shared" si="13"/>
        <v>12775000</v>
      </c>
      <c r="W118" s="148">
        <f t="shared" si="13"/>
        <v>12775000</v>
      </c>
      <c r="X118" s="148">
        <f t="shared" si="13"/>
        <v>12775000</v>
      </c>
      <c r="Y118" s="148">
        <f t="shared" si="13"/>
        <v>12775000</v>
      </c>
      <c r="Z118" s="148">
        <f t="shared" si="13"/>
        <v>12775000</v>
      </c>
      <c r="AA118" s="148">
        <f t="shared" si="13"/>
        <v>12775000</v>
      </c>
      <c r="AB118" s="148">
        <f t="shared" si="13"/>
        <v>12775000</v>
      </c>
      <c r="AC118" s="148">
        <f t="shared" si="13"/>
        <v>12775000</v>
      </c>
      <c r="AD118" s="148">
        <f t="shared" si="13"/>
        <v>12775000</v>
      </c>
      <c r="AE118" s="148">
        <f t="shared" si="13"/>
        <v>12775000</v>
      </c>
      <c r="AF118" s="148">
        <f t="shared" si="13"/>
        <v>12775000</v>
      </c>
      <c r="AG118" s="148">
        <f t="shared" si="13"/>
        <v>12775000</v>
      </c>
    </row>
    <row r="119" spans="1:33" s="152" customFormat="1" x14ac:dyDescent="0.35">
      <c r="A119" s="69"/>
      <c r="B119" s="69"/>
      <c r="C119" s="125"/>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row>
    <row r="120" spans="1:33" s="152" customFormat="1" x14ac:dyDescent="0.35">
      <c r="A120" s="69" t="s">
        <v>69</v>
      </c>
      <c r="B120" s="69" t="s">
        <v>86</v>
      </c>
      <c r="C120" s="125"/>
      <c r="D120" s="148">
        <f>(SUM($D$118:D118)*$C$104/$C$106)+(SUM($D$118:D118)*$C$105/$C$107)</f>
        <v>306600</v>
      </c>
      <c r="E120" s="148">
        <f>(SUM($D$118:E118)*$C$104/$C$106)+(SUM($D$118:E118)*$C$105/$C$107)</f>
        <v>613200</v>
      </c>
      <c r="F120" s="148">
        <f>(SUM($D$118:F118)*$C$104/$C$106)+(SUM($D$118:F118)*$C$105/$C$107)</f>
        <v>919800</v>
      </c>
      <c r="G120" s="148">
        <f>(SUM($D$118:G118)*$C$104/$C$106)+(SUM($D$118:G118)*$C$105/$C$107)</f>
        <v>1226400</v>
      </c>
      <c r="H120" s="148">
        <f>(SUM($D$118:H118)*$C$104/$C$106)+(SUM($D$118:H118)*$C$105/$C$107)</f>
        <v>1533000</v>
      </c>
      <c r="I120" s="148">
        <f>(SUM($D$118:I118)*$C$104/$C$106)+(SUM($D$118:I118)*$C$105/$C$107)</f>
        <v>1839600</v>
      </c>
      <c r="J120" s="148">
        <f>(SUM($D$118:J118)*$C$104/$C$106)+(SUM($D$118:J118)*$C$105/$C$107)</f>
        <v>2146200</v>
      </c>
      <c r="K120" s="148">
        <f>(SUM($D$118:K118)*$C$104/$C$106)+(SUM($D$118:K118)*$C$105/$C$107)</f>
        <v>2452800</v>
      </c>
      <c r="L120" s="148">
        <f>(SUM($D$118:L118)*$C$104/$C$106)+(SUM($D$118:L118)*$C$105/$C$107)</f>
        <v>2759400</v>
      </c>
      <c r="M120" s="148">
        <f>(SUM($D$118:M118)*$C$104/$C$106)+(SUM($D$118:M118)*$C$105/$C$107)</f>
        <v>3066000</v>
      </c>
      <c r="N120" s="148">
        <f>(SUM($D$118:N118)*$C$104/$C$106)+(SUM($D$118:N118)*$C$105/$C$107)</f>
        <v>3372600</v>
      </c>
      <c r="O120" s="148">
        <f>(SUM($D$118:O118)*$C$104/$C$106)+(SUM($D$118:O118)*$C$105/$C$107)</f>
        <v>3679200</v>
      </c>
      <c r="P120" s="148">
        <f>(SUM($D$118:P118)*$C$104/$C$106)+(SUM($D$118:P118)*$C$105/$C$107)</f>
        <v>3985800</v>
      </c>
      <c r="Q120" s="148">
        <f>(SUM($D$118:Q118)*$C$104/$C$106)+(SUM($D$118:Q118)*$C$105/$C$107)</f>
        <v>4292400</v>
      </c>
      <c r="R120" s="148">
        <f>(SUM($D$118:R118)*$C$104/$C$106)+(SUM($D$118:R118)*$C$105/$C$107)</f>
        <v>4599000</v>
      </c>
      <c r="S120" s="148">
        <f>(SUM($D$118:S118)*$C$104/$C$106)+(SUM($D$118:S118)*$C$105/$C$107)</f>
        <v>4905600</v>
      </c>
      <c r="T120" s="148">
        <f>(SUM($D$118:T118)*$C$104/$C$106)+(SUM($D$118:T118)*$C$105/$C$107)</f>
        <v>5212200</v>
      </c>
      <c r="U120" s="148">
        <f>(SUM($D$118:U118)*$C$104/$C$106)+(SUM($D$118:U118)*$C$105/$C$107)</f>
        <v>5518800</v>
      </c>
      <c r="V120" s="148">
        <f>(SUM($D$118:V118)*$C$104/$C$106)+(SUM($D$118:V118)*$C$105/$C$107)</f>
        <v>5825400</v>
      </c>
      <c r="W120" s="148">
        <f>(SUM($D$118:W118)*$C$104/$C$106)+(SUM($D$118:W118)*$C$105/$C$107)</f>
        <v>6132000</v>
      </c>
      <c r="X120" s="148">
        <f>(SUM($D$118:X118)*$C$104/$C$106)+(SUM($D$118:X118)*$C$105/$C$107)</f>
        <v>6438600</v>
      </c>
      <c r="Y120" s="148">
        <f>(SUM($D$118:Y118)*$C$104/$C$106)+(SUM($D$118:Y118)*$C$105/$C$107)</f>
        <v>6745200</v>
      </c>
      <c r="Z120" s="148">
        <f>(SUM($D$118:Z118)*$C$104/$C$106)+(SUM($D$118:Z118)*$C$105/$C$107)</f>
        <v>7051800</v>
      </c>
      <c r="AA120" s="148">
        <f>(SUM($D$118:AA118)*$C$104/$C$106)+(SUM($D$118:AA118)*$C$105/$C$107)</f>
        <v>7358400</v>
      </c>
      <c r="AB120" s="148">
        <f>(SUM($D$118:AB118)*$C$104/$C$106)+(SUM($D$118:AB118)*$C$105/$C$107)</f>
        <v>7665000</v>
      </c>
      <c r="AC120" s="148">
        <f>(SUM($D$118:AC118)*$C$104/$C$106)+(SUM($D$118:AC118)*$C$105/$C$107)</f>
        <v>7971600</v>
      </c>
      <c r="AD120" s="148">
        <f>(SUM($D$118:AD118)*$C$104/$C$106)+(SUM($D$118:AD118)*$C$105/$C$107)</f>
        <v>8278200</v>
      </c>
      <c r="AE120" s="148">
        <f>(SUM($D$118:AE118)*$C$104/$C$106)+(SUM($D$118:AE118)*$C$105/$C$107)</f>
        <v>8584800</v>
      </c>
      <c r="AF120" s="148">
        <f>(SUM($D$118:AF118)*$C$104/$C$106)+(SUM($D$118:AF118)*$C$105/$C$107)</f>
        <v>8891400</v>
      </c>
      <c r="AG120" s="148">
        <f>(SUM($D$118:AG118)*$C$104/$C$106)+(SUM($D$118:AG118)*$C$105/$C$107)</f>
        <v>9198000</v>
      </c>
    </row>
    <row r="121" spans="1:33" s="152" customFormat="1" x14ac:dyDescent="0.35">
      <c r="A121" s="87"/>
      <c r="B121" s="87"/>
      <c r="C121" s="125"/>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row>
    <row r="122" spans="1:33" x14ac:dyDescent="0.35">
      <c r="A122" s="69" t="s">
        <v>91</v>
      </c>
      <c r="B122" s="69" t="s">
        <v>86</v>
      </c>
      <c r="C122" s="125"/>
      <c r="D122" s="72">
        <f>(SUM($D$118:D118)*$C$109)</f>
        <v>383250</v>
      </c>
      <c r="E122" s="72">
        <f>(SUM($D$118:E118)*$C$109)</f>
        <v>766500</v>
      </c>
      <c r="F122" s="72">
        <f>(SUM($D$118:F118)*$C$109)</f>
        <v>1149750</v>
      </c>
      <c r="G122" s="72">
        <f>(SUM($D$118:G118)*$C$109)</f>
        <v>1533000</v>
      </c>
      <c r="H122" s="72">
        <f>(SUM($D$118:H118)*$C$109)</f>
        <v>1916250</v>
      </c>
      <c r="I122" s="72">
        <f>(SUM($D$118:I118)*$C$109)</f>
        <v>2299500</v>
      </c>
      <c r="J122" s="72">
        <f>(SUM($D$118:J118)*$C$109)</f>
        <v>2682750</v>
      </c>
      <c r="K122" s="72">
        <f>(SUM($D$118:K118)*$C$109)</f>
        <v>3066000</v>
      </c>
      <c r="L122" s="72">
        <f>(SUM($D$118:L118)*$C$109)</f>
        <v>3449250</v>
      </c>
      <c r="M122" s="72">
        <f>(SUM($D$118:M118)*$C$109)</f>
        <v>3832500</v>
      </c>
      <c r="N122" s="72">
        <f>(SUM($D$118:N118)*$C$109)</f>
        <v>4215750</v>
      </c>
      <c r="O122" s="72">
        <f>(SUM($D$118:O118)*$C$109)</f>
        <v>4599000</v>
      </c>
      <c r="P122" s="72">
        <f>(SUM($D$118:P118)*$C$109)</f>
        <v>4982250</v>
      </c>
      <c r="Q122" s="72">
        <f>(SUM($D$118:Q118)*$C$109)</f>
        <v>5365500</v>
      </c>
      <c r="R122" s="72">
        <f>(SUM($D$118:R118)*$C$109)</f>
        <v>5748750</v>
      </c>
      <c r="S122" s="72">
        <f>(SUM($D$118:S118)*$C$109)</f>
        <v>6132000</v>
      </c>
      <c r="T122" s="72">
        <f>(SUM($D$118:T118)*$C$109)</f>
        <v>6515250</v>
      </c>
      <c r="U122" s="72">
        <f>(SUM($D$118:U118)*$C$109)</f>
        <v>6898500</v>
      </c>
      <c r="V122" s="72">
        <f>(SUM($D$118:V118)*$C$109)</f>
        <v>7281750</v>
      </c>
      <c r="W122" s="72">
        <f>(SUM($D$118:W118)*$C$109)</f>
        <v>7665000</v>
      </c>
      <c r="X122" s="72">
        <f>(SUM($D$118:X118)*$C$109)</f>
        <v>8048250</v>
      </c>
      <c r="Y122" s="72">
        <f>(SUM($D$118:Y118)*$C$109)</f>
        <v>8431500</v>
      </c>
      <c r="Z122" s="72">
        <f>(SUM($D$118:Z118)*$C$109)</f>
        <v>8814750</v>
      </c>
      <c r="AA122" s="72">
        <f>(SUM($D$118:AA118)*$C$109)</f>
        <v>9198000</v>
      </c>
      <c r="AB122" s="72">
        <f>(SUM($D$118:AB118)*$C$109)</f>
        <v>9581250</v>
      </c>
      <c r="AC122" s="72">
        <f>(SUM($D$118:AC118)*$C$109)</f>
        <v>9964500</v>
      </c>
      <c r="AD122" s="72">
        <f>(SUM($D$118:AD118)*$C$109)</f>
        <v>10347750</v>
      </c>
      <c r="AE122" s="72">
        <f>(SUM($D$118:AE118)*$C$109)</f>
        <v>10731000</v>
      </c>
      <c r="AF122" s="72">
        <f>(SUM($D$118:AF118)*$C$109)</f>
        <v>11114250</v>
      </c>
      <c r="AG122" s="72">
        <f>(SUM($D$118:AG118)*$C$109)</f>
        <v>11497500</v>
      </c>
    </row>
    <row r="123" spans="1:33" ht="16" thickBot="1" x14ac:dyDescent="0.4">
      <c r="A123" s="83"/>
      <c r="B123" s="83"/>
      <c r="C123" s="128"/>
      <c r="D123" s="129"/>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row>
    <row r="124" spans="1:33" s="137" customFormat="1" x14ac:dyDescent="0.35">
      <c r="A124" s="80" t="s">
        <v>47</v>
      </c>
      <c r="B124" s="80"/>
      <c r="C124" s="132"/>
      <c r="D124" s="133"/>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row>
    <row r="125" spans="1:33" s="73" customFormat="1" x14ac:dyDescent="0.35">
      <c r="A125" s="88"/>
      <c r="B125" s="88"/>
      <c r="C125" s="125"/>
      <c r="D125" s="72"/>
    </row>
    <row r="126" spans="1:33" s="73" customFormat="1" x14ac:dyDescent="0.35">
      <c r="A126" s="77" t="s">
        <v>152</v>
      </c>
      <c r="B126" s="77" t="s">
        <v>197</v>
      </c>
      <c r="C126" s="125">
        <v>5600</v>
      </c>
      <c r="D126" s="139"/>
    </row>
    <row r="127" spans="1:33" x14ac:dyDescent="0.35">
      <c r="A127" s="77" t="s">
        <v>151</v>
      </c>
      <c r="B127" s="77" t="s">
        <v>133</v>
      </c>
      <c r="C127" s="125">
        <v>5350</v>
      </c>
      <c r="D127" s="139"/>
      <c r="E127" s="73"/>
      <c r="F127" s="73"/>
      <c r="G127" s="73"/>
      <c r="H127" s="73"/>
      <c r="I127" s="73"/>
      <c r="J127" s="73"/>
      <c r="K127" s="73"/>
      <c r="L127" s="73"/>
      <c r="M127" s="73"/>
      <c r="N127" s="73"/>
      <c r="O127" s="73"/>
      <c r="P127" s="73"/>
      <c r="Q127" s="154"/>
      <c r="R127" s="73"/>
      <c r="S127" s="73"/>
      <c r="T127" s="73"/>
      <c r="U127" s="73"/>
      <c r="V127" s="73"/>
      <c r="W127" s="73"/>
      <c r="X127" s="73"/>
      <c r="Y127" s="73"/>
      <c r="Z127" s="73"/>
      <c r="AA127" s="73"/>
      <c r="AB127" s="73"/>
      <c r="AC127" s="73"/>
      <c r="AD127" s="73"/>
      <c r="AE127" s="73"/>
      <c r="AF127" s="73"/>
      <c r="AG127" s="73"/>
    </row>
    <row r="128" spans="1:33" x14ac:dyDescent="0.35">
      <c r="A128" s="77"/>
      <c r="B128" s="77"/>
      <c r="C128" s="125"/>
      <c r="D128" s="72"/>
      <c r="E128" s="73"/>
      <c r="F128" s="73"/>
      <c r="G128" s="73"/>
      <c r="H128" s="73"/>
      <c r="I128" s="73"/>
      <c r="J128" s="73"/>
      <c r="K128" s="73"/>
      <c r="L128" s="73"/>
      <c r="M128" s="73"/>
      <c r="N128" s="73"/>
      <c r="O128" s="73"/>
      <c r="P128" s="73"/>
      <c r="Q128" s="154"/>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5">
        <f>AVERAGE(C126:C127)</f>
        <v>5475</v>
      </c>
      <c r="D129" s="72"/>
      <c r="E129" s="73"/>
      <c r="F129" s="73"/>
      <c r="G129" s="73"/>
      <c r="H129" s="73"/>
      <c r="I129" s="73"/>
      <c r="J129" s="73"/>
      <c r="K129" s="73"/>
      <c r="L129" s="73"/>
      <c r="M129" s="73"/>
      <c r="N129" s="73"/>
      <c r="O129" s="73"/>
      <c r="P129" s="73"/>
      <c r="Q129" s="154"/>
      <c r="R129" s="73"/>
      <c r="S129" s="73"/>
      <c r="T129" s="73"/>
      <c r="U129" s="73"/>
      <c r="V129" s="73"/>
      <c r="W129" s="73"/>
      <c r="X129" s="73"/>
      <c r="Y129" s="73"/>
      <c r="Z129" s="73"/>
      <c r="AA129" s="73"/>
      <c r="AB129" s="73"/>
      <c r="AC129" s="73"/>
      <c r="AD129" s="73"/>
      <c r="AE129" s="73"/>
      <c r="AF129" s="73"/>
      <c r="AG129" s="73"/>
    </row>
    <row r="130" spans="1:33" x14ac:dyDescent="0.35">
      <c r="A130" s="77"/>
      <c r="B130" s="77"/>
      <c r="C130" s="125"/>
      <c r="D130" s="72"/>
      <c r="E130" s="73"/>
      <c r="F130" s="73"/>
      <c r="G130" s="73"/>
      <c r="H130" s="73"/>
      <c r="I130" s="73"/>
      <c r="J130" s="73"/>
      <c r="K130" s="73"/>
      <c r="L130" s="73"/>
      <c r="M130" s="73"/>
      <c r="N130" s="73"/>
      <c r="O130" s="73"/>
      <c r="P130" s="73"/>
      <c r="Q130" s="154"/>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5">
        <v>2.7</v>
      </c>
      <c r="D131" s="72"/>
      <c r="E131" s="73"/>
      <c r="F131" s="73"/>
      <c r="G131" s="73"/>
      <c r="H131" s="73"/>
      <c r="I131" s="73"/>
      <c r="J131" s="73"/>
      <c r="K131" s="73"/>
      <c r="L131" s="73"/>
      <c r="M131" s="73"/>
      <c r="N131" s="73"/>
      <c r="O131" s="73"/>
      <c r="P131" s="73"/>
      <c r="Q131" s="154"/>
      <c r="R131" s="73"/>
      <c r="S131" s="73"/>
      <c r="T131" s="73"/>
      <c r="U131" s="73"/>
      <c r="V131" s="73"/>
      <c r="W131" s="73"/>
      <c r="X131" s="73"/>
      <c r="Y131" s="73"/>
      <c r="Z131" s="73"/>
      <c r="AA131" s="73"/>
      <c r="AB131" s="73"/>
      <c r="AC131" s="73"/>
      <c r="AD131" s="73"/>
      <c r="AE131" s="73"/>
      <c r="AF131" s="73"/>
      <c r="AG131" s="73"/>
    </row>
    <row r="132" spans="1:33" x14ac:dyDescent="0.35">
      <c r="A132" s="77"/>
      <c r="B132" s="77"/>
      <c r="C132" s="125"/>
      <c r="D132" s="72"/>
      <c r="E132" s="73"/>
      <c r="F132" s="73"/>
      <c r="G132" s="73"/>
      <c r="H132" s="73"/>
      <c r="I132" s="73"/>
      <c r="J132" s="73"/>
      <c r="K132" s="73"/>
      <c r="L132" s="73"/>
      <c r="M132" s="73"/>
      <c r="N132" s="73"/>
      <c r="O132" s="73"/>
      <c r="P132" s="73"/>
      <c r="Q132" s="154"/>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3">
        <v>0.7</v>
      </c>
      <c r="D133" s="72"/>
      <c r="E133" s="73"/>
      <c r="F133" s="73"/>
      <c r="G133" s="73"/>
      <c r="H133" s="73"/>
      <c r="I133" s="73"/>
      <c r="J133" s="73"/>
      <c r="K133" s="73"/>
      <c r="L133" s="73"/>
      <c r="M133" s="73"/>
      <c r="N133" s="73"/>
      <c r="O133" s="73"/>
      <c r="P133" s="73"/>
      <c r="Q133" s="154"/>
      <c r="R133" s="73"/>
      <c r="S133" s="73"/>
      <c r="T133" s="73"/>
      <c r="U133" s="73"/>
      <c r="V133" s="73"/>
      <c r="W133" s="73"/>
      <c r="X133" s="73"/>
      <c r="Y133" s="73"/>
      <c r="Z133" s="73"/>
      <c r="AA133" s="73"/>
      <c r="AB133" s="73"/>
      <c r="AC133" s="73"/>
      <c r="AD133" s="73"/>
      <c r="AE133" s="73"/>
      <c r="AF133" s="73"/>
      <c r="AG133" s="73"/>
    </row>
    <row r="134" spans="1:33" x14ac:dyDescent="0.35">
      <c r="A134" s="77"/>
      <c r="B134" s="77"/>
      <c r="C134" s="125"/>
      <c r="D134" s="72"/>
      <c r="E134" s="73"/>
      <c r="F134" s="73"/>
      <c r="G134" s="73"/>
      <c r="H134" s="73"/>
      <c r="I134" s="73"/>
      <c r="J134" s="73"/>
      <c r="K134" s="73"/>
      <c r="L134" s="73"/>
      <c r="M134" s="73"/>
      <c r="N134" s="73"/>
      <c r="O134" s="73"/>
      <c r="P134" s="73"/>
      <c r="Q134" s="154"/>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5">
        <f>C129/C131</f>
        <v>2027.7777777777776</v>
      </c>
      <c r="D135" s="156">
        <f t="shared" ref="D135:AG135" si="14">$C$135*D13</f>
        <v>2027.7777777777776</v>
      </c>
      <c r="E135" s="156">
        <f t="shared" si="14"/>
        <v>2027.7777777777776</v>
      </c>
      <c r="F135" s="156">
        <f t="shared" si="14"/>
        <v>2027.7777777777776</v>
      </c>
      <c r="G135" s="156">
        <f t="shared" si="14"/>
        <v>2027.7777777777776</v>
      </c>
      <c r="H135" s="156">
        <f t="shared" si="14"/>
        <v>2027.7777777777776</v>
      </c>
      <c r="I135" s="156">
        <f t="shared" si="14"/>
        <v>2027.7777777777776</v>
      </c>
      <c r="J135" s="156">
        <f t="shared" si="14"/>
        <v>2027.7777777777776</v>
      </c>
      <c r="K135" s="156">
        <f t="shared" si="14"/>
        <v>2027.7777777777776</v>
      </c>
      <c r="L135" s="156">
        <f t="shared" si="14"/>
        <v>2027.7777777777776</v>
      </c>
      <c r="M135" s="156">
        <f t="shared" si="14"/>
        <v>2027.7777777777776</v>
      </c>
      <c r="N135" s="156">
        <f t="shared" si="14"/>
        <v>2027.7777777777776</v>
      </c>
      <c r="O135" s="156">
        <f t="shared" si="14"/>
        <v>2027.7777777777776</v>
      </c>
      <c r="P135" s="156">
        <f t="shared" si="14"/>
        <v>2027.7777777777776</v>
      </c>
      <c r="Q135" s="156">
        <f t="shared" si="14"/>
        <v>2027.7777777777776</v>
      </c>
      <c r="R135" s="156">
        <f t="shared" si="14"/>
        <v>2027.7777777777776</v>
      </c>
      <c r="S135" s="156">
        <f t="shared" si="14"/>
        <v>2027.7777777777776</v>
      </c>
      <c r="T135" s="156">
        <f t="shared" si="14"/>
        <v>2027.7777777777776</v>
      </c>
      <c r="U135" s="156">
        <f t="shared" si="14"/>
        <v>2027.7777777777776</v>
      </c>
      <c r="V135" s="156">
        <f t="shared" si="14"/>
        <v>2027.7777777777776</v>
      </c>
      <c r="W135" s="156">
        <f t="shared" si="14"/>
        <v>2027.7777777777776</v>
      </c>
      <c r="X135" s="156">
        <f t="shared" si="14"/>
        <v>2027.7777777777776</v>
      </c>
      <c r="Y135" s="156">
        <f t="shared" si="14"/>
        <v>2027.7777777777776</v>
      </c>
      <c r="Z135" s="156">
        <f t="shared" si="14"/>
        <v>2027.7777777777776</v>
      </c>
      <c r="AA135" s="156">
        <f t="shared" si="14"/>
        <v>2027.7777777777776</v>
      </c>
      <c r="AB135" s="156">
        <f t="shared" si="14"/>
        <v>2027.7777777777776</v>
      </c>
      <c r="AC135" s="156">
        <f t="shared" si="14"/>
        <v>2027.7777777777776</v>
      </c>
      <c r="AD135" s="156">
        <f t="shared" si="14"/>
        <v>2027.7777777777776</v>
      </c>
      <c r="AE135" s="156">
        <f t="shared" si="14"/>
        <v>2027.7777777777776</v>
      </c>
      <c r="AF135" s="156">
        <f t="shared" si="14"/>
        <v>2027.7777777777776</v>
      </c>
      <c r="AG135" s="156">
        <f t="shared" si="14"/>
        <v>2027.7777777777776</v>
      </c>
    </row>
    <row r="146" spans="4:33" x14ac:dyDescent="0.35">
      <c r="D146" s="157"/>
    </row>
    <row r="153" spans="4:33" x14ac:dyDescent="0.35">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row>
    <row r="156" spans="4:33" x14ac:dyDescent="0.35">
      <c r="D156" s="159"/>
    </row>
    <row r="159" spans="4:33" x14ac:dyDescent="0.35">
      <c r="D159" s="160"/>
    </row>
    <row r="162" spans="4:33" x14ac:dyDescent="0.35">
      <c r="D162" s="157"/>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row>
    <row r="163" spans="4:33" x14ac:dyDescent="0.35">
      <c r="D163" s="157"/>
    </row>
    <row r="166" spans="4:33" x14ac:dyDescent="0.35">
      <c r="M166" s="162"/>
    </row>
    <row r="174" spans="4:33" x14ac:dyDescent="0.35">
      <c r="D174" s="163"/>
    </row>
    <row r="175" spans="4:33" x14ac:dyDescent="0.35">
      <c r="D175" s="163"/>
    </row>
    <row r="176" spans="4:33" x14ac:dyDescent="0.35">
      <c r="D176" s="157"/>
    </row>
    <row r="177" spans="4:4" x14ac:dyDescent="0.35">
      <c r="D177" s="157"/>
    </row>
    <row r="179" spans="4:4" x14ac:dyDescent="0.35">
      <c r="D179" s="164"/>
    </row>
    <row r="180" spans="4:4" x14ac:dyDescent="0.35">
      <c r="D180" s="163"/>
    </row>
    <row r="181" spans="4:4" x14ac:dyDescent="0.35">
      <c r="D181" s="163"/>
    </row>
    <row r="186" spans="4:4" x14ac:dyDescent="0.35">
      <c r="D186" s="165"/>
    </row>
    <row r="195" spans="4:4" x14ac:dyDescent="0.35">
      <c r="D195" s="157"/>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0.25</v>
      </c>
      <c r="F4" s="65">
        <v>0.22</v>
      </c>
      <c r="G4" s="65">
        <v>0.2</v>
      </c>
      <c r="H4" s="65">
        <v>0.2</v>
      </c>
      <c r="I4" s="65">
        <v>0.2</v>
      </c>
      <c r="J4" s="65">
        <v>0.2</v>
      </c>
      <c r="K4" s="65">
        <v>0.14000000000000001</v>
      </c>
      <c r="L4" s="65">
        <v>0.1</v>
      </c>
      <c r="M4" s="65">
        <v>0.08</v>
      </c>
      <c r="N4" s="65">
        <v>7.0000000000000007E-2</v>
      </c>
      <c r="O4" s="65">
        <v>7.0000000000000007E-2</v>
      </c>
      <c r="P4" s="65">
        <v>7.0000000000000007E-2</v>
      </c>
      <c r="Q4" s="65">
        <v>0.06</v>
      </c>
      <c r="R4" s="65">
        <v>0.06</v>
      </c>
      <c r="S4" s="65">
        <v>0.06</v>
      </c>
      <c r="T4" s="65">
        <v>0.06</v>
      </c>
      <c r="U4" s="65">
        <v>0.05</v>
      </c>
      <c r="V4" s="65">
        <v>0.05</v>
      </c>
      <c r="W4" s="65">
        <v>0.05</v>
      </c>
      <c r="X4" s="65">
        <v>0.05</v>
      </c>
      <c r="Y4" s="65">
        <v>0.05</v>
      </c>
      <c r="Z4" s="65">
        <v>0.05</v>
      </c>
      <c r="AA4" s="65">
        <v>0.05</v>
      </c>
      <c r="AB4" s="65">
        <v>0.05</v>
      </c>
      <c r="AC4" s="65">
        <v>0.05</v>
      </c>
      <c r="AD4" s="65">
        <v>0.05</v>
      </c>
      <c r="AE4" s="65">
        <v>0.05</v>
      </c>
      <c r="AF4" s="65">
        <v>0.05</v>
      </c>
      <c r="AG4" s="65">
        <v>0.05</v>
      </c>
      <c r="AH4" s="65">
        <v>0.05</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2.504224702316348</v>
      </c>
      <c r="C6" s="25"/>
      <c r="D6" s="25"/>
      <c r="E6" s="27">
        <f>'Debt worksheet'!C5/'Profit and Loss'!C5</f>
        <v>0</v>
      </c>
      <c r="F6" s="28">
        <f ca="1">'Debt worksheet'!D5/'Profit and Loss'!D5</f>
        <v>1.1055183084390674</v>
      </c>
      <c r="G6" s="28">
        <f ca="1">'Debt worksheet'!E5/'Profit and Loss'!E5</f>
        <v>1.8304183014269693</v>
      </c>
      <c r="H6" s="28">
        <f ca="1">'Debt worksheet'!F5/'Profit and Loss'!F5</f>
        <v>2.2623108527610079</v>
      </c>
      <c r="I6" s="28">
        <f ca="1">'Debt worksheet'!G5/'Profit and Loss'!G5</f>
        <v>2.4609782943308978</v>
      </c>
      <c r="J6" s="28">
        <f ca="1">'Debt worksheet'!H5/'Profit and Loss'!H5</f>
        <v>2.47637481848952</v>
      </c>
      <c r="K6" s="28">
        <f ca="1">'Debt worksheet'!I5/'Profit and Loss'!I5</f>
        <v>2.4737228157549374</v>
      </c>
      <c r="L6" s="28">
        <f ca="1">'Debt worksheet'!J5/'Profit and Loss'!J5</f>
        <v>2.4798003904772838</v>
      </c>
      <c r="M6" s="28">
        <f ca="1">'Debt worksheet'!K5/'Profit and Loss'!K5</f>
        <v>2.4909458551582402</v>
      </c>
      <c r="N6" s="28">
        <f ca="1">'Debt worksheet'!L5/'Profit and Loss'!L5</f>
        <v>2.5038033759192193</v>
      </c>
      <c r="O6" s="28">
        <f ca="1">'Debt worksheet'!M5/'Profit and Loss'!M5</f>
        <v>2.504224702316348</v>
      </c>
      <c r="P6" s="28">
        <f ca="1">'Debt worksheet'!N5/'Profit and Loss'!N5</f>
        <v>2.4918636655421116</v>
      </c>
      <c r="Q6" s="28">
        <f ca="1">'Debt worksheet'!O5/'Profit and Loss'!O5</f>
        <v>2.4897339594753691</v>
      </c>
      <c r="R6" s="28">
        <f ca="1">'Debt worksheet'!P5/'Profit and Loss'!P5</f>
        <v>2.4831056236492945</v>
      </c>
      <c r="S6" s="28">
        <f ca="1">'Debt worksheet'!Q5/'Profit and Loss'!Q5</f>
        <v>2.4713742474219105</v>
      </c>
      <c r="T6" s="28">
        <f ca="1">'Debt worksheet'!R5/'Profit and Loss'!R5</f>
        <v>2.453998659306043</v>
      </c>
      <c r="U6" s="28">
        <f ca="1">'Debt worksheet'!S5/'Profit and Loss'!S5</f>
        <v>2.4536445920769179</v>
      </c>
      <c r="V6" s="28">
        <f ca="1">'Debt worksheet'!T5/'Profit and Loss'!T5</f>
        <v>2.4557827260873659</v>
      </c>
      <c r="W6" s="28">
        <f ca="1">'Debt worksheet'!U5/'Profit and Loss'!U5</f>
        <v>2.4597995313851908</v>
      </c>
      <c r="X6" s="28">
        <f ca="1">'Debt worksheet'!V5/'Profit and Loss'!V5</f>
        <v>2.4651149919961823</v>
      </c>
      <c r="Y6" s="28">
        <f ca="1">'Debt worksheet'!W5/'Profit and Loss'!W5</f>
        <v>2.4711812677841256</v>
      </c>
      <c r="Z6" s="28">
        <f ca="1">'Debt worksheet'!X5/'Profit and Loss'!X5</f>
        <v>2.4774814031755783</v>
      </c>
      <c r="AA6" s="28">
        <f ca="1">'Debt worksheet'!Y5/'Profit and Loss'!Y5</f>
        <v>2.4835280812137897</v>
      </c>
      <c r="AB6" s="28">
        <f ca="1">'Debt worksheet'!Z5/'Profit and Loss'!Z5</f>
        <v>2.4888624214545882</v>
      </c>
      <c r="AC6" s="28">
        <f ca="1">'Debt worksheet'!AA5/'Profit and Loss'!AA5</f>
        <v>2.4930528202639985</v>
      </c>
      <c r="AD6" s="28">
        <f ca="1">'Debt worksheet'!AB5/'Profit and Loss'!AB5</f>
        <v>2.495693832122857</v>
      </c>
      <c r="AE6" s="28">
        <f ca="1">'Debt worksheet'!AC5/'Profit and Loss'!AC5</f>
        <v>2.4964050905877961</v>
      </c>
      <c r="AF6" s="28">
        <f ca="1">'Debt worksheet'!AD5/'Profit and Loss'!AD5</f>
        <v>2.4948302676007104</v>
      </c>
      <c r="AG6" s="28">
        <f ca="1">'Debt worksheet'!AE5/'Profit and Loss'!AE5</f>
        <v>2.4906360698802223</v>
      </c>
      <c r="AH6" s="28">
        <f ca="1">'Debt worksheet'!AF5/'Profit and Loss'!AF5</f>
        <v>2.4835112711688287</v>
      </c>
      <c r="AI6" s="31"/>
    </row>
    <row r="7" spans="1:35" ht="21" x14ac:dyDescent="0.5">
      <c r="A7" s="19" t="s">
        <v>38</v>
      </c>
      <c r="B7" s="26" t="e">
        <f ca="1">MIN('Price and Financial ratios'!E7:AH7)</f>
        <v>#DIV/0!</v>
      </c>
      <c r="C7" s="26"/>
      <c r="D7" s="26"/>
      <c r="E7" s="56" t="e">
        <f ca="1">'Cash Flow'!C7/'Debt worksheet'!C5</f>
        <v>#DIV/0!</v>
      </c>
      <c r="F7" s="32">
        <f ca="1">'Cash Flow'!D7/'Debt worksheet'!D5</f>
        <v>0.41569480048225754</v>
      </c>
      <c r="G7" s="32">
        <f ca="1">'Cash Flow'!E7/'Debt worksheet'!E5</f>
        <v>0.26042923091526959</v>
      </c>
      <c r="H7" s="32">
        <f ca="1">'Cash Flow'!F7/'Debt worksheet'!F5</f>
        <v>0.22249845860131476</v>
      </c>
      <c r="I7" s="32">
        <f ca="1">'Cash Flow'!G7/'Debt worksheet'!G5</f>
        <v>0.21810897663331538</v>
      </c>
      <c r="J7" s="32">
        <f ca="1">'Cash Flow'!H7/'Debt worksheet'!H5</f>
        <v>0.2320600111293202</v>
      </c>
      <c r="K7" s="32">
        <f ca="1">'Cash Flow'!I7/'Debt worksheet'!I5</f>
        <v>0.23978480543455405</v>
      </c>
      <c r="L7" s="32">
        <f ca="1">'Cash Flow'!J7/'Debt worksheet'!J5</f>
        <v>0.24168260095425387</v>
      </c>
      <c r="M7" s="17">
        <f ca="1">'Cash Flow'!K7/'Debt worksheet'!K5</f>
        <v>0.24082078914632113</v>
      </c>
      <c r="N7" s="17">
        <f ca="1">'Cash Flow'!L7/'Debt worksheet'!L5</f>
        <v>0.23884701886835824</v>
      </c>
      <c r="O7" s="17">
        <f ca="1">'Cash Flow'!M7/'Debt worksheet'!M5</f>
        <v>0.23857275550993526</v>
      </c>
      <c r="P7" s="17">
        <f ca="1">'Cash Flow'!N7/'Debt worksheet'!N5</f>
        <v>0.24000357015869625</v>
      </c>
      <c r="Q7" s="17">
        <f ca="1">'Cash Flow'!O7/'Debt worksheet'!O5</f>
        <v>0.23926337205437803</v>
      </c>
      <c r="R7" s="17">
        <f ca="1">'Cash Flow'!P7/'Debt worksheet'!P5</f>
        <v>0.23926557490603184</v>
      </c>
      <c r="S7" s="17">
        <f ca="1">'Cash Flow'!Q7/'Debt worksheet'!Q5</f>
        <v>0.24006738791845517</v>
      </c>
      <c r="T7" s="17">
        <f ca="1">'Cash Flow'!R7/'Debt worksheet'!R5</f>
        <v>0.24173097154619855</v>
      </c>
      <c r="U7" s="17">
        <f ca="1">'Cash Flow'!S7/'Debt worksheet'!S5</f>
        <v>0.24030481172783116</v>
      </c>
      <c r="V7" s="17">
        <f ca="1">'Cash Flow'!T7/'Debt worksheet'!T5</f>
        <v>0.23877553642830002</v>
      </c>
      <c r="W7" s="17">
        <f ca="1">'Cash Flow'!U7/'Debt worksheet'!U5</f>
        <v>0.2372079545716452</v>
      </c>
      <c r="X7" s="17">
        <f ca="1">'Cash Flow'!V7/'Debt worksheet'!V5</f>
        <v>0.23566183644745028</v>
      </c>
      <c r="Y7" s="17">
        <f ca="1">'Cash Flow'!W7/'Debt worksheet'!W5</f>
        <v>0.23419178249651476</v>
      </c>
      <c r="Z7" s="17">
        <f ca="1">'Cash Flow'!X7/'Debt worksheet'!X5</f>
        <v>0.23284738161672366</v>
      </c>
      <c r="AA7" s="17">
        <f ca="1">'Cash Flow'!Y7/'Debt worksheet'!Y5</f>
        <v>0.2316735913560706</v>
      </c>
      <c r="AB7" s="17">
        <f ca="1">'Cash Flow'!Z7/'Debt worksheet'!Z5</f>
        <v>0.23071128030657945</v>
      </c>
      <c r="AC7" s="17">
        <f ca="1">'Cash Flow'!AA7/'Debt worksheet'!AA5</f>
        <v>0.2299978837237604</v>
      </c>
      <c r="AD7" s="17">
        <f ca="1">'Cash Flow'!AB7/'Debt worksheet'!AB5</f>
        <v>0.2295681351151978</v>
      </c>
      <c r="AE7" s="17">
        <f ca="1">'Cash Flow'!AC7/'Debt worksheet'!AC5</f>
        <v>0.22945484811760236</v>
      </c>
      <c r="AF7" s="17">
        <f ca="1">'Cash Flow'!AD7/'Debt worksheet'!AD5</f>
        <v>0.22968973378843896</v>
      </c>
      <c r="AG7" s="17">
        <f ca="1">'Cash Flow'!AE7/'Debt worksheet'!AE5</f>
        <v>0.230304248265287</v>
      </c>
      <c r="AH7" s="17">
        <f ca="1">'Cash Flow'!AF7/'Debt worksheet'!AF5</f>
        <v>0.23133047469054377</v>
      </c>
      <c r="AI7" s="29"/>
    </row>
    <row r="8" spans="1:35" ht="21" x14ac:dyDescent="0.5">
      <c r="A8" s="19" t="s">
        <v>33</v>
      </c>
      <c r="B8" s="26">
        <f ca="1">MAX('Price and Financial ratios'!E8:AH8)</f>
        <v>0.49655515726440375</v>
      </c>
      <c r="C8" s="26"/>
      <c r="D8" s="175"/>
      <c r="E8" s="17">
        <f>'Balance Sheet'!B11/'Balance Sheet'!B8</f>
        <v>0</v>
      </c>
      <c r="F8" s="17">
        <f ca="1">'Balance Sheet'!C11/'Balance Sheet'!C8</f>
        <v>0.22525424108094069</v>
      </c>
      <c r="G8" s="17">
        <f ca="1">'Balance Sheet'!D11/'Balance Sheet'!D8</f>
        <v>0.35402844454680304</v>
      </c>
      <c r="H8" s="17">
        <f ca="1">'Balance Sheet'!E11/'Balance Sheet'!E8</f>
        <v>0.4319919650920383</v>
      </c>
      <c r="I8" s="17">
        <f ca="1">'Balance Sheet'!F11/'Balance Sheet'!F8</f>
        <v>0.47675998801277275</v>
      </c>
      <c r="J8" s="17">
        <f ca="1">'Balance Sheet'!G11/'Balance Sheet'!G8</f>
        <v>0.49655515726440375</v>
      </c>
      <c r="K8" s="17">
        <f ca="1">'Balance Sheet'!H11/'Balance Sheet'!H8</f>
        <v>0.49526354986030419</v>
      </c>
      <c r="L8" s="17">
        <f ca="1">'Balance Sheet'!I11/'Balance Sheet'!I8</f>
        <v>0.48414699429449315</v>
      </c>
      <c r="M8" s="17">
        <f ca="1">'Balance Sheet'!J11/'Balance Sheet'!J8</f>
        <v>0.47020077153120909</v>
      </c>
      <c r="N8" s="17">
        <f ca="1">'Balance Sheet'!K11/'Balance Sheet'!K8</f>
        <v>0.45640359295152461</v>
      </c>
      <c r="O8" s="17">
        <f ca="1">'Balance Sheet'!L11/'Balance Sheet'!L8</f>
        <v>0.44381205727335188</v>
      </c>
      <c r="P8" s="17">
        <f ca="1">'Balance Sheet'!M11/'Balance Sheet'!M8</f>
        <v>0.43185202195055511</v>
      </c>
      <c r="Q8" s="17">
        <f ca="1">'Balance Sheet'!N11/'Balance Sheet'!N8</f>
        <v>0.42007778478714486</v>
      </c>
      <c r="R8" s="17">
        <f ca="1">'Balance Sheet'!O11/'Balance Sheet'!O8</f>
        <v>0.40965251713418777</v>
      </c>
      <c r="S8" s="17">
        <f ca="1">'Balance Sheet'!P11/'Balance Sheet'!P8</f>
        <v>0.40017469095908842</v>
      </c>
      <c r="T8" s="17">
        <f ca="1">'Balance Sheet'!Q11/'Balance Sheet'!Q8</f>
        <v>0.39131987770047177</v>
      </c>
      <c r="U8" s="17">
        <f ca="1">'Balance Sheet'!R11/'Balance Sheet'!R8</f>
        <v>0.38282006641403005</v>
      </c>
      <c r="V8" s="17">
        <f ca="1">'Balance Sheet'!S11/'Balance Sheet'!S8</f>
        <v>0.37588781712455488</v>
      </c>
      <c r="W8" s="17">
        <f ca="1">'Balance Sheet'!T11/'Balance Sheet'!T8</f>
        <v>0.37025182546057595</v>
      </c>
      <c r="X8" s="17">
        <f ca="1">'Balance Sheet'!U11/'Balance Sheet'!U8</f>
        <v>0.365685714478724</v>
      </c>
      <c r="Y8" s="17">
        <f ca="1">'Balance Sheet'!V11/'Balance Sheet'!V8</f>
        <v>0.36199815718400141</v>
      </c>
      <c r="Z8" s="17">
        <f ca="1">'Balance Sheet'!W11/'Balance Sheet'!W8</f>
        <v>0.3590254562076014</v>
      </c>
      <c r="AA8" s="17">
        <f ca="1">'Balance Sheet'!X11/'Balance Sheet'!X8</f>
        <v>0.35662589509681081</v>
      </c>
      <c r="AB8" s="17">
        <f ca="1">'Balance Sheet'!Y11/'Balance Sheet'!Y8</f>
        <v>0.35467538587245445</v>
      </c>
      <c r="AC8" s="17">
        <f ca="1">'Balance Sheet'!Z11/'Balance Sheet'!Z8</f>
        <v>0.35306407787833133</v>
      </c>
      <c r="AD8" s="17">
        <f ca="1">'Balance Sheet'!AA11/'Balance Sheet'!AA8</f>
        <v>0.35169368834342035</v>
      </c>
      <c r="AE8" s="17">
        <f ca="1">'Balance Sheet'!AB11/'Balance Sheet'!AB8</f>
        <v>0.35047538096066044</v>
      </c>
      <c r="AF8" s="17">
        <f ca="1">'Balance Sheet'!AC11/'Balance Sheet'!AC8</f>
        <v>0.34932806496388019</v>
      </c>
      <c r="AG8" s="17">
        <f ca="1">'Balance Sheet'!AD11/'Balance Sheet'!AD8</f>
        <v>0.34817701999491868</v>
      </c>
      <c r="AH8" s="17">
        <f ca="1">'Balance Sheet'!AE11/'Balance Sheet'!AE8</f>
        <v>0.3469527756615905</v>
      </c>
      <c r="AI8" s="29"/>
    </row>
    <row r="9" spans="1:35" ht="21.5" thickBot="1" x14ac:dyDescent="0.55000000000000004">
      <c r="A9" s="20" t="s">
        <v>32</v>
      </c>
      <c r="B9" s="21">
        <f ca="1">MIN('Price and Financial ratios'!E9:AH9)</f>
        <v>5.8699243167209669</v>
      </c>
      <c r="C9" s="21"/>
      <c r="D9" s="176"/>
      <c r="E9" s="21">
        <f ca="1">('Cash Flow'!C7+'Profit and Loss'!C8)/('Profit and Loss'!C8)</f>
        <v>10.455573514333416</v>
      </c>
      <c r="F9" s="21">
        <f ca="1">('Cash Flow'!D7+'Profit and Loss'!D8)/('Profit and Loss'!D8)</f>
        <v>6.9777932713886006</v>
      </c>
      <c r="G9" s="21">
        <f ca="1">('Cash Flow'!E7+'Profit and Loss'!E8)/('Profit and Loss'!E8)</f>
        <v>6.0169353954427383</v>
      </c>
      <c r="H9" s="21">
        <f ca="1">('Cash Flow'!F7+'Profit and Loss'!F8)/('Profit and Loss'!F8)</f>
        <v>5.8699243167209669</v>
      </c>
      <c r="I9" s="21">
        <f ca="1">('Cash Flow'!G7+'Profit and Loss'!G8)/('Profit and Loss'!G8)</f>
        <v>6.1607836592584651</v>
      </c>
      <c r="J9" s="21">
        <f ca="1">('Cash Flow'!H7+'Profit and Loss'!H8)/('Profit and Loss'!H8)</f>
        <v>6.8222755785702311</v>
      </c>
      <c r="K9" s="21">
        <f ca="1">('Cash Flow'!I7+'Profit and Loss'!I8)/('Profit and Loss'!I8)</f>
        <v>7.212912548181702</v>
      </c>
      <c r="L9" s="21">
        <f ca="1">('Cash Flow'!J7+'Profit and Loss'!J8)/('Profit and Loss'!J8)</f>
        <v>7.3651116031770725</v>
      </c>
      <c r="M9" s="21">
        <f ca="1">('Cash Flow'!K7+'Profit and Loss'!K8)/('Profit and Loss'!K8)</f>
        <v>7.3974399792774825</v>
      </c>
      <c r="N9" s="21">
        <f ca="1">('Cash Flow'!L7+'Profit and Loss'!L8)/('Profit and Loss'!L8)</f>
        <v>7.3766844794351174</v>
      </c>
      <c r="O9" s="21">
        <f ca="1">('Cash Flow'!M7+'Profit and Loss'!M8)/('Profit and Loss'!M8)</f>
        <v>7.4020349731213493</v>
      </c>
      <c r="P9" s="21">
        <f ca="1">('Cash Flow'!N7+'Profit and Loss'!N8)/('Profit and Loss'!N8)</f>
        <v>7.4746325612110036</v>
      </c>
      <c r="Q9" s="21">
        <f ca="1">('Cash Flow'!O7+'Profit and Loss'!O8)/('Profit and Loss'!O8)</f>
        <v>7.4663626767878171</v>
      </c>
      <c r="R9" s="21">
        <f ca="1">('Cash Flow'!P7+'Profit and Loss'!P8)/('Profit and Loss'!P8)</f>
        <v>7.4798206364832538</v>
      </c>
      <c r="S9" s="21">
        <f ca="1">('Cash Flow'!Q7+'Profit and Loss'!Q8)/('Profit and Loss'!Q8)</f>
        <v>7.5166358493128174</v>
      </c>
      <c r="T9" s="21">
        <f ca="1">('Cash Flow'!R7+'Profit and Loss'!R8)/('Profit and Loss'!R8)</f>
        <v>7.5786626924487255</v>
      </c>
      <c r="U9" s="21">
        <f ca="1">('Cash Flow'!S7+'Profit and Loss'!S8)/('Profit and Loss'!S8)</f>
        <v>7.5332133246275195</v>
      </c>
      <c r="V9" s="21">
        <f ca="1">('Cash Flow'!T7+'Profit and Loss'!T8)/('Profit and Loss'!T8)</f>
        <v>7.4866835529894402</v>
      </c>
      <c r="W9" s="21">
        <f ca="1">('Cash Flow'!U7+'Profit and Loss'!U8)/('Profit and Loss'!U8)</f>
        <v>7.4407202582733101</v>
      </c>
      <c r="X9" s="21">
        <f ca="1">('Cash Flow'!V7+'Profit and Loss'!V8)/('Profit and Loss'!V8)</f>
        <v>7.3968253568145332</v>
      </c>
      <c r="Y9" s="21">
        <f ca="1">('Cash Flow'!W7+'Profit and Loss'!W8)/('Profit and Loss'!W8)</f>
        <v>7.3563603327653793</v>
      </c>
      <c r="Z9" s="21">
        <f ca="1">('Cash Flow'!X7+'Profit and Loss'!X8)/('Profit and Loss'!X8)</f>
        <v>7.320556872815394</v>
      </c>
      <c r="AA9" s="21">
        <f ca="1">('Cash Flow'!Y7+'Profit and Loss'!Y8)/('Profit and Loss'!Y8)</f>
        <v>7.2905319439337193</v>
      </c>
      <c r="AB9" s="21">
        <f ca="1">('Cash Flow'!Z7+'Profit and Loss'!Z8)/('Profit and Loss'!Z8)</f>
        <v>7.267305953409406</v>
      </c>
      <c r="AC9" s="21">
        <f ca="1">('Cash Flow'!AA7+'Profit and Loss'!AA8)/('Profit and Loss'!AA8)</f>
        <v>7.2518229561077634</v>
      </c>
      <c r="AD9" s="21">
        <f ca="1">('Cash Flow'!AB7+'Profit and Loss'!AB8)/('Profit and Loss'!AB8)</f>
        <v>7.2449721945741565</v>
      </c>
      <c r="AE9" s="21">
        <f ca="1">('Cash Flow'!AC7+'Profit and Loss'!AC8)/('Profit and Loss'!AC8)</f>
        <v>7.2476105561516722</v>
      </c>
      <c r="AF9" s="21">
        <f ca="1">('Cash Flow'!AD7+'Profit and Loss'!AD8)/('Profit and Loss'!AD8)</f>
        <v>7.2605858018501372</v>
      </c>
      <c r="AG9" s="21">
        <f ca="1">('Cash Flow'!AE7+'Profit and Loss'!AE8)/('Profit and Loss'!AE8)</f>
        <v>7.2847606670000502</v>
      </c>
      <c r="AH9" s="21">
        <f ca="1">('Cash Flow'!AF7+'Profit and Loss'!AF8)/('Profit and Loss'!AF8)</f>
        <v>7.3210381625658627</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3"/>
  </cols>
  <sheetData>
    <row r="1" spans="1:1" x14ac:dyDescent="0.35">
      <c r="A1" s="174"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1433918.264790453</v>
      </c>
      <c r="D5" s="1">
        <f>Assumptions!E111</f>
        <v>1433918.264790453</v>
      </c>
      <c r="E5" s="1">
        <f>Assumptions!F111</f>
        <v>1433918.264790453</v>
      </c>
      <c r="F5" s="1">
        <f>Assumptions!G111</f>
        <v>1433918.264790453</v>
      </c>
      <c r="G5" s="1">
        <f>Assumptions!H111</f>
        <v>1433918.264790453</v>
      </c>
      <c r="H5" s="1">
        <f>Assumptions!I111</f>
        <v>1433918.264790453</v>
      </c>
      <c r="I5" s="1">
        <f>Assumptions!J111</f>
        <v>1433918.264790453</v>
      </c>
      <c r="J5" s="1">
        <f>Assumptions!K111</f>
        <v>1433918.264790453</v>
      </c>
      <c r="K5" s="1">
        <f>Assumptions!L111</f>
        <v>1433918.264790453</v>
      </c>
      <c r="L5" s="1">
        <f>Assumptions!M111</f>
        <v>1433918.264790453</v>
      </c>
      <c r="M5" s="1">
        <f>Assumptions!N111</f>
        <v>1433918.264790453</v>
      </c>
      <c r="N5" s="1">
        <f>Assumptions!O111</f>
        <v>1433918.264790453</v>
      </c>
      <c r="O5" s="1">
        <f>Assumptions!P111</f>
        <v>1433918.264790453</v>
      </c>
      <c r="P5" s="1">
        <f>Assumptions!Q111</f>
        <v>1433918.264790453</v>
      </c>
      <c r="Q5" s="1">
        <f>Assumptions!R111</f>
        <v>1433918.264790453</v>
      </c>
      <c r="R5" s="1">
        <f>Assumptions!S111</f>
        <v>1433918.264790453</v>
      </c>
      <c r="S5" s="1">
        <f>Assumptions!T111</f>
        <v>1433918.264790453</v>
      </c>
      <c r="T5" s="1">
        <f>Assumptions!U111</f>
        <v>1433918.264790453</v>
      </c>
      <c r="U5" s="1">
        <f>Assumptions!V111</f>
        <v>1433918.264790453</v>
      </c>
      <c r="V5" s="1">
        <f>Assumptions!W111</f>
        <v>1433918.264790453</v>
      </c>
      <c r="W5" s="1">
        <f>Assumptions!X111</f>
        <v>1433918.264790453</v>
      </c>
      <c r="X5" s="1">
        <f>Assumptions!Y111</f>
        <v>1433918.264790453</v>
      </c>
      <c r="Y5" s="1">
        <f>Assumptions!Z111</f>
        <v>1433918.264790453</v>
      </c>
      <c r="Z5" s="1">
        <f>Assumptions!AA111</f>
        <v>1433918.264790453</v>
      </c>
      <c r="AA5" s="1">
        <f>Assumptions!AB111</f>
        <v>1433918.264790453</v>
      </c>
      <c r="AB5" s="1">
        <f>Assumptions!AC111</f>
        <v>1433918.264790453</v>
      </c>
      <c r="AC5" s="1">
        <f>Assumptions!AD111</f>
        <v>1433918.264790453</v>
      </c>
      <c r="AD5" s="1">
        <f>Assumptions!AE111</f>
        <v>1433918.264790453</v>
      </c>
      <c r="AE5" s="1">
        <f>Assumptions!AF111</f>
        <v>1433918.264790453</v>
      </c>
      <c r="AF5" s="1">
        <f>Assumptions!AG111</f>
        <v>1433918.264790453</v>
      </c>
    </row>
    <row r="6" spans="1:32" x14ac:dyDescent="0.35">
      <c r="A6" t="s">
        <v>68</v>
      </c>
      <c r="C6" s="1">
        <f>Assumptions!D113</f>
        <v>12775000</v>
      </c>
      <c r="D6" s="1">
        <f>Assumptions!E113</f>
        <v>12775000</v>
      </c>
      <c r="E6" s="1">
        <f>Assumptions!F113</f>
        <v>12775000</v>
      </c>
      <c r="F6" s="1">
        <f>Assumptions!G113</f>
        <v>12775000</v>
      </c>
      <c r="G6" s="1">
        <f>Assumptions!H113</f>
        <v>12775000</v>
      </c>
      <c r="H6" s="1">
        <f>Assumptions!I113</f>
        <v>12775000</v>
      </c>
      <c r="I6" s="1">
        <f>Assumptions!J113</f>
        <v>12775000</v>
      </c>
      <c r="J6" s="1">
        <f>Assumptions!K113</f>
        <v>12775000</v>
      </c>
      <c r="K6" s="1">
        <f>Assumptions!L113</f>
        <v>12775000</v>
      </c>
      <c r="L6" s="1">
        <f>Assumptions!M113</f>
        <v>12775000</v>
      </c>
      <c r="M6" s="1">
        <f>Assumptions!N113</f>
        <v>12775000</v>
      </c>
      <c r="N6" s="1">
        <f>Assumptions!O113</f>
        <v>12775000</v>
      </c>
      <c r="O6" s="1">
        <f>Assumptions!P113</f>
        <v>12775000</v>
      </c>
      <c r="P6" s="1">
        <f>Assumptions!Q113</f>
        <v>12775000</v>
      </c>
      <c r="Q6" s="1">
        <f>Assumptions!R113</f>
        <v>12775000</v>
      </c>
      <c r="R6" s="1">
        <f>Assumptions!S113</f>
        <v>12775000</v>
      </c>
      <c r="S6" s="1">
        <f>Assumptions!T113</f>
        <v>12775000</v>
      </c>
      <c r="T6" s="1">
        <f>Assumptions!U113</f>
        <v>12775000</v>
      </c>
      <c r="U6" s="1">
        <f>Assumptions!V113</f>
        <v>12775000</v>
      </c>
      <c r="V6" s="1">
        <f>Assumptions!W113</f>
        <v>12775000</v>
      </c>
      <c r="W6" s="1">
        <f>Assumptions!X113</f>
        <v>12775000</v>
      </c>
      <c r="X6" s="1">
        <f>Assumptions!Y113</f>
        <v>12775000</v>
      </c>
      <c r="Y6" s="1">
        <f>Assumptions!Z113</f>
        <v>12775000</v>
      </c>
      <c r="Z6" s="1">
        <f>Assumptions!AA113</f>
        <v>12775000</v>
      </c>
      <c r="AA6" s="1">
        <f>Assumptions!AB113</f>
        <v>12775000</v>
      </c>
      <c r="AB6" s="1">
        <f>Assumptions!AC113</f>
        <v>12775000</v>
      </c>
      <c r="AC6" s="1">
        <f>Assumptions!AD113</f>
        <v>12775000</v>
      </c>
      <c r="AD6" s="1">
        <f>Assumptions!AE113</f>
        <v>12775000</v>
      </c>
      <c r="AE6" s="1">
        <f>Assumptions!AF113</f>
        <v>12775000</v>
      </c>
      <c r="AF6" s="1">
        <f>Assumptions!AG113</f>
        <v>12775000</v>
      </c>
    </row>
    <row r="7" spans="1:32" x14ac:dyDescent="0.35">
      <c r="A7" t="s">
        <v>73</v>
      </c>
      <c r="C7" s="1">
        <f>Assumptions!D120</f>
        <v>306600</v>
      </c>
      <c r="D7" s="1">
        <f>Assumptions!E120</f>
        <v>613200</v>
      </c>
      <c r="E7" s="1">
        <f>Assumptions!F120</f>
        <v>919800</v>
      </c>
      <c r="F7" s="1">
        <f>Assumptions!G120</f>
        <v>1226400</v>
      </c>
      <c r="G7" s="1">
        <f>Assumptions!H120</f>
        <v>1533000</v>
      </c>
      <c r="H7" s="1">
        <f>Assumptions!I120</f>
        <v>1839600</v>
      </c>
      <c r="I7" s="1">
        <f>Assumptions!J120</f>
        <v>2146200</v>
      </c>
      <c r="J7" s="1">
        <f>Assumptions!K120</f>
        <v>2452800</v>
      </c>
      <c r="K7" s="1">
        <f>Assumptions!L120</f>
        <v>2759400</v>
      </c>
      <c r="L7" s="1">
        <f>Assumptions!M120</f>
        <v>3066000</v>
      </c>
      <c r="M7" s="1">
        <f>Assumptions!N120</f>
        <v>3372600</v>
      </c>
      <c r="N7" s="1">
        <f>Assumptions!O120</f>
        <v>3679200</v>
      </c>
      <c r="O7" s="1">
        <f>Assumptions!P120</f>
        <v>3985800</v>
      </c>
      <c r="P7" s="1">
        <f>Assumptions!Q120</f>
        <v>4292400</v>
      </c>
      <c r="Q7" s="1">
        <f>Assumptions!R120</f>
        <v>4599000</v>
      </c>
      <c r="R7" s="1">
        <f>Assumptions!S120</f>
        <v>4905600</v>
      </c>
      <c r="S7" s="1">
        <f>Assumptions!T120</f>
        <v>5212200</v>
      </c>
      <c r="T7" s="1">
        <f>Assumptions!U120</f>
        <v>5518800</v>
      </c>
      <c r="U7" s="1">
        <f>Assumptions!V120</f>
        <v>5825400</v>
      </c>
      <c r="V7" s="1">
        <f>Assumptions!W120</f>
        <v>6132000</v>
      </c>
      <c r="W7" s="1">
        <f>Assumptions!X120</f>
        <v>6438600</v>
      </c>
      <c r="X7" s="1">
        <f>Assumptions!Y120</f>
        <v>6745200</v>
      </c>
      <c r="Y7" s="1">
        <f>Assumptions!Z120</f>
        <v>7051800</v>
      </c>
      <c r="Z7" s="1">
        <f>Assumptions!AA120</f>
        <v>7358400</v>
      </c>
      <c r="AA7" s="1">
        <f>Assumptions!AB120</f>
        <v>7665000</v>
      </c>
      <c r="AB7" s="1">
        <f>Assumptions!AC120</f>
        <v>7971600</v>
      </c>
      <c r="AC7" s="1">
        <f>Assumptions!AD120</f>
        <v>8278200</v>
      </c>
      <c r="AD7" s="1">
        <f>Assumptions!AE120</f>
        <v>8584800</v>
      </c>
      <c r="AE7" s="1">
        <f>Assumptions!AF120</f>
        <v>8891400</v>
      </c>
      <c r="AF7" s="1">
        <f>Assumptions!AG120</f>
        <v>9198000</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1479803.6492637475</v>
      </c>
      <c r="D11" s="1">
        <f>D5*D$9</f>
        <v>1527157.3660401874</v>
      </c>
      <c r="E11" s="1">
        <f t="shared" ref="D11:AF13" si="1">E5*E$9</f>
        <v>1576026.4017534733</v>
      </c>
      <c r="F11" s="1">
        <f t="shared" si="1"/>
        <v>1626459.2466095844</v>
      </c>
      <c r="G11" s="1">
        <f t="shared" si="1"/>
        <v>1678505.9425010914</v>
      </c>
      <c r="H11" s="1">
        <f t="shared" si="1"/>
        <v>1732218.1326611261</v>
      </c>
      <c r="I11" s="1">
        <f t="shared" si="1"/>
        <v>1787649.1129062818</v>
      </c>
      <c r="J11" s="1">
        <f t="shared" si="1"/>
        <v>1844853.8845192832</v>
      </c>
      <c r="K11" s="1">
        <f t="shared" si="1"/>
        <v>1903889.2088239004</v>
      </c>
      <c r="L11" s="1">
        <f t="shared" si="1"/>
        <v>1964813.663506265</v>
      </c>
      <c r="M11" s="1">
        <f t="shared" si="1"/>
        <v>2027687.7007384654</v>
      </c>
      <c r="N11" s="1">
        <f t="shared" si="1"/>
        <v>2092573.7071620964</v>
      </c>
      <c r="O11" s="1">
        <f t="shared" si="1"/>
        <v>2159536.0657912837</v>
      </c>
      <c r="P11" s="1">
        <f t="shared" si="1"/>
        <v>2228641.2198966043</v>
      </c>
      <c r="Q11" s="1">
        <f t="shared" si="1"/>
        <v>2299957.738933295</v>
      </c>
      <c r="R11" s="1">
        <f t="shared" si="1"/>
        <v>2373556.386579161</v>
      </c>
      <c r="S11" s="1">
        <f t="shared" si="1"/>
        <v>2449510.1909496947</v>
      </c>
      <c r="T11" s="1">
        <f t="shared" si="1"/>
        <v>2527894.5170600843</v>
      </c>
      <c r="U11" s="1">
        <f t="shared" si="1"/>
        <v>2608787.1416060068</v>
      </c>
      <c r="V11" s="1">
        <f t="shared" si="1"/>
        <v>2692268.3301373995</v>
      </c>
      <c r="W11" s="1">
        <f t="shared" si="1"/>
        <v>2778420.9167017965</v>
      </c>
      <c r="X11" s="1">
        <f t="shared" si="1"/>
        <v>2867330.3860362535</v>
      </c>
      <c r="Y11" s="1">
        <f t="shared" si="1"/>
        <v>2959084.9583894131</v>
      </c>
      <c r="Z11" s="1">
        <f t="shared" si="1"/>
        <v>3053775.6770578749</v>
      </c>
      <c r="AA11" s="1">
        <f t="shared" si="1"/>
        <v>3151496.4987237277</v>
      </c>
      <c r="AB11" s="1">
        <f t="shared" si="1"/>
        <v>3252344.3866828862</v>
      </c>
      <c r="AC11" s="1">
        <f t="shared" si="1"/>
        <v>3356419.4070567382</v>
      </c>
      <c r="AD11" s="1">
        <f t="shared" si="1"/>
        <v>3463824.8280825545</v>
      </c>
      <c r="AE11" s="1">
        <f t="shared" si="1"/>
        <v>3574667.2225811961</v>
      </c>
      <c r="AF11" s="1">
        <f t="shared" si="1"/>
        <v>3689056.5737037938</v>
      </c>
    </row>
    <row r="12" spans="1:32" x14ac:dyDescent="0.35">
      <c r="A12" t="s">
        <v>71</v>
      </c>
      <c r="C12" s="1">
        <f t="shared" ref="C12:R12" si="2">C6*C$9</f>
        <v>13183800</v>
      </c>
      <c r="D12" s="1">
        <f t="shared" si="2"/>
        <v>13605681.6</v>
      </c>
      <c r="E12" s="1">
        <f t="shared" si="2"/>
        <v>14041063.411199998</v>
      </c>
      <c r="F12" s="1">
        <f t="shared" si="2"/>
        <v>14490377.440358398</v>
      </c>
      <c r="G12" s="1">
        <f t="shared" si="2"/>
        <v>14954069.518449869</v>
      </c>
      <c r="H12" s="1">
        <f t="shared" si="2"/>
        <v>15432599.743040264</v>
      </c>
      <c r="I12" s="1">
        <f t="shared" si="2"/>
        <v>15926442.934817549</v>
      </c>
      <c r="J12" s="1">
        <f t="shared" si="2"/>
        <v>16436089.108731713</v>
      </c>
      <c r="K12" s="1">
        <f t="shared" si="2"/>
        <v>16962043.960211128</v>
      </c>
      <c r="L12" s="1">
        <f t="shared" si="2"/>
        <v>17504829.366937883</v>
      </c>
      <c r="M12" s="1">
        <f t="shared" si="2"/>
        <v>18064983.906679895</v>
      </c>
      <c r="N12" s="1">
        <f t="shared" si="2"/>
        <v>18643063.391693652</v>
      </c>
      <c r="O12" s="1">
        <f t="shared" si="2"/>
        <v>19239641.420227852</v>
      </c>
      <c r="P12" s="1">
        <f t="shared" si="2"/>
        <v>19855309.945675138</v>
      </c>
      <c r="Q12" s="1">
        <f t="shared" si="2"/>
        <v>20490679.863936741</v>
      </c>
      <c r="R12" s="1">
        <f t="shared" si="2"/>
        <v>21146381.61958272</v>
      </c>
      <c r="S12" s="1">
        <f t="shared" si="1"/>
        <v>21823065.831409369</v>
      </c>
      <c r="T12" s="1">
        <f t="shared" si="1"/>
        <v>22521403.938014466</v>
      </c>
      <c r="U12" s="1">
        <f t="shared" si="1"/>
        <v>23242088.864030927</v>
      </c>
      <c r="V12" s="1">
        <f t="shared" si="1"/>
        <v>23985835.70767992</v>
      </c>
      <c r="W12" s="1">
        <f t="shared" si="1"/>
        <v>24753382.450325679</v>
      </c>
      <c r="X12" s="1">
        <f t="shared" si="1"/>
        <v>25545490.6887361</v>
      </c>
      <c r="Y12" s="1">
        <f t="shared" si="1"/>
        <v>26362946.390775651</v>
      </c>
      <c r="Z12" s="1">
        <f t="shared" si="1"/>
        <v>27206560.67528047</v>
      </c>
      <c r="AA12" s="1">
        <f t="shared" si="1"/>
        <v>28077170.616889454</v>
      </c>
      <c r="AB12" s="1">
        <f t="shared" si="1"/>
        <v>28975640.076629911</v>
      </c>
      <c r="AC12" s="1">
        <f t="shared" si="1"/>
        <v>29902860.559082065</v>
      </c>
      <c r="AD12" s="1">
        <f t="shared" si="1"/>
        <v>30859752.096972696</v>
      </c>
      <c r="AE12" s="1">
        <f t="shared" si="1"/>
        <v>31847264.164075822</v>
      </c>
      <c r="AF12" s="1">
        <f t="shared" si="1"/>
        <v>32866376.617326241</v>
      </c>
    </row>
    <row r="13" spans="1:32" x14ac:dyDescent="0.35">
      <c r="A13" t="s">
        <v>74</v>
      </c>
      <c r="C13" s="1">
        <f>C7*C$9</f>
        <v>316411.2</v>
      </c>
      <c r="D13" s="1">
        <f t="shared" si="1"/>
        <v>653072.71679999994</v>
      </c>
      <c r="E13" s="1">
        <f t="shared" si="1"/>
        <v>1010956.5656063999</v>
      </c>
      <c r="F13" s="1">
        <f t="shared" si="1"/>
        <v>1391076.2342744062</v>
      </c>
      <c r="G13" s="1">
        <f t="shared" si="1"/>
        <v>1794488.3422139843</v>
      </c>
      <c r="H13" s="1">
        <f t="shared" si="1"/>
        <v>2222294.3629977978</v>
      </c>
      <c r="I13" s="1">
        <f t="shared" si="1"/>
        <v>2675642.4130493482</v>
      </c>
      <c r="J13" s="1">
        <f t="shared" si="1"/>
        <v>3155729.1088764891</v>
      </c>
      <c r="K13" s="1">
        <f t="shared" si="1"/>
        <v>3663801.4954056041</v>
      </c>
      <c r="L13" s="1">
        <f t="shared" si="1"/>
        <v>4201159.0480650924</v>
      </c>
      <c r="M13" s="1">
        <f t="shared" si="1"/>
        <v>4769155.7513634926</v>
      </c>
      <c r="N13" s="1">
        <f t="shared" si="1"/>
        <v>5369202.2568077724</v>
      </c>
      <c r="O13" s="1">
        <f t="shared" si="1"/>
        <v>6002768.1231110897</v>
      </c>
      <c r="P13" s="1">
        <f t="shared" si="1"/>
        <v>6671384.141746847</v>
      </c>
      <c r="Q13" s="1">
        <f t="shared" si="1"/>
        <v>7376644.7510172268</v>
      </c>
      <c r="R13" s="1">
        <f t="shared" si="1"/>
        <v>8120210.5419197651</v>
      </c>
      <c r="S13" s="1">
        <f t="shared" si="1"/>
        <v>8903810.859215023</v>
      </c>
      <c r="T13" s="1">
        <f t="shared" si="1"/>
        <v>9729246.5012222491</v>
      </c>
      <c r="U13" s="1">
        <f t="shared" si="1"/>
        <v>10598392.521998102</v>
      </c>
      <c r="V13" s="1">
        <f t="shared" si="1"/>
        <v>11513201.139686361</v>
      </c>
      <c r="W13" s="1">
        <f t="shared" si="1"/>
        <v>12475704.754964143</v>
      </c>
      <c r="X13" s="1">
        <f t="shared" si="1"/>
        <v>13488019.08365266</v>
      </c>
      <c r="Y13" s="1">
        <f t="shared" si="1"/>
        <v>14552346.407708159</v>
      </c>
      <c r="Z13" s="1">
        <f t="shared" si="1"/>
        <v>15670978.948961552</v>
      </c>
      <c r="AA13" s="1">
        <f t="shared" si="1"/>
        <v>16846302.370133672</v>
      </c>
      <c r="AB13" s="1">
        <f t="shared" si="1"/>
        <v>18080799.407817066</v>
      </c>
      <c r="AC13" s="1">
        <f t="shared" si="1"/>
        <v>19377053.642285179</v>
      </c>
      <c r="AD13" s="1">
        <f t="shared" si="1"/>
        <v>20737753.409165651</v>
      </c>
      <c r="AE13" s="1">
        <f t="shared" si="1"/>
        <v>22165695.858196773</v>
      </c>
      <c r="AF13" s="1">
        <f t="shared" si="1"/>
        <v>23663791.164474893</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14980014.849263746</v>
      </c>
      <c r="D25" s="40">
        <f>SUM(D11:D13,D18:D23)</f>
        <v>15785911.682840187</v>
      </c>
      <c r="E25" s="40">
        <f t="shared" ref="E25:AF25" si="7">SUM(E11:E13,E18:E23)</f>
        <v>16628046.378559873</v>
      </c>
      <c r="F25" s="40">
        <f t="shared" si="7"/>
        <v>17507912.92124239</v>
      </c>
      <c r="G25" s="40">
        <f t="shared" si="7"/>
        <v>18427063.803164944</v>
      </c>
      <c r="H25" s="40">
        <f t="shared" si="7"/>
        <v>19387112.238699187</v>
      </c>
      <c r="I25" s="40">
        <f t="shared" si="7"/>
        <v>20389734.460773177</v>
      </c>
      <c r="J25" s="40">
        <f t="shared" si="7"/>
        <v>21436672.102127485</v>
      </c>
      <c r="K25" s="40">
        <f t="shared" si="7"/>
        <v>22529734.664440632</v>
      </c>
      <c r="L25" s="40">
        <f t="shared" si="7"/>
        <v>23670802.078509241</v>
      </c>
      <c r="M25" s="40">
        <f t="shared" si="7"/>
        <v>24861827.358781852</v>
      </c>
      <c r="N25" s="40">
        <f t="shared" si="7"/>
        <v>26104839.355663523</v>
      </c>
      <c r="O25" s="40">
        <f t="shared" si="7"/>
        <v>27401945.609130226</v>
      </c>
      <c r="P25" s="40">
        <f t="shared" si="7"/>
        <v>28755335.307318591</v>
      </c>
      <c r="Q25" s="40">
        <f t="shared" si="7"/>
        <v>30167282.353887264</v>
      </c>
      <c r="R25" s="40">
        <f t="shared" si="7"/>
        <v>31640148.548081644</v>
      </c>
      <c r="S25" s="40">
        <f t="shared" si="7"/>
        <v>33176386.881574087</v>
      </c>
      <c r="T25" s="40">
        <f t="shared" si="7"/>
        <v>34778544.956296802</v>
      </c>
      <c r="U25" s="40">
        <f t="shared" si="7"/>
        <v>36449268.527635038</v>
      </c>
      <c r="V25" s="40">
        <f t="shared" si="7"/>
        <v>38191305.177503675</v>
      </c>
      <c r="W25" s="40">
        <f t="shared" si="7"/>
        <v>40007508.121991619</v>
      </c>
      <c r="X25" s="40">
        <f t="shared" si="7"/>
        <v>41900840.158425018</v>
      </c>
      <c r="Y25" s="40">
        <f t="shared" si="7"/>
        <v>43874377.75687322</v>
      </c>
      <c r="Z25" s="40">
        <f t="shared" si="7"/>
        <v>45931315.3012999</v>
      </c>
      <c r="AA25" s="40">
        <f t="shared" si="7"/>
        <v>48074969.485746853</v>
      </c>
      <c r="AB25" s="40">
        <f t="shared" si="7"/>
        <v>50308783.871129863</v>
      </c>
      <c r="AC25" s="40">
        <f t="shared" si="7"/>
        <v>52636333.608423978</v>
      </c>
      <c r="AD25" s="40">
        <f t="shared" si="7"/>
        <v>55061330.334220901</v>
      </c>
      <c r="AE25" s="40">
        <f t="shared" si="7"/>
        <v>57587627.244853787</v>
      </c>
      <c r="AF25" s="40">
        <f t="shared" si="7"/>
        <v>60219224.35550493</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8345000</v>
      </c>
      <c r="D5" s="59">
        <f>C5*('Price and Financial ratios'!F4+1)*(1+Assumptions!$C$13)</f>
        <v>10180900</v>
      </c>
      <c r="E5" s="59">
        <f>D5*('Price and Financial ratios'!G4+1)*(1+Assumptions!$C$13)</f>
        <v>12217080</v>
      </c>
      <c r="F5" s="59">
        <f>E5*('Price and Financial ratios'!H4+1)*(1+Assumptions!$C$13)</f>
        <v>14660496</v>
      </c>
      <c r="G5" s="59">
        <f>F5*('Price and Financial ratios'!I4+1)*(1+Assumptions!$C$13)</f>
        <v>17592595.199999999</v>
      </c>
      <c r="H5" s="59">
        <f>G5*('Price and Financial ratios'!J4+1)*(1+Assumptions!$C$13)</f>
        <v>21111114.239999998</v>
      </c>
      <c r="I5" s="59">
        <f>H5*('Price and Financial ratios'!K4+1)*(1+Assumptions!$C$13)</f>
        <v>24066670.233600002</v>
      </c>
      <c r="J5" s="59">
        <f>I5*('Price and Financial ratios'!L4+1)*(1+Assumptions!$C$13)</f>
        <v>26473337.256960005</v>
      </c>
      <c r="K5" s="59">
        <f>J5*('Price and Financial ratios'!M4+1)*(1+Assumptions!$C$13)</f>
        <v>28591204.237516806</v>
      </c>
      <c r="L5" s="59">
        <f>K5*('Price and Financial ratios'!N4+1)*(1+Assumptions!$C$13)</f>
        <v>30592588.534142982</v>
      </c>
      <c r="M5" s="59">
        <f>L5*('Price and Financial ratios'!O4+1)*(1+Assumptions!$C$13)</f>
        <v>32734069.731532995</v>
      </c>
      <c r="N5" s="59">
        <f>M5*('Price and Financial ratios'!P4+1)*(1+Assumptions!$C$13)</f>
        <v>35025454.612740308</v>
      </c>
      <c r="O5" s="59">
        <f>N5*('Price and Financial ratios'!Q4+1)*(1+Assumptions!$C$13)</f>
        <v>37126981.889504731</v>
      </c>
      <c r="P5" s="59">
        <f>O5*('Price and Financial ratios'!R4+1)*(1+Assumptions!$C$13)</f>
        <v>39354600.80287502</v>
      </c>
      <c r="Q5" s="59">
        <f>P5*('Price and Financial ratios'!S4+1)*(1+Assumptions!$C$13)</f>
        <v>41715876.851047523</v>
      </c>
      <c r="R5" s="59">
        <f>Q5*('Price and Financial ratios'!T4+1)*(1+Assumptions!$C$13)</f>
        <v>44218829.462110378</v>
      </c>
      <c r="S5" s="59">
        <f>R5*('Price and Financial ratios'!U4+1)*(1+Assumptions!$C$13)</f>
        <v>46429770.935215898</v>
      </c>
      <c r="T5" s="59">
        <f>S5*('Price and Financial ratios'!V4+1)*(1+Assumptions!$C$13)</f>
        <v>48751259.481976695</v>
      </c>
      <c r="U5" s="59">
        <f>T5*('Price and Financial ratios'!W4+1)*(1+Assumptions!$C$13)</f>
        <v>51188822.456075534</v>
      </c>
      <c r="V5" s="59">
        <f>U5*('Price and Financial ratios'!X4+1)*(1+Assumptions!$C$13)</f>
        <v>53748263.578879312</v>
      </c>
      <c r="W5" s="59">
        <f>V5*('Price and Financial ratios'!Y4+1)*(1+Assumptions!$C$13)</f>
        <v>56435676.757823281</v>
      </c>
      <c r="X5" s="59">
        <f>W5*('Price and Financial ratios'!Z4+1)*(1+Assumptions!$C$13)</f>
        <v>59257460.59571445</v>
      </c>
      <c r="Y5" s="59">
        <f>X5*('Price and Financial ratios'!AA4+1)*(1+Assumptions!$C$13)</f>
        <v>62220333.625500172</v>
      </c>
      <c r="Z5" s="59">
        <f>Y5*('Price and Financial ratios'!AB4+1)*(1+Assumptions!$C$13)</f>
        <v>65331350.306775182</v>
      </c>
      <c r="AA5" s="59">
        <f>Z5*('Price and Financial ratios'!AC4+1)*(1+Assumptions!$C$13)</f>
        <v>68597917.822113946</v>
      </c>
      <c r="AB5" s="59">
        <f>AA5*('Price and Financial ratios'!AD4+1)*(1+Assumptions!$C$13)</f>
        <v>72027813.713219643</v>
      </c>
      <c r="AC5" s="59">
        <f>AB5*('Price and Financial ratios'!AE4+1)*(1+Assumptions!$C$13)</f>
        <v>75629204.398880631</v>
      </c>
      <c r="AD5" s="59">
        <f>AC5*('Price and Financial ratios'!AF4+1)*(1+Assumptions!$C$13)</f>
        <v>79410664.618824661</v>
      </c>
      <c r="AE5" s="59">
        <f>AD5*('Price and Financial ratios'!AG4+1)*(1+Assumptions!$C$13)</f>
        <v>83381197.849765897</v>
      </c>
      <c r="AF5" s="59">
        <f>AE5*('Price and Financial ratios'!AH4+1)*(1+Assumptions!$C$13)</f>
        <v>87550257.742254198</v>
      </c>
    </row>
    <row r="6" spans="1:32" s="11" customFormat="1" x14ac:dyDescent="0.35">
      <c r="A6" s="11" t="s">
        <v>20</v>
      </c>
      <c r="C6" s="59">
        <f>C27</f>
        <v>4226225.5</v>
      </c>
      <c r="D6" s="59">
        <f t="shared" ref="D6:AF6" si="1">D27</f>
        <v>4719500.9539999999</v>
      </c>
      <c r="E6" s="59">
        <f>E27</f>
        <v>5232435.0348339994</v>
      </c>
      <c r="F6" s="59">
        <f t="shared" si="1"/>
        <v>5765653.9767629597</v>
      </c>
      <c r="G6" s="59">
        <f t="shared" si="1"/>
        <v>6319802.0535799349</v>
      </c>
      <c r="H6" s="59">
        <f t="shared" si="1"/>
        <v>6895542.0692521017</v>
      </c>
      <c r="I6" s="59">
        <f t="shared" si="1"/>
        <v>7493555.8614199143</v>
      </c>
      <c r="J6" s="59">
        <f t="shared" si="1"/>
        <v>8114544.8180815913</v>
      </c>
      <c r="K6" s="59">
        <f t="shared" si="1"/>
        <v>8759230.4077994525</v>
      </c>
      <c r="L6" s="59">
        <f t="shared" si="1"/>
        <v>9428354.7237729505</v>
      </c>
      <c r="M6" s="59">
        <f t="shared" si="1"/>
        <v>10122681.042131908</v>
      </c>
      <c r="N6" s="59">
        <f t="shared" si="1"/>
        <v>10842994.394812353</v>
      </c>
      <c r="O6" s="59">
        <f t="shared" si="1"/>
        <v>11590102.157386348</v>
      </c>
      <c r="P6" s="59">
        <f t="shared" si="1"/>
        <v>12364834.652226504</v>
      </c>
      <c r="Q6" s="59">
        <f t="shared" si="1"/>
        <v>13168045.767395455</v>
      </c>
      <c r="R6" s="59">
        <f t="shared" si="1"/>
        <v>14000613.591660164</v>
      </c>
      <c r="S6" s="59">
        <f t="shared" si="1"/>
        <v>14863441.066041099</v>
      </c>
      <c r="T6" s="59">
        <f t="shared" si="1"/>
        <v>15757456.652316429</v>
      </c>
      <c r="U6" s="59">
        <f t="shared" si="1"/>
        <v>16683615.018911913</v>
      </c>
      <c r="V6" s="59">
        <f t="shared" si="1"/>
        <v>17642897.744617879</v>
      </c>
      <c r="W6" s="59">
        <f t="shared" si="1"/>
        <v>18636314.040585749</v>
      </c>
      <c r="X6" s="59">
        <f t="shared" si="1"/>
        <v>19664901.491067812</v>
      </c>
      <c r="Y6" s="59">
        <f t="shared" si="1"/>
        <v>20729726.813375443</v>
      </c>
      <c r="Z6" s="59">
        <f t="shared" si="1"/>
        <v>21831886.637542933</v>
      </c>
      <c r="AA6" s="59">
        <f t="shared" si="1"/>
        <v>22972508.30619612</v>
      </c>
      <c r="AB6" s="59">
        <f t="shared" si="1"/>
        <v>24152750.695137478</v>
      </c>
      <c r="AC6" s="59">
        <f t="shared" si="1"/>
        <v>25373805.055172052</v>
      </c>
      <c r="AD6" s="59">
        <f t="shared" si="1"/>
        <v>26636895.875711702</v>
      </c>
      <c r="AE6" s="59">
        <f t="shared" si="1"/>
        <v>27943281.770708397</v>
      </c>
      <c r="AF6" s="59">
        <f t="shared" si="1"/>
        <v>29294256.387481093</v>
      </c>
    </row>
    <row r="7" spans="1:32" x14ac:dyDescent="0.35">
      <c r="A7" t="s">
        <v>21</v>
      </c>
      <c r="C7" s="4">
        <f>Depreciation!C8+Depreciation!C9</f>
        <v>1796214.8492637475</v>
      </c>
      <c r="D7" s="4">
        <f>Depreciation!D8+Depreciation!D9</f>
        <v>2180230.0828401875</v>
      </c>
      <c r="E7" s="4">
        <f>Depreciation!E8+Depreciation!E9</f>
        <v>2586982.9673598735</v>
      </c>
      <c r="F7" s="4">
        <f>Depreciation!F8+Depreciation!F9</f>
        <v>3017535.4808839904</v>
      </c>
      <c r="G7" s="4">
        <f>Depreciation!G8+Depreciation!G9</f>
        <v>3472994.284715076</v>
      </c>
      <c r="H7" s="4">
        <f>Depreciation!H8+Depreciation!H9</f>
        <v>3954512.4956589239</v>
      </c>
      <c r="I7" s="4">
        <f>Depreciation!I8+Depreciation!I9</f>
        <v>4463291.5259556305</v>
      </c>
      <c r="J7" s="4">
        <f>Depreciation!J8+Depreciation!J9</f>
        <v>5000582.9933957718</v>
      </c>
      <c r="K7" s="4">
        <f>Depreciation!K8+Depreciation!K9</f>
        <v>5567690.7042295048</v>
      </c>
      <c r="L7" s="4">
        <f>Depreciation!L8+Depreciation!L9</f>
        <v>6165972.7115713572</v>
      </c>
      <c r="M7" s="4">
        <f>Depreciation!M8+Depreciation!M9</f>
        <v>6796843.452101958</v>
      </c>
      <c r="N7" s="4">
        <f>Depreciation!N8+Depreciation!N9</f>
        <v>7461775.9639698686</v>
      </c>
      <c r="O7" s="4">
        <f>Depreciation!O8+Depreciation!O9</f>
        <v>8162304.1889023734</v>
      </c>
      <c r="P7" s="4">
        <f>Depreciation!P8+Depreciation!P9</f>
        <v>8900025.3616434522</v>
      </c>
      <c r="Q7" s="4">
        <f>Depreciation!Q8+Depreciation!Q9</f>
        <v>9676602.4899505228</v>
      </c>
      <c r="R7" s="4">
        <f>Depreciation!R8+Depreciation!R9</f>
        <v>10493766.928498926</v>
      </c>
      <c r="S7" s="4">
        <f>Depreciation!S8+Depreciation!S9</f>
        <v>11353321.050164718</v>
      </c>
      <c r="T7" s="4">
        <f>Depreciation!T8+Depreciation!T9</f>
        <v>12257141.018282333</v>
      </c>
      <c r="U7" s="4">
        <f>Depreciation!U8+Depreciation!U9</f>
        <v>13207179.663604109</v>
      </c>
      <c r="V7" s="4">
        <f>Depreciation!V8+Depreciation!V9</f>
        <v>14205469.469823761</v>
      </c>
      <c r="W7" s="4">
        <f>Depreciation!W8+Depreciation!W9</f>
        <v>15254125.67166594</v>
      </c>
      <c r="X7" s="4">
        <f>Depreciation!X8+Depreciation!X9</f>
        <v>16355349.469688915</v>
      </c>
      <c r="Y7" s="4">
        <f>Depreciation!Y8+Depreciation!Y9</f>
        <v>17511431.366097573</v>
      </c>
      <c r="Z7" s="4">
        <f>Depreciation!Z8+Depreciation!Z9</f>
        <v>18724754.626019426</v>
      </c>
      <c r="AA7" s="4">
        <f>Depreciation!AA8+Depreciation!AA9</f>
        <v>19997798.868857399</v>
      </c>
      <c r="AB7" s="4">
        <f>Depreciation!AB8+Depreciation!AB9</f>
        <v>21333143.794499952</v>
      </c>
      <c r="AC7" s="4">
        <f>Depreciation!AC8+Depreciation!AC9</f>
        <v>22733473.049341917</v>
      </c>
      <c r="AD7" s="4">
        <f>Depreciation!AD8+Depreciation!AD9</f>
        <v>24201578.237248205</v>
      </c>
      <c r="AE7" s="4">
        <f>Depreciation!AE8+Depreciation!AE9</f>
        <v>25740363.080777969</v>
      </c>
      <c r="AF7" s="4">
        <f>Depreciation!AF8+Depreciation!AF9</f>
        <v>27352847.738178685</v>
      </c>
    </row>
    <row r="8" spans="1:32" x14ac:dyDescent="0.35">
      <c r="A8" t="s">
        <v>6</v>
      </c>
      <c r="C8" s="4">
        <f ca="1">'Debt worksheet'!C8</f>
        <v>393930.99712355557</v>
      </c>
      <c r="D8" s="4">
        <f ca="1">'Debt worksheet'!D8</f>
        <v>782682.83876990899</v>
      </c>
      <c r="E8" s="4">
        <f ca="1">'Debt worksheet'!E8</f>
        <v>1160830.9722680771</v>
      </c>
      <c r="F8" s="4">
        <f ca="1">'Debt worksheet'!F8</f>
        <v>1515324.8224852481</v>
      </c>
      <c r="G8" s="4">
        <f ca="1">'Debt worksheet'!G8</f>
        <v>1829766.1092967032</v>
      </c>
      <c r="H8" s="4">
        <f ca="1">'Debt worksheet'!H8</f>
        <v>2083699.4939637289</v>
      </c>
      <c r="I8" s="4">
        <f ca="1">'Debt worksheet'!I8</f>
        <v>2297700.7223466188</v>
      </c>
      <c r="J8" s="4">
        <f ca="1">'Debt worksheet'!J8</f>
        <v>2492669.959129882</v>
      </c>
      <c r="K8" s="4">
        <f ca="1">'Debt worksheet'!K8</f>
        <v>2680923.9257463184</v>
      </c>
      <c r="L8" s="4">
        <f ca="1">'Debt worksheet'!L8</f>
        <v>2869071.311016778</v>
      </c>
      <c r="M8" s="4">
        <f ca="1">'Debt worksheet'!M8</f>
        <v>3054753.0201503676</v>
      </c>
      <c r="N8" s="4">
        <f ca="1">'Debt worksheet'!N8</f>
        <v>3235270.766809443</v>
      </c>
      <c r="O8" s="4">
        <f ca="1">'Debt worksheet'!O8</f>
        <v>3420257.0699532204</v>
      </c>
      <c r="P8" s="4">
        <f ca="1">'Debt worksheet'!P8</f>
        <v>3608344.0315405941</v>
      </c>
      <c r="Q8" s="4">
        <f ca="1">'Debt worksheet'!Q8</f>
        <v>3797953.1875635502</v>
      </c>
      <c r="R8" s="4">
        <f ca="1">'Debt worksheet'!R8</f>
        <v>3987275.4728296893</v>
      </c>
      <c r="S8" s="4">
        <f ca="1">'Debt worksheet'!S8</f>
        <v>4190287.5318794455</v>
      </c>
      <c r="T8" s="4">
        <f ca="1">'Debt worksheet'!T8</f>
        <v>4406998.4521365017</v>
      </c>
      <c r="U8" s="4">
        <f ca="1">'Debt worksheet'!U8</f>
        <v>4637347.7619720222</v>
      </c>
      <c r="V8" s="4">
        <f ca="1">'Debt worksheet'!V8</f>
        <v>4881197.5533528505</v>
      </c>
      <c r="W8" s="4">
        <f ca="1">'Debt worksheet'!W8</f>
        <v>5138323.9818852264</v>
      </c>
      <c r="X8" s="4">
        <f ca="1">'Debt worksheet'!X8</f>
        <v>5408408.1023497107</v>
      </c>
      <c r="Y8" s="4">
        <f ca="1">'Debt worksheet'!Y8</f>
        <v>5691025.9952496458</v>
      </c>
      <c r="Z8" s="4">
        <f ca="1">'Debt worksheet'!Z8</f>
        <v>5985638.1371730715</v>
      </c>
      <c r="AA8" s="4">
        <f ca="1">'Debt worksheet'!AA8</f>
        <v>6291577.9648881741</v>
      </c>
      <c r="AB8" s="4">
        <f ca="1">'Debt worksheet'!AB8</f>
        <v>6608039.5800464703</v>
      </c>
      <c r="AC8" s="4">
        <f ca="1">'Debt worksheet'!AC8</f>
        <v>6934064.538146642</v>
      </c>
      <c r="AD8" s="4">
        <f ca="1">'Debt worksheet'!AD8</f>
        <v>7268527.6620056173</v>
      </c>
      <c r="AE8" s="4">
        <f ca="1">'Debt worksheet'!AE8</f>
        <v>7610121.8163818521</v>
      </c>
      <c r="AF8" s="4">
        <f ca="1">'Debt worksheet'!AF8</f>
        <v>7957341.5765880477</v>
      </c>
    </row>
    <row r="9" spans="1:32" x14ac:dyDescent="0.35">
      <c r="A9" t="s">
        <v>22</v>
      </c>
      <c r="C9" s="4">
        <f ca="1">C5-C6-C7-C8</f>
        <v>1928628.6536126973</v>
      </c>
      <c r="D9" s="4">
        <f t="shared" ref="D9:AF9" ca="1" si="2">D5-D6-D7-D8</f>
        <v>2498486.1243899036</v>
      </c>
      <c r="E9" s="4">
        <f t="shared" ca="1" si="2"/>
        <v>3236831.0255380501</v>
      </c>
      <c r="F9" s="4">
        <f t="shared" ca="1" si="2"/>
        <v>4361981.7198678013</v>
      </c>
      <c r="G9" s="4">
        <f t="shared" ca="1" si="2"/>
        <v>5970032.7524082866</v>
      </c>
      <c r="H9" s="4">
        <f t="shared" ca="1" si="2"/>
        <v>8177360.1811252432</v>
      </c>
      <c r="I9" s="4">
        <f t="shared" ca="1" si="2"/>
        <v>9812122.1238778383</v>
      </c>
      <c r="J9" s="4">
        <f t="shared" ca="1" si="2"/>
        <v>10865539.48635276</v>
      </c>
      <c r="K9" s="4">
        <f t="shared" ca="1" si="2"/>
        <v>11583359.199741531</v>
      </c>
      <c r="L9" s="4">
        <f t="shared" ca="1" si="2"/>
        <v>12129189.787781896</v>
      </c>
      <c r="M9" s="4">
        <f t="shared" ca="1" si="2"/>
        <v>12759792.217148762</v>
      </c>
      <c r="N9" s="4">
        <f t="shared" ca="1" si="2"/>
        <v>13485413.487148644</v>
      </c>
      <c r="O9" s="4">
        <f t="shared" ca="1" si="2"/>
        <v>13954318.473262789</v>
      </c>
      <c r="P9" s="4">
        <f t="shared" ca="1" si="2"/>
        <v>14481396.757464468</v>
      </c>
      <c r="Q9" s="4">
        <f t="shared" ca="1" si="2"/>
        <v>15073275.406137995</v>
      </c>
      <c r="R9" s="4">
        <f t="shared" ca="1" si="2"/>
        <v>15737173.469121601</v>
      </c>
      <c r="S9" s="4">
        <f t="shared" ca="1" si="2"/>
        <v>16022721.287130637</v>
      </c>
      <c r="T9" s="4">
        <f t="shared" ca="1" si="2"/>
        <v>16329663.359241433</v>
      </c>
      <c r="U9" s="4">
        <f t="shared" ca="1" si="2"/>
        <v>16660680.011587489</v>
      </c>
      <c r="V9" s="4">
        <f t="shared" ca="1" si="2"/>
        <v>17018698.811084818</v>
      </c>
      <c r="W9" s="4">
        <f t="shared" ca="1" si="2"/>
        <v>17406913.063686363</v>
      </c>
      <c r="X9" s="4">
        <f t="shared" ca="1" si="2"/>
        <v>17828801.532608014</v>
      </c>
      <c r="Y9" s="4">
        <f t="shared" ca="1" si="2"/>
        <v>18288149.450777508</v>
      </c>
      <c r="Z9" s="4">
        <f t="shared" ca="1" si="2"/>
        <v>18789070.906039752</v>
      </c>
      <c r="AA9" s="4">
        <f t="shared" ca="1" si="2"/>
        <v>19336032.68217225</v>
      </c>
      <c r="AB9" s="4">
        <f t="shared" ca="1" si="2"/>
        <v>19933879.643535741</v>
      </c>
      <c r="AC9" s="4">
        <f t="shared" ca="1" si="2"/>
        <v>20587861.756220017</v>
      </c>
      <c r="AD9" s="4">
        <f t="shared" ca="1" si="2"/>
        <v>21303662.843859136</v>
      </c>
      <c r="AE9" s="4">
        <f t="shared" ca="1" si="2"/>
        <v>22087431.181897677</v>
      </c>
      <c r="AF9" s="4">
        <f t="shared" ca="1" si="2"/>
        <v>22945812.040006369</v>
      </c>
    </row>
    <row r="12" spans="1:32" x14ac:dyDescent="0.35">
      <c r="A12" t="s">
        <v>79</v>
      </c>
      <c r="C12" s="2">
        <f>Assumptions!$C$25*Assumptions!D9*Assumptions!D13</f>
        <v>3834544</v>
      </c>
      <c r="D12" s="2">
        <f>Assumptions!$C$25*Assumptions!E9*Assumptions!E13</f>
        <v>3918903.9679999999</v>
      </c>
      <c r="E12" s="2">
        <f>Assumptions!$C$25*Assumptions!F9*Assumptions!F13</f>
        <v>4005119.8552959999</v>
      </c>
      <c r="F12" s="2">
        <f>Assumptions!$C$25*Assumptions!G9*Assumptions!G13</f>
        <v>4093232.4921125122</v>
      </c>
      <c r="G12" s="2">
        <f>Assumptions!$C$25*Assumptions!H9*Assumptions!H13</f>
        <v>4183283.6069389875</v>
      </c>
      <c r="H12" s="2">
        <f>Assumptions!$C$25*Assumptions!I9*Assumptions!I13</f>
        <v>4275315.8462916445</v>
      </c>
      <c r="I12" s="2">
        <f>Assumptions!$C$25*Assumptions!J9*Assumptions!J13</f>
        <v>4369372.7949100612</v>
      </c>
      <c r="J12" s="2">
        <f>Assumptions!$C$25*Assumptions!K9*Assumptions!K13</f>
        <v>4465498.9963980829</v>
      </c>
      <c r="K12" s="2">
        <f>Assumptions!$C$25*Assumptions!L9*Assumptions!L13</f>
        <v>4563739.9743188405</v>
      </c>
      <c r="L12" s="2">
        <f>Assumptions!$C$25*Assumptions!M9*Assumptions!M13</f>
        <v>4664142.2537538549</v>
      </c>
      <c r="M12" s="2">
        <f>Assumptions!$C$25*Assumptions!N9*Assumptions!N13</f>
        <v>4766753.3833364407</v>
      </c>
      <c r="N12" s="2">
        <f>Assumptions!$C$25*Assumptions!O9*Assumptions!O13</f>
        <v>4871621.9577698419</v>
      </c>
      <c r="O12" s="2">
        <f>Assumptions!$C$25*Assumptions!P9*Assumptions!P13</f>
        <v>4978797.6408407791</v>
      </c>
      <c r="P12" s="2">
        <f>Assumptions!$C$25*Assumptions!Q9*Assumptions!Q13</f>
        <v>5088331.1889392752</v>
      </c>
      <c r="Q12" s="2">
        <f>Assumptions!$C$25*Assumptions!R9*Assumptions!R13</f>
        <v>5200274.4750959398</v>
      </c>
      <c r="R12" s="2">
        <f>Assumptions!$C$25*Assumptions!S9*Assumptions!S13</f>
        <v>5314680.513548051</v>
      </c>
      <c r="S12" s="2">
        <f>Assumptions!$C$25*Assumptions!T9*Assumptions!T13</f>
        <v>5431603.4848461077</v>
      </c>
      <c r="T12" s="2">
        <f>Assumptions!$C$25*Assumptions!U9*Assumptions!U13</f>
        <v>5551098.7615127219</v>
      </c>
      <c r="U12" s="2">
        <f>Assumptions!$C$25*Assumptions!V9*Assumptions!V13</f>
        <v>5673222.9342660019</v>
      </c>
      <c r="V12" s="2">
        <f>Assumptions!$C$25*Assumptions!W9*Assumptions!W13</f>
        <v>5798033.838819854</v>
      </c>
      <c r="W12" s="2">
        <f>Assumptions!$C$25*Assumptions!X9*Assumptions!X13</f>
        <v>5925590.5832738914</v>
      </c>
      <c r="X12" s="2">
        <f>Assumptions!$C$25*Assumptions!Y9*Assumptions!Y13</f>
        <v>6055953.5761059159</v>
      </c>
      <c r="Y12" s="2">
        <f>Assumptions!$C$25*Assumptions!Z9*Assumptions!Z13</f>
        <v>6189184.5547802458</v>
      </c>
      <c r="Z12" s="2">
        <f>Assumptions!$C$25*Assumptions!AA9*Assumptions!AA13</f>
        <v>6325346.614985412</v>
      </c>
      <c r="AA12" s="2">
        <f>Assumptions!$C$25*Assumptions!AB9*Assumptions!AB13</f>
        <v>6464504.2405150915</v>
      </c>
      <c r="AB12" s="2">
        <f>Assumptions!$C$25*Assumptions!AC9*Assumptions!AC13</f>
        <v>6606723.3338064235</v>
      </c>
      <c r="AC12" s="2">
        <f>Assumptions!$C$25*Assumptions!AD9*Assumptions!AD13</f>
        <v>6752071.247150165</v>
      </c>
      <c r="AD12" s="2">
        <f>Assumptions!$C$25*Assumptions!AE9*Assumptions!AE13</f>
        <v>6900616.8145874683</v>
      </c>
      <c r="AE12" s="2">
        <f>Assumptions!$C$25*Assumptions!AF9*Assumptions!AF13</f>
        <v>7052430.3845083937</v>
      </c>
      <c r="AF12" s="2">
        <f>Assumptions!$C$25*Assumptions!AG9*Assumptions!AG13</f>
        <v>7207583.8529675771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391681.5</v>
      </c>
      <c r="D14" s="5">
        <f>Assumptions!E122*Assumptions!E9</f>
        <v>800596.98600000003</v>
      </c>
      <c r="E14" s="5">
        <f>Assumptions!F122*Assumptions!F9</f>
        <v>1227315.1795379999</v>
      </c>
      <c r="F14" s="5">
        <f>Assumptions!G122*Assumptions!G9</f>
        <v>1672421.484650448</v>
      </c>
      <c r="G14" s="5">
        <f>Assumptions!H122*Assumptions!H9</f>
        <v>2136518.4466409474</v>
      </c>
      <c r="H14" s="5">
        <f>Assumptions!I122*Assumptions!I9</f>
        <v>2620226.2229604577</v>
      </c>
      <c r="I14" s="5">
        <f>Assumptions!J122*Assumptions!J9</f>
        <v>3124183.0665098527</v>
      </c>
      <c r="J14" s="5">
        <f>Assumptions!K122*Assumptions!K9</f>
        <v>3649045.8216835083</v>
      </c>
      <c r="K14" s="5">
        <f>Assumptions!L122*Assumptions!L9</f>
        <v>4195490.4334806129</v>
      </c>
      <c r="L14" s="5">
        <f>Assumptions!M122*Assumptions!M9</f>
        <v>4764212.4700190965</v>
      </c>
      <c r="M14" s="5">
        <f>Assumptions!N122*Assumptions!N9</f>
        <v>5355927.6587954685</v>
      </c>
      <c r="N14" s="5">
        <f>Assumptions!O122*Assumptions!O9</f>
        <v>5971372.437042512</v>
      </c>
      <c r="O14" s="5">
        <f>Assumptions!P122*Assumptions!P9</f>
        <v>6611304.5165455677</v>
      </c>
      <c r="P14" s="5">
        <f>Assumptions!Q122*Assumptions!Q9</f>
        <v>7276503.4632872287</v>
      </c>
      <c r="Q14" s="5">
        <f>Assumptions!R122*Assumptions!R9</f>
        <v>7967771.2922995165</v>
      </c>
      <c r="R14" s="5">
        <f>Assumptions!S122*Assumptions!S9</f>
        <v>8685933.0781121124</v>
      </c>
      <c r="S14" s="5">
        <f>Assumptions!T122*Assumptions!T9</f>
        <v>9431837.5811949912</v>
      </c>
      <c r="T14" s="5">
        <f>Assumptions!U122*Assumptions!U9</f>
        <v>10206357.890803708</v>
      </c>
      <c r="U14" s="5">
        <f>Assumptions!V122*Assumptions!V9</f>
        <v>11010392.084645912</v>
      </c>
      <c r="V14" s="5">
        <f>Assumptions!W122*Assumptions!W9</f>
        <v>11844863.905798024</v>
      </c>
      <c r="W14" s="5">
        <f>Assumptions!X122*Assumptions!X9</f>
        <v>12710723.457311859</v>
      </c>
      <c r="X14" s="5">
        <f>Assumptions!Y122*Assumptions!Y9</f>
        <v>13608947.914961895</v>
      </c>
      <c r="Y14" s="5">
        <f>Assumptions!Z122*Assumptions!Z9</f>
        <v>14540542.258595197</v>
      </c>
      <c r="Z14" s="5">
        <f>Assumptions!AA122*Assumptions!AA9</f>
        <v>15506540.022557523</v>
      </c>
      <c r="AA14" s="5">
        <f>Assumptions!AB122*Assumptions!AB9</f>
        <v>16508004.065681029</v>
      </c>
      <c r="AB14" s="5">
        <f>Assumptions!AC122*Assumptions!AC9</f>
        <v>17546027.361331053</v>
      </c>
      <c r="AC14" s="5">
        <f>Assumptions!AD122*Assumptions!AD9</f>
        <v>18621733.808021888</v>
      </c>
      <c r="AD14" s="5">
        <f>Assumptions!AE122*Assumptions!AE9</f>
        <v>19736279.061124235</v>
      </c>
      <c r="AE14" s="5">
        <f>Assumptions!AF122*Assumptions!AF9</f>
        <v>20890851.386200003</v>
      </c>
      <c r="AF14" s="5">
        <f>Assumptions!AG122*Assumptions!AG9</f>
        <v>22086672.534513518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4226225.5</v>
      </c>
      <c r="D27" s="2">
        <f t="shared" ref="D27:AF27" si="8">D12+D13+D14+D19+D20+D22+D24+D25</f>
        <v>4719500.9539999999</v>
      </c>
      <c r="E27" s="2">
        <f t="shared" si="8"/>
        <v>5232435.0348339994</v>
      </c>
      <c r="F27" s="2">
        <f t="shared" si="8"/>
        <v>5765653.9767629597</v>
      </c>
      <c r="G27" s="2">
        <f t="shared" si="8"/>
        <v>6319802.0535799349</v>
      </c>
      <c r="H27" s="2">
        <f t="shared" si="8"/>
        <v>6895542.0692521017</v>
      </c>
      <c r="I27" s="2">
        <f t="shared" si="8"/>
        <v>7493555.8614199143</v>
      </c>
      <c r="J27" s="2">
        <f t="shared" si="8"/>
        <v>8114544.8180815913</v>
      </c>
      <c r="K27" s="2">
        <f t="shared" si="8"/>
        <v>8759230.4077994525</v>
      </c>
      <c r="L27" s="2">
        <f t="shared" si="8"/>
        <v>9428354.7237729505</v>
      </c>
      <c r="M27" s="2">
        <f t="shared" si="8"/>
        <v>10122681.042131908</v>
      </c>
      <c r="N27" s="2">
        <f t="shared" si="8"/>
        <v>10842994.394812353</v>
      </c>
      <c r="O27" s="2">
        <f t="shared" si="8"/>
        <v>11590102.157386348</v>
      </c>
      <c r="P27" s="2">
        <f t="shared" si="8"/>
        <v>12364834.652226504</v>
      </c>
      <c r="Q27" s="2">
        <f t="shared" si="8"/>
        <v>13168045.767395455</v>
      </c>
      <c r="R27" s="2">
        <f t="shared" si="8"/>
        <v>14000613.591660164</v>
      </c>
      <c r="S27" s="2">
        <f t="shared" si="8"/>
        <v>14863441.066041099</v>
      </c>
      <c r="T27" s="2">
        <f t="shared" si="8"/>
        <v>15757456.652316429</v>
      </c>
      <c r="U27" s="2">
        <f t="shared" si="8"/>
        <v>16683615.018911913</v>
      </c>
      <c r="V27" s="2">
        <f t="shared" si="8"/>
        <v>17642897.744617879</v>
      </c>
      <c r="W27" s="2">
        <f t="shared" si="8"/>
        <v>18636314.040585749</v>
      </c>
      <c r="X27" s="2">
        <f t="shared" si="8"/>
        <v>19664901.491067812</v>
      </c>
      <c r="Y27" s="2">
        <f t="shared" si="8"/>
        <v>20729726.813375443</v>
      </c>
      <c r="Z27" s="2">
        <f t="shared" si="8"/>
        <v>21831886.637542933</v>
      </c>
      <c r="AA27" s="2">
        <f t="shared" si="8"/>
        <v>22972508.30619612</v>
      </c>
      <c r="AB27" s="2">
        <f t="shared" si="8"/>
        <v>24152750.695137478</v>
      </c>
      <c r="AC27" s="2">
        <f t="shared" si="8"/>
        <v>25373805.055172052</v>
      </c>
      <c r="AD27" s="2">
        <f t="shared" si="8"/>
        <v>26636895.875711702</v>
      </c>
      <c r="AE27" s="2">
        <f t="shared" si="8"/>
        <v>27943281.770708397</v>
      </c>
      <c r="AF27" s="2">
        <f t="shared" si="8"/>
        <v>29294256.387481093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3W2DU3RAJ5R2-1900874439-841</_dlc_DocId>
    <_dlc_DocIdUrl xmlns="f54e2983-00ce-40fc-8108-18f351fc47bf">
      <Url>https://dia.cohesion.net.nz/Sites/LGV/TWRP/CAE/_layouts/15/DocIdRedir.aspx?ID=3W2DU3RAJ5R2-1900874439-841</Url>
      <Description>3W2DU3RAJ5R2-1900874439-841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025E6DF1-BBB9-464C-9121-98F2D2F51E74}"/>
</file>

<file path=customXml/itemProps3.xml><?xml version="1.0" encoding="utf-8"?>
<ds:datastoreItem xmlns:ds="http://schemas.openxmlformats.org/officeDocument/2006/customXml" ds:itemID="{CBCC2D2A-763C-48F8-A3E5-6B0A81386C3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5b6d800-2dda-48d6-88d8-9e2b35e6f7ea"/>
    <ds:schemaRef ds:uri="08a23fc5-e034-477c-ac83-93bc1440f322"/>
    <ds:schemaRef ds:uri="http://purl.org/dc/terms/"/>
    <ds:schemaRef ds:uri="http://schemas.microsoft.com/office/2006/documentManagement/typ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BA05094B-39EC-4182-9CD6-BCCE0A7C0B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2021-07-01T15:10:59Z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8eddd3a1-549c-43d9-8660-e6c3d125551f</vt:lpwstr>
  </property>
</Properties>
</file>