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3" documentId="8_{9C0BAB5E-59D2-491C-9C3C-0996D5C40F1A}" xr6:coauthVersionLast="47" xr6:coauthVersionMax="47" xr10:uidLastSave="{6B62F5D5-9F8E-4A12-A748-BD66319CA555}"/>
  <bookViews>
    <workbookView xWindow="1290" yWindow="-110" windowWidth="37220" windowHeight="21820" tabRatio="813"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3" i="2" l="1"/>
  <c r="C7" i="21" l="1"/>
  <c r="A11" i="19" l="1"/>
  <c r="A9" i="19"/>
  <c r="B40" i="21"/>
  <c r="B27" i="21"/>
  <c r="A21" i="21"/>
  <c r="A34" i="21" s="1"/>
  <c r="B8" i="21"/>
  <c r="B21" i="21" s="1"/>
  <c r="B34" i="21" s="1"/>
  <c r="C83" i="2" l="1"/>
  <c r="C87" i="2"/>
  <c r="C82" i="2" l="1"/>
  <c r="C89" i="2" s="1"/>
  <c r="C94" i="2" s="1"/>
  <c r="C90" i="2"/>
  <c r="C95" i="2" s="1"/>
  <c r="C96" i="2" l="1"/>
  <c r="C102" i="2" s="1"/>
  <c r="D113" i="2" s="1"/>
  <c r="C58" i="2"/>
  <c r="C106" i="2" s="1"/>
  <c r="C63" i="2"/>
  <c r="C107" i="2" s="1"/>
  <c r="D11" i="2"/>
  <c r="C40" i="2" l="1"/>
  <c r="C41" i="2"/>
  <c r="C39" i="2"/>
  <c r="C36" i="2"/>
  <c r="C37" i="2"/>
  <c r="C35" i="2"/>
  <c r="F9" i="2" l="1"/>
  <c r="E9" i="2"/>
  <c r="D9" i="2"/>
  <c r="G11" i="2"/>
  <c r="V9" i="2"/>
  <c r="E11" i="2" l="1"/>
  <c r="F11" i="2"/>
  <c r="H11" i="2"/>
  <c r="I11" i="2"/>
  <c r="C67" i="2" l="1"/>
  <c r="C72" i="2"/>
  <c r="C5" i="3" l="1"/>
  <c r="B7" i="21"/>
  <c r="D3" i="3" l="1"/>
  <c r="E3" i="3" s="1"/>
  <c r="F3" i="3" s="1"/>
  <c r="G3" i="3" s="1"/>
  <c r="H3" i="3" s="1"/>
  <c r="I3" i="3" s="1"/>
  <c r="J3" i="3" s="1"/>
  <c r="K3" i="3" s="1"/>
  <c r="L3" i="3" s="1"/>
  <c r="M3" i="3" s="1"/>
  <c r="N3" i="3" s="1"/>
  <c r="O3" i="3" s="1"/>
  <c r="P3" i="3" s="1"/>
  <c r="Q3" i="3" s="1"/>
  <c r="R3" i="3" s="1"/>
  <c r="S3" i="3" s="1"/>
  <c r="T3" i="3" s="1"/>
  <c r="U3" i="3" s="1"/>
  <c r="V3" i="3" s="1"/>
  <c r="W3" i="3" s="1"/>
  <c r="X3" i="3" s="1"/>
  <c r="Y3" i="3" s="1"/>
  <c r="Z3" i="3" s="1"/>
  <c r="AA3" i="3" s="1"/>
  <c r="AB3" i="3" s="1"/>
  <c r="AC3" i="3" s="1"/>
  <c r="AD3" i="3" s="1"/>
  <c r="AE3" i="3" s="1"/>
  <c r="AF3" i="3" s="1"/>
  <c r="D3" i="6"/>
  <c r="E3" i="6" s="1"/>
  <c r="F3" i="6" s="1"/>
  <c r="G3" i="6" s="1"/>
  <c r="H3" i="6" s="1"/>
  <c r="I3" i="6" s="1"/>
  <c r="J3" i="6" s="1"/>
  <c r="K3" i="6" s="1"/>
  <c r="L3" i="6" s="1"/>
  <c r="M3" i="6" s="1"/>
  <c r="N3" i="6" s="1"/>
  <c r="O3" i="6" s="1"/>
  <c r="P3" i="6" s="1"/>
  <c r="Q3" i="6" s="1"/>
  <c r="R3" i="6" s="1"/>
  <c r="S3" i="6" s="1"/>
  <c r="T3" i="6" s="1"/>
  <c r="U3" i="6" s="1"/>
  <c r="V3" i="6" s="1"/>
  <c r="W3" i="6" s="1"/>
  <c r="X3" i="6" s="1"/>
  <c r="Y3" i="6" s="1"/>
  <c r="Z3" i="6" s="1"/>
  <c r="AA3" i="6" s="1"/>
  <c r="AB3" i="6" s="1"/>
  <c r="AC3" i="6" s="1"/>
  <c r="AD3" i="6" s="1"/>
  <c r="AE3" i="6" s="1"/>
  <c r="AF3" i="6" s="1"/>
  <c r="D3" i="4"/>
  <c r="E3" i="4" s="1"/>
  <c r="F3" i="4" s="1"/>
  <c r="G3" i="4" s="1"/>
  <c r="H3" i="4" s="1"/>
  <c r="I3" i="4" s="1"/>
  <c r="J3" i="4" s="1"/>
  <c r="K3" i="4" s="1"/>
  <c r="L3" i="4" s="1"/>
  <c r="M3" i="4" s="1"/>
  <c r="N3" i="4" s="1"/>
  <c r="O3" i="4" s="1"/>
  <c r="P3" i="4" s="1"/>
  <c r="Q3" i="4" s="1"/>
  <c r="R3" i="4" s="1"/>
  <c r="S3" i="4" s="1"/>
  <c r="T3" i="4" s="1"/>
  <c r="U3" i="4" s="1"/>
  <c r="V3" i="4" s="1"/>
  <c r="W3" i="4" s="1"/>
  <c r="X3" i="4" s="1"/>
  <c r="Y3" i="4" s="1"/>
  <c r="Z3" i="4" s="1"/>
  <c r="AA3" i="4" s="1"/>
  <c r="AB3" i="4" s="1"/>
  <c r="AC3" i="4" s="1"/>
  <c r="AD3" i="4" s="1"/>
  <c r="AE3" i="4" s="1"/>
  <c r="AF3" i="4" s="1"/>
  <c r="C3" i="5"/>
  <c r="D3" i="5" s="1"/>
  <c r="E3" i="5" s="1"/>
  <c r="F3" i="5" s="1"/>
  <c r="G3" i="5" s="1"/>
  <c r="H3" i="5" s="1"/>
  <c r="I3" i="5" s="1"/>
  <c r="J3" i="5" s="1"/>
  <c r="K3" i="5" s="1"/>
  <c r="L3" i="5" s="1"/>
  <c r="M3" i="5" s="1"/>
  <c r="N3" i="5" s="1"/>
  <c r="O3" i="5" s="1"/>
  <c r="P3" i="5" s="1"/>
  <c r="Q3" i="5" s="1"/>
  <c r="R3" i="5" s="1"/>
  <c r="S3" i="5" s="1"/>
  <c r="T3" i="5" s="1"/>
  <c r="U3" i="5" s="1"/>
  <c r="V3" i="5" s="1"/>
  <c r="W3" i="5" s="1"/>
  <c r="X3" i="5" s="1"/>
  <c r="Y3" i="5" s="1"/>
  <c r="Z3" i="5" s="1"/>
  <c r="AA3" i="5" s="1"/>
  <c r="AB3" i="5" s="1"/>
  <c r="AC3" i="5" s="1"/>
  <c r="AD3" i="5" s="1"/>
  <c r="AE3" i="5" s="1"/>
  <c r="D15" i="9" l="1"/>
  <c r="E15" i="9"/>
  <c r="F15" i="9"/>
  <c r="C15" i="9"/>
  <c r="D3" i="8"/>
  <c r="E3" i="8" s="1"/>
  <c r="F3" i="8" s="1"/>
  <c r="G3" i="8" s="1"/>
  <c r="H3" i="8" s="1"/>
  <c r="I3" i="8" s="1"/>
  <c r="J3" i="8" s="1"/>
  <c r="K3" i="8" s="1"/>
  <c r="L3" i="8" s="1"/>
  <c r="M3" i="8" s="1"/>
  <c r="N3" i="8" s="1"/>
  <c r="O3" i="8" s="1"/>
  <c r="P3" i="8" s="1"/>
  <c r="Q3" i="8" s="1"/>
  <c r="R3" i="8" s="1"/>
  <c r="S3" i="8" s="1"/>
  <c r="T3" i="8" s="1"/>
  <c r="U3" i="8" s="1"/>
  <c r="V3" i="8" s="1"/>
  <c r="W3" i="8" s="1"/>
  <c r="X3" i="8" s="1"/>
  <c r="Y3" i="8" s="1"/>
  <c r="Z3" i="8" s="1"/>
  <c r="AA3" i="8" s="1"/>
  <c r="AB3" i="8" s="1"/>
  <c r="AC3" i="8" s="1"/>
  <c r="AD3" i="8" s="1"/>
  <c r="AE3" i="8" s="1"/>
  <c r="AF3" i="8" s="1"/>
  <c r="F3" i="7"/>
  <c r="G3" i="7" s="1"/>
  <c r="H3" i="7" s="1"/>
  <c r="I3" i="7" s="1"/>
  <c r="J3" i="7" s="1"/>
  <c r="K3" i="7" s="1"/>
  <c r="L3" i="7" s="1"/>
  <c r="M3" i="7" s="1"/>
  <c r="N3" i="7" s="1"/>
  <c r="O3" i="7" s="1"/>
  <c r="P3" i="7" s="1"/>
  <c r="Q3" i="7" s="1"/>
  <c r="R3" i="7" s="1"/>
  <c r="S3" i="7" s="1"/>
  <c r="T3" i="7" s="1"/>
  <c r="U3" i="7" s="1"/>
  <c r="V3" i="7" s="1"/>
  <c r="W3" i="7" s="1"/>
  <c r="X3" i="7" s="1"/>
  <c r="Y3" i="7" s="1"/>
  <c r="Z3" i="7" s="1"/>
  <c r="AA3" i="7" s="1"/>
  <c r="AB3" i="7" s="1"/>
  <c r="AC3" i="7" s="1"/>
  <c r="AD3" i="7" s="1"/>
  <c r="AE3" i="7" s="1"/>
  <c r="AF3" i="7" s="1"/>
  <c r="AG3" i="7" s="1"/>
  <c r="AH3" i="7" s="1"/>
  <c r="D16" i="8"/>
  <c r="E16" i="8"/>
  <c r="F16" i="8"/>
  <c r="C16" i="8"/>
  <c r="D3" i="9" l="1"/>
  <c r="E3" i="9" s="1"/>
  <c r="F3" i="9" s="1"/>
  <c r="G3" i="9" s="1"/>
  <c r="H3" i="9" s="1"/>
  <c r="I3" i="9" s="1"/>
  <c r="J3" i="9" s="1"/>
  <c r="K3" i="9" s="1"/>
  <c r="L3" i="9" s="1"/>
  <c r="M3" i="9" s="1"/>
  <c r="N3" i="9" s="1"/>
  <c r="O3" i="9" s="1"/>
  <c r="P3" i="9" s="1"/>
  <c r="Q3" i="9" s="1"/>
  <c r="R3" i="9" s="1"/>
  <c r="S3" i="9" s="1"/>
  <c r="T3" i="9" s="1"/>
  <c r="U3" i="9" s="1"/>
  <c r="V3" i="9" s="1"/>
  <c r="W3" i="9" s="1"/>
  <c r="X3" i="9" s="1"/>
  <c r="Y3" i="9" s="1"/>
  <c r="Z3" i="9" s="1"/>
  <c r="AA3" i="9" s="1"/>
  <c r="AB3" i="9" s="1"/>
  <c r="AC3" i="9" s="1"/>
  <c r="AD3" i="9" s="1"/>
  <c r="AE3" i="9" s="1"/>
  <c r="AF3" i="9" s="1"/>
  <c r="D45" i="2" l="1"/>
  <c r="C16" i="9" s="1"/>
  <c r="L11" i="2"/>
  <c r="K9" i="9" s="1"/>
  <c r="M11" i="2"/>
  <c r="L9" i="9" s="1"/>
  <c r="N11" i="2"/>
  <c r="M9" i="9" s="1"/>
  <c r="O11" i="2"/>
  <c r="N9" i="9" s="1"/>
  <c r="P11" i="2"/>
  <c r="O9" i="9" s="1"/>
  <c r="Q11" i="2"/>
  <c r="P9" i="9" s="1"/>
  <c r="R11" i="2"/>
  <c r="Q9" i="9" s="1"/>
  <c r="S11" i="2"/>
  <c r="R9" i="9" s="1"/>
  <c r="T11" i="2"/>
  <c r="S9" i="9" s="1"/>
  <c r="U11" i="2"/>
  <c r="T9" i="9" s="1"/>
  <c r="V11" i="2"/>
  <c r="U9" i="9" s="1"/>
  <c r="W11" i="2"/>
  <c r="V9" i="9" s="1"/>
  <c r="X11" i="2"/>
  <c r="W9" i="9" s="1"/>
  <c r="Y11" i="2"/>
  <c r="X9" i="9" s="1"/>
  <c r="Z11" i="2"/>
  <c r="Y9" i="9" s="1"/>
  <c r="AA11" i="2"/>
  <c r="Z9" i="9" s="1"/>
  <c r="AB11" i="2"/>
  <c r="AA9" i="9" s="1"/>
  <c r="AC11" i="2"/>
  <c r="AB9" i="9" s="1"/>
  <c r="AD11" i="2"/>
  <c r="AC9" i="9" s="1"/>
  <c r="AE11" i="2"/>
  <c r="AD9" i="9" s="1"/>
  <c r="AF11" i="2"/>
  <c r="AE9" i="9" s="1"/>
  <c r="AG11" i="2"/>
  <c r="AF9" i="9" s="1"/>
  <c r="D9" i="9"/>
  <c r="E9" i="9"/>
  <c r="F9" i="9"/>
  <c r="G9" i="9"/>
  <c r="H9" i="9"/>
  <c r="J11" i="2"/>
  <c r="I9" i="9" s="1"/>
  <c r="K11" i="2"/>
  <c r="J9" i="9" s="1"/>
  <c r="C9" i="9"/>
  <c r="E4" i="2"/>
  <c r="F4" i="2" l="1"/>
  <c r="G4" i="2" s="1"/>
  <c r="H4" i="2" s="1"/>
  <c r="I4" i="2" s="1"/>
  <c r="J4" i="2" s="1"/>
  <c r="K4" i="2" s="1"/>
  <c r="L4" i="2" s="1"/>
  <c r="M4" i="2" s="1"/>
  <c r="N4" i="2" s="1"/>
  <c r="O4" i="2" s="1"/>
  <c r="P4" i="2" s="1"/>
  <c r="Q4" i="2" s="1"/>
  <c r="R4" i="2" s="1"/>
  <c r="S4" i="2" s="1"/>
  <c r="T4" i="2" s="1"/>
  <c r="U4" i="2" s="1"/>
  <c r="V4" i="2" s="1"/>
  <c r="W4" i="2" s="1"/>
  <c r="X4" i="2" s="1"/>
  <c r="Y4" i="2" s="1"/>
  <c r="Z4" i="2" s="1"/>
  <c r="AA4" i="2" s="1"/>
  <c r="AB4" i="2" s="1"/>
  <c r="AC4" i="2" s="1"/>
  <c r="AD4" i="2" s="1"/>
  <c r="AE4" i="2" s="1"/>
  <c r="AF4" i="2" s="1"/>
  <c r="AG4" i="2" s="1"/>
  <c r="E45" i="2"/>
  <c r="C17" i="8"/>
  <c r="F45" i="2" l="1"/>
  <c r="D17" i="8"/>
  <c r="D16" i="9"/>
  <c r="G45" i="2" l="1"/>
  <c r="E17" i="8"/>
  <c r="E16" i="9"/>
  <c r="H45" i="2" l="1"/>
  <c r="F17" i="8"/>
  <c r="F16" i="9"/>
  <c r="I45" i="2" l="1"/>
  <c r="G17" i="8"/>
  <c r="G16" i="9"/>
  <c r="J45" i="2" l="1"/>
  <c r="H17" i="8"/>
  <c r="H16" i="9"/>
  <c r="K45" i="2" l="1"/>
  <c r="I17" i="8"/>
  <c r="I16" i="9"/>
  <c r="L45" i="2" l="1"/>
  <c r="J17" i="8"/>
  <c r="J16" i="9"/>
  <c r="M45" i="2" l="1"/>
  <c r="K17" i="8"/>
  <c r="K16" i="9"/>
  <c r="N45" i="2" l="1"/>
  <c r="L17" i="8"/>
  <c r="L16" i="9"/>
  <c r="O45" i="2" l="1"/>
  <c r="M17" i="8"/>
  <c r="M16" i="9"/>
  <c r="P45" i="2" l="1"/>
  <c r="N17" i="8"/>
  <c r="N16" i="9"/>
  <c r="Q45" i="2" l="1"/>
  <c r="O17" i="8"/>
  <c r="O16" i="9"/>
  <c r="R45" i="2" l="1"/>
  <c r="P17" i="8"/>
  <c r="P16" i="9"/>
  <c r="S45" i="2" l="1"/>
  <c r="Q17" i="8"/>
  <c r="Q16" i="9"/>
  <c r="T45" i="2" l="1"/>
  <c r="R17" i="8"/>
  <c r="R16" i="9"/>
  <c r="U45" i="2" l="1"/>
  <c r="S17" i="8"/>
  <c r="S16" i="9"/>
  <c r="V45" i="2" l="1"/>
  <c r="T17" i="8"/>
  <c r="T16" i="9"/>
  <c r="W45" i="2" l="1"/>
  <c r="U17" i="8"/>
  <c r="U16" i="9"/>
  <c r="X45" i="2" l="1"/>
  <c r="V17" i="8"/>
  <c r="V16" i="9"/>
  <c r="Y45" i="2" l="1"/>
  <c r="W17" i="8"/>
  <c r="W16" i="9"/>
  <c r="Z45" i="2" l="1"/>
  <c r="X17" i="8"/>
  <c r="X16" i="9"/>
  <c r="AA45" i="2" l="1"/>
  <c r="Y17" i="8"/>
  <c r="Y16" i="9"/>
  <c r="AB45" i="2" l="1"/>
  <c r="Z17" i="8"/>
  <c r="Z16" i="9"/>
  <c r="AC45" i="2" l="1"/>
  <c r="AA17" i="8"/>
  <c r="AA16" i="9"/>
  <c r="AD45" i="2" l="1"/>
  <c r="AB17" i="8"/>
  <c r="AB16" i="9"/>
  <c r="AE45" i="2" l="1"/>
  <c r="AC17" i="8"/>
  <c r="AC16" i="9"/>
  <c r="AF45" i="2" l="1"/>
  <c r="AD17" i="8"/>
  <c r="AD16" i="9"/>
  <c r="AG45" i="2" l="1"/>
  <c r="AE17" i="8"/>
  <c r="AE16" i="9"/>
  <c r="AF17" i="8" l="1"/>
  <c r="AF16" i="9"/>
  <c r="AG9" i="2" l="1"/>
  <c r="AF22" i="8" s="1"/>
  <c r="AF9" i="2"/>
  <c r="AE9" i="2"/>
  <c r="AD9" i="2"/>
  <c r="AC9" i="2"/>
  <c r="AB9" i="2"/>
  <c r="AA9" i="2"/>
  <c r="Z9" i="2"/>
  <c r="Y9" i="2"/>
  <c r="X9" i="2"/>
  <c r="W9" i="2"/>
  <c r="U9" i="2"/>
  <c r="T9" i="2"/>
  <c r="S9" i="2"/>
  <c r="R9" i="2"/>
  <c r="Q9" i="2"/>
  <c r="P9" i="2"/>
  <c r="O9" i="2"/>
  <c r="N9" i="2"/>
  <c r="M9" i="2"/>
  <c r="L22" i="8" s="1"/>
  <c r="L9" i="2"/>
  <c r="K9" i="2"/>
  <c r="J9" i="2"/>
  <c r="I9" i="2"/>
  <c r="H9" i="2"/>
  <c r="G9" i="2"/>
  <c r="AA22" i="8" l="1"/>
  <c r="AB22" i="8"/>
  <c r="M22" i="8"/>
  <c r="AC22" i="8"/>
  <c r="N22" i="8"/>
  <c r="V22" i="8"/>
  <c r="AD22" i="8"/>
  <c r="R22" i="8"/>
  <c r="K22" i="8"/>
  <c r="T22" i="8"/>
  <c r="O22" i="8"/>
  <c r="W22" i="8"/>
  <c r="AE22" i="8"/>
  <c r="Z22" i="8"/>
  <c r="J22" i="8"/>
  <c r="S22" i="8"/>
  <c r="U22" i="8"/>
  <c r="H22" i="8"/>
  <c r="P22" i="8"/>
  <c r="X22" i="8"/>
  <c r="I22" i="8"/>
  <c r="Q22" i="8"/>
  <c r="Y22" i="8"/>
  <c r="B11" i="5" l="1"/>
  <c r="C22" i="6" s="1"/>
  <c r="E113" i="2" l="1"/>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l="1"/>
  <c r="V12" i="9" s="1"/>
  <c r="V21" i="9" s="1"/>
  <c r="H116" i="2"/>
  <c r="G6" i="9"/>
  <c r="G12" i="9" s="1"/>
  <c r="G21" i="9" s="1"/>
  <c r="W116" i="2" l="1"/>
  <c r="J116" i="2"/>
  <c r="O116" i="2"/>
  <c r="P116" i="2"/>
  <c r="V116" i="2"/>
  <c r="AB6" i="9"/>
  <c r="AB12" i="9" s="1"/>
  <c r="AB21" i="9" s="1"/>
  <c r="F6" i="9"/>
  <c r="F12" i="9" s="1"/>
  <c r="AE6" i="9"/>
  <c r="AE12" i="9" s="1"/>
  <c r="AE21" i="9" s="1"/>
  <c r="H6" i="9"/>
  <c r="H12" i="9" s="1"/>
  <c r="H21" i="9" s="1"/>
  <c r="L116" i="2"/>
  <c r="T6" i="9"/>
  <c r="T12" i="9" s="1"/>
  <c r="T21" i="9" s="1"/>
  <c r="Q6" i="9"/>
  <c r="Q12" i="9" s="1"/>
  <c r="Q21" i="9" s="1"/>
  <c r="S116" i="2"/>
  <c r="E116" i="2"/>
  <c r="AA6" i="9"/>
  <c r="AA12" i="9" s="1"/>
  <c r="AA21" i="9" s="1"/>
  <c r="F115" i="2"/>
  <c r="W6" i="9"/>
  <c r="W12" i="9" s="1"/>
  <c r="W21" i="9" s="1"/>
  <c r="Z6" i="9"/>
  <c r="Z12" i="9" s="1"/>
  <c r="Z21" i="9" s="1"/>
  <c r="Q116" i="2"/>
  <c r="M116" i="2"/>
  <c r="S6" i="9"/>
  <c r="S12" i="9" s="1"/>
  <c r="S21" i="9" s="1"/>
  <c r="AC6" i="9"/>
  <c r="AC12" i="9" s="1"/>
  <c r="AC21" i="9" s="1"/>
  <c r="K116" i="2"/>
  <c r="C6" i="9"/>
  <c r="C12" i="9" s="1"/>
  <c r="C21" i="9" s="1"/>
  <c r="D116" i="2"/>
  <c r="D115" i="2"/>
  <c r="X6" i="9"/>
  <c r="X12" i="9" s="1"/>
  <c r="X21" i="9" s="1"/>
  <c r="Y116" i="2"/>
  <c r="AF6" i="9"/>
  <c r="AF12" i="9" s="1"/>
  <c r="AF21" i="9" s="1"/>
  <c r="AG116" i="2"/>
  <c r="N6" i="9"/>
  <c r="N12" i="9" s="1"/>
  <c r="N21" i="9" s="1"/>
  <c r="AD6" i="9"/>
  <c r="AD12" i="9" s="1"/>
  <c r="AD21" i="9" s="1"/>
  <c r="AE116" i="2"/>
  <c r="Y6" i="9"/>
  <c r="Y12" i="9" s="1"/>
  <c r="Y21" i="9" s="1"/>
  <c r="Z116" i="2"/>
  <c r="O6" i="9"/>
  <c r="O12" i="9" s="1"/>
  <c r="O21" i="9" s="1"/>
  <c r="M6" i="9"/>
  <c r="M12" i="9" s="1"/>
  <c r="M21" i="9" s="1"/>
  <c r="N116" i="2"/>
  <c r="D118" i="2" l="1"/>
  <c r="D120" i="2" s="1"/>
  <c r="C9" i="6" s="1"/>
  <c r="I6" i="9"/>
  <c r="I12" i="9" s="1"/>
  <c r="I21" i="9" s="1"/>
  <c r="R6" i="9"/>
  <c r="R12" i="9" s="1"/>
  <c r="R21" i="9" s="1"/>
  <c r="K6" i="9"/>
  <c r="K12" i="9" s="1"/>
  <c r="K21" i="9" s="1"/>
  <c r="E115" i="2"/>
  <c r="E118" i="2" s="1"/>
  <c r="I116" i="2"/>
  <c r="U116" i="2"/>
  <c r="F20" i="9"/>
  <c r="F21" i="9"/>
  <c r="J6" i="9"/>
  <c r="J12" i="9" s="1"/>
  <c r="J21" i="9" s="1"/>
  <c r="G116" i="2"/>
  <c r="AA116" i="2"/>
  <c r="X116" i="2"/>
  <c r="AD116" i="2"/>
  <c r="T116" i="2"/>
  <c r="U6" i="9"/>
  <c r="U12" i="9" s="1"/>
  <c r="U21" i="9" s="1"/>
  <c r="G115" i="2"/>
  <c r="AB116" i="2"/>
  <c r="AC116" i="2"/>
  <c r="R116" i="2"/>
  <c r="P6" i="9"/>
  <c r="P12" i="9" s="1"/>
  <c r="P21" i="9" s="1"/>
  <c r="AF116" i="2"/>
  <c r="L6" i="9"/>
  <c r="L12" i="9" s="1"/>
  <c r="L21" i="9" s="1"/>
  <c r="E6" i="9"/>
  <c r="E12" i="9" s="1"/>
  <c r="F116" i="2"/>
  <c r="F118" i="2" s="1"/>
  <c r="C114" i="2"/>
  <c r="D6" i="9"/>
  <c r="D12" i="9" s="1"/>
  <c r="C20" i="9"/>
  <c r="G118" i="2" l="1"/>
  <c r="G120" i="2" s="1"/>
  <c r="F9" i="6" s="1"/>
  <c r="D20" i="9"/>
  <c r="D21" i="9"/>
  <c r="E20" i="9"/>
  <c r="E21" i="9"/>
  <c r="E120" i="2"/>
  <c r="D9" i="6" s="1"/>
  <c r="F120" i="2"/>
  <c r="E9" i="6" s="1"/>
  <c r="D122" i="2"/>
  <c r="C7" i="9"/>
  <c r="C13" i="9" l="1"/>
  <c r="C23" i="9" s="1"/>
  <c r="F7" i="9"/>
  <c r="F13" i="9" s="1"/>
  <c r="F23" i="9" s="1"/>
  <c r="E7" i="9"/>
  <c r="E13" i="9" s="1"/>
  <c r="E23" i="9" s="1"/>
  <c r="D7" i="9"/>
  <c r="D13" i="9" s="1"/>
  <c r="D23" i="9" s="1"/>
  <c r="C129" i="2" l="1"/>
  <c r="C135" i="2" s="1"/>
  <c r="B10" i="21" s="1"/>
  <c r="B12" i="21" s="1"/>
  <c r="B16" i="21" s="1"/>
  <c r="G22" i="8" l="1"/>
  <c r="F22" i="8"/>
  <c r="C22" i="8"/>
  <c r="E22" i="8"/>
  <c r="D22" i="8" l="1"/>
  <c r="C14" i="8"/>
  <c r="E122" i="2"/>
  <c r="D14" i="8" s="1"/>
  <c r="G122" i="2"/>
  <c r="F14" i="8" s="1"/>
  <c r="F122" i="2"/>
  <c r="E14" i="8" s="1"/>
  <c r="H44" i="2" l="1"/>
  <c r="C24" i="8"/>
  <c r="C25" i="8"/>
  <c r="D24" i="8"/>
  <c r="D25" i="8"/>
  <c r="E24" i="8"/>
  <c r="E25" i="8"/>
  <c r="F24" i="8"/>
  <c r="F25" i="8"/>
  <c r="H43" i="2"/>
  <c r="H115" i="2" l="1"/>
  <c r="H118" i="2" s="1"/>
  <c r="I44" i="2"/>
  <c r="J44" i="2" s="1"/>
  <c r="G15" i="9"/>
  <c r="G20" i="9" s="1"/>
  <c r="I43" i="2"/>
  <c r="G16" i="8"/>
  <c r="D13" i="2" l="1"/>
  <c r="D135" i="2" s="1"/>
  <c r="E13" i="2"/>
  <c r="F13" i="2"/>
  <c r="C5" i="8"/>
  <c r="G13" i="2"/>
  <c r="I115" i="2"/>
  <c r="I118" i="2" s="1"/>
  <c r="I122" i="2" s="1"/>
  <c r="H14" i="8" s="1"/>
  <c r="H25" i="8" s="1"/>
  <c r="H120" i="2"/>
  <c r="H122" i="2"/>
  <c r="G14" i="8" s="1"/>
  <c r="G24" i="8" s="1"/>
  <c r="H15" i="9"/>
  <c r="H20" i="9" s="1"/>
  <c r="AF13" i="2"/>
  <c r="J43" i="2"/>
  <c r="H16" i="8"/>
  <c r="I15" i="9"/>
  <c r="I20" i="9" s="1"/>
  <c r="K44" i="2"/>
  <c r="J115" i="2"/>
  <c r="J118" i="2" s="1"/>
  <c r="G7" i="9" l="1"/>
  <c r="G13" i="9" s="1"/>
  <c r="G23" i="9" s="1"/>
  <c r="G9" i="6"/>
  <c r="I120" i="2"/>
  <c r="G25" i="8"/>
  <c r="H24" i="8"/>
  <c r="AE13" i="2"/>
  <c r="AD12" i="8" s="1"/>
  <c r="V13" i="2"/>
  <c r="U12" i="8" s="1"/>
  <c r="U13" i="2"/>
  <c r="U135" i="2" s="1"/>
  <c r="J13" i="2"/>
  <c r="J135" i="2" s="1"/>
  <c r="E135" i="2"/>
  <c r="C12" i="8"/>
  <c r="C20" i="8" s="1"/>
  <c r="O13" i="2"/>
  <c r="N12" i="8" s="1"/>
  <c r="AB13" i="2"/>
  <c r="AA12" i="8" s="1"/>
  <c r="S13" i="2"/>
  <c r="R12" i="8" s="1"/>
  <c r="Z13" i="2"/>
  <c r="Z135" i="2" s="1"/>
  <c r="AG13" i="2"/>
  <c r="AF12" i="8" s="1"/>
  <c r="AC13" i="2"/>
  <c r="AB12" i="8" s="1"/>
  <c r="AA13" i="2"/>
  <c r="AA135" i="2" s="1"/>
  <c r="Q13" i="2"/>
  <c r="P12" i="8" s="1"/>
  <c r="P13" i="2"/>
  <c r="O12" i="8" s="1"/>
  <c r="G135" i="2"/>
  <c r="E12" i="8"/>
  <c r="W13" i="2"/>
  <c r="V12" i="8" s="1"/>
  <c r="T13" i="2"/>
  <c r="T135" i="2" s="1"/>
  <c r="Y13" i="2"/>
  <c r="X12" i="8" s="1"/>
  <c r="N13" i="2"/>
  <c r="M12" i="8" s="1"/>
  <c r="L13" i="2"/>
  <c r="K12" i="8" s="1"/>
  <c r="R13" i="2"/>
  <c r="R135" i="2" s="1"/>
  <c r="I13" i="2"/>
  <c r="H12" i="8" s="1"/>
  <c r="X13" i="2"/>
  <c r="X135" i="2" s="1"/>
  <c r="AD13" i="2"/>
  <c r="AC12" i="8" s="1"/>
  <c r="K13" i="2"/>
  <c r="K135" i="2" s="1"/>
  <c r="M13" i="2"/>
  <c r="L12" i="8" s="1"/>
  <c r="H13" i="2"/>
  <c r="G12" i="8" s="1"/>
  <c r="J120" i="2"/>
  <c r="I9" i="6" s="1"/>
  <c r="J122" i="2"/>
  <c r="I14" i="8" s="1"/>
  <c r="J15" i="9"/>
  <c r="J20" i="9" s="1"/>
  <c r="L44" i="2"/>
  <c r="K115" i="2"/>
  <c r="K118" i="2" s="1"/>
  <c r="K122" i="2" s="1"/>
  <c r="J14" i="8" s="1"/>
  <c r="K43" i="2"/>
  <c r="I16" i="8"/>
  <c r="AF135" i="2"/>
  <c r="AE12" i="8"/>
  <c r="H7" i="9" l="1"/>
  <c r="H13" i="9" s="1"/>
  <c r="H23" i="9" s="1"/>
  <c r="H9" i="6"/>
  <c r="S12" i="8"/>
  <c r="S20" i="8" s="1"/>
  <c r="Y135" i="2"/>
  <c r="AB135" i="2"/>
  <c r="I135" i="2"/>
  <c r="O135" i="2"/>
  <c r="Q135" i="2"/>
  <c r="AE135" i="2"/>
  <c r="N135" i="2"/>
  <c r="C19" i="8"/>
  <c r="P135" i="2"/>
  <c r="V135" i="2"/>
  <c r="W12" i="8"/>
  <c r="W20" i="8" s="1"/>
  <c r="Z12" i="8"/>
  <c r="Z20" i="8" s="1"/>
  <c r="E6" i="7"/>
  <c r="D5" i="8"/>
  <c r="E5" i="8" s="1"/>
  <c r="F5" i="8" s="1"/>
  <c r="G5" i="8" s="1"/>
  <c r="H5" i="8" s="1"/>
  <c r="I5" i="8" s="1"/>
  <c r="J5" i="8" s="1"/>
  <c r="K5" i="8" s="1"/>
  <c r="L5" i="8" s="1"/>
  <c r="B20" i="21" s="1"/>
  <c r="I12" i="8"/>
  <c r="I20" i="8" s="1"/>
  <c r="S135" i="2"/>
  <c r="D12" i="8"/>
  <c r="D19" i="8" s="1"/>
  <c r="L135" i="2"/>
  <c r="Y12" i="8"/>
  <c r="Y20" i="8" s="1"/>
  <c r="Q12" i="8"/>
  <c r="Q20" i="8" s="1"/>
  <c r="H135" i="2"/>
  <c r="AG135" i="2"/>
  <c r="B36" i="21" s="1"/>
  <c r="J12" i="8"/>
  <c r="J20" i="8" s="1"/>
  <c r="AD135" i="2"/>
  <c r="F12" i="8"/>
  <c r="F20" i="8" s="1"/>
  <c r="AC135" i="2"/>
  <c r="M135" i="2"/>
  <c r="B23" i="21" s="1"/>
  <c r="W135" i="2"/>
  <c r="T12" i="8"/>
  <c r="T20" i="8" s="1"/>
  <c r="F135" i="2"/>
  <c r="J25" i="8"/>
  <c r="L43" i="2"/>
  <c r="J16" i="8"/>
  <c r="J24" i="8" s="1"/>
  <c r="K120" i="2"/>
  <c r="J9" i="6" s="1"/>
  <c r="I25" i="8"/>
  <c r="I24" i="8"/>
  <c r="K15" i="9"/>
  <c r="K20" i="9" s="1"/>
  <c r="M44" i="2"/>
  <c r="L115" i="2"/>
  <c r="L118" i="2" s="1"/>
  <c r="L120" i="2" s="1"/>
  <c r="K9" i="6" s="1"/>
  <c r="I7" i="9"/>
  <c r="I13" i="9" s="1"/>
  <c r="I23" i="9" s="1"/>
  <c r="P20" i="8"/>
  <c r="U20" i="8"/>
  <c r="AA20" i="8"/>
  <c r="AB20" i="8"/>
  <c r="G20" i="8"/>
  <c r="G19" i="8"/>
  <c r="AD20" i="8"/>
  <c r="L20" i="8"/>
  <c r="V20" i="8"/>
  <c r="AF20" i="8"/>
  <c r="K20" i="8"/>
  <c r="E19" i="8"/>
  <c r="E20" i="8"/>
  <c r="R20" i="8"/>
  <c r="O20" i="8"/>
  <c r="N20" i="8"/>
  <c r="M20" i="8"/>
  <c r="AE20" i="8"/>
  <c r="AC20" i="8"/>
  <c r="X20" i="8"/>
  <c r="H19" i="8"/>
  <c r="H20" i="8"/>
  <c r="C17" i="2" l="1"/>
  <c r="B25" i="21"/>
  <c r="B29" i="21" s="1"/>
  <c r="C66" i="2"/>
  <c r="C68" i="2" s="1"/>
  <c r="C71" i="2"/>
  <c r="C73" i="2" s="1"/>
  <c r="C75" i="2" s="1"/>
  <c r="C27" i="8"/>
  <c r="C6" i="8" s="1"/>
  <c r="I19" i="8"/>
  <c r="I27" i="8" s="1"/>
  <c r="I6" i="8" s="1"/>
  <c r="M5" i="8"/>
  <c r="N5" i="8" s="1"/>
  <c r="O5" i="8" s="1"/>
  <c r="P5" i="8" s="1"/>
  <c r="Q5" i="8" s="1"/>
  <c r="R5" i="8" s="1"/>
  <c r="S5" i="8" s="1"/>
  <c r="T5" i="8" s="1"/>
  <c r="U5" i="8" s="1"/>
  <c r="V5" i="8" s="1"/>
  <c r="W5" i="8" s="1"/>
  <c r="X5" i="8" s="1"/>
  <c r="Y5" i="8" s="1"/>
  <c r="Z5" i="8" s="1"/>
  <c r="AA5" i="8" s="1"/>
  <c r="AB5" i="8" s="1"/>
  <c r="AC5" i="8" s="1"/>
  <c r="AD5" i="8" s="1"/>
  <c r="AE5" i="8" s="1"/>
  <c r="AF5" i="8" s="1"/>
  <c r="B33" i="21" s="1"/>
  <c r="B38" i="21" s="1"/>
  <c r="B42" i="21" s="1"/>
  <c r="F19" i="8"/>
  <c r="F27" i="8" s="1"/>
  <c r="F6" i="8" s="1"/>
  <c r="D20" i="8"/>
  <c r="D27" i="8" s="1"/>
  <c r="D6" i="8" s="1"/>
  <c r="L122" i="2"/>
  <c r="K14" i="8" s="1"/>
  <c r="K25" i="8" s="1"/>
  <c r="J19" i="8"/>
  <c r="J27" i="8" s="1"/>
  <c r="J6" i="8" s="1"/>
  <c r="L15" i="9"/>
  <c r="L20" i="9" s="1"/>
  <c r="N44" i="2"/>
  <c r="M115" i="2"/>
  <c r="M118" i="2" s="1"/>
  <c r="M120" i="2" s="1"/>
  <c r="L9" i="6" s="1"/>
  <c r="K16" i="8"/>
  <c r="K19" i="8" s="1"/>
  <c r="M43" i="2"/>
  <c r="J7" i="9"/>
  <c r="J13" i="9" s="1"/>
  <c r="J23" i="9" s="1"/>
  <c r="K7" i="9"/>
  <c r="K13" i="9" s="1"/>
  <c r="K23" i="9" s="1"/>
  <c r="H27" i="8"/>
  <c r="H6" i="8" s="1"/>
  <c r="G27" i="8"/>
  <c r="G6" i="8" s="1"/>
  <c r="E27" i="8"/>
  <c r="E6" i="8" s="1"/>
  <c r="D111" i="2" l="1"/>
  <c r="C5" i="9" s="1"/>
  <c r="C11" i="9" s="1"/>
  <c r="C18" i="2"/>
  <c r="C7" i="6" s="1"/>
  <c r="B6" i="5"/>
  <c r="K24" i="8"/>
  <c r="K27" i="8" s="1"/>
  <c r="K6" i="8" s="1"/>
  <c r="M122" i="2"/>
  <c r="L14" i="8" s="1"/>
  <c r="L7" i="9"/>
  <c r="L13" i="9" s="1"/>
  <c r="L23" i="9" s="1"/>
  <c r="M15" i="9"/>
  <c r="M20" i="9" s="1"/>
  <c r="O44" i="2"/>
  <c r="N115" i="2"/>
  <c r="N118" i="2" s="1"/>
  <c r="N43" i="2"/>
  <c r="L16" i="8"/>
  <c r="L19" i="8" s="1"/>
  <c r="I111" i="2"/>
  <c r="H5" i="9" s="1"/>
  <c r="H11" i="9" s="1"/>
  <c r="H18" i="9" s="1"/>
  <c r="H25" i="9" s="1"/>
  <c r="H18" i="6" s="1"/>
  <c r="C6" i="6"/>
  <c r="AB111" i="2"/>
  <c r="AA8" i="6" s="1"/>
  <c r="AG111" i="2"/>
  <c r="AF5" i="9" s="1"/>
  <c r="AF11" i="9" s="1"/>
  <c r="AF18" i="9" s="1"/>
  <c r="M111" i="2"/>
  <c r="L8" i="6" s="1"/>
  <c r="K111" i="2"/>
  <c r="J5" i="9" s="1"/>
  <c r="J11" i="9" s="1"/>
  <c r="AE111" i="2"/>
  <c r="AD5" i="9" s="1"/>
  <c r="AD11" i="9" s="1"/>
  <c r="AF111" i="2"/>
  <c r="AE5" i="9" s="1"/>
  <c r="AE11" i="9" s="1"/>
  <c r="AE18" i="9" s="1"/>
  <c r="Z111" i="2"/>
  <c r="Y8" i="6" s="1"/>
  <c r="J111" i="2"/>
  <c r="I5" i="9" s="1"/>
  <c r="I11" i="9" s="1"/>
  <c r="I18" i="9" s="1"/>
  <c r="I25" i="9" s="1"/>
  <c r="I18" i="6" s="1"/>
  <c r="F111" i="2"/>
  <c r="E5" i="9" s="1"/>
  <c r="E11" i="9" s="1"/>
  <c r="G111" i="2"/>
  <c r="F8" i="6" s="1"/>
  <c r="N111" i="2"/>
  <c r="M5" i="9" s="1"/>
  <c r="M11" i="9" s="1"/>
  <c r="M18" i="9" s="1"/>
  <c r="T111" i="2"/>
  <c r="S5" i="9" s="1"/>
  <c r="S11" i="9" s="1"/>
  <c r="S18" i="9" s="1"/>
  <c r="X111" i="2"/>
  <c r="W8" i="6" s="1"/>
  <c r="AC111" i="2"/>
  <c r="AB5" i="9" s="1"/>
  <c r="AB11" i="9" s="1"/>
  <c r="Y111" i="2"/>
  <c r="X5" i="9" s="1"/>
  <c r="X11" i="9" s="1"/>
  <c r="S111" i="2"/>
  <c r="R5" i="9" s="1"/>
  <c r="R11" i="9" s="1"/>
  <c r="R18" i="9" s="1"/>
  <c r="W111" i="2"/>
  <c r="V5" i="9" s="1"/>
  <c r="V11" i="9" s="1"/>
  <c r="V18" i="9" s="1"/>
  <c r="O111" i="2"/>
  <c r="N8" i="6" s="1"/>
  <c r="P111" i="2"/>
  <c r="O5" i="9" s="1"/>
  <c r="O11" i="9" s="1"/>
  <c r="O18" i="9" s="1"/>
  <c r="H111" i="2"/>
  <c r="G8" i="6" s="1"/>
  <c r="R111" i="2"/>
  <c r="Q5" i="9" s="1"/>
  <c r="Q11" i="9" s="1"/>
  <c r="Q18" i="9" s="1"/>
  <c r="E111" i="2"/>
  <c r="D8" i="6" s="1"/>
  <c r="AD111" i="2"/>
  <c r="AC5" i="9" s="1"/>
  <c r="AC11" i="9" s="1"/>
  <c r="AC18" i="9" s="1"/>
  <c r="L111" i="2"/>
  <c r="K5" i="9" s="1"/>
  <c r="K11" i="9" s="1"/>
  <c r="K18" i="9" s="1"/>
  <c r="K25" i="9" s="1"/>
  <c r="K18" i="6" s="1"/>
  <c r="V111" i="2"/>
  <c r="U5" i="9" s="1"/>
  <c r="U11" i="9" s="1"/>
  <c r="AA111" i="2"/>
  <c r="Z5" i="9" s="1"/>
  <c r="Z11" i="9" s="1"/>
  <c r="Z18" i="9" s="1"/>
  <c r="Q111" i="2"/>
  <c r="P5" i="9" s="1"/>
  <c r="P11" i="9" s="1"/>
  <c r="U111" i="2"/>
  <c r="T5" i="9" s="1"/>
  <c r="T11" i="9" s="1"/>
  <c r="C18" i="9" l="1"/>
  <c r="C25" i="9" s="1"/>
  <c r="C10" i="4" s="1"/>
  <c r="H8" i="6"/>
  <c r="H7" i="8" s="1"/>
  <c r="N122" i="2"/>
  <c r="M14" i="8" s="1"/>
  <c r="L24" i="8"/>
  <c r="L25" i="8"/>
  <c r="N15" i="9"/>
  <c r="N20" i="9" s="1"/>
  <c r="P44" i="2"/>
  <c r="O115" i="2"/>
  <c r="O118" i="2" s="1"/>
  <c r="O122" i="2" s="1"/>
  <c r="N14" i="8" s="1"/>
  <c r="O43" i="2"/>
  <c r="M16" i="8"/>
  <c r="M19" i="8" s="1"/>
  <c r="N120" i="2"/>
  <c r="M9" i="6" s="1"/>
  <c r="AB8" i="6"/>
  <c r="W5" i="9"/>
  <c r="W11" i="9" s="1"/>
  <c r="W18" i="9" s="1"/>
  <c r="I8" i="6"/>
  <c r="I7" i="8" s="1"/>
  <c r="O8" i="6"/>
  <c r="L5" i="9"/>
  <c r="L11" i="9" s="1"/>
  <c r="L18" i="9" s="1"/>
  <c r="L25" i="9" s="1"/>
  <c r="L18" i="6" s="1"/>
  <c r="AC8" i="6"/>
  <c r="AF8" i="6"/>
  <c r="N5" i="9"/>
  <c r="N11" i="9" s="1"/>
  <c r="N18" i="9" s="1"/>
  <c r="M8" i="6"/>
  <c r="AA5" i="9"/>
  <c r="AA11" i="9" s="1"/>
  <c r="AA18" i="9" s="1"/>
  <c r="Z8" i="6"/>
  <c r="P8" i="6"/>
  <c r="K8" i="6"/>
  <c r="K7" i="8" s="1"/>
  <c r="U8" i="6"/>
  <c r="Y5" i="9"/>
  <c r="Y11" i="9" s="1"/>
  <c r="Y18" i="9" s="1"/>
  <c r="S8" i="6"/>
  <c r="AD8" i="6"/>
  <c r="V8" i="6"/>
  <c r="X8" i="6"/>
  <c r="D5" i="9"/>
  <c r="D11" i="9" s="1"/>
  <c r="D18" i="9" s="1"/>
  <c r="D25" i="9" s="1"/>
  <c r="D18" i="6" s="1"/>
  <c r="C8" i="6"/>
  <c r="C12" i="6" s="1"/>
  <c r="D7" i="6" s="1"/>
  <c r="D12" i="6" s="1"/>
  <c r="G5" i="9"/>
  <c r="G11" i="9" s="1"/>
  <c r="G18" i="9" s="1"/>
  <c r="G25" i="9" s="1"/>
  <c r="G18" i="6" s="1"/>
  <c r="F5" i="9"/>
  <c r="F11" i="9" s="1"/>
  <c r="F18" i="9" s="1"/>
  <c r="F25" i="9" s="1"/>
  <c r="F18" i="6" s="1"/>
  <c r="J8" i="6"/>
  <c r="J7" i="8" s="1"/>
  <c r="Q8" i="6"/>
  <c r="R8" i="6"/>
  <c r="E8" i="6"/>
  <c r="E6" i="4" s="1"/>
  <c r="T8" i="6"/>
  <c r="AE8" i="6"/>
  <c r="H10" i="4"/>
  <c r="D6" i="4"/>
  <c r="D7" i="8"/>
  <c r="AB18" i="9"/>
  <c r="T18" i="9"/>
  <c r="U18" i="9"/>
  <c r="I10" i="4"/>
  <c r="E18" i="9"/>
  <c r="E25" i="9" s="1"/>
  <c r="E18" i="6" s="1"/>
  <c r="L7" i="8"/>
  <c r="L6" i="4"/>
  <c r="K10" i="4"/>
  <c r="AD18" i="9"/>
  <c r="P18" i="9"/>
  <c r="G6" i="4"/>
  <c r="G7" i="8"/>
  <c r="X18" i="9"/>
  <c r="F6" i="4"/>
  <c r="F7" i="8"/>
  <c r="J18" i="9"/>
  <c r="J25" i="9" s="1"/>
  <c r="J18" i="6" s="1"/>
  <c r="C18" i="6" l="1"/>
  <c r="C19" i="6" s="1"/>
  <c r="C20" i="6" s="1"/>
  <c r="C23" i="6" s="1"/>
  <c r="L27" i="8"/>
  <c r="L6" i="8" s="1"/>
  <c r="H6" i="4"/>
  <c r="O120" i="2"/>
  <c r="N9" i="6" s="1"/>
  <c r="O15" i="9"/>
  <c r="O20" i="9" s="1"/>
  <c r="Q44" i="2"/>
  <c r="P115" i="2"/>
  <c r="P118" i="2" s="1"/>
  <c r="M7" i="9"/>
  <c r="M13" i="9" s="1"/>
  <c r="M7" i="8"/>
  <c r="M24" i="8"/>
  <c r="M25" i="8"/>
  <c r="P43" i="2"/>
  <c r="N16" i="8"/>
  <c r="N19" i="8" s="1"/>
  <c r="N25" i="8"/>
  <c r="I6" i="4"/>
  <c r="L10" i="4"/>
  <c r="J6" i="4"/>
  <c r="K6" i="4"/>
  <c r="E7" i="8"/>
  <c r="D10" i="4"/>
  <c r="F10" i="4"/>
  <c r="H10" i="6"/>
  <c r="G10" i="6"/>
  <c r="C6" i="4"/>
  <c r="K10" i="6"/>
  <c r="B7" i="5"/>
  <c r="B8" i="5" s="1"/>
  <c r="B10" i="5" s="1"/>
  <c r="J10" i="6"/>
  <c r="C10" i="6"/>
  <c r="L10" i="6"/>
  <c r="I10" i="6"/>
  <c r="C7" i="8"/>
  <c r="D10" i="6"/>
  <c r="F10" i="6"/>
  <c r="E10" i="6"/>
  <c r="J10" i="4"/>
  <c r="C7" i="5"/>
  <c r="E7" i="6"/>
  <c r="E12" i="6" s="1"/>
  <c r="G10" i="4"/>
  <c r="E10" i="4"/>
  <c r="D19" i="6" l="1"/>
  <c r="D20" i="6" s="1"/>
  <c r="N7" i="9"/>
  <c r="N13" i="9" s="1"/>
  <c r="N23" i="9" s="1"/>
  <c r="M10" i="6"/>
  <c r="N10" i="6"/>
  <c r="M6" i="4"/>
  <c r="N24" i="8"/>
  <c r="N27" i="8" s="1"/>
  <c r="N6" i="8" s="1"/>
  <c r="M27" i="8"/>
  <c r="M6" i="8" s="1"/>
  <c r="Q43" i="2"/>
  <c r="O16" i="8"/>
  <c r="O19" i="8" s="1"/>
  <c r="N6" i="4"/>
  <c r="N7" i="8"/>
  <c r="P122" i="2"/>
  <c r="O14" i="8" s="1"/>
  <c r="P120" i="2"/>
  <c r="O9" i="6" s="1"/>
  <c r="M23" i="9"/>
  <c r="M25" i="9" s="1"/>
  <c r="M18" i="6" s="1"/>
  <c r="P15" i="9"/>
  <c r="P20" i="9" s="1"/>
  <c r="R44" i="2"/>
  <c r="Q115" i="2"/>
  <c r="Q118" i="2" s="1"/>
  <c r="E8" i="7"/>
  <c r="D7" i="5"/>
  <c r="F7" i="6"/>
  <c r="F12" i="6" s="1"/>
  <c r="E19" i="6" l="1"/>
  <c r="E20" i="6" s="1"/>
  <c r="F19" i="6" s="1"/>
  <c r="F20" i="6" s="1"/>
  <c r="G19" i="6" s="1"/>
  <c r="G20" i="6" s="1"/>
  <c r="H19" i="6" s="1"/>
  <c r="H20" i="6" s="1"/>
  <c r="I19" i="6" s="1"/>
  <c r="I20" i="6" s="1"/>
  <c r="J19" i="6" s="1"/>
  <c r="J20" i="6" s="1"/>
  <c r="K19" i="6" s="1"/>
  <c r="K20" i="6" s="1"/>
  <c r="L19" i="6" s="1"/>
  <c r="L20" i="6" s="1"/>
  <c r="M19" i="6" s="1"/>
  <c r="M20" i="6" s="1"/>
  <c r="N25" i="9"/>
  <c r="N18" i="6" s="1"/>
  <c r="Q15" i="9"/>
  <c r="Q20" i="9" s="1"/>
  <c r="S44" i="2"/>
  <c r="R115" i="2"/>
  <c r="R118" i="2" s="1"/>
  <c r="P16" i="8"/>
  <c r="P19" i="8" s="1"/>
  <c r="R43" i="2"/>
  <c r="M10" i="4"/>
  <c r="O7" i="9"/>
  <c r="O13" i="9" s="1"/>
  <c r="O25" i="8"/>
  <c r="O24" i="8"/>
  <c r="Q122" i="2"/>
  <c r="P14" i="8" s="1"/>
  <c r="Q120" i="2"/>
  <c r="P9" i="6" s="1"/>
  <c r="E7" i="5"/>
  <c r="G7" i="6"/>
  <c r="G12" i="6" s="1"/>
  <c r="N19" i="6" l="1"/>
  <c r="N20" i="6" s="1"/>
  <c r="N10" i="4"/>
  <c r="O27" i="8"/>
  <c r="O6" i="8" s="1"/>
  <c r="O7" i="8"/>
  <c r="O6" i="4"/>
  <c r="O10" i="6"/>
  <c r="O23" i="9"/>
  <c r="O25" i="9" s="1"/>
  <c r="O18" i="6" s="1"/>
  <c r="P25" i="8"/>
  <c r="P24" i="8"/>
  <c r="R15" i="9"/>
  <c r="R20" i="9" s="1"/>
  <c r="T44" i="2"/>
  <c r="S115" i="2"/>
  <c r="S118" i="2" s="1"/>
  <c r="P7" i="9"/>
  <c r="P13" i="9" s="1"/>
  <c r="S43" i="2"/>
  <c r="Q16" i="8"/>
  <c r="Q19" i="8" s="1"/>
  <c r="R122" i="2"/>
  <c r="Q14" i="8" s="1"/>
  <c r="R120" i="2"/>
  <c r="Q9" i="6" s="1"/>
  <c r="F7" i="5"/>
  <c r="H7" i="6"/>
  <c r="H12" i="6" s="1"/>
  <c r="O19" i="6" l="1"/>
  <c r="O20" i="6" s="1"/>
  <c r="P27" i="8"/>
  <c r="P6" i="8" s="1"/>
  <c r="O10" i="4"/>
  <c r="P23" i="9"/>
  <c r="P25" i="9" s="1"/>
  <c r="P18" i="6" s="1"/>
  <c r="S120" i="2"/>
  <c r="R9" i="6" s="1"/>
  <c r="S122" i="2"/>
  <c r="R14" i="8" s="1"/>
  <c r="S15" i="9"/>
  <c r="S20" i="9" s="1"/>
  <c r="U44" i="2"/>
  <c r="T115" i="2"/>
  <c r="T118" i="2" s="1"/>
  <c r="Q25" i="8"/>
  <c r="Q24" i="8"/>
  <c r="P7" i="8"/>
  <c r="P6" i="4"/>
  <c r="Q7" i="9"/>
  <c r="Q13" i="9" s="1"/>
  <c r="Q10" i="6"/>
  <c r="P10" i="6"/>
  <c r="T43" i="2"/>
  <c r="R16" i="8"/>
  <c r="R19" i="8" s="1"/>
  <c r="G7" i="5"/>
  <c r="I7" i="6"/>
  <c r="I12" i="6" s="1"/>
  <c r="P19" i="6" l="1"/>
  <c r="P20" i="6" s="1"/>
  <c r="Q27" i="8"/>
  <c r="Q6" i="8" s="1"/>
  <c r="U43" i="2"/>
  <c r="S16" i="8"/>
  <c r="S19" i="8" s="1"/>
  <c r="Q6" i="4"/>
  <c r="Q7" i="8"/>
  <c r="P10" i="4"/>
  <c r="Q23" i="9"/>
  <c r="Q25" i="9" s="1"/>
  <c r="Q18" i="6" s="1"/>
  <c r="T122" i="2"/>
  <c r="S14" i="8" s="1"/>
  <c r="T120" i="2"/>
  <c r="S9" i="6" s="1"/>
  <c r="R25" i="8"/>
  <c r="R24" i="8"/>
  <c r="R7" i="9"/>
  <c r="R13" i="9" s="1"/>
  <c r="T15" i="9"/>
  <c r="T20" i="9" s="1"/>
  <c r="V44" i="2"/>
  <c r="U115" i="2"/>
  <c r="U118" i="2" s="1"/>
  <c r="J7" i="6"/>
  <c r="J12" i="6" s="1"/>
  <c r="H7" i="5"/>
  <c r="Q19" i="6" l="1"/>
  <c r="Q20" i="6" s="1"/>
  <c r="R27" i="8"/>
  <c r="R6" i="8" s="1"/>
  <c r="U120" i="2"/>
  <c r="T9" i="6" s="1"/>
  <c r="U122" i="2"/>
  <c r="T14" i="8" s="1"/>
  <c r="S24" i="8"/>
  <c r="S25" i="8"/>
  <c r="T16" i="8"/>
  <c r="T19" i="8" s="1"/>
  <c r="V43" i="2"/>
  <c r="U15" i="9"/>
  <c r="U20" i="9" s="1"/>
  <c r="W44" i="2"/>
  <c r="V115" i="2"/>
  <c r="V118" i="2" s="1"/>
  <c r="Q10" i="4"/>
  <c r="R23" i="9"/>
  <c r="R25" i="9" s="1"/>
  <c r="R18" i="6" s="1"/>
  <c r="R6" i="4"/>
  <c r="R7" i="8"/>
  <c r="S7" i="9"/>
  <c r="S13" i="9" s="1"/>
  <c r="S10" i="6"/>
  <c r="R10" i="6"/>
  <c r="I7" i="5"/>
  <c r="K7" i="6"/>
  <c r="K12" i="6" s="1"/>
  <c r="R19" i="6" l="1"/>
  <c r="R20" i="6" s="1"/>
  <c r="S27" i="8"/>
  <c r="S6" i="8" s="1"/>
  <c r="V15" i="9"/>
  <c r="V20" i="9" s="1"/>
  <c r="X44" i="2"/>
  <c r="W115" i="2"/>
  <c r="W118" i="2" s="1"/>
  <c r="S7" i="8"/>
  <c r="S6" i="4"/>
  <c r="S23" i="9"/>
  <c r="S25" i="9" s="1"/>
  <c r="S18" i="6" s="1"/>
  <c r="R10" i="4"/>
  <c r="V120" i="2"/>
  <c r="U9" i="6" s="1"/>
  <c r="V122" i="2"/>
  <c r="U14" i="8" s="1"/>
  <c r="T25" i="8"/>
  <c r="T24" i="8"/>
  <c r="T7" i="9"/>
  <c r="T13" i="9" s="1"/>
  <c r="W43" i="2"/>
  <c r="U16" i="8"/>
  <c r="U19" i="8" s="1"/>
  <c r="J7" i="5"/>
  <c r="L7" i="6"/>
  <c r="L12" i="6" s="1"/>
  <c r="S19" i="6" l="1"/>
  <c r="S20" i="6" s="1"/>
  <c r="T27" i="8"/>
  <c r="T6" i="8" s="1"/>
  <c r="S10" i="4"/>
  <c r="U7" i="9"/>
  <c r="U13" i="9" s="1"/>
  <c r="W15" i="9"/>
  <c r="W20" i="9" s="1"/>
  <c r="Y44" i="2"/>
  <c r="X115" i="2"/>
  <c r="X118" i="2" s="1"/>
  <c r="X43" i="2"/>
  <c r="V16" i="8"/>
  <c r="V19" i="8" s="1"/>
  <c r="T23" i="9"/>
  <c r="T25" i="9" s="1"/>
  <c r="T18" i="6" s="1"/>
  <c r="U24" i="8"/>
  <c r="U25" i="8"/>
  <c r="W120" i="2"/>
  <c r="V9" i="6" s="1"/>
  <c r="W122" i="2"/>
  <c r="V14" i="8" s="1"/>
  <c r="T6" i="4"/>
  <c r="T7" i="8"/>
  <c r="T10" i="6"/>
  <c r="M7" i="6"/>
  <c r="M12" i="6" s="1"/>
  <c r="K7" i="5"/>
  <c r="T19" i="6" l="1"/>
  <c r="T20" i="6" s="1"/>
  <c r="U27" i="8"/>
  <c r="U6" i="8" s="1"/>
  <c r="V24" i="8"/>
  <c r="V25" i="8"/>
  <c r="Y43" i="2"/>
  <c r="W16" i="8"/>
  <c r="W19" i="8" s="1"/>
  <c r="V7" i="9"/>
  <c r="V13" i="9" s="1"/>
  <c r="X122" i="2"/>
  <c r="W14" i="8" s="1"/>
  <c r="X120" i="2"/>
  <c r="W9" i="6" s="1"/>
  <c r="X15" i="9"/>
  <c r="X20" i="9" s="1"/>
  <c r="Z44" i="2"/>
  <c r="Y115" i="2"/>
  <c r="Y118" i="2" s="1"/>
  <c r="U6" i="4"/>
  <c r="U7" i="8"/>
  <c r="U10" i="6"/>
  <c r="T10" i="4"/>
  <c r="U23" i="9"/>
  <c r="U25" i="9" s="1"/>
  <c r="U18" i="6" s="1"/>
  <c r="U19" i="6" s="1"/>
  <c r="U20" i="6" s="1"/>
  <c r="L7" i="5"/>
  <c r="N7" i="6"/>
  <c r="N12" i="6" s="1"/>
  <c r="V27" i="8" l="1"/>
  <c r="V6" i="8" s="1"/>
  <c r="U10" i="4"/>
  <c r="V23" i="9"/>
  <c r="V25" i="9" s="1"/>
  <c r="V18" i="6" s="1"/>
  <c r="V19" i="6" s="1"/>
  <c r="V20" i="6" s="1"/>
  <c r="V7" i="8"/>
  <c r="V6" i="4"/>
  <c r="Y122" i="2"/>
  <c r="X14" i="8" s="1"/>
  <c r="Y120" i="2"/>
  <c r="X9" i="6" s="1"/>
  <c r="Y15" i="9"/>
  <c r="Y20" i="9" s="1"/>
  <c r="AA44" i="2"/>
  <c r="Z115" i="2"/>
  <c r="Z118" i="2" s="1"/>
  <c r="Z43" i="2"/>
  <c r="X16" i="8"/>
  <c r="X19" i="8" s="1"/>
  <c r="V10" i="6"/>
  <c r="W7" i="9"/>
  <c r="W13" i="9" s="1"/>
  <c r="W10" i="6"/>
  <c r="W24" i="8"/>
  <c r="W25" i="8"/>
  <c r="M7" i="5"/>
  <c r="O7" i="6"/>
  <c r="O12" i="6" s="1"/>
  <c r="W27" i="8" l="1"/>
  <c r="W6" i="8" s="1"/>
  <c r="Z15" i="9"/>
  <c r="Z20" i="9" s="1"/>
  <c r="AB44" i="2"/>
  <c r="AA115" i="2"/>
  <c r="AA118" i="2" s="1"/>
  <c r="AA43" i="2"/>
  <c r="Y16" i="8"/>
  <c r="Y19" i="8" s="1"/>
  <c r="V10" i="4"/>
  <c r="Z120" i="2"/>
  <c r="Y9" i="6" s="1"/>
  <c r="Z122" i="2"/>
  <c r="Y14" i="8" s="1"/>
  <c r="X7" i="9"/>
  <c r="X13" i="9" s="1"/>
  <c r="W23" i="9"/>
  <c r="W25" i="9" s="1"/>
  <c r="W18" i="6" s="1"/>
  <c r="W19" i="6" s="1"/>
  <c r="W20" i="6" s="1"/>
  <c r="W7" i="8"/>
  <c r="W6" i="4"/>
  <c r="X24" i="8"/>
  <c r="X25" i="8"/>
  <c r="N7" i="5"/>
  <c r="P7" i="6"/>
  <c r="P12" i="6" s="1"/>
  <c r="X27" i="8" l="1"/>
  <c r="X6" i="8" s="1"/>
  <c r="W10" i="4"/>
  <c r="X6" i="4"/>
  <c r="X7" i="8"/>
  <c r="X10" i="6"/>
  <c r="AA120" i="2"/>
  <c r="Z9" i="6" s="1"/>
  <c r="AA122" i="2"/>
  <c r="Z14" i="8" s="1"/>
  <c r="X23" i="9"/>
  <c r="X25" i="9" s="1"/>
  <c r="X18" i="6" s="1"/>
  <c r="X19" i="6" s="1"/>
  <c r="X20" i="6" s="1"/>
  <c r="Z16" i="8"/>
  <c r="Z19" i="8" s="1"/>
  <c r="AB43" i="2"/>
  <c r="Y24" i="8"/>
  <c r="Y25" i="8"/>
  <c r="AA15" i="9"/>
  <c r="AA20" i="9" s="1"/>
  <c r="AC44" i="2"/>
  <c r="AB115" i="2"/>
  <c r="AB118" i="2" s="1"/>
  <c r="Y7" i="9"/>
  <c r="Y13" i="9" s="1"/>
  <c r="O7" i="5"/>
  <c r="Q7" i="6"/>
  <c r="Q12" i="6" s="1"/>
  <c r="Y27" i="8" l="1"/>
  <c r="Y6" i="8" s="1"/>
  <c r="Y7" i="8"/>
  <c r="Y6" i="4"/>
  <c r="Y10" i="6"/>
  <c r="AC43" i="2"/>
  <c r="AA16" i="8"/>
  <c r="AA19" i="8" s="1"/>
  <c r="AB120" i="2"/>
  <c r="AA9" i="6" s="1"/>
  <c r="AB122" i="2"/>
  <c r="AA14" i="8" s="1"/>
  <c r="X10" i="4"/>
  <c r="AB15" i="9"/>
  <c r="AB20" i="9" s="1"/>
  <c r="AD44" i="2"/>
  <c r="AC115" i="2"/>
  <c r="AC118" i="2" s="1"/>
  <c r="Z7" i="9"/>
  <c r="Z13" i="9" s="1"/>
  <c r="Y23" i="9"/>
  <c r="Y25" i="9" s="1"/>
  <c r="Y18" i="6" s="1"/>
  <c r="Y19" i="6" s="1"/>
  <c r="Y20" i="6" s="1"/>
  <c r="Z25" i="8"/>
  <c r="Z24" i="8"/>
  <c r="P7" i="5"/>
  <c r="R7" i="6"/>
  <c r="R12" i="6" s="1"/>
  <c r="Z27" i="8" l="1"/>
  <c r="Z6" i="8" s="1"/>
  <c r="AA7" i="9"/>
  <c r="AA13" i="9" s="1"/>
  <c r="Z6" i="4"/>
  <c r="Z7" i="8"/>
  <c r="Z10" i="6"/>
  <c r="Z23" i="9"/>
  <c r="Z25" i="9" s="1"/>
  <c r="Z18" i="6" s="1"/>
  <c r="Z19" i="6" s="1"/>
  <c r="Z20" i="6" s="1"/>
  <c r="AD43" i="2"/>
  <c r="AB16" i="8"/>
  <c r="AB19" i="8" s="1"/>
  <c r="AA25" i="8"/>
  <c r="AA24" i="8"/>
  <c r="AC15" i="9"/>
  <c r="AC20" i="9" s="1"/>
  <c r="AE44" i="2"/>
  <c r="AD115" i="2"/>
  <c r="AD118" i="2" s="1"/>
  <c r="AC120" i="2"/>
  <c r="AB9" i="6" s="1"/>
  <c r="AC122" i="2"/>
  <c r="AB14" i="8" s="1"/>
  <c r="Y10" i="4"/>
  <c r="Q7" i="5"/>
  <c r="S7" i="6"/>
  <c r="S12" i="6" s="1"/>
  <c r="AA27" i="8" l="1"/>
  <c r="AA6" i="8" s="1"/>
  <c r="AD120" i="2"/>
  <c r="AC9" i="6" s="1"/>
  <c r="AD122" i="2"/>
  <c r="AC14" i="8" s="1"/>
  <c r="AD15" i="9"/>
  <c r="AD20" i="9" s="1"/>
  <c r="AF44" i="2"/>
  <c r="AE115" i="2"/>
  <c r="AE118" i="2" s="1"/>
  <c r="AA6" i="4"/>
  <c r="AA7" i="8"/>
  <c r="AA10" i="6"/>
  <c r="AA23" i="9"/>
  <c r="AA25" i="9" s="1"/>
  <c r="AA18" i="6" s="1"/>
  <c r="AA19" i="6" s="1"/>
  <c r="AA20" i="6" s="1"/>
  <c r="Z10" i="4"/>
  <c r="AB24" i="8"/>
  <c r="AB25" i="8"/>
  <c r="AB7" i="9"/>
  <c r="AB13" i="9" s="1"/>
  <c r="AE43" i="2"/>
  <c r="AC16" i="8"/>
  <c r="AC19" i="8" s="1"/>
  <c r="R7" i="5"/>
  <c r="T7" i="6"/>
  <c r="T12" i="6" s="1"/>
  <c r="AB27" i="8" l="1"/>
  <c r="AB6" i="8" s="1"/>
  <c r="AE15" i="9"/>
  <c r="AE20" i="9" s="1"/>
  <c r="AG44" i="2"/>
  <c r="AF115" i="2"/>
  <c r="AF118" i="2" s="1"/>
  <c r="AE120" i="2"/>
  <c r="AD9" i="6" s="1"/>
  <c r="AE122" i="2"/>
  <c r="AD14" i="8" s="1"/>
  <c r="AC24" i="8"/>
  <c r="AC25" i="8"/>
  <c r="AA10" i="4"/>
  <c r="AC7" i="9"/>
  <c r="AC13" i="9" s="1"/>
  <c r="AD16" i="8"/>
  <c r="AD19" i="8" s="1"/>
  <c r="AF43" i="2"/>
  <c r="AB6" i="4"/>
  <c r="AB7" i="8"/>
  <c r="AB10" i="6"/>
  <c r="AB23" i="9"/>
  <c r="AB25" i="9" s="1"/>
  <c r="AB18" i="6" s="1"/>
  <c r="AB19" i="6" s="1"/>
  <c r="AB20" i="6" s="1"/>
  <c r="U7" i="6"/>
  <c r="U12" i="6" s="1"/>
  <c r="S7" i="5"/>
  <c r="AC27" i="8" l="1"/>
  <c r="AC6" i="8" s="1"/>
  <c r="AC23" i="9"/>
  <c r="AC25" i="9" s="1"/>
  <c r="AC18" i="6" s="1"/>
  <c r="AC19" i="6" s="1"/>
  <c r="AC20" i="6" s="1"/>
  <c r="AC6" i="4"/>
  <c r="AC7" i="8"/>
  <c r="AC10" i="6"/>
  <c r="AD24" i="8"/>
  <c r="AD25" i="8"/>
  <c r="AF15" i="9"/>
  <c r="AF20" i="9" s="1"/>
  <c r="AG115" i="2"/>
  <c r="AG118" i="2" s="1"/>
  <c r="AD7" i="9"/>
  <c r="AD13" i="9" s="1"/>
  <c r="AF122" i="2"/>
  <c r="AE14" i="8" s="1"/>
  <c r="AF120" i="2"/>
  <c r="AE9" i="6" s="1"/>
  <c r="AG43" i="2"/>
  <c r="AE16" i="8"/>
  <c r="AE19" i="8" s="1"/>
  <c r="AB10" i="4"/>
  <c r="V7" i="6"/>
  <c r="V12" i="6" s="1"/>
  <c r="T7" i="5"/>
  <c r="AD27" i="8" l="1"/>
  <c r="AD6" i="8" s="1"/>
  <c r="AC10" i="4"/>
  <c r="AD6" i="4"/>
  <c r="AD7" i="8"/>
  <c r="AD10" i="6"/>
  <c r="AD23" i="9"/>
  <c r="AD25" i="9" s="1"/>
  <c r="AD18" i="6" s="1"/>
  <c r="AD19" i="6" s="1"/>
  <c r="AD20" i="6" s="1"/>
  <c r="AG120" i="2"/>
  <c r="AF9" i="6" s="1"/>
  <c r="AG122" i="2"/>
  <c r="AF14" i="8" s="1"/>
  <c r="AE7" i="9"/>
  <c r="AE13" i="9" s="1"/>
  <c r="AE24" i="8"/>
  <c r="AE25" i="8"/>
  <c r="AF16" i="8"/>
  <c r="AF19" i="8" s="1"/>
  <c r="W7" i="6"/>
  <c r="W12" i="6" s="1"/>
  <c r="U7" i="5"/>
  <c r="AE27" i="8" l="1"/>
  <c r="AE6" i="8" s="1"/>
  <c r="AD10" i="4"/>
  <c r="AE7" i="8"/>
  <c r="AE6" i="4"/>
  <c r="AE10" i="6"/>
  <c r="AF7" i="9"/>
  <c r="AF13" i="9" s="1"/>
  <c r="AE23" i="9"/>
  <c r="AE25" i="9" s="1"/>
  <c r="AE18" i="6" s="1"/>
  <c r="AE19" i="6" s="1"/>
  <c r="AE20" i="6" s="1"/>
  <c r="AF25" i="8"/>
  <c r="AF24" i="8"/>
  <c r="V7" i="5"/>
  <c r="X7" i="6"/>
  <c r="X12" i="6" s="1"/>
  <c r="AF27" i="8" l="1"/>
  <c r="AF6" i="8" s="1"/>
  <c r="AF7" i="8"/>
  <c r="AF6" i="4"/>
  <c r="AF10" i="6"/>
  <c r="AE10" i="4"/>
  <c r="AF23" i="9"/>
  <c r="AF25" i="9" s="1"/>
  <c r="AF18" i="6" s="1"/>
  <c r="AF19" i="6" s="1"/>
  <c r="AF20" i="6" s="1"/>
  <c r="Y7" i="6"/>
  <c r="Y12" i="6" s="1"/>
  <c r="W7" i="5"/>
  <c r="AF10" i="4" l="1"/>
  <c r="X7" i="5"/>
  <c r="Z7" i="6"/>
  <c r="Z12" i="6" s="1"/>
  <c r="Y7" i="5" l="1"/>
  <c r="AA7" i="6"/>
  <c r="AA12" i="6" s="1"/>
  <c r="Z7" i="5" l="1"/>
  <c r="AB7" i="6"/>
  <c r="AB12" i="6" s="1"/>
  <c r="AA7" i="5" l="1"/>
  <c r="AC7" i="6"/>
  <c r="AC12" i="6" s="1"/>
  <c r="AB7" i="5" l="1"/>
  <c r="AD7" i="6"/>
  <c r="AD12" i="6" s="1"/>
  <c r="AC7" i="5" l="1"/>
  <c r="AE7" i="6"/>
  <c r="AE12" i="6" s="1"/>
  <c r="AD7" i="5" l="1"/>
  <c r="AF7" i="6"/>
  <c r="AF12" i="6" s="1"/>
  <c r="AE7" i="5" l="1"/>
  <c r="C6" i="5"/>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<sst xmlns="http://schemas.openxmlformats.org/spreadsheetml/2006/main" count="276" uniqueCount="204">
  <si>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</si>
  <si>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</si>
  <si>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</si>
  <si>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</si>
  <si>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</si>
  <si>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</si>
  <si>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</si>
  <si>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</si>
  <si>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</si>
  <si>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</si>
  <si>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</si>
  <si>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</si>
  <si>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</si>
  <si>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</si>
  <si>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</si>
  <si>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</si>
  <si>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</si>
  <si>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</si>
  <si>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</si>
  <si>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</si>
  <si>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</si>
  <si>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</si>
  <si>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</si>
  <si>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</si>
  <si>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</si>
  <si>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</si>
  <si>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</si>
  <si>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</si>
  <si>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</si>
  <si>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</si>
  <si>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</si>
  <si>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</si>
  <si>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</si>
  <si>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</si>
  <si>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</si>
  <si>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</si>
  <si>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</si>
  <si>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</si>
  <si>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</si>
  <si>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</si>
  <si>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</si>
  <si>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</si>
  <si>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</si>
  <si>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</si>
  <si>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</si>
  <si>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</si>
  <si>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</si>
  <si>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</si>
  <si>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</si>
  <si>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</si>
  <si>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</si>
  <si>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</si>
  <si>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</si>
  <si>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</si>
  <si>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</si>
  <si>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</si>
  <si>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</si>
  <si>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</si>
  <si>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</si>
  <si>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</si>
  <si>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</si>
  <si>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</si>
  <si>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</si>
  <si>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</si>
  <si>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</si>
  <si>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</si>
  <si>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</si>
  <si>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</si>
  <si>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</si>
  <si>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</si>
  <si>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</si>
  <si>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</si>
  <si>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</si>
  <si>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</si>
  <si>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</si>
  <si>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</si>
  <si>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</si>
  <si>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</si>
  <si>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</si>
  <si>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</si>
  <si>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</si>
  <si>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</si>
  <si>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</si>
  <si>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</si>
  <si>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</si>
  <si>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</si>
  <si>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</si>
  <si>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</si>
  <si>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</si>
  <si>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</si>
  <si>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</si>
  <si>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</si>
  <si>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</si>
  <si>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</si>
  <si>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</si>
  <si>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</si>
  <si>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</si>
  <si>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</si>
  <si>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</si>
  <si>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</si>
  <si>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</si>
  <si>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</si>
  <si>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</si>
  <si>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</si>
  <si>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</si>
  <si>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</si>
  <si>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</si>
  <si>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</si>
  <si>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</si>
  <si>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</si>
  <si>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</si>
  <si>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</si>
  <si>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</si>
  <si>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</si>
  <si>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</si>
  <si>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</si>
  <si>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</si>
  <si>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</si>
  <si>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</si>
  <si>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</si>
  <si>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</si>
  <si>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</si>
  <si>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</si>
  <si>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</si>
  <si>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</si>
  <si>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</si>
  <si>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</si>
  <si>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</si>
  <si>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</si>
  <si>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</si>
  <si>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</si>
  <si>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</si>
  <si>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</si>
  <si>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A3; Line A3.58</t>
  </si>
  <si>
    <t>RFI Table J1; Sum of lines J1.1 to J1.30 (Column I)</t>
  </si>
  <si>
    <t>RFI Table J1; Sum of lines J1.1 to J1.30 (Column J)</t>
  </si>
  <si>
    <t>RFI Table F10; Lines F10.62 + F10.70</t>
  </si>
  <si>
    <t>RFI Table F3; Line F3.20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</si>
  <si>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</si>
  <si>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</si>
  <si>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</si>
  <si>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</si>
  <si>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</si>
  <si>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</si>
  <si>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</si>
  <si>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</si>
  <si>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</si>
  <si>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</si>
  <si>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</si>
  <si>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</si>
  <si>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</si>
  <si>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</si>
  <si>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</si>
  <si>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</si>
  <si>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</si>
  <si>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</si>
  <si>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</si>
  <si>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</si>
  <si>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</si>
  <si>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</si>
  <si>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</si>
  <si>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</si>
  <si>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</si>
  <si>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</si>
  <si>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</si>
  <si>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</si>
  <si>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</si>
  <si>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</si>
  <si>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</si>
  <si>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</si>
  <si>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</si>
  <si>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</si>
  <si>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</si>
  <si>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</si>
  <si>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</si>
  <si>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Tables G2, G3, G4</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</si>
  <si>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</si>
  <si>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</si>
  <si>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</si>
  <si>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</si>
  <si>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</si>
  <si>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</si>
  <si>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</si>
  <si>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</si>
  <si>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</si>
  <si>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</si>
  <si>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</si>
  <si>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</si>
  <si>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</si>
  <si>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</si>
  <si>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</si>
  <si>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</si>
  <si>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</si>
  <si>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</si>
  <si>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</si>
  <si>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Source / note</t>
  </si>
  <si>
    <t>RFI Table A1; Line A1.47</t>
  </si>
  <si>
    <t>Waitaki Stand-alone Council</t>
  </si>
  <si>
    <t>Information not provided in RFI Table G1; Line G1.3b. As such, projected growth from the LTP 2018 was used</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</si>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</sst>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94">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0" fontId="0" fillId="0" borderId="11" xfId="0" applyBorder="1" applyAlignment="1">
      <alignment vertical="top" wrapText="1"/>
    </xf>
    <xf numFmtId="0" fontId="18" fillId="0" borderId="0" xfId="0" applyFont="1" applyAlignment="1">
      <alignment horizontal="left" vertical="center" wrapText="1"/>
    </xf>
    <xf numFmtId="0" fontId="0" fillId="0" borderId="9" xfId="0" applyBorder="1" applyAlignment="1">
      <alignment vertical="top" wrapText="1"/>
    </xf>
    <xf numFmtId="0" fontId="0" fillId="0" borderId="0" xfId="0" applyAlignment="1">
      <alignment horizontal="right"/>
    </xf>
    <xf numFmtId="0" fontId="16" fillId="0" borderId="0" xfId="0" applyFont="1" applyAlignment="1">
      <alignment horizontal="right"/>
    </xf>
    <xf numFmtId="166" fontId="16" fillId="0" borderId="0" xfId="2" applyNumberFormat="1" applyFont="1" applyFill="1" applyAlignment="1">
      <alignment horizontal="right"/>
    </xf>
    <xf numFmtId="9" fontId="16" fillId="0" borderId="0" xfId="3" applyFont="1" applyFill="1" applyAlignment="1">
      <alignment horizontal="right"/>
    </xf>
    <xf numFmtId="167" fontId="16" fillId="0" borderId="0" xfId="0" applyNumberFormat="1" applyFont="1" applyAlignment="1">
      <alignment horizontal="right"/>
    </xf>
    <xf numFmtId="3" fontId="16" fillId="0" borderId="0" xfId="1" applyNumberFormat="1" applyFont="1" applyFill="1" applyAlignment="1">
      <alignment horizontal="right"/>
    </xf>
    <xf numFmtId="0" fontId="16" fillId="0" borderId="0" xfId="0" applyFont="1" applyFill="1" applyAlignment="1">
      <alignment horizontal="right"/>
    </xf>
    <xf numFmtId="166" fontId="17" fillId="0" borderId="0" xfId="2" applyNumberFormat="1" applyFont="1" applyFill="1" applyAlignment="1">
      <alignment horizontal="right"/>
    </xf>
    <xf numFmtId="173" fontId="16" fillId="0" borderId="0" xfId="0" applyNumberFormat="1" applyFont="1" applyFill="1" applyAlignment="1">
      <alignment horizontal="right"/>
    </xf>
    <xf numFmtId="167" fontId="16" fillId="0" borderId="0" xfId="0" applyNumberFormat="1" applyFont="1" applyFill="1" applyAlignment="1">
      <alignment horizontal="right"/>
    </xf>
    <xf numFmtId="0" fontId="17" fillId="0" borderId="0" xfId="0" applyFont="1" applyFill="1" applyAlignment="1">
      <alignment horizontal="right"/>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Normal="10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94</v>
      </c>
      <c r="D1" s="61"/>
      <c r="E1" s="61"/>
      <c r="F1" s="61"/>
    </row>
    <row r="2" spans="1:6" x14ac:dyDescent="0.35">
      <c r="A2" s="63" t="s">
        <v>95</v>
      </c>
      <c r="B2" s="60" t="s">
        <v>197</v>
      </c>
      <c r="C2" s="170"/>
      <c r="D2" s="60"/>
      <c r="E2" s="14"/>
      <c r="F2" s="60"/>
    </row>
    <row r="3" spans="1:6" x14ac:dyDescent="0.35">
      <c r="C3" s="14"/>
      <c r="D3" s="14"/>
    </row>
    <row r="4" spans="1:6" x14ac:dyDescent="0.35">
      <c r="A4" s="14" t="s">
        <v>157</v>
      </c>
      <c r="B4" s="14"/>
      <c r="D4" s="14"/>
    </row>
    <row r="6" spans="1:6" ht="21" x14ac:dyDescent="0.5">
      <c r="A6" s="15" t="s">
        <v>166</v>
      </c>
    </row>
    <row r="7" spans="1:6" ht="241" customHeight="1" x14ac:dyDescent="0.35">
      <c r="A7" s="106">
        <v>1</v>
      </c>
      <c r="B7" s="104" t="s">
        <v>167</v>
      </c>
    </row>
    <row r="8" spans="1:6" ht="408" customHeight="1" x14ac:dyDescent="0.35">
      <c r="A8" s="106">
        <v>2</v>
      </c>
      <c r="B8" s="104" t="s">
        <v>188</v>
      </c>
    </row>
    <row r="9" spans="1:6" ht="195.5" customHeight="1" x14ac:dyDescent="0.35">
      <c r="A9" s="106">
        <f>A8+1</f>
        <v>3</v>
      </c>
      <c r="B9" s="105" t="s">
        <v>171</v>
      </c>
    </row>
    <row r="10" spans="1:6" ht="236" customHeight="1" x14ac:dyDescent="0.35">
      <c r="A10" s="106">
        <v>4</v>
      </c>
      <c r="B10" s="105" t="s">
        <v>172</v>
      </c>
    </row>
    <row r="11" spans="1:6" ht="21" x14ac:dyDescent="0.35">
      <c r="A11" s="106">
        <f>A10+1</f>
        <v>5</v>
      </c>
      <c r="B11" s="63" t="s">
        <v>186</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Normal="100" workbookViewId="0">
      <pane xSplit="1" topLeftCell="B1" activePane="topRight" state="frozen"/>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163</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189</v>
      </c>
      <c r="B6" s="1">
        <f>Assumptions!C17</f>
        <v>452351701.96380001</v>
      </c>
      <c r="C6" s="12">
        <f ca="1">B6+Depreciation!C18+'Cash Flow'!C13</f>
        <v>459851272.58750427</v>
      </c>
      <c r="D6" s="1">
        <f ca="1">C6+Depreciation!D18</f>
        <v>516106964.2642715</v>
      </c>
      <c r="E6" s="1">
        <f ca="1">D6+Depreciation!E18</f>
        <v>575309112.0229187</v>
      </c>
      <c r="F6" s="1">
        <f ca="1">E6+Depreciation!F18</f>
        <v>637588683.22440934</v>
      </c>
      <c r="G6" s="1">
        <f ca="1">F6+Depreciation!G18</f>
        <v>703082009.96978045</v>
      </c>
      <c r="H6" s="1">
        <f ca="1">G6+Depreciation!H18</f>
        <v>771930998.33293009</v>
      </c>
      <c r="I6" s="1">
        <f ca="1">H6+Depreciation!I18</f>
        <v>844283345.49080873</v>
      </c>
      <c r="J6" s="1">
        <f ca="1">I6+Depreciation!J18</f>
        <v>920292765.0421952</v>
      </c>
      <c r="K6" s="1">
        <f ca="1">J6+Depreciation!K18</f>
        <v>1000119220.8167844</v>
      </c>
      <c r="L6" s="1">
        <f ca="1">K6+Depreciation!L18</f>
        <v>1083929169.4872406</v>
      </c>
      <c r="M6" s="1">
        <f ca="1">L6+Depreciation!M18</f>
        <v>1171895812.3081861</v>
      </c>
      <c r="N6" s="1">
        <f ca="1">M6+Depreciation!N18</f>
        <v>1264199356.3178139</v>
      </c>
      <c r="O6" s="1">
        <f ca="1">N6+Depreciation!O18</f>
        <v>1361027285.3499508</v>
      </c>
      <c r="P6" s="1">
        <f ca="1">O6+Depreciation!P18</f>
        <v>1462574641.2169714</v>
      </c>
      <c r="Q6" s="1">
        <f ca="1">P6+Depreciation!Q18</f>
        <v>1569044315.4369795</v>
      </c>
      <c r="R6" s="1">
        <f ca="1">Q6+Depreciation!R18</f>
        <v>1680647351.8921585</v>
      </c>
      <c r="S6" s="1">
        <f ca="1">R6+Depreciation!S18</f>
        <v>1797603260.8191581</v>
      </c>
      <c r="T6" s="1">
        <f ca="1">S6+Depreciation!T18</f>
        <v>1920140344.5468447</v>
      </c>
      <c r="U6" s="1">
        <f ca="1">T6+Depreciation!U18</f>
        <v>2048496035.411721</v>
      </c>
      <c r="V6" s="1">
        <f ca="1">U6+Depreciation!V18</f>
        <v>2182917246.2968297</v>
      </c>
      <c r="W6" s="1">
        <f ca="1">V6+Depreciation!W18</f>
        <v>2323660734.2560205</v>
      </c>
      <c r="X6" s="1">
        <f ca="1">W6+Depreciation!X18</f>
        <v>2470993477.7020884</v>
      </c>
      <c r="Y6" s="1">
        <f ca="1">X6+Depreciation!Y18</f>
        <v>2625193067.6545224</v>
      </c>
      <c r="Z6" s="1">
        <f ca="1">Y6+Depreciation!Z18</f>
        <v>2786548113.560442</v>
      </c>
      <c r="AA6" s="1">
        <f ca="1">Z6+Depreciation!AA18</f>
        <v>2955358664.2207589</v>
      </c>
      <c r="AB6" s="1">
        <f ca="1">AA6+Depreciation!AB18</f>
        <v>3131936644.3727465</v>
      </c>
      <c r="AC6" s="1">
        <f ca="1">AB6+Depreciation!AC18</f>
        <v>3316606307.4999957</v>
      </c>
      <c r="AD6" s="1">
        <f ca="1">AC6+Depreciation!AD18</f>
        <v>3509704705.4612479</v>
      </c>
      <c r="AE6" s="1">
        <f ca="1">AD6+Depreciation!AE18</f>
        <v>3711582175.550837</v>
      </c>
      <c r="AF6" s="1"/>
      <c r="AG6" s="1"/>
      <c r="AH6" s="1"/>
      <c r="AI6" s="1"/>
      <c r="AJ6" s="1"/>
      <c r="AK6" s="1"/>
      <c r="AL6" s="1"/>
      <c r="AM6" s="1"/>
      <c r="AN6" s="1"/>
      <c r="AO6" s="1"/>
      <c r="AP6" s="1"/>
    </row>
    <row r="7" spans="1:42" x14ac:dyDescent="0.35">
      <c r="A7" t="s">
        <v>12</v>
      </c>
      <c r="B7" s="1">
        <f>Depreciation!C12</f>
        <v>234765502.81405431</v>
      </c>
      <c r="C7" s="1">
        <f>Depreciation!D12</f>
        <v>244740754.07482153</v>
      </c>
      <c r="D7" s="1">
        <f>Depreciation!E12</f>
        <v>256181487.32415679</v>
      </c>
      <c r="E7" s="1">
        <f>Depreciation!F12</f>
        <v>269171278.75203741</v>
      </c>
      <c r="F7" s="1">
        <f>Depreciation!G12</f>
        <v>283797552.771043</v>
      </c>
      <c r="G7" s="1">
        <f>Depreciation!H12</f>
        <v>300151742.72058338</v>
      </c>
      <c r="H7" s="1">
        <f>Depreciation!I12</f>
        <v>318329457.91561735</v>
      </c>
      <c r="I7" s="1">
        <f>Depreciation!J12</f>
        <v>338430657.28134811</v>
      </c>
      <c r="J7" s="1">
        <f>Depreciation!K12</f>
        <v>360559829.82434058</v>
      </c>
      <c r="K7" s="1">
        <f>Depreciation!L12</f>
        <v>384826182.19978899</v>
      </c>
      <c r="L7" s="1">
        <f>Depreciation!M12</f>
        <v>411343833.64428651</v>
      </c>
      <c r="M7" s="1">
        <f>Depreciation!N12</f>
        <v>440232018.55341983</v>
      </c>
      <c r="N7" s="1">
        <f>Depreciation!O12</f>
        <v>471615296.99384648</v>
      </c>
      <c r="O7" s="1">
        <f>Depreciation!P12</f>
        <v>505623773.45022219</v>
      </c>
      <c r="P7" s="1">
        <f>Depreciation!Q12</f>
        <v>542393324.1184448</v>
      </c>
      <c r="Q7" s="1">
        <f>Depreciation!R12</f>
        <v>582065833.06818128</v>
      </c>
      <c r="R7" s="1">
        <f>Depreciation!S12</f>
        <v>624789437.60956395</v>
      </c>
      <c r="S7" s="1">
        <f>Depreciation!T12</f>
        <v>670718783.21129394</v>
      </c>
      <c r="T7" s="1">
        <f>Depreciation!U12</f>
        <v>720015288.33018291</v>
      </c>
      <c r="U7" s="1">
        <f>Depreciation!V12</f>
        <v>772847419.52543294</v>
      </c>
      <c r="V7" s="1">
        <f>Depreciation!W12</f>
        <v>829390977.24468946</v>
      </c>
      <c r="W7" s="1">
        <f>Depreciation!X12</f>
        <v>889829392.68314493</v>
      </c>
      <c r="X7" s="1">
        <f>Depreciation!Y12</f>
        <v>954354036.1317234</v>
      </c>
      <c r="Y7" s="1">
        <f>Depreciation!Z12</f>
        <v>1023164537.2456639</v>
      </c>
      <c r="Z7" s="1">
        <f>Depreciation!AA12</f>
        <v>1096469117.6806583</v>
      </c>
      <c r="AA7" s="1">
        <f>Depreciation!AB12</f>
        <v>1174484936.5601132</v>
      </c>
      <c r="AB7" s="1">
        <f>Depreciation!AC12</f>
        <v>1257438449.2541087</v>
      </c>
      <c r="AC7" s="1">
        <f>Depreciation!AD12</f>
        <v>1345565779.9682429</v>
      </c>
      <c r="AD7" s="1">
        <f>Depreciation!AE12</f>
        <v>1439113108.6588061</v>
      </c>
      <c r="AE7" s="1">
        <f>Depreciation!AF12</f>
        <v>1538337072.8096385</v>
      </c>
      <c r="AF7" s="1"/>
      <c r="AG7" s="1"/>
      <c r="AH7" s="1"/>
      <c r="AI7" s="1"/>
      <c r="AJ7" s="1"/>
      <c r="AK7" s="1"/>
      <c r="AL7" s="1"/>
      <c r="AM7" s="1"/>
      <c r="AN7" s="1"/>
      <c r="AO7" s="1"/>
      <c r="AP7" s="1"/>
    </row>
    <row r="8" spans="1:42" x14ac:dyDescent="0.35">
      <c r="A8" t="s">
        <v>190</v>
      </c>
      <c r="B8" s="1">
        <f t="shared" ref="B8:AE8" si="1">B6-B7</f>
        <v>217586199.1497457</v>
      </c>
      <c r="C8" s="1">
        <f t="shared" ca="1" si="1"/>
        <v>215110518.51268274</v>
      </c>
      <c r="D8" s="1">
        <f ca="1">D6-D7</f>
        <v>259925476.94011471</v>
      </c>
      <c r="E8" s="1">
        <f t="shared" ca="1" si="1"/>
        <v>306137833.2708813</v>
      </c>
      <c r="F8" s="1">
        <f t="shared" ca="1" si="1"/>
        <v>353791130.45336634</v>
      </c>
      <c r="G8" s="1">
        <f t="shared" ca="1" si="1"/>
        <v>402930267.24919707</v>
      </c>
      <c r="H8" s="1">
        <f t="shared" ca="1" si="1"/>
        <v>453601540.41731274</v>
      </c>
      <c r="I8" s="1">
        <f t="shared" ca="1" si="1"/>
        <v>505852688.20946062</v>
      </c>
      <c r="J8" s="1">
        <f t="shared" ca="1" si="1"/>
        <v>559732935.21785462</v>
      </c>
      <c r="K8" s="1">
        <f t="shared" ca="1" si="1"/>
        <v>615293038.61699533</v>
      </c>
      <c r="L8" s="1">
        <f t="shared" ca="1" si="1"/>
        <v>672585335.84295404</v>
      </c>
      <c r="M8" s="1">
        <f t="shared" ca="1" si="1"/>
        <v>731663793.75476623</v>
      </c>
      <c r="N8" s="1">
        <f t="shared" ca="1" si="1"/>
        <v>792584059.32396746</v>
      </c>
      <c r="O8" s="1">
        <f t="shared" ca="1" si="1"/>
        <v>855403511.89972854</v>
      </c>
      <c r="P8" s="1">
        <f t="shared" ca="1" si="1"/>
        <v>920181317.0985266</v>
      </c>
      <c r="Q8" s="1">
        <f t="shared" ca="1" si="1"/>
        <v>986978482.36879826</v>
      </c>
      <c r="R8" s="1">
        <f t="shared" ca="1" si="1"/>
        <v>1055857914.2825946</v>
      </c>
      <c r="S8" s="1">
        <f t="shared" ca="1" si="1"/>
        <v>1126884477.6078641</v>
      </c>
      <c r="T8" s="1">
        <f t="shared" ca="1" si="1"/>
        <v>1200125056.2166619</v>
      </c>
      <c r="U8" s="1">
        <f t="shared" ca="1" si="1"/>
        <v>1275648615.8862882</v>
      </c>
      <c r="V8" s="1">
        <f t="shared" ca="1" si="1"/>
        <v>1353526269.0521402</v>
      </c>
      <c r="W8" s="1">
        <f t="shared" ca="1" si="1"/>
        <v>1433831341.5728755</v>
      </c>
      <c r="X8" s="1">
        <f t="shared" ca="1" si="1"/>
        <v>1516639441.570365</v>
      </c>
      <c r="Y8" s="1">
        <f t="shared" ca="1" si="1"/>
        <v>1602028530.4088585</v>
      </c>
      <c r="Z8" s="1">
        <f t="shared" ca="1" si="1"/>
        <v>1690078995.8797836</v>
      </c>
      <c r="AA8" s="1">
        <f t="shared" ca="1" si="1"/>
        <v>1780873727.6606457</v>
      </c>
      <c r="AB8" s="1">
        <f t="shared" ca="1" si="1"/>
        <v>1874498195.1186378</v>
      </c>
      <c r="AC8" s="1">
        <f t="shared" ca="1" si="1"/>
        <v>1971040527.5317528</v>
      </c>
      <c r="AD8" s="1">
        <f t="shared" ca="1" si="1"/>
        <v>2070591596.8024418</v>
      </c>
      <c r="AE8" s="1">
        <f t="shared" ca="1" si="1"/>
        <v>2173245102.7411985</v>
      </c>
      <c r="AF8" s="1"/>
      <c r="AG8" s="1"/>
      <c r="AH8" s="1"/>
      <c r="AI8" s="1"/>
      <c r="AJ8" s="1"/>
      <c r="AK8" s="1"/>
      <c r="AL8" s="1"/>
      <c r="AM8" s="1"/>
      <c r="AN8" s="1"/>
      <c r="AO8" s="1"/>
      <c r="AP8" s="1"/>
    </row>
    <row r="10" spans="1:42" x14ac:dyDescent="0.35">
      <c r="A10" t="s">
        <v>17</v>
      </c>
      <c r="B10" s="1">
        <f>B8-B11</f>
        <v>217586199.1497457</v>
      </c>
      <c r="C10" s="1">
        <f ca="1">C8-C11</f>
        <v>169175049.30423269</v>
      </c>
      <c r="D10" s="1">
        <f ca="1">D8-D11</f>
        <v>171430881.62606943</v>
      </c>
      <c r="E10" s="1">
        <f t="shared" ref="E10:AE10" ca="1" si="2">E8-E11</f>
        <v>180359067.56141025</v>
      </c>
      <c r="F10" s="1">
        <f t="shared" ca="1" si="2"/>
        <v>196634706.5214982</v>
      </c>
      <c r="G10" s="1">
        <f ca="1">G8-G11</f>
        <v>221388750.05431187</v>
      </c>
      <c r="H10" s="1">
        <f t="shared" ca="1" si="2"/>
        <v>251478492.34799746</v>
      </c>
      <c r="I10" s="1">
        <f t="shared" ca="1" si="2"/>
        <v>286125028.00365198</v>
      </c>
      <c r="J10" s="1">
        <f t="shared" ca="1" si="2"/>
        <v>322980773.7988745</v>
      </c>
      <c r="K10" s="1">
        <f t="shared" ca="1" si="2"/>
        <v>362460517.20238262</v>
      </c>
      <c r="L10" s="1">
        <f t="shared" ca="1" si="2"/>
        <v>403026521.3662473</v>
      </c>
      <c r="M10" s="1">
        <f t="shared" ca="1" si="2"/>
        <v>444841886.28728592</v>
      </c>
      <c r="N10" s="1">
        <f t="shared" ca="1" si="2"/>
        <v>488090570.57299435</v>
      </c>
      <c r="O10" s="1">
        <f t="shared" ca="1" si="2"/>
        <v>532979373.80010754</v>
      </c>
      <c r="P10" s="1">
        <f t="shared" ca="1" si="2"/>
        <v>579740078.54644966</v>
      </c>
      <c r="Q10" s="1">
        <f t="shared" ca="1" si="2"/>
        <v>628631763.79977405</v>
      </c>
      <c r="R10" s="1">
        <f t="shared" ca="1" si="2"/>
        <v>678493888.50125217</v>
      </c>
      <c r="S10" s="1">
        <f t="shared" ca="1" si="2"/>
        <v>729426633.91792464</v>
      </c>
      <c r="T10" s="1">
        <f t="shared" ca="1" si="2"/>
        <v>781542806.4022975</v>
      </c>
      <c r="U10" s="1">
        <f t="shared" ca="1" si="2"/>
        <v>834968995.21374726</v>
      </c>
      <c r="V10" s="1">
        <f t="shared" ca="1" si="2"/>
        <v>889846817.7172879</v>
      </c>
      <c r="W10" s="1">
        <f t="shared" ca="1" si="2"/>
        <v>946334257.83246017</v>
      </c>
      <c r="X10" s="1">
        <f t="shared" ca="1" si="2"/>
        <v>1004607103.9720414</v>
      </c>
      <c r="Y10" s="1">
        <f t="shared" ca="1" si="2"/>
        <v>1064860493.0990553</v>
      </c>
      <c r="Z10" s="1">
        <f t="shared" ca="1" si="2"/>
        <v>1127310567.942446</v>
      </c>
      <c r="AA10" s="1">
        <f t="shared" ca="1" si="2"/>
        <v>1192196254.8480887</v>
      </c>
      <c r="AB10" s="1">
        <f t="shared" ca="1" si="2"/>
        <v>1257348435.783519</v>
      </c>
      <c r="AC10" s="1">
        <f t="shared" ca="1" si="2"/>
        <v>1322735027.3729916</v>
      </c>
      <c r="AD10" s="1">
        <f t="shared" ca="1" si="2"/>
        <v>1388324203.6559784</v>
      </c>
      <c r="AE10" s="1">
        <f t="shared" ca="1" si="2"/>
        <v>1454084604.1800723</v>
      </c>
      <c r="AF10" s="1"/>
      <c r="AG10" s="1"/>
      <c r="AH10" s="1"/>
      <c r="AI10" s="1"/>
      <c r="AJ10" s="1"/>
      <c r="AK10" s="1"/>
      <c r="AL10" s="1"/>
      <c r="AM10" s="1"/>
      <c r="AN10" s="1"/>
      <c r="AO10" s="1"/>
    </row>
    <row r="11" spans="1:42" x14ac:dyDescent="0.35">
      <c r="A11" t="s">
        <v>9</v>
      </c>
      <c r="B11" s="1">
        <f>Assumptions!$C$20</f>
        <v>0</v>
      </c>
      <c r="C11" s="1">
        <f ca="1">'Debt worksheet'!D5</f>
        <v>45935469.208450049</v>
      </c>
      <c r="D11" s="1">
        <f ca="1">'Debt worksheet'!E5</f>
        <v>88494595.31404528</v>
      </c>
      <c r="E11" s="1">
        <f ca="1">'Debt worksheet'!F5</f>
        <v>125778765.70947105</v>
      </c>
      <c r="F11" s="1">
        <f ca="1">'Debt worksheet'!G5</f>
        <v>157156423.93186814</v>
      </c>
      <c r="G11" s="1">
        <f ca="1">'Debt worksheet'!H5</f>
        <v>181541517.19488519</v>
      </c>
      <c r="H11" s="1">
        <f ca="1">'Debt worksheet'!I5</f>
        <v>202123048.06931528</v>
      </c>
      <c r="I11" s="1">
        <f ca="1">'Debt worksheet'!J5</f>
        <v>219727660.20580864</v>
      </c>
      <c r="J11" s="1">
        <f ca="1">'Debt worksheet'!K5</f>
        <v>236752161.41898012</v>
      </c>
      <c r="K11" s="1">
        <f ca="1">'Debt worksheet'!L5</f>
        <v>252832521.41461271</v>
      </c>
      <c r="L11" s="1">
        <f ca="1">'Debt worksheet'!M5</f>
        <v>269558814.47670674</v>
      </c>
      <c r="M11" s="1">
        <f ca="1">'Debt worksheet'!N5</f>
        <v>286821907.4674803</v>
      </c>
      <c r="N11" s="1">
        <f ca="1">'Debt worksheet'!O5</f>
        <v>304493488.75097311</v>
      </c>
      <c r="O11" s="1">
        <f ca="1">'Debt worksheet'!P5</f>
        <v>322424138.099621</v>
      </c>
      <c r="P11" s="1">
        <f ca="1">'Debt worksheet'!Q5</f>
        <v>340441238.55207688</v>
      </c>
      <c r="Q11" s="1">
        <f ca="1">'Debt worksheet'!R5</f>
        <v>358346718.56902421</v>
      </c>
      <c r="R11" s="1">
        <f ca="1">'Debt worksheet'!S5</f>
        <v>377364025.78134239</v>
      </c>
      <c r="S11" s="1">
        <f ca="1">'Debt worksheet'!T5</f>
        <v>397457843.68993944</v>
      </c>
      <c r="T11" s="1">
        <f ca="1">'Debt worksheet'!U5</f>
        <v>418582249.81436449</v>
      </c>
      <c r="U11" s="1">
        <f ca="1">'Debt worksheet'!V5</f>
        <v>440679620.67254096</v>
      </c>
      <c r="V11" s="1">
        <f ca="1">'Debt worksheet'!W5</f>
        <v>463679451.33485234</v>
      </c>
      <c r="W11" s="1">
        <f ca="1">'Debt worksheet'!X5</f>
        <v>487497083.74041539</v>
      </c>
      <c r="X11" s="1">
        <f ca="1">'Debt worksheet'!Y5</f>
        <v>512032337.59832358</v>
      </c>
      <c r="Y11" s="1">
        <f ca="1">'Debt worksheet'!Z5</f>
        <v>537168037.30980325</v>
      </c>
      <c r="Z11" s="1">
        <f ca="1">'Debt worksheet'!AA5</f>
        <v>562768427.93733764</v>
      </c>
      <c r="AA11" s="1">
        <f ca="1">'Debt worksheet'!AB5</f>
        <v>588677472.81255698</v>
      </c>
      <c r="AB11" s="1">
        <f ca="1">'Debt worksheet'!AC5</f>
        <v>617149759.33511877</v>
      </c>
      <c r="AC11" s="1">
        <f ca="1">'Debt worksheet'!AD5</f>
        <v>648305500.15876114</v>
      </c>
      <c r="AD11" s="1">
        <f ca="1">'Debt worksheet'!AE5</f>
        <v>682267393.14646339</v>
      </c>
      <c r="AE11" s="1">
        <f ca="1">'Debt worksheet'!AF5</f>
        <v>719160498.56112635</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Normal="100" workbookViewId="0">
      <pane xSplit="1" topLeftCell="B1" activePane="topRight" state="frozen"/>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164</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-1090081.2084500426</v>
      </c>
      <c r="D5" s="4">
        <f ca="1">'Profit and Loss'!D9</f>
        <v>3721314.3104047594</v>
      </c>
      <c r="E5" s="4">
        <f ca="1">'Profit and Loss'!E9</f>
        <v>10477244.113886226</v>
      </c>
      <c r="F5" s="4">
        <f ca="1">'Profit and Loss'!F9</f>
        <v>17912121.551212877</v>
      </c>
      <c r="G5" s="4">
        <f ca="1">'Profit and Loss'!G9</f>
        <v>26481959.463348456</v>
      </c>
      <c r="H5" s="4">
        <f ca="1">'Profit and Loss'!H9</f>
        <v>31913267.539179102</v>
      </c>
      <c r="I5" s="4">
        <f ca="1">'Profit and Loss'!I9</f>
        <v>36570019.826351307</v>
      </c>
      <c r="J5" s="4">
        <f ca="1">'Profit and Loss'!J9</f>
        <v>38883718.972484231</v>
      </c>
      <c r="K5" s="4">
        <f ca="1">'Profit and Loss'!K9</f>
        <v>41616923.235964112</v>
      </c>
      <c r="L5" s="4">
        <f ca="1">'Profit and Loss'!L9</f>
        <v>42817303.232913792</v>
      </c>
      <c r="M5" s="4">
        <f ca="1">'Profit and Loss'!M9</f>
        <v>44185898.385674477</v>
      </c>
      <c r="N5" s="4">
        <f ca="1">'Profit and Loss'!N9</f>
        <v>45743777.817001551</v>
      </c>
      <c r="O5" s="4">
        <f ca="1">'Profit and Loss'!O9</f>
        <v>47514001.243062317</v>
      </c>
      <c r="P5" s="4">
        <f ca="1">'Profit and Loss'!P9</f>
        <v>49521778.958189055</v>
      </c>
      <c r="Q5" s="4">
        <f ca="1">'Profit and Loss'!Q9</f>
        <v>51794643.534838244</v>
      </c>
      <c r="R5" s="4">
        <f ca="1">'Profit and Loss'!R9</f>
        <v>52913220.293124549</v>
      </c>
      <c r="S5" s="4">
        <f ca="1">'Profit and Loss'!S9</f>
        <v>54138486.477019832</v>
      </c>
      <c r="T5" s="4">
        <f ca="1">'Profit and Loss'!T9</f>
        <v>55483332.001531579</v>
      </c>
      <c r="U5" s="4">
        <f ca="1">'Profit and Loss'!U9</f>
        <v>56961814.887810737</v>
      </c>
      <c r="V5" s="4">
        <f ca="1">'Profit and Loss'!V9</f>
        <v>58589249.027547419</v>
      </c>
      <c r="W5" s="4">
        <f ca="1">'Profit and Loss'!W9</f>
        <v>60382297.834371254</v>
      </c>
      <c r="X5" s="4">
        <f ca="1">'Profit and Loss'!X9</f>
        <v>62359074.149703987</v>
      </c>
      <c r="Y5" s="4">
        <f ca="1">'Profit and Loss'!Y9</f>
        <v>64539246.792376086</v>
      </c>
      <c r="Z5" s="4">
        <f ca="1">'Profit and Loss'!Z9</f>
        <v>66944154.164444685</v>
      </c>
      <c r="AA5" s="4">
        <f ca="1">'Profit and Loss'!AA9</f>
        <v>69596925.35010317</v>
      </c>
      <c r="AB5" s="4">
        <f ca="1">'Profit and Loss'!AB9</f>
        <v>70089874.749971032</v>
      </c>
      <c r="AC5" s="4">
        <f ca="1">'Profit and Loss'!AC9</f>
        <v>70560409.609611481</v>
      </c>
      <c r="AD5" s="4">
        <f ca="1">'Profit and Loss'!AD9</f>
        <v>71009174.259415776</v>
      </c>
      <c r="AE5" s="4">
        <f ca="1">'Profit and Loss'!AE9</f>
        <v>71437035.984362841</v>
      </c>
      <c r="AF5" s="4">
        <f ca="1">'Profit and Loss'!AF9</f>
        <v>70404976.565447971</v>
      </c>
      <c r="AG5" s="4"/>
      <c r="AH5" s="4"/>
      <c r="AI5" s="4"/>
      <c r="AJ5" s="4"/>
      <c r="AK5" s="4"/>
      <c r="AL5" s="4"/>
      <c r="AM5" s="4"/>
      <c r="AN5" s="4"/>
      <c r="AO5" s="4"/>
      <c r="AP5" s="4"/>
    </row>
    <row r="6" spans="1:42" x14ac:dyDescent="0.35">
      <c r="A6" t="s">
        <v>21</v>
      </c>
      <c r="C6" s="4">
        <f>Depreciation!C8+Depreciation!C9</f>
        <v>8589651.832154287</v>
      </c>
      <c r="D6" s="4">
        <f>Depreciation!D8+Depreciation!D9</f>
        <v>9975251.2607672233</v>
      </c>
      <c r="E6" s="4">
        <f>Depreciation!E8+Depreciation!E9</f>
        <v>11440733.249335263</v>
      </c>
      <c r="F6" s="4">
        <f>Depreciation!F8+Depreciation!F9</f>
        <v>12989791.42788063</v>
      </c>
      <c r="G6" s="4">
        <f>Depreciation!G8+Depreciation!G9</f>
        <v>14626274.019005584</v>
      </c>
      <c r="H6" s="4">
        <f>Depreciation!H8+Depreciation!H9</f>
        <v>16354189.949540382</v>
      </c>
      <c r="I6" s="4">
        <f>Depreciation!I8+Depreciation!I9</f>
        <v>18177715.195033945</v>
      </c>
      <c r="J6" s="4">
        <f>Depreciation!J8+Depreciation!J9</f>
        <v>20101199.36573077</v>
      </c>
      <c r="K6" s="4">
        <f>Depreciation!K8+Depreciation!K9</f>
        <v>22129172.542992476</v>
      </c>
      <c r="L6" s="4">
        <f>Depreciation!L8+Depreciation!L9</f>
        <v>24266352.375448421</v>
      </c>
      <c r="M6" s="4">
        <f>Depreciation!M8+Depreciation!M9</f>
        <v>26517651.444497522</v>
      </c>
      <c r="N6" s="4">
        <f>Depreciation!N8+Depreciation!N9</f>
        <v>28888184.909133308</v>
      </c>
      <c r="O6" s="4">
        <f>Depreciation!O8+Depreciation!O9</f>
        <v>31383278.440426618</v>
      </c>
      <c r="P6" s="4">
        <f>Depreciation!P8+Depreciation!P9</f>
        <v>34008476.456375748</v>
      </c>
      <c r="Q6" s="4">
        <f>Depreciation!Q8+Depreciation!Q9</f>
        <v>36769550.668222621</v>
      </c>
      <c r="R6" s="4">
        <f>Depreciation!R8+Depreciation!R9</f>
        <v>39672508.949736379</v>
      </c>
      <c r="S6" s="4">
        <f>Depreciation!S8+Depreciation!S9</f>
        <v>42723604.54138276</v>
      </c>
      <c r="T6" s="4">
        <f>Depreciation!T8+Depreciation!T9</f>
        <v>45929345.601729959</v>
      </c>
      <c r="U6" s="4">
        <f>Depreciation!U8+Depreciation!U9</f>
        <v>49296505.118889004</v>
      </c>
      <c r="V6" s="4">
        <f>Depreciation!V8+Depreciation!V9</f>
        <v>52832131.195250064</v>
      </c>
      <c r="W6" s="4">
        <f>Depreciation!W8+Depreciation!W9</f>
        <v>56543557.719256498</v>
      </c>
      <c r="X6" s="4">
        <f>Depreciation!X8+Depreciation!X9</f>
        <v>60438415.438455395</v>
      </c>
      <c r="Y6" s="4">
        <f>Depreciation!Y8+Depreciation!Y9</f>
        <v>64524643.448578492</v>
      </c>
      <c r="Z6" s="4">
        <f>Depreciation!Z8+Depreciation!Z9</f>
        <v>68810501.113940522</v>
      </c>
      <c r="AA6" s="4">
        <f>Depreciation!AA8+Depreciation!AA9</f>
        <v>73304580.43499437</v>
      </c>
      <c r="AB6" s="4">
        <f>Depreciation!AB8+Depreciation!AB9</f>
        <v>78015818.879454955</v>
      </c>
      <c r="AC6" s="4">
        <f>Depreciation!AC8+Depreciation!AC9</f>
        <v>82953512.693995595</v>
      </c>
      <c r="AD6" s="4">
        <f>Depreciation!AD8+Depreciation!AD9</f>
        <v>88127330.714134321</v>
      </c>
      <c r="AE6" s="4">
        <f>Depreciation!AE8+Depreciation!AE9</f>
        <v>93547328.690563217</v>
      </c>
      <c r="AF6" s="4">
        <f>Depreciation!AF8+Depreciation!AF9</f>
        <v>99223964.150832281</v>
      </c>
      <c r="AG6" s="4"/>
      <c r="AH6" s="4"/>
      <c r="AI6" s="4"/>
      <c r="AJ6" s="4"/>
      <c r="AK6" s="4"/>
      <c r="AL6" s="4"/>
      <c r="AM6" s="4"/>
      <c r="AN6" s="4"/>
      <c r="AO6" s="4"/>
      <c r="AP6" s="4"/>
    </row>
    <row r="7" spans="1:42" x14ac:dyDescent="0.35">
      <c r="A7" t="s">
        <v>23</v>
      </c>
      <c r="C7" s="4">
        <f ca="1">C6+C5</f>
        <v>7499570.6237042444</v>
      </c>
      <c r="D7" s="4">
        <f ca="1">D6+D5</f>
        <v>13696565.571171982</v>
      </c>
      <c r="E7" s="4">
        <f t="shared" ref="E7:AF7" ca="1" si="1">E6+E5</f>
        <v>21917977.363221489</v>
      </c>
      <c r="F7" s="4">
        <f t="shared" ca="1" si="1"/>
        <v>30901912.979093507</v>
      </c>
      <c r="G7" s="4">
        <f ca="1">G6+G5</f>
        <v>41108233.482354037</v>
      </c>
      <c r="H7" s="4">
        <f t="shared" ca="1" si="1"/>
        <v>48267457.488719486</v>
      </c>
      <c r="I7" s="4">
        <f t="shared" ca="1" si="1"/>
        <v>54747735.021385252</v>
      </c>
      <c r="J7" s="4">
        <f t="shared" ca="1" si="1"/>
        <v>58984918.338215001</v>
      </c>
      <c r="K7" s="4">
        <f t="shared" ca="1" si="1"/>
        <v>63746095.778956592</v>
      </c>
      <c r="L7" s="4">
        <f t="shared" ca="1" si="1"/>
        <v>67083655.608362213</v>
      </c>
      <c r="M7" s="4">
        <f t="shared" ca="1" si="1"/>
        <v>70703549.830172002</v>
      </c>
      <c r="N7" s="4">
        <f t="shared" ca="1" si="1"/>
        <v>74631962.726134866</v>
      </c>
      <c r="O7" s="4">
        <f t="shared" ca="1" si="1"/>
        <v>78897279.683488935</v>
      </c>
      <c r="P7" s="4">
        <f t="shared" ca="1" si="1"/>
        <v>83530255.414564803</v>
      </c>
      <c r="Q7" s="4">
        <f t="shared" ca="1" si="1"/>
        <v>88564194.203060865</v>
      </c>
      <c r="R7" s="4">
        <f t="shared" ca="1" si="1"/>
        <v>92585729.242860928</v>
      </c>
      <c r="S7" s="4">
        <f t="shared" ca="1" si="1"/>
        <v>96862091.018402591</v>
      </c>
      <c r="T7" s="4">
        <f t="shared" ca="1" si="1"/>
        <v>101412677.60326153</v>
      </c>
      <c r="U7" s="4">
        <f t="shared" ca="1" si="1"/>
        <v>106258320.00669974</v>
      </c>
      <c r="V7" s="4">
        <f t="shared" ca="1" si="1"/>
        <v>111421380.22279748</v>
      </c>
      <c r="W7" s="4">
        <f t="shared" ca="1" si="1"/>
        <v>116925855.55362776</v>
      </c>
      <c r="X7" s="4">
        <f t="shared" ca="1" si="1"/>
        <v>122797489.58815938</v>
      </c>
      <c r="Y7" s="4">
        <f t="shared" ca="1" si="1"/>
        <v>129063890.24095458</v>
      </c>
      <c r="Z7" s="4">
        <f t="shared" ca="1" si="1"/>
        <v>135754655.27838522</v>
      </c>
      <c r="AA7" s="4">
        <f t="shared" ca="1" si="1"/>
        <v>142901505.78509754</v>
      </c>
      <c r="AB7" s="4">
        <f t="shared" ca="1" si="1"/>
        <v>148105693.629426</v>
      </c>
      <c r="AC7" s="4">
        <f t="shared" ca="1" si="1"/>
        <v>153513922.30360708</v>
      </c>
      <c r="AD7" s="4">
        <f t="shared" ca="1" si="1"/>
        <v>159136504.97355008</v>
      </c>
      <c r="AE7" s="4">
        <f t="shared" ca="1" si="1"/>
        <v>164984364.67492604</v>
      </c>
      <c r="AF7" s="4">
        <f t="shared" ca="1" si="1"/>
        <v>169628940.71628025</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53435039.832154296</v>
      </c>
      <c r="D10" s="9">
        <f>Investment!D25</f>
        <v>56255691.676767223</v>
      </c>
      <c r="E10" s="9">
        <f>Investment!E25</f>
        <v>59202147.758647263</v>
      </c>
      <c r="F10" s="9">
        <f>Investment!F25</f>
        <v>62279571.201490611</v>
      </c>
      <c r="G10" s="9">
        <f>Investment!G25</f>
        <v>65493326.745371088</v>
      </c>
      <c r="H10" s="9">
        <f>Investment!H25</f>
        <v>68848988.363149583</v>
      </c>
      <c r="I10" s="9">
        <f>Investment!I25</f>
        <v>72352347.157878622</v>
      </c>
      <c r="J10" s="9">
        <f>Investment!J25</f>
        <v>76009419.55138649</v>
      </c>
      <c r="K10" s="9">
        <f>Investment!K25</f>
        <v>79826455.774589181</v>
      </c>
      <c r="L10" s="9">
        <f>Investment!L25</f>
        <v>83809948.670456216</v>
      </c>
      <c r="M10" s="9">
        <f>Investment!M25</f>
        <v>87966642.820945561</v>
      </c>
      <c r="N10" s="9">
        <f>Investment!N25</f>
        <v>92303544.0096277</v>
      </c>
      <c r="O10" s="9">
        <f>Investment!O25</f>
        <v>96827929.032136828</v>
      </c>
      <c r="P10" s="9">
        <f>Investment!P25</f>
        <v>101547355.86702068</v>
      </c>
      <c r="Q10" s="9">
        <f>Investment!Q25</f>
        <v>106469674.22000816</v>
      </c>
      <c r="R10" s="9">
        <f>Investment!R25</f>
        <v>111603036.45517908</v>
      </c>
      <c r="S10" s="9">
        <f>Investment!S25</f>
        <v>116955908.92699964</v>
      </c>
      <c r="T10" s="9">
        <f>Investment!T25</f>
        <v>122537083.72768657</v>
      </c>
      <c r="U10" s="9">
        <f>Investment!U25</f>
        <v>128355690.86487621</v>
      </c>
      <c r="V10" s="9">
        <f>Investment!V25</f>
        <v>134421210.88510889</v>
      </c>
      <c r="W10" s="9">
        <f>Investment!W25</f>
        <v>140743487.95919082</v>
      </c>
      <c r="X10" s="9">
        <f>Investment!X25</f>
        <v>147332743.4460676</v>
      </c>
      <c r="Y10" s="9">
        <f>Investment!Y25</f>
        <v>154199589.95243424</v>
      </c>
      <c r="Z10" s="9">
        <f>Investment!Z25</f>
        <v>161355045.90591967</v>
      </c>
      <c r="AA10" s="9">
        <f>Investment!AA25</f>
        <v>168810550.66031688</v>
      </c>
      <c r="AB10" s="9">
        <f>Investment!AB25</f>
        <v>176577980.15198776</v>
      </c>
      <c r="AC10" s="9">
        <f>Investment!AC25</f>
        <v>184669663.12724945</v>
      </c>
      <c r="AD10" s="9">
        <f>Investment!AD25</f>
        <v>193098397.96125233</v>
      </c>
      <c r="AE10" s="9">
        <f>Investment!AE25</f>
        <v>201877470.089589</v>
      </c>
      <c r="AF10" s="9">
        <f>Investment!AF25</f>
        <v>211020670.07462686</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-45935469.208450049</v>
      </c>
      <c r="D12" s="1">
        <f t="shared" ref="D12:AF12" ca="1" si="2">D7-D9-D10</f>
        <v>-42559126.105595239</v>
      </c>
      <c r="E12" s="1">
        <f ca="1">E7-E9-E10</f>
        <v>-37284170.395425774</v>
      </c>
      <c r="F12" s="1">
        <f t="shared" ca="1" si="2"/>
        <v>-31377658.222397104</v>
      </c>
      <c r="G12" s="1">
        <f ca="1">G7-G9-G10</f>
        <v>-24385093.263017051</v>
      </c>
      <c r="H12" s="1">
        <f t="shared" ca="1" si="2"/>
        <v>-20581530.874430098</v>
      </c>
      <c r="I12" s="1">
        <f t="shared" ca="1" si="2"/>
        <v>-17604612.13649337</v>
      </c>
      <c r="J12" s="1">
        <f t="shared" ca="1" si="2"/>
        <v>-17024501.21317149</v>
      </c>
      <c r="K12" s="1">
        <f t="shared" ca="1" si="2"/>
        <v>-16080359.995632589</v>
      </c>
      <c r="L12" s="1">
        <f t="shared" ca="1" si="2"/>
        <v>-16726293.062094003</v>
      </c>
      <c r="M12" s="1">
        <f t="shared" ca="1" si="2"/>
        <v>-17263092.990773559</v>
      </c>
      <c r="N12" s="1">
        <f t="shared" ca="1" si="2"/>
        <v>-17671581.283492833</v>
      </c>
      <c r="O12" s="1">
        <f t="shared" ca="1" si="2"/>
        <v>-17930649.348647892</v>
      </c>
      <c r="P12" s="1">
        <f t="shared" ca="1" si="2"/>
        <v>-18017100.452455878</v>
      </c>
      <c r="Q12" s="1">
        <f t="shared" ca="1" si="2"/>
        <v>-17905480.016947299</v>
      </c>
      <c r="R12" s="1">
        <f t="shared" ca="1" si="2"/>
        <v>-19017307.212318152</v>
      </c>
      <c r="S12" s="1">
        <f t="shared" ca="1" si="2"/>
        <v>-20093817.908597052</v>
      </c>
      <c r="T12" s="1">
        <f t="shared" ca="1" si="2"/>
        <v>-21124406.124425039</v>
      </c>
      <c r="U12" s="1">
        <f t="shared" ca="1" si="2"/>
        <v>-22097370.85817647</v>
      </c>
      <c r="V12" s="1">
        <f t="shared" ca="1" si="2"/>
        <v>-22999830.662311405</v>
      </c>
      <c r="W12" s="1">
        <f t="shared" ca="1" si="2"/>
        <v>-23817632.405563056</v>
      </c>
      <c r="X12" s="1">
        <f t="shared" ca="1" si="2"/>
        <v>-24535253.857908219</v>
      </c>
      <c r="Y12" s="1">
        <f t="shared" ca="1" si="2"/>
        <v>-25135699.711479664</v>
      </c>
      <c r="Z12" s="1">
        <f t="shared" ca="1" si="2"/>
        <v>-25600390.627534449</v>
      </c>
      <c r="AA12" s="1">
        <f t="shared" ca="1" si="2"/>
        <v>-25909044.875219345</v>
      </c>
      <c r="AB12" s="1">
        <f t="shared" ca="1" si="2"/>
        <v>-28472286.522561759</v>
      </c>
      <c r="AC12" s="1">
        <f t="shared" ca="1" si="2"/>
        <v>-31155740.823642373</v>
      </c>
      <c r="AD12" s="1">
        <f t="shared" ca="1" si="2"/>
        <v>-33961892.98770225</v>
      </c>
      <c r="AE12" s="1">
        <f t="shared" ca="1" si="2"/>
        <v>-36893105.414662957</v>
      </c>
      <c r="AF12" s="1">
        <f t="shared" ca="1" si="2"/>
        <v>-41391729.358346611</v>
      </c>
      <c r="AG12" s="1"/>
      <c r="AH12" s="1"/>
      <c r="AI12" s="1"/>
      <c r="AJ12" s="1"/>
      <c r="AK12" s="1"/>
      <c r="AL12" s="1"/>
      <c r="AM12" s="1"/>
      <c r="AN12" s="1"/>
      <c r="AO12" s="1"/>
      <c r="AP12" s="1"/>
    </row>
    <row r="13" spans="1:42" x14ac:dyDescent="0.35">
      <c r="A13" t="s">
        <v>19</v>
      </c>
      <c r="C13" s="1">
        <f ca="1">C12</f>
        <v>-45935469.208450049</v>
      </c>
      <c r="D13" s="1">
        <f ca="1">D12</f>
        <v>-42559126.105595239</v>
      </c>
      <c r="E13" s="1">
        <f ca="1">E12</f>
        <v>-37284170.395425774</v>
      </c>
      <c r="F13" s="1">
        <f t="shared" ref="F13:AF13" ca="1" si="3">F12</f>
        <v>-31377658.222397104</v>
      </c>
      <c r="G13" s="1">
        <f ca="1">G12</f>
        <v>-24385093.263017051</v>
      </c>
      <c r="H13" s="1">
        <f t="shared" ca="1" si="3"/>
        <v>-20581530.874430098</v>
      </c>
      <c r="I13" s="1">
        <f t="shared" ca="1" si="3"/>
        <v>-17604612.13649337</v>
      </c>
      <c r="J13" s="1">
        <f t="shared" ca="1" si="3"/>
        <v>-17024501.21317149</v>
      </c>
      <c r="K13" s="1">
        <f t="shared" ca="1" si="3"/>
        <v>-16080359.995632589</v>
      </c>
      <c r="L13" s="1">
        <f t="shared" ca="1" si="3"/>
        <v>-16726293.062094003</v>
      </c>
      <c r="M13" s="1">
        <f t="shared" ca="1" si="3"/>
        <v>-17263092.990773559</v>
      </c>
      <c r="N13" s="1">
        <f t="shared" ca="1" si="3"/>
        <v>-17671581.283492833</v>
      </c>
      <c r="O13" s="1">
        <f t="shared" ca="1" si="3"/>
        <v>-17930649.348647892</v>
      </c>
      <c r="P13" s="1">
        <f t="shared" ca="1" si="3"/>
        <v>-18017100.452455878</v>
      </c>
      <c r="Q13" s="1">
        <f t="shared" ca="1" si="3"/>
        <v>-17905480.016947299</v>
      </c>
      <c r="R13" s="1">
        <f t="shared" ca="1" si="3"/>
        <v>-19017307.212318152</v>
      </c>
      <c r="S13" s="1">
        <f t="shared" ca="1" si="3"/>
        <v>-20093817.908597052</v>
      </c>
      <c r="T13" s="1">
        <f t="shared" ca="1" si="3"/>
        <v>-21124406.124425039</v>
      </c>
      <c r="U13" s="1">
        <f t="shared" ca="1" si="3"/>
        <v>-22097370.85817647</v>
      </c>
      <c r="V13" s="1">
        <f t="shared" ca="1" si="3"/>
        <v>-22999830.662311405</v>
      </c>
      <c r="W13" s="1">
        <f t="shared" ca="1" si="3"/>
        <v>-23817632.405563056</v>
      </c>
      <c r="X13" s="1">
        <f t="shared" ca="1" si="3"/>
        <v>-24535253.857908219</v>
      </c>
      <c r="Y13" s="1">
        <f t="shared" ca="1" si="3"/>
        <v>-25135699.711479664</v>
      </c>
      <c r="Z13" s="1">
        <f t="shared" ca="1" si="3"/>
        <v>-25600390.627534449</v>
      </c>
      <c r="AA13" s="1">
        <f t="shared" ca="1" si="3"/>
        <v>-25909044.875219345</v>
      </c>
      <c r="AB13" s="1">
        <f t="shared" ca="1" si="3"/>
        <v>-28472286.522561759</v>
      </c>
      <c r="AC13" s="1">
        <f t="shared" ca="1" si="3"/>
        <v>-31155740.823642373</v>
      </c>
      <c r="AD13" s="1">
        <f t="shared" ca="1" si="3"/>
        <v>-33961892.98770225</v>
      </c>
      <c r="AE13" s="1">
        <f t="shared" ca="1" si="3"/>
        <v>-36893105.414662957</v>
      </c>
      <c r="AF13" s="1">
        <f t="shared" ca="1" si="3"/>
        <v>-41391729.358346611</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Normal="100" workbookViewId="0">
      <pane xSplit="1" topLeftCell="B1" activePane="topRight" state="frozen"/>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138</v>
      </c>
      <c r="C6" s="9">
        <f>Assumptions!C17</f>
        <v>452351701.96380001</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226175850.98190001</v>
      </c>
      <c r="D7" s="9">
        <f>C12</f>
        <v>234765502.81405431</v>
      </c>
      <c r="E7" s="9">
        <f>D12</f>
        <v>244740754.07482153</v>
      </c>
      <c r="F7" s="9">
        <f t="shared" ref="F7:H7" si="1">E12</f>
        <v>256181487.32415679</v>
      </c>
      <c r="G7" s="9">
        <f t="shared" si="1"/>
        <v>269171278.75203741</v>
      </c>
      <c r="H7" s="9">
        <f t="shared" si="1"/>
        <v>283797552.771043</v>
      </c>
      <c r="I7" s="9">
        <f t="shared" ref="I7" si="2">H12</f>
        <v>300151742.72058338</v>
      </c>
      <c r="J7" s="9">
        <f t="shared" ref="J7" si="3">I12</f>
        <v>318329457.91561735</v>
      </c>
      <c r="K7" s="9">
        <f t="shared" ref="K7" si="4">J12</f>
        <v>338430657.28134811</v>
      </c>
      <c r="L7" s="9">
        <f t="shared" ref="L7" si="5">K12</f>
        <v>360559829.82434058</v>
      </c>
      <c r="M7" s="9">
        <f t="shared" ref="M7" si="6">L12</f>
        <v>384826182.19978899</v>
      </c>
      <c r="N7" s="9">
        <f t="shared" ref="N7" si="7">M12</f>
        <v>411343833.64428651</v>
      </c>
      <c r="O7" s="9">
        <f t="shared" ref="O7" si="8">N12</f>
        <v>440232018.55341983</v>
      </c>
      <c r="P7" s="9">
        <f t="shared" ref="P7" si="9">O12</f>
        <v>471615296.99384648</v>
      </c>
      <c r="Q7" s="9">
        <f t="shared" ref="Q7" si="10">P12</f>
        <v>505623773.45022219</v>
      </c>
      <c r="R7" s="9">
        <f t="shared" ref="R7" si="11">Q12</f>
        <v>542393324.1184448</v>
      </c>
      <c r="S7" s="9">
        <f t="shared" ref="S7" si="12">R12</f>
        <v>582065833.06818128</v>
      </c>
      <c r="T7" s="9">
        <f t="shared" ref="T7" si="13">S12</f>
        <v>624789437.60956395</v>
      </c>
      <c r="U7" s="9">
        <f t="shared" ref="U7" si="14">T12</f>
        <v>670718783.21129394</v>
      </c>
      <c r="V7" s="9">
        <f t="shared" ref="V7" si="15">U12</f>
        <v>720015288.33018291</v>
      </c>
      <c r="W7" s="9">
        <f t="shared" ref="W7" si="16">V12</f>
        <v>772847419.52543294</v>
      </c>
      <c r="X7" s="9">
        <f t="shared" ref="X7" si="17">W12</f>
        <v>829390977.24468946</v>
      </c>
      <c r="Y7" s="9">
        <f t="shared" ref="Y7" si="18">X12</f>
        <v>889829392.68314493</v>
      </c>
      <c r="Z7" s="9">
        <f t="shared" ref="Z7" si="19">Y12</f>
        <v>954354036.1317234</v>
      </c>
      <c r="AA7" s="9">
        <f t="shared" ref="AA7" si="20">Z12</f>
        <v>1023164537.2456639</v>
      </c>
      <c r="AB7" s="9">
        <f t="shared" ref="AB7" si="21">AA12</f>
        <v>1096469117.6806583</v>
      </c>
      <c r="AC7" s="9">
        <f t="shared" ref="AC7" si="22">AB12</f>
        <v>1174484936.5601132</v>
      </c>
      <c r="AD7" s="9">
        <f t="shared" ref="AD7" si="23">AC12</f>
        <v>1257438449.2541087</v>
      </c>
      <c r="AE7" s="9">
        <f t="shared" ref="AE7" si="24">AD12</f>
        <v>1345565779.9682429</v>
      </c>
      <c r="AF7" s="9">
        <f t="shared" ref="AF7" si="25">AE12</f>
        <v>1439113108.6588061</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139</v>
      </c>
      <c r="C8" s="9">
        <f>Assumptions!D111*Assumptions!D11</f>
        <v>7513362.5201542871</v>
      </c>
      <c r="D8" s="9">
        <f>Assumptions!E111*Assumptions!E11</f>
        <v>7753790.1207992239</v>
      </c>
      <c r="E8" s="9">
        <f>Assumptions!F111*Assumptions!F11</f>
        <v>8001911.4046647986</v>
      </c>
      <c r="F8" s="9">
        <f>Assumptions!G111*Assumptions!G11</f>
        <v>8257972.5696140723</v>
      </c>
      <c r="G8" s="9">
        <f>Assumptions!H111*Assumptions!H11</f>
        <v>8522227.6918417234</v>
      </c>
      <c r="H8" s="9">
        <f>Assumptions!I111*Assumptions!I11</f>
        <v>8794938.9779806584</v>
      </c>
      <c r="I8" s="9">
        <f>Assumptions!J111*Assumptions!J11</f>
        <v>9076377.0252760369</v>
      </c>
      <c r="J8" s="9">
        <f>Assumptions!K111*Assumptions!K11</f>
        <v>9366821.0900848731</v>
      </c>
      <c r="K8" s="9">
        <f>Assumptions!L111*Assumptions!L11</f>
        <v>9666559.3649675883</v>
      </c>
      <c r="L8" s="9">
        <f>Assumptions!M111*Assumptions!M11</f>
        <v>9975889.2646465506</v>
      </c>
      <c r="M8" s="9">
        <f>Assumptions!N111*Assumptions!N11</f>
        <v>10295117.721115241</v>
      </c>
      <c r="N8" s="9">
        <f>Assumptions!O111*Assumptions!O11</f>
        <v>10624561.488190928</v>
      </c>
      <c r="O8" s="9">
        <f>Assumptions!P111*Assumptions!P11</f>
        <v>10964547.455813039</v>
      </c>
      <c r="P8" s="9">
        <f>Assumptions!Q111*Assumptions!Q11</f>
        <v>11315412.974399054</v>
      </c>
      <c r="Q8" s="9">
        <f>Assumptions!R111*Assumptions!R11</f>
        <v>11677506.189579822</v>
      </c>
      <c r="R8" s="9">
        <f>Assumptions!S111*Assumptions!S11</f>
        <v>12051186.387646379</v>
      </c>
      <c r="S8" s="9">
        <f>Assumptions!T111*Assumptions!T11</f>
        <v>12436824.352051064</v>
      </c>
      <c r="T8" s="9">
        <f>Assumptions!U111*Assumptions!U11</f>
        <v>12834802.731316697</v>
      </c>
      <c r="U8" s="9">
        <f>Assumptions!V111*Assumptions!V11</f>
        <v>13245516.41871883</v>
      </c>
      <c r="V8" s="9">
        <f>Assumptions!W111*Assumptions!W11</f>
        <v>13669372.944117833</v>
      </c>
      <c r="W8" s="9">
        <f>Assumptions!X111*Assumptions!X11</f>
        <v>14106792.878329607</v>
      </c>
      <c r="X8" s="9">
        <f>Assumptions!Y111*Assumptions!Y11</f>
        <v>14558210.250436151</v>
      </c>
      <c r="Y8" s="9">
        <f>Assumptions!Z111*Assumptions!Z11</f>
        <v>15024072.978450106</v>
      </c>
      <c r="Z8" s="9">
        <f>Assumptions!AA111*Assumptions!AA11</f>
        <v>15504843.31376051</v>
      </c>
      <c r="AA8" s="9">
        <f>Assumptions!AB111*Assumptions!AB11</f>
        <v>16000998.29980085</v>
      </c>
      <c r="AB8" s="9">
        <f>Assumptions!AC111*Assumptions!AC11</f>
        <v>16513030.245394474</v>
      </c>
      <c r="AC8" s="9">
        <f>Assumptions!AD111*Assumptions!AD11</f>
        <v>17041447.213247094</v>
      </c>
      <c r="AD8" s="9">
        <f>Assumptions!AE111*Assumptions!AE11</f>
        <v>17586773.524071004</v>
      </c>
      <c r="AE8" s="9">
        <f>Assumptions!AF111*Assumptions!AF11</f>
        <v>18149550.276841279</v>
      </c>
      <c r="AF8" s="9">
        <f>Assumptions!AG111*Assumptions!AG11</f>
        <v>18730335.885700196</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1076289.3119999999</v>
      </c>
      <c r="D9" s="9">
        <f>Assumptions!E120*Assumptions!E11</f>
        <v>2221461.1399679999</v>
      </c>
      <c r="E9" s="9">
        <f>Assumptions!F120*Assumptions!F11</f>
        <v>3438821.8446704638</v>
      </c>
      <c r="F9" s="9">
        <f>Assumptions!G120*Assumptions!G11</f>
        <v>4731818.8582665585</v>
      </c>
      <c r="G9" s="9">
        <f>Assumptions!H120*Assumptions!H11</f>
        <v>6104046.3271638602</v>
      </c>
      <c r="H9" s="9">
        <f>Assumptions!I120*Assumptions!I11</f>
        <v>7559250.9715597238</v>
      </c>
      <c r="I9" s="9">
        <f>Assumptions!J120*Assumptions!J11</f>
        <v>9101338.1697579082</v>
      </c>
      <c r="J9" s="9">
        <f>Assumptions!K120*Assumptions!K11</f>
        <v>10734378.275645899</v>
      </c>
      <c r="K9" s="9">
        <f>Assumptions!L120*Assumptions!L11</f>
        <v>12462613.178024888</v>
      </c>
      <c r="L9" s="9">
        <f>Assumptions!M120*Assumptions!M11</f>
        <v>14290463.11080187</v>
      </c>
      <c r="M9" s="9">
        <f>Assumptions!N120*Assumptions!N11</f>
        <v>16222533.723382281</v>
      </c>
      <c r="N9" s="9">
        <f>Assumptions!O120*Assumptions!O11</f>
        <v>18263623.420942381</v>
      </c>
      <c r="O9" s="9">
        <f>Assumptions!P120*Assumptions!P11</f>
        <v>20418730.984613579</v>
      </c>
      <c r="P9" s="9">
        <f>Assumptions!Q120*Assumptions!Q11</f>
        <v>22693063.481976692</v>
      </c>
      <c r="Q9" s="9">
        <f>Assumptions!R120*Assumptions!R11</f>
        <v>25092044.478642799</v>
      </c>
      <c r="R9" s="9">
        <f>Assumptions!S120*Assumptions!S11</f>
        <v>27621322.562089998</v>
      </c>
      <c r="S9" s="9">
        <f>Assumptions!T120*Assumptions!T11</f>
        <v>30286780.189331692</v>
      </c>
      <c r="T9" s="9">
        <f>Assumptions!U120*Assumptions!U11</f>
        <v>33094542.870413259</v>
      </c>
      <c r="U9" s="9">
        <f>Assumptions!V120*Assumptions!V11</f>
        <v>36050988.700170174</v>
      </c>
      <c r="V9" s="9">
        <f>Assumptions!W120*Assumptions!W11</f>
        <v>39162758.251132235</v>
      </c>
      <c r="W9" s="9">
        <f>Assumptions!X120*Assumptions!X11</f>
        <v>42436764.840926893</v>
      </c>
      <c r="X9" s="9">
        <f>Assumptions!Y120*Assumptions!Y11</f>
        <v>45880205.188019246</v>
      </c>
      <c r="Y9" s="9">
        <f>Assumptions!Z120*Assumptions!Z11</f>
        <v>49500570.470128387</v>
      </c>
      <c r="Z9" s="9">
        <f>Assumptions!AA120*Assumptions!AA11</f>
        <v>53305657.80018001</v>
      </c>
      <c r="AA9" s="9">
        <f>Assumptions!AB120*Assumptions!AB11</f>
        <v>57303582.135193527</v>
      </c>
      <c r="AB9" s="9">
        <f>Assumptions!AC120*Assumptions!AC11</f>
        <v>61502788.63406048</v>
      </c>
      <c r="AC9" s="9">
        <f>Assumptions!AD120*Assumptions!AD11</f>
        <v>65912065.480748504</v>
      </c>
      <c r="AD9" s="9">
        <f>Assumptions!AE120*Assumptions!AE11</f>
        <v>70540557.190063313</v>
      </c>
      <c r="AE9" s="9">
        <f>Assumptions!AF120*Assumptions!AF11</f>
        <v>75397778.413721934</v>
      </c>
      <c r="AF9" s="9">
        <f>Assumptions!AG120*Assumptions!AG11</f>
        <v>80493628.265132084</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8589651.832154287</v>
      </c>
      <c r="D10" s="9">
        <f>SUM($C$8:D9)</f>
        <v>18564903.09292151</v>
      </c>
      <c r="E10" s="9">
        <f>SUM($C$8:E9)</f>
        <v>30005636.342256773</v>
      </c>
      <c r="F10" s="9">
        <f>SUM($C$8:F9)</f>
        <v>42995427.770137399</v>
      </c>
      <c r="G10" s="9">
        <f>SUM($C$8:G9)</f>
        <v>57621701.789142996</v>
      </c>
      <c r="H10" s="9">
        <f>SUM($C$8:H9)</f>
        <v>73975891.738683373</v>
      </c>
      <c r="I10" s="9">
        <f>SUM($C$8:I9)</f>
        <v>92153606.93371731</v>
      </c>
      <c r="J10" s="9">
        <f>SUM($C$8:J9)</f>
        <v>112254806.29944807</v>
      </c>
      <c r="K10" s="9">
        <f>SUM($C$8:K9)</f>
        <v>134383978.84244055</v>
      </c>
      <c r="L10" s="9">
        <f>SUM($C$8:L9)</f>
        <v>158650331.21788895</v>
      </c>
      <c r="M10" s="9">
        <f>SUM($C$8:M9)</f>
        <v>185167982.66238651</v>
      </c>
      <c r="N10" s="9">
        <f>SUM($C$8:N9)</f>
        <v>214056167.57151985</v>
      </c>
      <c r="O10" s="9">
        <f>SUM($C$8:O9)</f>
        <v>245439446.01194647</v>
      </c>
      <c r="P10" s="9">
        <f>SUM($C$8:P9)</f>
        <v>279447922.46832228</v>
      </c>
      <c r="Q10" s="9">
        <f>SUM($C$8:Q9)</f>
        <v>316217473.13654494</v>
      </c>
      <c r="R10" s="9">
        <f>SUM($C$8:R9)</f>
        <v>355889982.0862813</v>
      </c>
      <c r="S10" s="9">
        <f>SUM($C$8:S9)</f>
        <v>398613586.62766403</v>
      </c>
      <c r="T10" s="9">
        <f>SUM($C$8:T9)</f>
        <v>444542932.22939396</v>
      </c>
      <c r="U10" s="9">
        <f>SUM($C$8:U9)</f>
        <v>493839437.34828287</v>
      </c>
      <c r="V10" s="9">
        <f>SUM($C$8:V9)</f>
        <v>546671568.54353297</v>
      </c>
      <c r="W10" s="9">
        <f>SUM($C$8:W9)</f>
        <v>603215126.26278949</v>
      </c>
      <c r="X10" s="9">
        <f>SUM($C$8:X9)</f>
        <v>663653541.70124495</v>
      </c>
      <c r="Y10" s="9">
        <f>SUM($C$8:Y9)</f>
        <v>728178185.14982343</v>
      </c>
      <c r="Z10" s="9">
        <f>SUM($C$8:Z9)</f>
        <v>796988686.2637639</v>
      </c>
      <c r="AA10" s="9">
        <f>SUM($C$8:AA9)</f>
        <v>870293266.69875836</v>
      </c>
      <c r="AB10" s="9">
        <f>SUM($C$8:AB9)</f>
        <v>948309085.57821333</v>
      </c>
      <c r="AC10" s="9">
        <f>SUM($C$8:AC9)</f>
        <v>1031262598.2722089</v>
      </c>
      <c r="AD10" s="9">
        <f>SUM($C$8:AD9)</f>
        <v>1119389928.9863431</v>
      </c>
      <c r="AE10" s="9">
        <f>SUM($C$8:AE9)</f>
        <v>1212937257.6769063</v>
      </c>
      <c r="AF10" s="9">
        <f>SUM($C$8:AF9)</f>
        <v>1312161221.8277388</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234765502.81405431</v>
      </c>
      <c r="D12" s="9">
        <f>D7+D8+D9</f>
        <v>244740754.07482153</v>
      </c>
      <c r="E12" s="9">
        <f>E7+E8+E9</f>
        <v>256181487.32415679</v>
      </c>
      <c r="F12" s="9">
        <f t="shared" ref="F12:H12" si="26">F7+F8+F9</f>
        <v>269171278.75203741</v>
      </c>
      <c r="G12" s="9">
        <f t="shared" si="26"/>
        <v>283797552.771043</v>
      </c>
      <c r="H12" s="9">
        <f t="shared" si="26"/>
        <v>300151742.72058338</v>
      </c>
      <c r="I12" s="9">
        <f t="shared" ref="I12:AF12" si="27">I7+I8+I9</f>
        <v>318329457.91561735</v>
      </c>
      <c r="J12" s="9">
        <f t="shared" si="27"/>
        <v>338430657.28134811</v>
      </c>
      <c r="K12" s="9">
        <f t="shared" si="27"/>
        <v>360559829.82434058</v>
      </c>
      <c r="L12" s="9">
        <f t="shared" si="27"/>
        <v>384826182.19978899</v>
      </c>
      <c r="M12" s="9">
        <f t="shared" si="27"/>
        <v>411343833.64428651</v>
      </c>
      <c r="N12" s="9">
        <f t="shared" si="27"/>
        <v>440232018.55341983</v>
      </c>
      <c r="O12" s="9">
        <f t="shared" si="27"/>
        <v>471615296.99384648</v>
      </c>
      <c r="P12" s="9">
        <f t="shared" si="27"/>
        <v>505623773.45022219</v>
      </c>
      <c r="Q12" s="9">
        <f t="shared" si="27"/>
        <v>542393324.1184448</v>
      </c>
      <c r="R12" s="9">
        <f t="shared" si="27"/>
        <v>582065833.06818128</v>
      </c>
      <c r="S12" s="9">
        <f t="shared" si="27"/>
        <v>624789437.60956395</v>
      </c>
      <c r="T12" s="9">
        <f t="shared" si="27"/>
        <v>670718783.21129394</v>
      </c>
      <c r="U12" s="9">
        <f t="shared" si="27"/>
        <v>720015288.33018291</v>
      </c>
      <c r="V12" s="9">
        <f t="shared" si="27"/>
        <v>772847419.52543294</v>
      </c>
      <c r="W12" s="9">
        <f t="shared" si="27"/>
        <v>829390977.24468946</v>
      </c>
      <c r="X12" s="9">
        <f t="shared" si="27"/>
        <v>889829392.68314493</v>
      </c>
      <c r="Y12" s="9">
        <f t="shared" si="27"/>
        <v>954354036.1317234</v>
      </c>
      <c r="Z12" s="9">
        <f t="shared" si="27"/>
        <v>1023164537.2456639</v>
      </c>
      <c r="AA12" s="9">
        <f t="shared" si="27"/>
        <v>1096469117.6806583</v>
      </c>
      <c r="AB12" s="9">
        <f t="shared" si="27"/>
        <v>1174484936.5601132</v>
      </c>
      <c r="AC12" s="9">
        <f t="shared" si="27"/>
        <v>1257438449.2541087</v>
      </c>
      <c r="AD12" s="9">
        <f t="shared" si="27"/>
        <v>1345565779.9682429</v>
      </c>
      <c r="AE12" s="9">
        <f t="shared" si="27"/>
        <v>1439113108.6588061</v>
      </c>
      <c r="AF12" s="9">
        <f t="shared" si="27"/>
        <v>1538337072.8096385</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53435039.832154296</v>
      </c>
      <c r="D18" s="9">
        <f>Investment!D25</f>
        <v>56255691.676767223</v>
      </c>
      <c r="E18" s="9">
        <f>Investment!E25</f>
        <v>59202147.758647263</v>
      </c>
      <c r="F18" s="9">
        <f>Investment!F25</f>
        <v>62279571.201490611</v>
      </c>
      <c r="G18" s="9">
        <f>Investment!G25</f>
        <v>65493326.745371088</v>
      </c>
      <c r="H18" s="9">
        <f>Investment!H25</f>
        <v>68848988.363149583</v>
      </c>
      <c r="I18" s="9">
        <f>Investment!I25</f>
        <v>72352347.157878622</v>
      </c>
      <c r="J18" s="9">
        <f>Investment!J25</f>
        <v>76009419.55138649</v>
      </c>
      <c r="K18" s="9">
        <f>Investment!K25</f>
        <v>79826455.774589181</v>
      </c>
      <c r="L18" s="9">
        <f>Investment!L25</f>
        <v>83809948.670456216</v>
      </c>
      <c r="M18" s="9">
        <f>Investment!M25</f>
        <v>87966642.820945561</v>
      </c>
      <c r="N18" s="9">
        <f>Investment!N25</f>
        <v>92303544.0096277</v>
      </c>
      <c r="O18" s="9">
        <f>Investment!O25</f>
        <v>96827929.032136828</v>
      </c>
      <c r="P18" s="9">
        <f>Investment!P25</f>
        <v>101547355.86702068</v>
      </c>
      <c r="Q18" s="9">
        <f>Investment!Q25</f>
        <v>106469674.22000816</v>
      </c>
      <c r="R18" s="9">
        <f>Investment!R25</f>
        <v>111603036.45517908</v>
      </c>
      <c r="S18" s="9">
        <f>Investment!S25</f>
        <v>116955908.92699964</v>
      </c>
      <c r="T18" s="9">
        <f>Investment!T25</f>
        <v>122537083.72768657</v>
      </c>
      <c r="U18" s="9">
        <f>Investment!U25</f>
        <v>128355690.86487621</v>
      </c>
      <c r="V18" s="9">
        <f>Investment!V25</f>
        <v>134421210.88510889</v>
      </c>
      <c r="W18" s="9">
        <f>Investment!W25</f>
        <v>140743487.95919082</v>
      </c>
      <c r="X18" s="9">
        <f>Investment!X25</f>
        <v>147332743.4460676</v>
      </c>
      <c r="Y18" s="9">
        <f>Investment!Y25</f>
        <v>154199589.95243424</v>
      </c>
      <c r="Z18" s="9">
        <f>Investment!Z25</f>
        <v>161355045.90591967</v>
      </c>
      <c r="AA18" s="9">
        <f>Investment!AA25</f>
        <v>168810550.66031688</v>
      </c>
      <c r="AB18" s="9">
        <f>Investment!AB25</f>
        <v>176577980.15198776</v>
      </c>
      <c r="AC18" s="9">
        <f>Investment!AC25</f>
        <v>184669663.12724945</v>
      </c>
      <c r="AD18" s="9">
        <f>Investment!AD25</f>
        <v>193098397.96125233</v>
      </c>
      <c r="AE18" s="9">
        <f>Investment!AE25</f>
        <v>201877470.089589</v>
      </c>
      <c r="AF18" s="9">
        <f>Investment!AF25</f>
        <v>211020670.07462686</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44</v>
      </c>
      <c r="C19" s="9">
        <f>$C$6-C7+C18</f>
        <v>279610890.81405431</v>
      </c>
      <c r="D19" s="9">
        <f>D18+C20</f>
        <v>327276930.65866727</v>
      </c>
      <c r="E19" s="9">
        <f>E18+D20</f>
        <v>376503827.15654731</v>
      </c>
      <c r="F19" s="9">
        <f t="shared" ref="F19:AF19" si="28">F18+E20</f>
        <v>427342665.10870266</v>
      </c>
      <c r="G19" s="9">
        <f t="shared" si="28"/>
        <v>479846200.42619318</v>
      </c>
      <c r="H19" s="9">
        <f t="shared" si="28"/>
        <v>534068914.77033716</v>
      </c>
      <c r="I19" s="9">
        <f t="shared" si="28"/>
        <v>590067071.97867537</v>
      </c>
      <c r="J19" s="9">
        <f t="shared" si="28"/>
        <v>647898776.33502781</v>
      </c>
      <c r="K19" s="9">
        <f t="shared" si="28"/>
        <v>707624032.74388623</v>
      </c>
      <c r="L19" s="9">
        <f t="shared" si="28"/>
        <v>769304808.87134993</v>
      </c>
      <c r="M19" s="9">
        <f t="shared" si="28"/>
        <v>833005099.31684709</v>
      </c>
      <c r="N19" s="9">
        <f t="shared" si="28"/>
        <v>898790991.88197732</v>
      </c>
      <c r="O19" s="9">
        <f t="shared" si="28"/>
        <v>966730736.0049808</v>
      </c>
      <c r="P19" s="9">
        <f t="shared" si="28"/>
        <v>1036894813.4315749</v>
      </c>
      <c r="Q19" s="9">
        <f t="shared" si="28"/>
        <v>1109356011.1952074</v>
      </c>
      <c r="R19" s="9">
        <f t="shared" si="28"/>
        <v>1184189496.9821639</v>
      </c>
      <c r="S19" s="9">
        <f t="shared" si="28"/>
        <v>1261472896.9594271</v>
      </c>
      <c r="T19" s="9">
        <f t="shared" si="28"/>
        <v>1341286376.145731</v>
      </c>
      <c r="U19" s="9">
        <f t="shared" si="28"/>
        <v>1423712721.4088771</v>
      </c>
      <c r="V19" s="9">
        <f t="shared" si="28"/>
        <v>1508837427.175097</v>
      </c>
      <c r="W19" s="9">
        <f t="shared" si="28"/>
        <v>1596748783.9390378</v>
      </c>
      <c r="X19" s="9">
        <f t="shared" si="28"/>
        <v>1687537969.665849</v>
      </c>
      <c r="Y19" s="9">
        <f t="shared" si="28"/>
        <v>1781299144.1798279</v>
      </c>
      <c r="Z19" s="9">
        <f t="shared" si="28"/>
        <v>1878129546.6371694</v>
      </c>
      <c r="AA19" s="9">
        <f t="shared" si="28"/>
        <v>1978129596.1835458</v>
      </c>
      <c r="AB19" s="9">
        <f t="shared" si="28"/>
        <v>2081402995.9005392</v>
      </c>
      <c r="AC19" s="9">
        <f t="shared" si="28"/>
        <v>2188056840.1483335</v>
      </c>
      <c r="AD19" s="9">
        <f t="shared" si="28"/>
        <v>2298201725.4155903</v>
      </c>
      <c r="AE19" s="9">
        <f t="shared" si="28"/>
        <v>2411951864.7910447</v>
      </c>
      <c r="AF19" s="9">
        <f t="shared" si="28"/>
        <v>2529425206.1751084</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271021238.98190004</v>
      </c>
      <c r="D20" s="9">
        <f>D19-D8-D9</f>
        <v>317301679.39790004</v>
      </c>
      <c r="E20" s="9">
        <f t="shared" ref="E20:AF20" si="29">E19-E8-E9</f>
        <v>365063093.90721202</v>
      </c>
      <c r="F20" s="9">
        <f t="shared" si="29"/>
        <v>414352873.68082207</v>
      </c>
      <c r="G20" s="9">
        <f t="shared" si="29"/>
        <v>465219926.40718758</v>
      </c>
      <c r="H20" s="9">
        <f t="shared" si="29"/>
        <v>517714724.82079679</v>
      </c>
      <c r="I20" s="9">
        <f t="shared" si="29"/>
        <v>571889356.78364134</v>
      </c>
      <c r="J20" s="9">
        <f t="shared" si="29"/>
        <v>627797576.96929705</v>
      </c>
      <c r="K20" s="9">
        <f t="shared" si="29"/>
        <v>685494860.20089376</v>
      </c>
      <c r="L20" s="9">
        <f t="shared" si="29"/>
        <v>745038456.49590158</v>
      </c>
      <c r="M20" s="9">
        <f t="shared" si="29"/>
        <v>806487447.87234962</v>
      </c>
      <c r="N20" s="9">
        <f t="shared" si="29"/>
        <v>869902806.972844</v>
      </c>
      <c r="O20" s="9">
        <f t="shared" si="29"/>
        <v>935347457.56455421</v>
      </c>
      <c r="P20" s="9">
        <f t="shared" si="29"/>
        <v>1002886336.9751991</v>
      </c>
      <c r="Q20" s="9">
        <f t="shared" si="29"/>
        <v>1072586460.5269848</v>
      </c>
      <c r="R20" s="9">
        <f t="shared" si="29"/>
        <v>1144516988.0324275</v>
      </c>
      <c r="S20" s="9">
        <f t="shared" si="29"/>
        <v>1218749292.4180443</v>
      </c>
      <c r="T20" s="9">
        <f t="shared" si="29"/>
        <v>1295357030.5440009</v>
      </c>
      <c r="U20" s="9">
        <f t="shared" si="29"/>
        <v>1374416216.289988</v>
      </c>
      <c r="V20" s="9">
        <f t="shared" si="29"/>
        <v>1456005295.979847</v>
      </c>
      <c r="W20" s="9">
        <f t="shared" si="29"/>
        <v>1540205226.2197814</v>
      </c>
      <c r="X20" s="9">
        <f t="shared" si="29"/>
        <v>1627099554.2273936</v>
      </c>
      <c r="Y20" s="9">
        <f t="shared" si="29"/>
        <v>1716774500.7312496</v>
      </c>
      <c r="Z20" s="9">
        <f t="shared" si="29"/>
        <v>1809319045.5232289</v>
      </c>
      <c r="AA20" s="9">
        <f t="shared" si="29"/>
        <v>1904825015.7485514</v>
      </c>
      <c r="AB20" s="9">
        <f t="shared" si="29"/>
        <v>2003387177.0210843</v>
      </c>
      <c r="AC20" s="9">
        <f t="shared" si="29"/>
        <v>2105103327.4543378</v>
      </c>
      <c r="AD20" s="9">
        <f t="shared" si="29"/>
        <v>2210074394.7014556</v>
      </c>
      <c r="AE20" s="9">
        <f t="shared" si="29"/>
        <v>2318404536.1004815</v>
      </c>
      <c r="AF20" s="9">
        <f t="shared" si="29"/>
        <v>2430201242.0242763</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0</v>
      </c>
      <c r="D22" s="9">
        <f ca="1">'Balance Sheet'!C11</f>
        <v>45935469.208450049</v>
      </c>
      <c r="E22" s="9">
        <f ca="1">'Balance Sheet'!D11</f>
        <v>88494595.31404528</v>
      </c>
      <c r="F22" s="9">
        <f ca="1">'Balance Sheet'!E11</f>
        <v>125778765.70947105</v>
      </c>
      <c r="G22" s="9">
        <f ca="1">'Balance Sheet'!F11</f>
        <v>157156423.93186814</v>
      </c>
      <c r="H22" s="9">
        <f ca="1">'Balance Sheet'!G11</f>
        <v>181541517.19488519</v>
      </c>
      <c r="I22" s="9">
        <f ca="1">'Balance Sheet'!H11</f>
        <v>202123048.06931528</v>
      </c>
      <c r="J22" s="9">
        <f ca="1">'Balance Sheet'!I11</f>
        <v>219727660.20580864</v>
      </c>
      <c r="K22" s="9">
        <f ca="1">'Balance Sheet'!J11</f>
        <v>236752161.41898012</v>
      </c>
      <c r="L22" s="9">
        <f ca="1">'Balance Sheet'!K11</f>
        <v>252832521.41461271</v>
      </c>
      <c r="M22" s="9">
        <f ca="1">'Balance Sheet'!L11</f>
        <v>269558814.47670674</v>
      </c>
      <c r="N22" s="9">
        <f ca="1">'Balance Sheet'!M11</f>
        <v>286821907.4674803</v>
      </c>
      <c r="O22" s="9">
        <f ca="1">'Balance Sheet'!N11</f>
        <v>304493488.75097311</v>
      </c>
      <c r="P22" s="9">
        <f ca="1">'Balance Sheet'!O11</f>
        <v>322424138.099621</v>
      </c>
      <c r="Q22" s="9">
        <f ca="1">'Balance Sheet'!P11</f>
        <v>340441238.55207688</v>
      </c>
      <c r="R22" s="9">
        <f ca="1">'Balance Sheet'!Q11</f>
        <v>358346718.56902421</v>
      </c>
      <c r="S22" s="9">
        <f ca="1">'Balance Sheet'!R11</f>
        <v>377364025.78134239</v>
      </c>
      <c r="T22" s="9">
        <f ca="1">'Balance Sheet'!S11</f>
        <v>397457843.68993944</v>
      </c>
      <c r="U22" s="9">
        <f ca="1">'Balance Sheet'!T11</f>
        <v>418582249.81436449</v>
      </c>
      <c r="V22" s="9">
        <f ca="1">'Balance Sheet'!U11</f>
        <v>440679620.67254096</v>
      </c>
      <c r="W22" s="9">
        <f ca="1">'Balance Sheet'!V11</f>
        <v>463679451.33485234</v>
      </c>
      <c r="X22" s="9">
        <f ca="1">'Balance Sheet'!W11</f>
        <v>487497083.74041539</v>
      </c>
      <c r="Y22" s="9">
        <f ca="1">'Balance Sheet'!X11</f>
        <v>512032337.59832358</v>
      </c>
      <c r="Z22" s="9">
        <f ca="1">'Balance Sheet'!Y11</f>
        <v>537168037.30980325</v>
      </c>
      <c r="AA22" s="9">
        <f ca="1">'Balance Sheet'!Z11</f>
        <v>562768427.93733764</v>
      </c>
      <c r="AB22" s="9">
        <f ca="1">'Balance Sheet'!AA11</f>
        <v>588677472.81255698</v>
      </c>
      <c r="AC22" s="9">
        <f ca="1">'Balance Sheet'!AB11</f>
        <v>617149759.33511877</v>
      </c>
      <c r="AD22" s="9">
        <f ca="1">'Balance Sheet'!AC11</f>
        <v>648305500.15876114</v>
      </c>
      <c r="AE22" s="9">
        <f ca="1">'Balance Sheet'!AD11</f>
        <v>682267393.14646339</v>
      </c>
      <c r="AF22" s="9">
        <f ca="1">'Balance Sheet'!AE11</f>
        <v>719160498.56112635</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271021238.98190004</v>
      </c>
      <c r="D23" s="9">
        <f t="shared" ref="D23:AF23" ca="1" si="30">D20-D22</f>
        <v>271366210.18945003</v>
      </c>
      <c r="E23" s="9">
        <f t="shared" ca="1" si="30"/>
        <v>276568498.59316671</v>
      </c>
      <c r="F23" s="9">
        <f t="shared" ca="1" si="30"/>
        <v>288574107.97135103</v>
      </c>
      <c r="G23" s="9">
        <f t="shared" ca="1" si="30"/>
        <v>308063502.47531945</v>
      </c>
      <c r="H23" s="9">
        <f t="shared" ca="1" si="30"/>
        <v>336173207.62591159</v>
      </c>
      <c r="I23" s="9">
        <f t="shared" ca="1" si="30"/>
        <v>369766308.71432602</v>
      </c>
      <c r="J23" s="9">
        <f ca="1">J20-J22</f>
        <v>408069916.76348841</v>
      </c>
      <c r="K23" s="9">
        <f t="shared" ca="1" si="30"/>
        <v>448742698.78191364</v>
      </c>
      <c r="L23" s="9">
        <f t="shared" ca="1" si="30"/>
        <v>492205935.08128887</v>
      </c>
      <c r="M23" s="9">
        <f t="shared" ca="1" si="30"/>
        <v>536928633.39564288</v>
      </c>
      <c r="N23" s="9">
        <f t="shared" ca="1" si="30"/>
        <v>583080899.5053637</v>
      </c>
      <c r="O23" s="9">
        <f t="shared" ca="1" si="30"/>
        <v>630853968.81358111</v>
      </c>
      <c r="P23" s="9">
        <f t="shared" ca="1" si="30"/>
        <v>680462198.87557817</v>
      </c>
      <c r="Q23" s="9">
        <f t="shared" ca="1" si="30"/>
        <v>732145221.97490788</v>
      </c>
      <c r="R23" s="9">
        <f t="shared" ca="1" si="30"/>
        <v>786170269.46340334</v>
      </c>
      <c r="S23" s="9">
        <f t="shared" ca="1" si="30"/>
        <v>841385266.63670194</v>
      </c>
      <c r="T23" s="9">
        <f t="shared" ca="1" si="30"/>
        <v>897899186.85406137</v>
      </c>
      <c r="U23" s="9">
        <f t="shared" ca="1" si="30"/>
        <v>955833966.47562361</v>
      </c>
      <c r="V23" s="9">
        <f t="shared" ca="1" si="30"/>
        <v>1015325675.3073061</v>
      </c>
      <c r="W23" s="9">
        <f t="shared" ca="1" si="30"/>
        <v>1076525774.8849292</v>
      </c>
      <c r="X23" s="9">
        <f t="shared" ca="1" si="30"/>
        <v>1139602470.4869783</v>
      </c>
      <c r="Y23" s="9">
        <f t="shared" ca="1" si="30"/>
        <v>1204742163.132926</v>
      </c>
      <c r="Z23" s="9">
        <f t="shared" ca="1" si="30"/>
        <v>1272151008.2134256</v>
      </c>
      <c r="AA23" s="9">
        <f t="shared" ca="1" si="30"/>
        <v>1342056587.8112137</v>
      </c>
      <c r="AB23" s="9">
        <f t="shared" ca="1" si="30"/>
        <v>1414709704.2085273</v>
      </c>
      <c r="AC23" s="9">
        <f t="shared" ca="1" si="30"/>
        <v>1487953568.1192191</v>
      </c>
      <c r="AD23" s="9">
        <f t="shared" ca="1" si="30"/>
        <v>1561768894.5426946</v>
      </c>
      <c r="AE23" s="9">
        <f t="shared" ca="1" si="30"/>
        <v>1636137142.9540181</v>
      </c>
      <c r="AF23" s="9">
        <f t="shared" ca="1" si="30"/>
        <v>1711040743.46315</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Normal="100" workbookViewId="0">
      <pane xSplit="1" topLeftCell="B1" activePane="topRight" state="frozen"/>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165</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0</v>
      </c>
      <c r="D5" s="1">
        <f ca="1">C5+C6</f>
        <v>45935469.208450049</v>
      </c>
      <c r="E5" s="1">
        <f t="shared" ref="E5:AF5" ca="1" si="1">D5+D6</f>
        <v>88494595.31404528</v>
      </c>
      <c r="F5" s="1">
        <f t="shared" ca="1" si="1"/>
        <v>125778765.70947105</v>
      </c>
      <c r="G5" s="1">
        <f t="shared" ca="1" si="1"/>
        <v>157156423.93186814</v>
      </c>
      <c r="H5" s="1">
        <f t="shared" ca="1" si="1"/>
        <v>181541517.19488519</v>
      </c>
      <c r="I5" s="1">
        <f t="shared" ca="1" si="1"/>
        <v>202123048.06931528</v>
      </c>
      <c r="J5" s="1">
        <f t="shared" ca="1" si="1"/>
        <v>219727660.20580864</v>
      </c>
      <c r="K5" s="1">
        <f t="shared" ca="1" si="1"/>
        <v>236752161.41898012</v>
      </c>
      <c r="L5" s="1">
        <f t="shared" ca="1" si="1"/>
        <v>252832521.41461271</v>
      </c>
      <c r="M5" s="1">
        <f t="shared" ca="1" si="1"/>
        <v>269558814.47670674</v>
      </c>
      <c r="N5" s="1">
        <f t="shared" ca="1" si="1"/>
        <v>286821907.4674803</v>
      </c>
      <c r="O5" s="1">
        <f t="shared" ca="1" si="1"/>
        <v>304493488.75097311</v>
      </c>
      <c r="P5" s="1">
        <f t="shared" ca="1" si="1"/>
        <v>322424138.099621</v>
      </c>
      <c r="Q5" s="1">
        <f t="shared" ca="1" si="1"/>
        <v>340441238.55207688</v>
      </c>
      <c r="R5" s="1">
        <f t="shared" ca="1" si="1"/>
        <v>358346718.56902421</v>
      </c>
      <c r="S5" s="1">
        <f t="shared" ca="1" si="1"/>
        <v>377364025.78134239</v>
      </c>
      <c r="T5" s="1">
        <f t="shared" ca="1" si="1"/>
        <v>397457843.68993944</v>
      </c>
      <c r="U5" s="1">
        <f t="shared" ca="1" si="1"/>
        <v>418582249.81436449</v>
      </c>
      <c r="V5" s="1">
        <f t="shared" ca="1" si="1"/>
        <v>440679620.67254096</v>
      </c>
      <c r="W5" s="1">
        <f t="shared" ca="1" si="1"/>
        <v>463679451.33485234</v>
      </c>
      <c r="X5" s="1">
        <f t="shared" ca="1" si="1"/>
        <v>487497083.74041539</v>
      </c>
      <c r="Y5" s="1">
        <f t="shared" ca="1" si="1"/>
        <v>512032337.59832358</v>
      </c>
      <c r="Z5" s="1">
        <f t="shared" ca="1" si="1"/>
        <v>537168037.30980325</v>
      </c>
      <c r="AA5" s="1">
        <f t="shared" ca="1" si="1"/>
        <v>562768427.93733764</v>
      </c>
      <c r="AB5" s="1">
        <f t="shared" ca="1" si="1"/>
        <v>588677472.81255698</v>
      </c>
      <c r="AC5" s="1">
        <f t="shared" ca="1" si="1"/>
        <v>617149759.33511877</v>
      </c>
      <c r="AD5" s="1">
        <f t="shared" ca="1" si="1"/>
        <v>648305500.15876114</v>
      </c>
      <c r="AE5" s="1">
        <f t="shared" ca="1" si="1"/>
        <v>682267393.14646339</v>
      </c>
      <c r="AF5" s="1">
        <f t="shared" ca="1" si="1"/>
        <v>719160498.56112635</v>
      </c>
      <c r="AG5" s="1"/>
      <c r="AH5" s="1"/>
      <c r="AI5" s="1"/>
      <c r="AJ5" s="1"/>
      <c r="AK5" s="1"/>
      <c r="AL5" s="1"/>
      <c r="AM5" s="1"/>
      <c r="AN5" s="1"/>
      <c r="AO5" s="1"/>
      <c r="AP5" s="1"/>
    </row>
    <row r="6" spans="1:42" x14ac:dyDescent="0.35">
      <c r="A6" s="63" t="s">
        <v>3</v>
      </c>
      <c r="C6" s="1">
        <f ca="1">-'Cash Flow'!C13</f>
        <v>45935469.208450049</v>
      </c>
      <c r="D6" s="1">
        <f ca="1">-'Cash Flow'!D13</f>
        <v>42559126.105595239</v>
      </c>
      <c r="E6" s="1">
        <f ca="1">-'Cash Flow'!E13</f>
        <v>37284170.395425774</v>
      </c>
      <c r="F6" s="1">
        <f ca="1">-'Cash Flow'!F13</f>
        <v>31377658.222397104</v>
      </c>
      <c r="G6" s="1">
        <f ca="1">-'Cash Flow'!G13</f>
        <v>24385093.263017051</v>
      </c>
      <c r="H6" s="1">
        <f ca="1">-'Cash Flow'!H13</f>
        <v>20581530.874430098</v>
      </c>
      <c r="I6" s="1">
        <f ca="1">-'Cash Flow'!I13</f>
        <v>17604612.13649337</v>
      </c>
      <c r="J6" s="1">
        <f ca="1">-'Cash Flow'!J13</f>
        <v>17024501.21317149</v>
      </c>
      <c r="K6" s="1">
        <f ca="1">-'Cash Flow'!K13</f>
        <v>16080359.995632589</v>
      </c>
      <c r="L6" s="1">
        <f ca="1">-'Cash Flow'!L13</f>
        <v>16726293.062094003</v>
      </c>
      <c r="M6" s="1">
        <f ca="1">-'Cash Flow'!M13</f>
        <v>17263092.990773559</v>
      </c>
      <c r="N6" s="1">
        <f ca="1">-'Cash Flow'!N13</f>
        <v>17671581.283492833</v>
      </c>
      <c r="O6" s="1">
        <f ca="1">-'Cash Flow'!O13</f>
        <v>17930649.348647892</v>
      </c>
      <c r="P6" s="1">
        <f ca="1">-'Cash Flow'!P13</f>
        <v>18017100.452455878</v>
      </c>
      <c r="Q6" s="1">
        <f ca="1">-'Cash Flow'!Q13</f>
        <v>17905480.016947299</v>
      </c>
      <c r="R6" s="1">
        <f ca="1">-'Cash Flow'!R13</f>
        <v>19017307.212318152</v>
      </c>
      <c r="S6" s="1">
        <f ca="1">-'Cash Flow'!S13</f>
        <v>20093817.908597052</v>
      </c>
      <c r="T6" s="1">
        <f ca="1">-'Cash Flow'!T13</f>
        <v>21124406.124425039</v>
      </c>
      <c r="U6" s="1">
        <f ca="1">-'Cash Flow'!U13</f>
        <v>22097370.85817647</v>
      </c>
      <c r="V6" s="1">
        <f ca="1">-'Cash Flow'!V13</f>
        <v>22999830.662311405</v>
      </c>
      <c r="W6" s="1">
        <f ca="1">-'Cash Flow'!W13</f>
        <v>23817632.405563056</v>
      </c>
      <c r="X6" s="1">
        <f ca="1">-'Cash Flow'!X13</f>
        <v>24535253.857908219</v>
      </c>
      <c r="Y6" s="1">
        <f ca="1">-'Cash Flow'!Y13</f>
        <v>25135699.711479664</v>
      </c>
      <c r="Z6" s="1">
        <f ca="1">-'Cash Flow'!Z13</f>
        <v>25600390.627534449</v>
      </c>
      <c r="AA6" s="1">
        <f ca="1">-'Cash Flow'!AA13</f>
        <v>25909044.875219345</v>
      </c>
      <c r="AB6" s="1">
        <f ca="1">-'Cash Flow'!AB13</f>
        <v>28472286.522561759</v>
      </c>
      <c r="AC6" s="1">
        <f ca="1">-'Cash Flow'!AC13</f>
        <v>31155740.823642373</v>
      </c>
      <c r="AD6" s="1">
        <f ca="1">-'Cash Flow'!AD13</f>
        <v>33961892.98770225</v>
      </c>
      <c r="AE6" s="1">
        <f ca="1">-'Cash Flow'!AE13</f>
        <v>36893105.414662957</v>
      </c>
      <c r="AF6" s="1">
        <f ca="1">-'Cash Flow'!AF13</f>
        <v>41391729.358346611</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1607741.422295752</v>
      </c>
      <c r="D8" s="1">
        <f ca="1">IF(SUM(D5:D6)&gt;0,Assumptions!$C$26*SUM(D5:D6),Assumptions!$C$27*(SUM(D5:D6)))</f>
        <v>3097310.8359915852</v>
      </c>
      <c r="E8" s="1">
        <f ca="1">IF(SUM(E5:E6)&gt;0,Assumptions!$C$26*SUM(E5:E6),Assumptions!$C$27*(SUM(E5:E6)))</f>
        <v>4402256.7998314872</v>
      </c>
      <c r="F8" s="1">
        <f ca="1">IF(SUM(F5:F6)&gt;0,Assumptions!$C$26*SUM(F5:F6),Assumptions!$C$27*(SUM(F5:F6)))</f>
        <v>5500474.8376153857</v>
      </c>
      <c r="G8" s="1">
        <f ca="1">IF(SUM(G5:G6)&gt;0,Assumptions!$C$26*SUM(G5:G6),Assumptions!$C$27*(SUM(G5:G6)))</f>
        <v>6353953.1018209821</v>
      </c>
      <c r="H8" s="1">
        <f ca="1">IF(SUM(H5:H6)&gt;0,Assumptions!$C$26*SUM(H5:H6),Assumptions!$C$27*(SUM(H5:H6)))</f>
        <v>7074306.6824260354</v>
      </c>
      <c r="I8" s="1">
        <f ca="1">IF(SUM(I5:I6)&gt;0,Assumptions!$C$26*SUM(I5:I6),Assumptions!$C$27*(SUM(I5:I6)))</f>
        <v>7690468.1072033029</v>
      </c>
      <c r="J8" s="1">
        <f ca="1">IF(SUM(J5:J6)&gt;0,Assumptions!$C$26*SUM(J5:J6),Assumptions!$C$27*(SUM(J5:J6)))</f>
        <v>8286325.6496643052</v>
      </c>
      <c r="K8" s="1">
        <f ca="1">IF(SUM(K5:K6)&gt;0,Assumptions!$C$26*SUM(K5:K6),Assumptions!$C$27*(SUM(K5:K6)))</f>
        <v>8849138.2495114449</v>
      </c>
      <c r="L8" s="1">
        <f ca="1">IF(SUM(L5:L6)&gt;0,Assumptions!$C$26*SUM(L5:L6),Assumptions!$C$27*(SUM(L5:L6)))</f>
        <v>9434558.5066847373</v>
      </c>
      <c r="M8" s="1">
        <f ca="1">IF(SUM(M5:M6)&gt;0,Assumptions!$C$26*SUM(M5:M6),Assumptions!$C$27*(SUM(M5:M6)))</f>
        <v>10038766.761361811</v>
      </c>
      <c r="N8" s="1">
        <f ca="1">IF(SUM(N5:N6)&gt;0,Assumptions!$C$26*SUM(N5:N6),Assumptions!$C$27*(SUM(N5:N6)))</f>
        <v>10657272.10628406</v>
      </c>
      <c r="O8" s="1">
        <f ca="1">IF(SUM(O5:O6)&gt;0,Assumptions!$C$26*SUM(O5:O6),Assumptions!$C$27*(SUM(O5:O6)))</f>
        <v>11284844.833486736</v>
      </c>
      <c r="P8" s="1">
        <f ca="1">IF(SUM(P5:P6)&gt;0,Assumptions!$C$26*SUM(P5:P6),Assumptions!$C$27*(SUM(P5:P6)))</f>
        <v>11915443.349322692</v>
      </c>
      <c r="Q8" s="1">
        <f ca="1">IF(SUM(Q5:Q6)&gt;0,Assumptions!$C$26*SUM(Q5:Q6),Assumptions!$C$27*(SUM(Q5:Q6)))</f>
        <v>12542135.149915848</v>
      </c>
      <c r="R8" s="1">
        <f ca="1">IF(SUM(R5:R6)&gt;0,Assumptions!$C$26*SUM(R5:R6),Assumptions!$C$27*(SUM(R5:R6)))</f>
        <v>13207740.902346985</v>
      </c>
      <c r="S8" s="1">
        <f ca="1">IF(SUM(S5:S6)&gt;0,Assumptions!$C$26*SUM(S5:S6),Assumptions!$C$27*(SUM(S5:S6)))</f>
        <v>13911024.529147882</v>
      </c>
      <c r="T8" s="1">
        <f ca="1">IF(SUM(T5:T6)&gt;0,Assumptions!$C$26*SUM(T5:T6),Assumptions!$C$27*(SUM(T5:T6)))</f>
        <v>14650378.743502758</v>
      </c>
      <c r="U8" s="1">
        <f ca="1">IF(SUM(U5:U6)&gt;0,Assumptions!$C$26*SUM(U5:U6),Assumptions!$C$27*(SUM(U5:U6)))</f>
        <v>15423786.723538935</v>
      </c>
      <c r="V8" s="1">
        <f ca="1">IF(SUM(V5:V6)&gt;0,Assumptions!$C$26*SUM(V5:V6),Assumptions!$C$27*(SUM(V5:V6)))</f>
        <v>16228780.796719834</v>
      </c>
      <c r="W8" s="1">
        <f ca="1">IF(SUM(W5:W6)&gt;0,Assumptions!$C$26*SUM(W5:W6),Assumptions!$C$27*(SUM(W5:W6)))</f>
        <v>17062397.93091454</v>
      </c>
      <c r="X8" s="1">
        <f ca="1">IF(SUM(X5:X6)&gt;0,Assumptions!$C$26*SUM(X5:X6),Assumptions!$C$27*(SUM(X5:X6)))</f>
        <v>17921131.815941326</v>
      </c>
      <c r="Y8" s="1">
        <f ca="1">IF(SUM(Y5:Y6)&gt;0,Assumptions!$C$26*SUM(Y5:Y6),Assumptions!$C$27*(SUM(Y5:Y6)))</f>
        <v>18800881.305843115</v>
      </c>
      <c r="Z8" s="1">
        <f ca="1">IF(SUM(Z5:Z6)&gt;0,Assumptions!$C$26*SUM(Z5:Z6),Assumptions!$C$27*(SUM(Z5:Z6)))</f>
        <v>19696894.977806818</v>
      </c>
      <c r="AA8" s="1">
        <f ca="1">IF(SUM(AA5:AA6)&gt;0,Assumptions!$C$26*SUM(AA5:AA6),Assumptions!$C$27*(SUM(AA5:AA6)))</f>
        <v>20603711.548439495</v>
      </c>
      <c r="AB8" s="1">
        <f ca="1">IF(SUM(AB5:AB6)&gt;0,Assumptions!$C$26*SUM(AB5:AB6),Assumptions!$C$27*(SUM(AB5:AB6)))</f>
        <v>21600241.57672916</v>
      </c>
      <c r="AC8" s="1">
        <f ca="1">IF(SUM(AC5:AC6)&gt;0,Assumptions!$C$26*SUM(AC5:AC6),Assumptions!$C$27*(SUM(AC5:AC6)))</f>
        <v>22690692.505556643</v>
      </c>
      <c r="AD8" s="1">
        <f ca="1">IF(SUM(AD5:AD6)&gt;0,Assumptions!$C$26*SUM(AD5:AD6),Assumptions!$C$27*(SUM(AD5:AD6)))</f>
        <v>23879358.760126222</v>
      </c>
      <c r="AE8" s="1">
        <f ca="1">IF(SUM(AE5:AE6)&gt;0,Assumptions!$C$26*SUM(AE5:AE6),Assumptions!$C$27*(SUM(AE5:AE6)))</f>
        <v>25170617.449639425</v>
      </c>
      <c r="AF8" s="1">
        <f ca="1">IF(SUM(AF5:AF6)&gt;0,Assumptions!$C$26*SUM(AF5:AF6),Assumptions!$C$27*(SUM(AF5:AF6)))</f>
        <v>26619327.977181554</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workbookViewId="0">
      <selection sqref="A1:XFD1048576"/>
    </sheetView>
  </sheetViews>
  <sheetFormatPr defaultRowHeight="15.5" x14ac:dyDescent="0.35"/>
  <cols>
    <col min="1" max="16384" width="8.6640625" style="173"/>
  </cols>
  <sheetData>
    <row r="1" spans="1:1" x14ac:dyDescent="0.35">
      <c r="A1" s="174" t="s">
        <v>174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2"/>
  <sheetViews>
    <sheetView zoomScale="94" zoomScaleNormal="94" workbookViewId="0">
      <selection sqref="A1:XFD1048576"/>
    </sheetView>
  </sheetViews>
  <sheetFormatPr defaultRowHeight="15.5" x14ac:dyDescent="0.35"/>
  <cols>
    <col min="1" max="1" width="107.9140625" style="63" customWidth="1"/>
    <col min="2" max="2" width="18.1640625" style="181" bestFit="1" customWidth="1"/>
    <col min="3" max="3" width="52.08203125" style="63" customWidth="1"/>
    <col min="4" max="16384" width="8.6640625" style="63"/>
  </cols>
  <sheetData>
    <row r="1" spans="1:3" ht="26" x14ac:dyDescent="0.6">
      <c r="A1" s="13" t="s">
        <v>184</v>
      </c>
    </row>
    <row r="2" spans="1:3" ht="26" x14ac:dyDescent="0.6">
      <c r="A2" s="13"/>
    </row>
    <row r="3" spans="1:3" ht="186" x14ac:dyDescent="0.35">
      <c r="A3" s="172" t="s">
        <v>187</v>
      </c>
    </row>
    <row r="4" spans="1:3" ht="26" x14ac:dyDescent="0.6">
      <c r="A4" s="13"/>
    </row>
    <row r="5" spans="1:3" ht="18.5" x14ac:dyDescent="0.45">
      <c r="A5" s="89" t="s">
        <v>176</v>
      </c>
      <c r="B5" s="182"/>
    </row>
    <row r="6" spans="1:3" ht="18.5" x14ac:dyDescent="0.45">
      <c r="A6" s="90"/>
      <c r="B6" s="182"/>
    </row>
    <row r="7" spans="1:3" ht="18.5" x14ac:dyDescent="0.45">
      <c r="A7" s="90" t="s">
        <v>96</v>
      </c>
      <c r="B7" s="183">
        <f>Assumptions!C24</f>
        <v>10476000</v>
      </c>
      <c r="C7" s="179" t="str">
        <f>Assumptions!B24</f>
        <v>RFI Table F10; Lines F10.62 + F10.70</v>
      </c>
    </row>
    <row r="8" spans="1:3" ht="34" x14ac:dyDescent="0.45">
      <c r="A8" s="90" t="s">
        <v>173</v>
      </c>
      <c r="B8" s="184">
        <f>Assumptions!$C$133</f>
        <v>0.7</v>
      </c>
      <c r="C8" s="179" t="s">
        <v>199</v>
      </c>
    </row>
    <row r="9" spans="1:3" ht="18.5" x14ac:dyDescent="0.45">
      <c r="A9" s="90"/>
      <c r="B9" s="185"/>
      <c r="C9" s="179"/>
    </row>
    <row r="10" spans="1:3" ht="68" x14ac:dyDescent="0.45">
      <c r="A10" s="94" t="s">
        <v>102</v>
      </c>
      <c r="B10" s="186">
        <f>Assumptions!C135</f>
        <v>6897.5925925925922</v>
      </c>
      <c r="C10" s="179" t="s">
        <v>200</v>
      </c>
    </row>
    <row r="11" spans="1:3" ht="18.5" x14ac:dyDescent="0.45">
      <c r="A11" s="94"/>
      <c r="B11" s="187"/>
      <c r="C11" s="179"/>
    </row>
    <row r="12" spans="1:3" ht="18.5" x14ac:dyDescent="0.45">
      <c r="A12" s="94" t="s">
        <v>183</v>
      </c>
      <c r="B12" s="183">
        <f>(B7*B8)/B10</f>
        <v>1063.1535425671866</v>
      </c>
      <c r="C12" s="179"/>
    </row>
    <row r="13" spans="1:3" ht="18.5" x14ac:dyDescent="0.45">
      <c r="A13" s="96"/>
      <c r="B13" s="188"/>
      <c r="C13" s="179"/>
    </row>
    <row r="14" spans="1:3" ht="18.5" x14ac:dyDescent="0.45">
      <c r="A14" s="94" t="s">
        <v>103</v>
      </c>
      <c r="B14" s="103">
        <v>1</v>
      </c>
      <c r="C14" s="179"/>
    </row>
    <row r="15" spans="1:3" ht="18.5" x14ac:dyDescent="0.45">
      <c r="A15" s="96"/>
      <c r="B15" s="99"/>
      <c r="C15" s="179"/>
    </row>
    <row r="16" spans="1:3" ht="18.5" x14ac:dyDescent="0.45">
      <c r="A16" s="96" t="s">
        <v>178</v>
      </c>
      <c r="B16" s="189">
        <f>B12/B14</f>
        <v>1063.1535425671866</v>
      </c>
      <c r="C16" s="179"/>
    </row>
    <row r="17" spans="1:3" ht="18.5" x14ac:dyDescent="0.45">
      <c r="A17" s="94"/>
      <c r="B17" s="190"/>
      <c r="C17" s="179"/>
    </row>
    <row r="18" spans="1:3" ht="18.5" x14ac:dyDescent="0.45">
      <c r="A18" s="102" t="s">
        <v>177</v>
      </c>
      <c r="B18" s="190"/>
      <c r="C18" s="179"/>
    </row>
    <row r="19" spans="1:3" ht="18.5" x14ac:dyDescent="0.45">
      <c r="A19" s="94"/>
      <c r="B19" s="190"/>
      <c r="C19" s="179"/>
    </row>
    <row r="20" spans="1:3" ht="34" x14ac:dyDescent="0.45">
      <c r="A20" s="94" t="s">
        <v>65</v>
      </c>
      <c r="B20" s="183">
        <f>'Profit and Loss'!L5</f>
        <v>102656101.64636183</v>
      </c>
      <c r="C20" s="179" t="s">
        <v>201</v>
      </c>
    </row>
    <row r="21" spans="1:3" ht="34" x14ac:dyDescent="0.45">
      <c r="A21" s="94" t="str">
        <f>A8</f>
        <v>Assumed revenue from households</v>
      </c>
      <c r="B21" s="184">
        <f>B8</f>
        <v>0.7</v>
      </c>
      <c r="C21" s="179" t="s">
        <v>199</v>
      </c>
    </row>
    <row r="22" spans="1:3" ht="18.5" x14ac:dyDescent="0.45">
      <c r="A22" s="94"/>
      <c r="B22" s="187"/>
      <c r="C22" s="179"/>
    </row>
    <row r="23" spans="1:3" ht="34" x14ac:dyDescent="0.45">
      <c r="A23" s="94" t="s">
        <v>101</v>
      </c>
      <c r="B23" s="186">
        <f>Assumptions!M135</f>
        <v>7107.3363613218489</v>
      </c>
      <c r="C23" s="179" t="s">
        <v>202</v>
      </c>
    </row>
    <row r="24" spans="1:3" ht="18.5" x14ac:dyDescent="0.45">
      <c r="A24" s="94"/>
      <c r="B24" s="187"/>
      <c r="C24" s="179"/>
    </row>
    <row r="25" spans="1:3" ht="18.5" x14ac:dyDescent="0.45">
      <c r="A25" s="94" t="s">
        <v>182</v>
      </c>
      <c r="B25" s="183">
        <f>(B20*B21)/B23</f>
        <v>10110.576944621855</v>
      </c>
      <c r="C25" s="179"/>
    </row>
    <row r="26" spans="1:3" ht="18.5" x14ac:dyDescent="0.45">
      <c r="A26" s="94"/>
      <c r="B26" s="183"/>
      <c r="C26" s="179"/>
    </row>
    <row r="27" spans="1:3" ht="34" x14ac:dyDescent="0.45">
      <c r="A27" s="94" t="s">
        <v>103</v>
      </c>
      <c r="B27" s="103">
        <f>1.022^11</f>
        <v>1.2704566586717592</v>
      </c>
      <c r="C27" s="179" t="s">
        <v>203</v>
      </c>
    </row>
    <row r="28" spans="1:3" ht="18.5" x14ac:dyDescent="0.45">
      <c r="A28" s="96"/>
      <c r="B28" s="188"/>
      <c r="C28" s="179"/>
    </row>
    <row r="29" spans="1:3" ht="18.5" x14ac:dyDescent="0.45">
      <c r="A29" s="96" t="s">
        <v>179</v>
      </c>
      <c r="B29" s="183">
        <f>B25/B27</f>
        <v>7958.2226403475197</v>
      </c>
      <c r="C29" s="179"/>
    </row>
    <row r="30" spans="1:3" ht="18.5" x14ac:dyDescent="0.45">
      <c r="A30" s="96"/>
      <c r="B30" s="188"/>
      <c r="C30" s="179"/>
    </row>
    <row r="31" spans="1:3" ht="18.5" x14ac:dyDescent="0.45">
      <c r="A31" s="102" t="s">
        <v>185</v>
      </c>
      <c r="B31" s="191"/>
      <c r="C31" s="179"/>
    </row>
    <row r="32" spans="1:3" ht="18.5" x14ac:dyDescent="0.45">
      <c r="A32" s="94"/>
      <c r="B32" s="183"/>
      <c r="C32" s="179"/>
    </row>
    <row r="33" spans="1:3" ht="34" x14ac:dyDescent="0.45">
      <c r="A33" s="94" t="s">
        <v>66</v>
      </c>
      <c r="B33" s="183">
        <f>'Profit and Loss'!AF5</f>
        <v>287673231.81088746</v>
      </c>
      <c r="C33" s="179" t="s">
        <v>201</v>
      </c>
    </row>
    <row r="34" spans="1:3" ht="34" x14ac:dyDescent="0.45">
      <c r="A34" s="94" t="str">
        <f>A21</f>
        <v>Assumed revenue from households</v>
      </c>
      <c r="B34" s="184">
        <f>B21</f>
        <v>0.7</v>
      </c>
      <c r="C34" s="179" t="s">
        <v>199</v>
      </c>
    </row>
    <row r="35" spans="1:3" ht="18.5" x14ac:dyDescent="0.45">
      <c r="A35" s="94"/>
      <c r="B35" s="187"/>
      <c r="C35" s="179"/>
    </row>
    <row r="36" spans="1:3" ht="34" x14ac:dyDescent="0.45">
      <c r="A36" s="94" t="s">
        <v>100</v>
      </c>
      <c r="B36" s="186">
        <f>Assumptions!AG135</f>
        <v>7546.151668209548</v>
      </c>
      <c r="C36" s="179" t="s">
        <v>202</v>
      </c>
    </row>
    <row r="37" spans="1:3" ht="18.5" x14ac:dyDescent="0.45">
      <c r="A37" s="94"/>
      <c r="B37" s="187"/>
      <c r="C37" s="179"/>
    </row>
    <row r="38" spans="1:3" ht="18.5" x14ac:dyDescent="0.45">
      <c r="A38" s="94" t="s">
        <v>181</v>
      </c>
      <c r="B38" s="183">
        <f>(B33*B34)/B36</f>
        <v>26685.292202111272</v>
      </c>
      <c r="C38" s="179"/>
    </row>
    <row r="39" spans="1:3" ht="18.5" x14ac:dyDescent="0.45">
      <c r="A39" s="94"/>
      <c r="B39" s="187"/>
      <c r="C39" s="179"/>
    </row>
    <row r="40" spans="1:3" ht="34" x14ac:dyDescent="0.45">
      <c r="A40" s="94" t="s">
        <v>103</v>
      </c>
      <c r="B40" s="103">
        <f>1.022^31</f>
        <v>1.9632597808456462</v>
      </c>
      <c r="C40" s="179" t="s">
        <v>203</v>
      </c>
    </row>
    <row r="41" spans="1:3" ht="18.5" x14ac:dyDescent="0.45">
      <c r="A41" s="96"/>
      <c r="B41" s="188"/>
    </row>
    <row r="42" spans="1:3" ht="18.5" x14ac:dyDescent="0.45">
      <c r="A42" s="96" t="s">
        <v>180</v>
      </c>
      <c r="B42" s="183">
        <f>B38/B40</f>
        <v>13592.338855236449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workbookViewId="0">
      <selection sqref="A1:XFD1048576"/>
    </sheetView>
  </sheetViews>
  <sheetFormatPr defaultRowHeight="15.5" x14ac:dyDescent="0.35"/>
  <cols>
    <col min="1" max="16384" width="8.6640625" style="173"/>
  </cols>
  <sheetData>
    <row r="1" spans="1:1" x14ac:dyDescent="0.35">
      <c r="A1" s="174"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Normal="100" workbookViewId="0">
      <pane ySplit="4" topLeftCell="A5" activePane="bottomLeft" state="frozen"/>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8" bestFit="1" customWidth="1"/>
    <col min="4" max="4" width="29.58203125" style="109"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7" t="s">
        <v>160</v>
      </c>
    </row>
    <row r="2" spans="1:33" ht="26.5" thickBot="1" x14ac:dyDescent="0.4">
      <c r="A2" s="110"/>
      <c r="B2" s="110"/>
      <c r="D2" s="111"/>
    </row>
    <row r="3" spans="1:33" s="113" customFormat="1" ht="21.5" thickBot="1" x14ac:dyDescent="0.4">
      <c r="A3" s="84"/>
      <c r="B3" s="84"/>
      <c r="C3" s="112"/>
      <c r="D3" s="192" t="s">
        <v>27</v>
      </c>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row>
    <row r="4" spans="1:33" s="119" customFormat="1" ht="16" thickBot="1" x14ac:dyDescent="0.4">
      <c r="A4" s="114" t="s">
        <v>25</v>
      </c>
      <c r="B4" s="114" t="s">
        <v>195</v>
      </c>
      <c r="C4" s="115" t="s">
        <v>26</v>
      </c>
      <c r="D4" s="116">
        <v>2022</v>
      </c>
      <c r="E4" s="117">
        <f t="shared" ref="E4:AG4" si="0">D4+1</f>
        <v>2023</v>
      </c>
      <c r="F4" s="118">
        <f t="shared" si="0"/>
        <v>2024</v>
      </c>
      <c r="G4" s="117">
        <f t="shared" si="0"/>
        <v>2025</v>
      </c>
      <c r="H4" s="118">
        <f t="shared" si="0"/>
        <v>2026</v>
      </c>
      <c r="I4" s="117">
        <f t="shared" si="0"/>
        <v>2027</v>
      </c>
      <c r="J4" s="118">
        <f t="shared" si="0"/>
        <v>2028</v>
      </c>
      <c r="K4" s="117">
        <f t="shared" si="0"/>
        <v>2029</v>
      </c>
      <c r="L4" s="118">
        <f t="shared" si="0"/>
        <v>2030</v>
      </c>
      <c r="M4" s="117">
        <f t="shared" si="0"/>
        <v>2031</v>
      </c>
      <c r="N4" s="118">
        <f t="shared" si="0"/>
        <v>2032</v>
      </c>
      <c r="O4" s="117">
        <f t="shared" si="0"/>
        <v>2033</v>
      </c>
      <c r="P4" s="118">
        <f t="shared" si="0"/>
        <v>2034</v>
      </c>
      <c r="Q4" s="117">
        <f t="shared" si="0"/>
        <v>2035</v>
      </c>
      <c r="R4" s="118">
        <f t="shared" si="0"/>
        <v>2036</v>
      </c>
      <c r="S4" s="117">
        <f t="shared" si="0"/>
        <v>2037</v>
      </c>
      <c r="T4" s="118">
        <f t="shared" si="0"/>
        <v>2038</v>
      </c>
      <c r="U4" s="117">
        <f t="shared" si="0"/>
        <v>2039</v>
      </c>
      <c r="V4" s="118">
        <f t="shared" si="0"/>
        <v>2040</v>
      </c>
      <c r="W4" s="117">
        <f t="shared" si="0"/>
        <v>2041</v>
      </c>
      <c r="X4" s="118">
        <f t="shared" si="0"/>
        <v>2042</v>
      </c>
      <c r="Y4" s="117">
        <f t="shared" si="0"/>
        <v>2043</v>
      </c>
      <c r="Z4" s="118">
        <f t="shared" si="0"/>
        <v>2044</v>
      </c>
      <c r="AA4" s="117">
        <f t="shared" si="0"/>
        <v>2045</v>
      </c>
      <c r="AB4" s="118">
        <f t="shared" si="0"/>
        <v>2046</v>
      </c>
      <c r="AC4" s="117">
        <f t="shared" si="0"/>
        <v>2047</v>
      </c>
      <c r="AD4" s="118">
        <f t="shared" si="0"/>
        <v>2048</v>
      </c>
      <c r="AE4" s="117">
        <f t="shared" si="0"/>
        <v>2049</v>
      </c>
      <c r="AF4" s="118">
        <f t="shared" si="0"/>
        <v>2050</v>
      </c>
      <c r="AG4" s="117">
        <f t="shared" si="0"/>
        <v>2051</v>
      </c>
    </row>
    <row r="5" spans="1:33" s="119" customFormat="1" x14ac:dyDescent="0.35">
      <c r="A5" s="120"/>
      <c r="B5" s="120"/>
      <c r="C5" s="121"/>
      <c r="D5" s="122"/>
      <c r="E5" s="123"/>
      <c r="F5" s="122"/>
      <c r="G5" s="123"/>
      <c r="H5" s="122"/>
      <c r="I5" s="123"/>
      <c r="J5" s="122"/>
      <c r="K5" s="123"/>
      <c r="L5" s="122"/>
      <c r="M5" s="123"/>
      <c r="N5" s="122"/>
      <c r="O5" s="123"/>
      <c r="P5" s="122"/>
      <c r="Q5" s="123"/>
      <c r="R5" s="122"/>
      <c r="S5" s="123"/>
      <c r="T5" s="122"/>
      <c r="U5" s="123"/>
      <c r="V5" s="122"/>
      <c r="W5" s="123"/>
      <c r="X5" s="122"/>
      <c r="Y5" s="123"/>
      <c r="Z5" s="122"/>
      <c r="AA5" s="123"/>
      <c r="AB5" s="122"/>
      <c r="AC5" s="123"/>
      <c r="AD5" s="122"/>
      <c r="AE5" s="123"/>
      <c r="AF5" s="122"/>
      <c r="AG5" s="123"/>
    </row>
    <row r="6" spans="1:33" s="119" customFormat="1" x14ac:dyDescent="0.35">
      <c r="A6" s="124" t="s">
        <v>28</v>
      </c>
      <c r="B6" s="124"/>
      <c r="C6" s="115"/>
      <c r="D6" s="116"/>
      <c r="E6" s="117"/>
      <c r="F6" s="116"/>
      <c r="G6" s="117"/>
      <c r="H6" s="116"/>
      <c r="I6" s="117"/>
      <c r="J6" s="116"/>
      <c r="K6" s="117"/>
      <c r="L6" s="116"/>
      <c r="M6" s="117"/>
      <c r="N6" s="116"/>
      <c r="O6" s="117"/>
      <c r="P6" s="116"/>
      <c r="Q6" s="117"/>
      <c r="R6" s="116"/>
      <c r="S6" s="117"/>
      <c r="T6" s="116"/>
      <c r="U6" s="117"/>
      <c r="V6" s="116"/>
      <c r="W6" s="117"/>
      <c r="X6" s="116"/>
      <c r="Y6" s="117"/>
      <c r="Z6" s="116"/>
      <c r="AA6" s="117"/>
      <c r="AB6" s="116"/>
      <c r="AC6" s="117"/>
      <c r="AD6" s="116"/>
      <c r="AE6" s="117"/>
      <c r="AF6" s="116"/>
      <c r="AG6" s="117"/>
    </row>
    <row r="7" spans="1:33" s="119" customFormat="1" x14ac:dyDescent="0.35">
      <c r="A7" s="124"/>
      <c r="B7" s="124"/>
      <c r="C7" s="115"/>
      <c r="D7" s="116"/>
      <c r="E7" s="117"/>
      <c r="F7" s="116"/>
      <c r="G7" s="117"/>
      <c r="H7" s="116"/>
      <c r="I7" s="117"/>
      <c r="J7" s="116"/>
      <c r="K7" s="117"/>
      <c r="L7" s="116"/>
      <c r="M7" s="117"/>
      <c r="N7" s="116"/>
      <c r="O7" s="117"/>
      <c r="P7" s="116"/>
      <c r="Q7" s="117"/>
      <c r="R7" s="116"/>
      <c r="S7" s="117"/>
      <c r="T7" s="116"/>
      <c r="U7" s="117"/>
      <c r="V7" s="116"/>
      <c r="W7" s="117"/>
      <c r="X7" s="116"/>
      <c r="Y7" s="117"/>
      <c r="Z7" s="116"/>
      <c r="AA7" s="117"/>
      <c r="AB7" s="116"/>
      <c r="AC7" s="117"/>
      <c r="AD7" s="116"/>
      <c r="AE7" s="117"/>
      <c r="AF7" s="116"/>
      <c r="AG7" s="117"/>
    </row>
    <row r="8" spans="1:33" x14ac:dyDescent="0.35">
      <c r="A8" s="77" t="s">
        <v>29</v>
      </c>
      <c r="B8" s="77"/>
      <c r="C8" s="125"/>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19" customFormat="1" x14ac:dyDescent="0.35">
      <c r="A9" s="78" t="s">
        <v>62</v>
      </c>
      <c r="B9" s="78" t="s">
        <v>128</v>
      </c>
      <c r="C9" s="126">
        <v>2.1999999999999999E-2</v>
      </c>
      <c r="D9" s="127">
        <f t="shared" ref="D9:AG9" si="1">(1+$C$9)^D8</f>
        <v>1.022</v>
      </c>
      <c r="E9" s="127">
        <f t="shared" si="1"/>
        <v>1.044484</v>
      </c>
      <c r="F9" s="127">
        <f t="shared" si="1"/>
        <v>1.067462648</v>
      </c>
      <c r="G9" s="127">
        <f t="shared" si="1"/>
        <v>1.090946826256</v>
      </c>
      <c r="H9" s="127">
        <f t="shared" si="1"/>
        <v>1.114947656433632</v>
      </c>
      <c r="I9" s="127">
        <f t="shared" si="1"/>
        <v>1.1394765048751718</v>
      </c>
      <c r="J9" s="127">
        <f t="shared" si="1"/>
        <v>1.1645449879824257</v>
      </c>
      <c r="K9" s="127">
        <f t="shared" si="1"/>
        <v>1.1901649777180392</v>
      </c>
      <c r="L9" s="127">
        <f t="shared" si="1"/>
        <v>1.216348607227836</v>
      </c>
      <c r="M9" s="127">
        <f t="shared" si="1"/>
        <v>1.2431082765868484</v>
      </c>
      <c r="N9" s="127">
        <f t="shared" si="1"/>
        <v>1.2704566586717592</v>
      </c>
      <c r="O9" s="127">
        <f t="shared" si="1"/>
        <v>1.2984067051625379</v>
      </c>
      <c r="P9" s="127">
        <f t="shared" si="1"/>
        <v>1.3269716526761137</v>
      </c>
      <c r="Q9" s="127">
        <f t="shared" si="1"/>
        <v>1.356165029034988</v>
      </c>
      <c r="R9" s="127">
        <f t="shared" si="1"/>
        <v>1.386000659673758</v>
      </c>
      <c r="S9" s="127">
        <f t="shared" si="1"/>
        <v>1.4164926741865806</v>
      </c>
      <c r="T9" s="127">
        <f t="shared" si="1"/>
        <v>1.4476555130186854</v>
      </c>
      <c r="U9" s="127">
        <f t="shared" si="1"/>
        <v>1.4795039343050964</v>
      </c>
      <c r="V9" s="127">
        <f t="shared" si="1"/>
        <v>1.5120530208598086</v>
      </c>
      <c r="W9" s="127">
        <f t="shared" si="1"/>
        <v>1.5453181873187245</v>
      </c>
      <c r="X9" s="127">
        <f t="shared" si="1"/>
        <v>1.5793151874397364</v>
      </c>
      <c r="Y9" s="127">
        <f t="shared" si="1"/>
        <v>1.6140601215634105</v>
      </c>
      <c r="Z9" s="127">
        <f t="shared" si="1"/>
        <v>1.6495694442378055</v>
      </c>
      <c r="AA9" s="127">
        <f t="shared" si="1"/>
        <v>1.6858599720110374</v>
      </c>
      <c r="AB9" s="127">
        <f t="shared" si="1"/>
        <v>1.7229488913952802</v>
      </c>
      <c r="AC9" s="127">
        <f t="shared" si="1"/>
        <v>1.7608537670059765</v>
      </c>
      <c r="AD9" s="127">
        <f t="shared" si="1"/>
        <v>1.799592549880108</v>
      </c>
      <c r="AE9" s="127">
        <f t="shared" si="1"/>
        <v>1.8391835859774703</v>
      </c>
      <c r="AF9" s="127">
        <f t="shared" si="1"/>
        <v>1.8796456248689748</v>
      </c>
      <c r="AG9" s="127">
        <f t="shared" si="1"/>
        <v>1.920997828616092</v>
      </c>
    </row>
    <row r="10" spans="1:33" s="119" customFormat="1" x14ac:dyDescent="0.35">
      <c r="A10" s="78"/>
      <c r="B10" s="78"/>
      <c r="C10" s="126"/>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row>
    <row r="11" spans="1:33" s="119" customFormat="1" x14ac:dyDescent="0.35">
      <c r="A11" s="77" t="s">
        <v>63</v>
      </c>
      <c r="B11" s="78" t="s">
        <v>128</v>
      </c>
      <c r="C11" s="126">
        <v>0.01</v>
      </c>
      <c r="D11" s="127">
        <f t="shared" ref="D11:AG11" si="2">(1+$C$9+$C$11)^D8</f>
        <v>1.032</v>
      </c>
      <c r="E11" s="127">
        <f t="shared" si="2"/>
        <v>1.065024</v>
      </c>
      <c r="F11" s="127">
        <f t="shared" si="2"/>
        <v>1.0991047679999999</v>
      </c>
      <c r="G11" s="127">
        <f t="shared" si="2"/>
        <v>1.1342761205759999</v>
      </c>
      <c r="H11" s="127">
        <f t="shared" si="2"/>
        <v>1.170572956434432</v>
      </c>
      <c r="I11" s="127">
        <f t="shared" si="2"/>
        <v>1.2080312910403337</v>
      </c>
      <c r="J11" s="127">
        <f t="shared" si="2"/>
        <v>1.2466882923536242</v>
      </c>
      <c r="K11" s="127">
        <f t="shared" si="2"/>
        <v>1.2865823177089404</v>
      </c>
      <c r="L11" s="127">
        <f t="shared" si="2"/>
        <v>1.3277529518756266</v>
      </c>
      <c r="M11" s="127">
        <f t="shared" si="2"/>
        <v>1.3702410463356465</v>
      </c>
      <c r="N11" s="127">
        <f t="shared" si="2"/>
        <v>1.4140887598183871</v>
      </c>
      <c r="O11" s="127">
        <f t="shared" si="2"/>
        <v>1.4593396001325756</v>
      </c>
      <c r="P11" s="127">
        <f t="shared" si="2"/>
        <v>1.5060384673368181</v>
      </c>
      <c r="Q11" s="127">
        <f t="shared" si="2"/>
        <v>1.554231698291596</v>
      </c>
      <c r="R11" s="127">
        <f t="shared" si="2"/>
        <v>1.6039671126369268</v>
      </c>
      <c r="S11" s="127">
        <f t="shared" si="2"/>
        <v>1.6552940602413089</v>
      </c>
      <c r="T11" s="127">
        <f t="shared" si="2"/>
        <v>1.7082634701690309</v>
      </c>
      <c r="U11" s="127">
        <f t="shared" si="2"/>
        <v>1.7629279012144397</v>
      </c>
      <c r="V11" s="127">
        <f t="shared" si="2"/>
        <v>1.8193415940533015</v>
      </c>
      <c r="W11" s="127">
        <f t="shared" si="2"/>
        <v>1.8775605250630074</v>
      </c>
      <c r="X11" s="127">
        <f t="shared" si="2"/>
        <v>1.9376424618650239</v>
      </c>
      <c r="Y11" s="127">
        <f t="shared" si="2"/>
        <v>1.9996470206447043</v>
      </c>
      <c r="Z11" s="127">
        <f t="shared" si="2"/>
        <v>2.0636357253053346</v>
      </c>
      <c r="AA11" s="127">
        <f t="shared" si="2"/>
        <v>2.1296720685151054</v>
      </c>
      <c r="AB11" s="127">
        <f t="shared" si="2"/>
        <v>2.1978215747075893</v>
      </c>
      <c r="AC11" s="127">
        <f t="shared" si="2"/>
        <v>2.2681518650982317</v>
      </c>
      <c r="AD11" s="127">
        <f t="shared" si="2"/>
        <v>2.340732724781375</v>
      </c>
      <c r="AE11" s="127">
        <f t="shared" si="2"/>
        <v>2.4156361719743793</v>
      </c>
      <c r="AF11" s="127">
        <f t="shared" si="2"/>
        <v>2.4929365294775594</v>
      </c>
      <c r="AG11" s="127">
        <f t="shared" si="2"/>
        <v>2.5727104984208409</v>
      </c>
    </row>
    <row r="12" spans="1:33" s="119" customFormat="1" x14ac:dyDescent="0.35">
      <c r="A12" s="77"/>
      <c r="B12" s="77"/>
      <c r="C12" s="126"/>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row>
    <row r="13" spans="1:33" s="119" customFormat="1" x14ac:dyDescent="0.35">
      <c r="A13" s="77" t="s">
        <v>31</v>
      </c>
      <c r="B13" s="178" t="s">
        <v>198</v>
      </c>
      <c r="C13" s="126">
        <v>2.9999999999998916E-3</v>
      </c>
      <c r="D13" s="127">
        <f t="shared" ref="D13:AG13" si="3">(1+$C$13)^D8</f>
        <v>1.0029999999999999</v>
      </c>
      <c r="E13" s="127">
        <f t="shared" si="3"/>
        <v>1.0060089999999997</v>
      </c>
      <c r="F13" s="127">
        <f t="shared" si="3"/>
        <v>1.0090270269999997</v>
      </c>
      <c r="G13" s="127">
        <f t="shared" si="3"/>
        <v>1.0120541080809995</v>
      </c>
      <c r="H13" s="127">
        <f t="shared" si="3"/>
        <v>1.0150902704052425</v>
      </c>
      <c r="I13" s="127">
        <f t="shared" si="3"/>
        <v>1.0181355412164579</v>
      </c>
      <c r="J13" s="127">
        <f t="shared" si="3"/>
        <v>1.0211899478401072</v>
      </c>
      <c r="K13" s="127">
        <f t="shared" si="3"/>
        <v>1.0242535176836274</v>
      </c>
      <c r="L13" s="127">
        <f t="shared" si="3"/>
        <v>1.0273262782366781</v>
      </c>
      <c r="M13" s="127">
        <f t="shared" si="3"/>
        <v>1.0304082570713879</v>
      </c>
      <c r="N13" s="127">
        <f t="shared" si="3"/>
        <v>1.0334994818426022</v>
      </c>
      <c r="O13" s="127">
        <f t="shared" si="3"/>
        <v>1.0365999802881298</v>
      </c>
      <c r="P13" s="127">
        <f t="shared" si="3"/>
        <v>1.0397097802289941</v>
      </c>
      <c r="Q13" s="127">
        <f t="shared" si="3"/>
        <v>1.0428289095696808</v>
      </c>
      <c r="R13" s="127">
        <f t="shared" si="3"/>
        <v>1.0459573962983897</v>
      </c>
      <c r="S13" s="127">
        <f t="shared" si="3"/>
        <v>1.0490952684872847</v>
      </c>
      <c r="T13" s="127">
        <f t="shared" si="3"/>
        <v>1.0522425542927465</v>
      </c>
      <c r="U13" s="127">
        <f t="shared" si="3"/>
        <v>1.0553992819556246</v>
      </c>
      <c r="V13" s="127">
        <f t="shared" si="3"/>
        <v>1.0585654798014914</v>
      </c>
      <c r="W13" s="127">
        <f t="shared" si="3"/>
        <v>1.0617411762408957</v>
      </c>
      <c r="X13" s="127">
        <f t="shared" si="3"/>
        <v>1.0649263997696183</v>
      </c>
      <c r="Y13" s="127">
        <f t="shared" si="3"/>
        <v>1.0681211789689269</v>
      </c>
      <c r="Z13" s="127">
        <f t="shared" si="3"/>
        <v>1.0713255425058335</v>
      </c>
      <c r="AA13" s="127">
        <f t="shared" si="3"/>
        <v>1.0745395191333509</v>
      </c>
      <c r="AB13" s="127">
        <f t="shared" si="3"/>
        <v>1.0777631376907508</v>
      </c>
      <c r="AC13" s="127">
        <f t="shared" si="3"/>
        <v>1.0809964271038228</v>
      </c>
      <c r="AD13" s="127">
        <f t="shared" si="3"/>
        <v>1.0842394163851343</v>
      </c>
      <c r="AE13" s="127">
        <f t="shared" si="3"/>
        <v>1.0874921346342896</v>
      </c>
      <c r="AF13" s="127">
        <f t="shared" si="3"/>
        <v>1.0907546110381923</v>
      </c>
      <c r="AG13" s="127">
        <f t="shared" si="3"/>
        <v>1.0940268748713067</v>
      </c>
    </row>
    <row r="14" spans="1:33" ht="16" thickBot="1" x14ac:dyDescent="0.4">
      <c r="A14" s="79"/>
      <c r="B14" s="79"/>
      <c r="C14" s="128"/>
      <c r="D14" s="166"/>
      <c r="E14" s="130"/>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row>
    <row r="15" spans="1:33" x14ac:dyDescent="0.35">
      <c r="A15" s="80" t="s">
        <v>191</v>
      </c>
      <c r="B15" s="177" t="s">
        <v>192</v>
      </c>
      <c r="C15" s="132"/>
      <c r="D15" s="133"/>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row>
    <row r="16" spans="1:33" x14ac:dyDescent="0.35">
      <c r="A16" s="77"/>
      <c r="B16" s="77"/>
      <c r="C16" s="125"/>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132</v>
      </c>
      <c r="B17" s="77" t="s">
        <v>169</v>
      </c>
      <c r="C17" s="135">
        <f>AVERAGE(C49:C50)</f>
        <v>452351701.96380001</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124</v>
      </c>
      <c r="C18" s="135">
        <f>C17/2</f>
        <v>226175850.98190001</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5"/>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64</v>
      </c>
      <c r="B20" s="77" t="s">
        <v>137</v>
      </c>
      <c r="C20" s="136">
        <v>0</v>
      </c>
      <c r="D20" s="139"/>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6"/>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7" customFormat="1" x14ac:dyDescent="0.35">
      <c r="A22" s="80" t="s">
        <v>158</v>
      </c>
      <c r="B22" s="177" t="s">
        <v>192</v>
      </c>
      <c r="C22" s="132"/>
      <c r="D22" s="133"/>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row>
    <row r="23" spans="1:33" x14ac:dyDescent="0.35">
      <c r="A23" s="77"/>
      <c r="B23" s="77"/>
      <c r="C23" s="125"/>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136</v>
      </c>
      <c r="C24" s="135">
        <v>10476000</v>
      </c>
      <c r="D24" s="139"/>
      <c r="E24" s="167"/>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194</v>
      </c>
      <c r="C25" s="135">
        <v>7754000</v>
      </c>
      <c r="D25" s="139"/>
      <c r="E25" s="167"/>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128</v>
      </c>
      <c r="C26" s="138">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46</v>
      </c>
      <c r="B27" s="78" t="s">
        <v>128</v>
      </c>
      <c r="C27" s="138">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5"/>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7" customFormat="1" x14ac:dyDescent="0.35">
      <c r="A29" s="80" t="s">
        <v>50</v>
      </c>
      <c r="B29" s="80"/>
      <c r="C29" s="132"/>
      <c r="D29" s="133"/>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row>
    <row r="30" spans="1:33" x14ac:dyDescent="0.35">
      <c r="A30" s="77"/>
      <c r="B30" s="77"/>
      <c r="C30" s="125"/>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51</v>
      </c>
      <c r="B31" s="70" t="s">
        <v>131</v>
      </c>
      <c r="C31" s="126">
        <v>0</v>
      </c>
      <c r="D31" s="139"/>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52</v>
      </c>
      <c r="B32" s="70" t="s">
        <v>131</v>
      </c>
      <c r="C32" s="126">
        <v>0</v>
      </c>
      <c r="D32" s="139"/>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104</v>
      </c>
      <c r="B33" s="82" t="s">
        <v>126</v>
      </c>
      <c r="C33" s="126">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6"/>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53</v>
      </c>
      <c r="B35" s="69" t="s">
        <v>127</v>
      </c>
      <c r="C35" s="126">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54</v>
      </c>
      <c r="B36" s="69" t="s">
        <v>127</v>
      </c>
      <c r="C36" s="126">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55</v>
      </c>
      <c r="B37" s="69" t="s">
        <v>127</v>
      </c>
      <c r="C37" s="126">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6"/>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56</v>
      </c>
      <c r="B39" s="69" t="s">
        <v>127</v>
      </c>
      <c r="C39" s="126">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57</v>
      </c>
      <c r="B40" s="69" t="s">
        <v>127</v>
      </c>
      <c r="C40" s="126">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58</v>
      </c>
      <c r="B41" s="69" t="s">
        <v>127</v>
      </c>
      <c r="C41" s="126">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6"/>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59</v>
      </c>
      <c r="B43" s="69" t="s">
        <v>86</v>
      </c>
      <c r="C43" s="140">
        <v>1</v>
      </c>
      <c r="D43" s="141">
        <v>1</v>
      </c>
      <c r="E43" s="141">
        <v>1</v>
      </c>
      <c r="F43" s="141">
        <v>1</v>
      </c>
      <c r="G43" s="141">
        <v>1</v>
      </c>
      <c r="H43" s="141">
        <f>G43*(1+$C$35)</f>
        <v>1</v>
      </c>
      <c r="I43" s="141">
        <f>H43*(1+$C$35)</f>
        <v>1</v>
      </c>
      <c r="J43" s="141">
        <f>I43*(1+$C$35)</f>
        <v>1</v>
      </c>
      <c r="K43" s="141">
        <f>J43*(1+$C$35)</f>
        <v>1</v>
      </c>
      <c r="L43" s="141">
        <f>K43*(1+$C$35)</f>
        <v>1</v>
      </c>
      <c r="M43" s="141">
        <f>L43*(1+$C$36)</f>
        <v>1</v>
      </c>
      <c r="N43" s="141">
        <f>M43*(1+$C$36)</f>
        <v>1</v>
      </c>
      <c r="O43" s="141">
        <f>N43*(1+$C$36)</f>
        <v>1</v>
      </c>
      <c r="P43" s="141">
        <f>O43*(1+$C$36)</f>
        <v>1</v>
      </c>
      <c r="Q43" s="141">
        <f>P43*(1+$C$36)</f>
        <v>1</v>
      </c>
      <c r="R43" s="141">
        <f>Q43*(1+$C$37)</f>
        <v>1</v>
      </c>
      <c r="S43" s="141">
        <f>R43*(1+$C$37)</f>
        <v>1</v>
      </c>
      <c r="T43" s="141">
        <f>S43*(1+$C$37)</f>
        <v>1</v>
      </c>
      <c r="U43" s="141">
        <f>T43*(1+$C$37)</f>
        <v>1</v>
      </c>
      <c r="V43" s="141">
        <f>U43*(1+$C$37)</f>
        <v>1</v>
      </c>
      <c r="W43" s="141">
        <f t="shared" ref="W43:AG43" si="6">V43</f>
        <v>1</v>
      </c>
      <c r="X43" s="141">
        <f t="shared" si="6"/>
        <v>1</v>
      </c>
      <c r="Y43" s="141">
        <f t="shared" si="6"/>
        <v>1</v>
      </c>
      <c r="Z43" s="141">
        <f t="shared" si="6"/>
        <v>1</v>
      </c>
      <c r="AA43" s="141">
        <f t="shared" si="6"/>
        <v>1</v>
      </c>
      <c r="AB43" s="141">
        <f t="shared" si="6"/>
        <v>1</v>
      </c>
      <c r="AC43" s="141">
        <f t="shared" si="6"/>
        <v>1</v>
      </c>
      <c r="AD43" s="141">
        <f t="shared" si="6"/>
        <v>1</v>
      </c>
      <c r="AE43" s="141">
        <f t="shared" si="6"/>
        <v>1</v>
      </c>
      <c r="AF43" s="141">
        <f t="shared" si="6"/>
        <v>1</v>
      </c>
      <c r="AG43" s="141">
        <f t="shared" si="6"/>
        <v>1</v>
      </c>
    </row>
    <row r="44" spans="1:33" x14ac:dyDescent="0.35">
      <c r="A44" s="69" t="s">
        <v>60</v>
      </c>
      <c r="B44" s="69" t="s">
        <v>86</v>
      </c>
      <c r="C44" s="140">
        <v>1</v>
      </c>
      <c r="D44" s="141">
        <v>1</v>
      </c>
      <c r="E44" s="141">
        <v>1</v>
      </c>
      <c r="F44" s="141">
        <v>1</v>
      </c>
      <c r="G44" s="141">
        <v>1</v>
      </c>
      <c r="H44" s="141">
        <f>G44*(1+$C$39)</f>
        <v>1</v>
      </c>
      <c r="I44" s="141">
        <f>H44*(1+$C$39)</f>
        <v>1</v>
      </c>
      <c r="J44" s="141">
        <f>I44*(1+$C$39)</f>
        <v>1</v>
      </c>
      <c r="K44" s="141">
        <f>J44*(1+$C$39)</f>
        <v>1</v>
      </c>
      <c r="L44" s="141">
        <f>K44*(1+$C$39)</f>
        <v>1</v>
      </c>
      <c r="M44" s="141">
        <f>L44*(1+$C$40)</f>
        <v>1</v>
      </c>
      <c r="N44" s="141">
        <f>M44*(1+$C$40)</f>
        <v>1</v>
      </c>
      <c r="O44" s="141">
        <f>N44*(1+$C$40)</f>
        <v>1</v>
      </c>
      <c r="P44" s="141">
        <f>O44*(1+$C$40)</f>
        <v>1</v>
      </c>
      <c r="Q44" s="141">
        <f>P44*(1+$C$40)</f>
        <v>1</v>
      </c>
      <c r="R44" s="141">
        <f>Q44*(1+$C$41)</f>
        <v>1</v>
      </c>
      <c r="S44" s="141">
        <f>R44*(1+$C$41)</f>
        <v>1</v>
      </c>
      <c r="T44" s="141">
        <f>S44*(1+$C$41)</f>
        <v>1</v>
      </c>
      <c r="U44" s="141">
        <f>T44*(1+$C$41)</f>
        <v>1</v>
      </c>
      <c r="V44" s="141">
        <f>U44*(1+$C$41)</f>
        <v>1</v>
      </c>
      <c r="W44" s="141">
        <f t="shared" ref="W44:AG44" si="7">V44</f>
        <v>1</v>
      </c>
      <c r="X44" s="141">
        <f t="shared" si="7"/>
        <v>1</v>
      </c>
      <c r="Y44" s="141">
        <f t="shared" si="7"/>
        <v>1</v>
      </c>
      <c r="Z44" s="141">
        <f t="shared" si="7"/>
        <v>1</v>
      </c>
      <c r="AA44" s="141">
        <f t="shared" si="7"/>
        <v>1</v>
      </c>
      <c r="AB44" s="141">
        <f t="shared" si="7"/>
        <v>1</v>
      </c>
      <c r="AC44" s="141">
        <f t="shared" si="7"/>
        <v>1</v>
      </c>
      <c r="AD44" s="141">
        <f t="shared" si="7"/>
        <v>1</v>
      </c>
      <c r="AE44" s="141">
        <f t="shared" si="7"/>
        <v>1</v>
      </c>
      <c r="AF44" s="141">
        <f t="shared" si="7"/>
        <v>1</v>
      </c>
      <c r="AG44" s="141">
        <f t="shared" si="7"/>
        <v>1</v>
      </c>
    </row>
    <row r="45" spans="1:33" x14ac:dyDescent="0.35">
      <c r="A45" s="69" t="s">
        <v>87</v>
      </c>
      <c r="B45" s="69" t="s">
        <v>86</v>
      </c>
      <c r="C45" s="140">
        <v>1</v>
      </c>
      <c r="D45" s="141">
        <f t="shared" ref="D45:AG45" si="8">C45*(1+$C$33)</f>
        <v>1</v>
      </c>
      <c r="E45" s="141">
        <f t="shared" si="8"/>
        <v>1</v>
      </c>
      <c r="F45" s="141">
        <f t="shared" si="8"/>
        <v>1</v>
      </c>
      <c r="G45" s="141">
        <f t="shared" si="8"/>
        <v>1</v>
      </c>
      <c r="H45" s="141">
        <f t="shared" si="8"/>
        <v>1</v>
      </c>
      <c r="I45" s="141">
        <f t="shared" si="8"/>
        <v>1</v>
      </c>
      <c r="J45" s="141">
        <f t="shared" si="8"/>
        <v>1</v>
      </c>
      <c r="K45" s="141">
        <f t="shared" si="8"/>
        <v>1</v>
      </c>
      <c r="L45" s="141">
        <f t="shared" si="8"/>
        <v>1</v>
      </c>
      <c r="M45" s="141">
        <f t="shared" si="8"/>
        <v>1</v>
      </c>
      <c r="N45" s="141">
        <f t="shared" si="8"/>
        <v>1</v>
      </c>
      <c r="O45" s="141">
        <f t="shared" si="8"/>
        <v>1</v>
      </c>
      <c r="P45" s="141">
        <f t="shared" si="8"/>
        <v>1</v>
      </c>
      <c r="Q45" s="141">
        <f t="shared" si="8"/>
        <v>1</v>
      </c>
      <c r="R45" s="141">
        <f t="shared" si="8"/>
        <v>1</v>
      </c>
      <c r="S45" s="141">
        <f t="shared" si="8"/>
        <v>1</v>
      </c>
      <c r="T45" s="141">
        <f t="shared" si="8"/>
        <v>1</v>
      </c>
      <c r="U45" s="141">
        <f t="shared" si="8"/>
        <v>1</v>
      </c>
      <c r="V45" s="141">
        <f t="shared" si="8"/>
        <v>1</v>
      </c>
      <c r="W45" s="141">
        <f t="shared" si="8"/>
        <v>1</v>
      </c>
      <c r="X45" s="141">
        <f t="shared" si="8"/>
        <v>1</v>
      </c>
      <c r="Y45" s="141">
        <f t="shared" si="8"/>
        <v>1</v>
      </c>
      <c r="Z45" s="141">
        <f t="shared" si="8"/>
        <v>1</v>
      </c>
      <c r="AA45" s="141">
        <f t="shared" si="8"/>
        <v>1</v>
      </c>
      <c r="AB45" s="141">
        <f t="shared" si="8"/>
        <v>1</v>
      </c>
      <c r="AC45" s="141">
        <f t="shared" si="8"/>
        <v>1</v>
      </c>
      <c r="AD45" s="141">
        <f t="shared" si="8"/>
        <v>1</v>
      </c>
      <c r="AE45" s="141">
        <f t="shared" si="8"/>
        <v>1</v>
      </c>
      <c r="AF45" s="141">
        <f t="shared" si="8"/>
        <v>1</v>
      </c>
      <c r="AG45" s="141">
        <f t="shared" si="8"/>
        <v>1</v>
      </c>
    </row>
    <row r="46" spans="1:33" ht="16" thickBot="1" x14ac:dyDescent="0.4">
      <c r="A46" s="83"/>
      <c r="B46" s="83"/>
      <c r="C46" s="142"/>
      <c r="D46" s="129"/>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row>
    <row r="47" spans="1:33" x14ac:dyDescent="0.35">
      <c r="A47" s="84" t="s">
        <v>159</v>
      </c>
      <c r="B47" s="84"/>
      <c r="C47" s="132"/>
      <c r="D47" s="133"/>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row>
    <row r="48" spans="1:33" x14ac:dyDescent="0.35">
      <c r="A48" s="69"/>
      <c r="B48" s="69"/>
      <c r="C48" s="125"/>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106</v>
      </c>
      <c r="B49" s="77" t="s">
        <v>134</v>
      </c>
      <c r="C49" s="71">
        <v>244066904.23189995</v>
      </c>
      <c r="D49" s="139"/>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107</v>
      </c>
      <c r="B50" s="77" t="s">
        <v>135</v>
      </c>
      <c r="C50" s="71">
        <v>660636499.69570005</v>
      </c>
      <c r="D50" s="139"/>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5"/>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119</v>
      </c>
      <c r="B52" s="77" t="s">
        <v>114</v>
      </c>
      <c r="C52" s="143">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120</v>
      </c>
      <c r="B53" s="77" t="s">
        <v>114</v>
      </c>
      <c r="C53" s="143">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3"/>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118</v>
      </c>
      <c r="B55" s="85"/>
      <c r="C55" s="143"/>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108</v>
      </c>
      <c r="B56" s="77" t="s">
        <v>170</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109</v>
      </c>
      <c r="B57" s="77" t="s">
        <v>170</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110</v>
      </c>
      <c r="B58" s="69" t="s">
        <v>86</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116</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108</v>
      </c>
      <c r="B61" s="77" t="s">
        <v>114</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109</v>
      </c>
      <c r="B62" s="77" t="s">
        <v>114</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110</v>
      </c>
      <c r="B63" s="69" t="s">
        <v>86</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5"/>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115</v>
      </c>
      <c r="B65" s="85"/>
      <c r="C65" s="125"/>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108</v>
      </c>
      <c r="B66" s="86" t="s">
        <v>86</v>
      </c>
      <c r="C66" s="71">
        <f>C49*C52/C57</f>
        <v>720862.31863007369</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109</v>
      </c>
      <c r="B67" s="86" t="s">
        <v>86</v>
      </c>
      <c r="C67" s="71">
        <f>C50*C52/C56</f>
        <v>2759586.8967749379</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110</v>
      </c>
      <c r="B68" s="86" t="s">
        <v>86</v>
      </c>
      <c r="C68" s="144">
        <f>AVERAGE(C66:C67)</f>
        <v>1740224.6077025058</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5"/>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117</v>
      </c>
      <c r="B70" s="85"/>
      <c r="C70" s="125"/>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108</v>
      </c>
      <c r="B71" s="86" t="s">
        <v>86</v>
      </c>
      <c r="C71" s="71">
        <f>C49*C53/C62</f>
        <v>1964869.4675394311</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109</v>
      </c>
      <c r="B72" s="86" t="s">
        <v>86</v>
      </c>
      <c r="C72" s="71">
        <f>C50*C53/C61</f>
        <v>7076736.8167290799</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110</v>
      </c>
      <c r="B73" s="86" t="s">
        <v>86</v>
      </c>
      <c r="C73" s="144">
        <f>AVERAGE(C71:C72)</f>
        <v>4520803.1421342557</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4"/>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111</v>
      </c>
      <c r="B75" s="70" t="s">
        <v>121</v>
      </c>
      <c r="C75" s="71">
        <f>C67+C73</f>
        <v>7280390.0389091931</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5"/>
      <c r="D76" s="146"/>
      <c r="E76" s="146"/>
      <c r="F76" s="147"/>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x14ac:dyDescent="0.35">
      <c r="A77" s="69" t="s">
        <v>140</v>
      </c>
      <c r="B77" s="180" t="s">
        <v>175</v>
      </c>
      <c r="C77" s="87">
        <v>60000000</v>
      </c>
      <c r="D77" s="171"/>
      <c r="E77" s="168"/>
      <c r="F77" s="147"/>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5"/>
      <c r="D78" s="146"/>
      <c r="E78" s="146"/>
      <c r="F78" s="147"/>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141</v>
      </c>
      <c r="B79" s="69" t="s">
        <v>154</v>
      </c>
      <c r="C79" s="87">
        <v>1424616853.6268401</v>
      </c>
      <c r="D79" s="146"/>
      <c r="E79" s="146"/>
      <c r="F79" s="147"/>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142</v>
      </c>
      <c r="B80" s="69" t="s">
        <v>154</v>
      </c>
      <c r="C80" s="87">
        <v>1541401972.6011534</v>
      </c>
      <c r="D80" s="146"/>
      <c r="E80" s="146"/>
      <c r="F80" s="147"/>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6"/>
      <c r="E81" s="146"/>
      <c r="F81" s="147"/>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143</v>
      </c>
      <c r="B82" s="69" t="s">
        <v>86</v>
      </c>
      <c r="C82" s="87">
        <f>C79+$C$77</f>
        <v>1484616853.6268401</v>
      </c>
      <c r="D82" s="146"/>
      <c r="E82" s="148"/>
      <c r="F82" s="147"/>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144</v>
      </c>
      <c r="B83" s="69" t="s">
        <v>86</v>
      </c>
      <c r="C83" s="87">
        <f>C80+$C$77</f>
        <v>1601401972.6011534</v>
      </c>
      <c r="D83" s="146"/>
      <c r="E83" s="146"/>
      <c r="F83" s="147"/>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6"/>
      <c r="E84" s="146"/>
      <c r="F84" s="147"/>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149</v>
      </c>
      <c r="B85" s="69" t="s">
        <v>196</v>
      </c>
      <c r="C85" s="149">
        <v>22147</v>
      </c>
      <c r="D85" s="146"/>
      <c r="E85" s="146"/>
      <c r="F85" s="147"/>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150</v>
      </c>
      <c r="B86" s="69" t="s">
        <v>133</v>
      </c>
      <c r="C86" s="149">
        <v>15100</v>
      </c>
      <c r="D86" s="146"/>
      <c r="E86" s="146"/>
      <c r="F86" s="147"/>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113</v>
      </c>
      <c r="B87" s="69" t="s">
        <v>86</v>
      </c>
      <c r="C87" s="149">
        <f>AVERAGE(C85:C86)</f>
        <v>18623.5</v>
      </c>
      <c r="D87" s="146"/>
      <c r="E87" s="146"/>
      <c r="F87" s="147"/>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49"/>
      <c r="D88" s="146"/>
      <c r="E88" s="146"/>
      <c r="F88" s="147"/>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145</v>
      </c>
      <c r="B89" s="69" t="s">
        <v>86</v>
      </c>
      <c r="C89" s="149">
        <f>C82/$C$87</f>
        <v>79717.392199470574</v>
      </c>
      <c r="D89" s="146"/>
      <c r="E89" s="146"/>
      <c r="F89" s="147"/>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145</v>
      </c>
      <c r="B90" s="69" t="s">
        <v>86</v>
      </c>
      <c r="C90" s="149">
        <f>C83/$C$87</f>
        <v>85988.23919248012</v>
      </c>
      <c r="D90" s="146"/>
      <c r="E90" s="146"/>
      <c r="F90" s="147"/>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49"/>
      <c r="D91" s="146"/>
      <c r="E91" s="146"/>
      <c r="F91" s="147"/>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146</v>
      </c>
      <c r="B92" s="69" t="s">
        <v>153</v>
      </c>
      <c r="C92" s="87">
        <v>70000</v>
      </c>
      <c r="D92" s="146"/>
      <c r="E92" s="146"/>
      <c r="F92" s="147"/>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6"/>
      <c r="E93" s="146"/>
      <c r="F93" s="147"/>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147</v>
      </c>
      <c r="B94" s="69" t="s">
        <v>86</v>
      </c>
      <c r="C94" s="87">
        <f>IF(C89&lt;$C$92,C89*$C$87,$C$92*$C$87)</f>
        <v>1303645000</v>
      </c>
      <c r="D94" s="146"/>
      <c r="E94" s="146"/>
      <c r="F94" s="147"/>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148</v>
      </c>
      <c r="B95" s="69" t="s">
        <v>86</v>
      </c>
      <c r="C95" s="87">
        <f>IF(C90&lt;$C$92,C90*$C$87,$C$92*$C$87)</f>
        <v>1303645000</v>
      </c>
      <c r="D95" s="146"/>
      <c r="E95" s="74"/>
      <c r="F95" s="147"/>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152</v>
      </c>
      <c r="B96" s="69" t="s">
        <v>86</v>
      </c>
      <c r="C96" s="87">
        <f>AVERAGE(C94:C95)</f>
        <v>1303645000</v>
      </c>
      <c r="D96" s="146"/>
      <c r="E96" s="74"/>
      <c r="F96" s="147"/>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6"/>
      <c r="E97" s="74"/>
      <c r="F97" s="147"/>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98</v>
      </c>
      <c r="B98" s="69"/>
      <c r="C98" s="71">
        <v>1303645000</v>
      </c>
      <c r="D98" s="168"/>
      <c r="E98" s="169"/>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6"/>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48</v>
      </c>
      <c r="B100" s="69"/>
      <c r="C100" s="125">
        <v>30</v>
      </c>
      <c r="D100" s="146"/>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5"/>
      <c r="D101" s="146"/>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49</v>
      </c>
      <c r="B102" s="69" t="s">
        <v>86</v>
      </c>
      <c r="C102" s="71">
        <f>C96/C100</f>
        <v>43454833.333333336</v>
      </c>
      <c r="D102" s="146"/>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6"/>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40</v>
      </c>
      <c r="B104" s="70" t="s">
        <v>130</v>
      </c>
      <c r="C104" s="150">
        <v>0.6</v>
      </c>
      <c r="D104" s="72"/>
      <c r="E104" s="73"/>
      <c r="F104" s="74"/>
      <c r="G104" s="73"/>
      <c r="H104" s="75"/>
      <c r="I104" s="73"/>
      <c r="J104" s="73"/>
      <c r="K104" s="73"/>
      <c r="L104" s="148"/>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41</v>
      </c>
      <c r="B105" s="70" t="s">
        <v>129</v>
      </c>
      <c r="C105" s="150">
        <v>0.4</v>
      </c>
      <c r="D105" s="72"/>
      <c r="E105" s="73"/>
      <c r="F105" s="74"/>
      <c r="G105" s="73"/>
      <c r="H105" s="75"/>
      <c r="I105" s="73"/>
      <c r="J105" s="73"/>
      <c r="K105" s="73"/>
      <c r="L105" s="151"/>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42</v>
      </c>
      <c r="B106" s="69" t="s">
        <v>168</v>
      </c>
      <c r="C106" s="144">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43</v>
      </c>
      <c r="B107" s="69" t="s">
        <v>168</v>
      </c>
      <c r="C107" s="144">
        <f>ROUND(C63/100,1)*100</f>
        <v>100</v>
      </c>
      <c r="D107" s="72"/>
      <c r="E107" s="148"/>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5"/>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112</v>
      </c>
      <c r="B109" s="69" t="s">
        <v>125</v>
      </c>
      <c r="C109" s="138">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0"/>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67</v>
      </c>
      <c r="B111" s="69" t="s">
        <v>127</v>
      </c>
      <c r="C111" s="71"/>
      <c r="D111" s="148">
        <f t="shared" ref="D111:AG111" si="9">$C$75</f>
        <v>7280390.0389091931</v>
      </c>
      <c r="E111" s="148">
        <f t="shared" si="9"/>
        <v>7280390.0389091931</v>
      </c>
      <c r="F111" s="148">
        <f t="shared" si="9"/>
        <v>7280390.0389091931</v>
      </c>
      <c r="G111" s="148">
        <f t="shared" si="9"/>
        <v>7280390.0389091931</v>
      </c>
      <c r="H111" s="148">
        <f t="shared" si="9"/>
        <v>7280390.0389091931</v>
      </c>
      <c r="I111" s="148">
        <f t="shared" si="9"/>
        <v>7280390.0389091931</v>
      </c>
      <c r="J111" s="148">
        <f t="shared" si="9"/>
        <v>7280390.0389091931</v>
      </c>
      <c r="K111" s="148">
        <f t="shared" si="9"/>
        <v>7280390.0389091931</v>
      </c>
      <c r="L111" s="148">
        <f t="shared" si="9"/>
        <v>7280390.0389091931</v>
      </c>
      <c r="M111" s="148">
        <f t="shared" si="9"/>
        <v>7280390.0389091931</v>
      </c>
      <c r="N111" s="148">
        <f t="shared" si="9"/>
        <v>7280390.0389091931</v>
      </c>
      <c r="O111" s="148">
        <f t="shared" si="9"/>
        <v>7280390.0389091931</v>
      </c>
      <c r="P111" s="148">
        <f t="shared" si="9"/>
        <v>7280390.0389091931</v>
      </c>
      <c r="Q111" s="148">
        <f t="shared" si="9"/>
        <v>7280390.0389091931</v>
      </c>
      <c r="R111" s="148">
        <f t="shared" si="9"/>
        <v>7280390.0389091931</v>
      </c>
      <c r="S111" s="148">
        <f t="shared" si="9"/>
        <v>7280390.0389091931</v>
      </c>
      <c r="T111" s="148">
        <f t="shared" si="9"/>
        <v>7280390.0389091931</v>
      </c>
      <c r="U111" s="148">
        <f t="shared" si="9"/>
        <v>7280390.0389091931</v>
      </c>
      <c r="V111" s="148">
        <f t="shared" si="9"/>
        <v>7280390.0389091931</v>
      </c>
      <c r="W111" s="148">
        <f t="shared" si="9"/>
        <v>7280390.0389091931</v>
      </c>
      <c r="X111" s="148">
        <f t="shared" si="9"/>
        <v>7280390.0389091931</v>
      </c>
      <c r="Y111" s="148">
        <f t="shared" si="9"/>
        <v>7280390.0389091931</v>
      </c>
      <c r="Z111" s="148">
        <f t="shared" si="9"/>
        <v>7280390.0389091931</v>
      </c>
      <c r="AA111" s="148">
        <f t="shared" si="9"/>
        <v>7280390.0389091931</v>
      </c>
      <c r="AB111" s="148">
        <f t="shared" si="9"/>
        <v>7280390.0389091931</v>
      </c>
      <c r="AC111" s="148">
        <f t="shared" si="9"/>
        <v>7280390.0389091931</v>
      </c>
      <c r="AD111" s="148">
        <f t="shared" si="9"/>
        <v>7280390.0389091931</v>
      </c>
      <c r="AE111" s="148">
        <f t="shared" si="9"/>
        <v>7280390.0389091931</v>
      </c>
      <c r="AF111" s="148">
        <f t="shared" si="9"/>
        <v>7280390.0389091931</v>
      </c>
      <c r="AG111" s="148">
        <f t="shared" si="9"/>
        <v>7280390.0389091931</v>
      </c>
    </row>
    <row r="112" spans="1:33" x14ac:dyDescent="0.35">
      <c r="A112" s="69"/>
      <c r="B112" s="69"/>
      <c r="C112" s="71"/>
      <c r="D112" s="148"/>
      <c r="E112" s="148"/>
      <c r="F112" s="148"/>
      <c r="G112" s="148"/>
      <c r="H112" s="148"/>
      <c r="I112" s="148"/>
      <c r="J112" s="148"/>
      <c r="K112" s="148"/>
      <c r="L112" s="148"/>
      <c r="M112" s="148"/>
      <c r="N112" s="148"/>
      <c r="O112" s="148"/>
      <c r="P112" s="148"/>
      <c r="Q112" s="148"/>
      <c r="R112" s="148"/>
      <c r="S112" s="148"/>
      <c r="T112" s="148"/>
      <c r="U112" s="148"/>
      <c r="V112" s="148"/>
      <c r="W112" s="148"/>
      <c r="X112" s="148"/>
      <c r="Y112" s="148"/>
      <c r="Z112" s="148"/>
      <c r="AA112" s="148"/>
      <c r="AB112" s="148"/>
      <c r="AC112" s="148"/>
      <c r="AD112" s="148"/>
      <c r="AE112" s="148"/>
      <c r="AF112" s="148"/>
      <c r="AG112" s="148"/>
    </row>
    <row r="113" spans="1:33" s="152" customFormat="1" x14ac:dyDescent="0.35">
      <c r="A113" s="69" t="s">
        <v>68</v>
      </c>
      <c r="B113" s="69" t="s">
        <v>86</v>
      </c>
      <c r="C113" s="71">
        <f>SUM(D113:AG113)</f>
        <v>1303645000</v>
      </c>
      <c r="D113" s="148">
        <f t="shared" ref="D113:AG113" si="10">$C$102</f>
        <v>43454833.333333336</v>
      </c>
      <c r="E113" s="148">
        <f t="shared" si="10"/>
        <v>43454833.333333336</v>
      </c>
      <c r="F113" s="148">
        <f t="shared" si="10"/>
        <v>43454833.333333336</v>
      </c>
      <c r="G113" s="148">
        <f t="shared" si="10"/>
        <v>43454833.333333336</v>
      </c>
      <c r="H113" s="148">
        <f t="shared" si="10"/>
        <v>43454833.333333336</v>
      </c>
      <c r="I113" s="148">
        <f t="shared" si="10"/>
        <v>43454833.333333336</v>
      </c>
      <c r="J113" s="148">
        <f t="shared" si="10"/>
        <v>43454833.333333336</v>
      </c>
      <c r="K113" s="148">
        <f t="shared" si="10"/>
        <v>43454833.333333336</v>
      </c>
      <c r="L113" s="148">
        <f t="shared" si="10"/>
        <v>43454833.333333336</v>
      </c>
      <c r="M113" s="148">
        <f t="shared" si="10"/>
        <v>43454833.333333336</v>
      </c>
      <c r="N113" s="148">
        <f t="shared" si="10"/>
        <v>43454833.333333336</v>
      </c>
      <c r="O113" s="148">
        <f t="shared" si="10"/>
        <v>43454833.333333336</v>
      </c>
      <c r="P113" s="148">
        <f t="shared" si="10"/>
        <v>43454833.333333336</v>
      </c>
      <c r="Q113" s="148">
        <f t="shared" si="10"/>
        <v>43454833.333333336</v>
      </c>
      <c r="R113" s="148">
        <f t="shared" si="10"/>
        <v>43454833.333333336</v>
      </c>
      <c r="S113" s="148">
        <f t="shared" si="10"/>
        <v>43454833.333333336</v>
      </c>
      <c r="T113" s="148">
        <f t="shared" si="10"/>
        <v>43454833.333333336</v>
      </c>
      <c r="U113" s="148">
        <f t="shared" si="10"/>
        <v>43454833.333333336</v>
      </c>
      <c r="V113" s="148">
        <f t="shared" si="10"/>
        <v>43454833.333333336</v>
      </c>
      <c r="W113" s="148">
        <f t="shared" si="10"/>
        <v>43454833.333333336</v>
      </c>
      <c r="X113" s="148">
        <f t="shared" si="10"/>
        <v>43454833.333333336</v>
      </c>
      <c r="Y113" s="148">
        <f t="shared" si="10"/>
        <v>43454833.333333336</v>
      </c>
      <c r="Z113" s="148">
        <f t="shared" si="10"/>
        <v>43454833.333333336</v>
      </c>
      <c r="AA113" s="148">
        <f t="shared" si="10"/>
        <v>43454833.333333336</v>
      </c>
      <c r="AB113" s="148">
        <f t="shared" si="10"/>
        <v>43454833.333333336</v>
      </c>
      <c r="AC113" s="148">
        <f t="shared" si="10"/>
        <v>43454833.333333336</v>
      </c>
      <c r="AD113" s="148">
        <f t="shared" si="10"/>
        <v>43454833.333333336</v>
      </c>
      <c r="AE113" s="148">
        <f t="shared" si="10"/>
        <v>43454833.333333336</v>
      </c>
      <c r="AF113" s="148">
        <f t="shared" si="10"/>
        <v>43454833.333333336</v>
      </c>
      <c r="AG113" s="148">
        <f t="shared" si="10"/>
        <v>43454833.333333336</v>
      </c>
    </row>
    <row r="114" spans="1:33" s="152" customFormat="1" x14ac:dyDescent="0.35">
      <c r="A114" s="69"/>
      <c r="B114" s="69"/>
      <c r="C114" s="153">
        <f>C113-C98</f>
        <v>0</v>
      </c>
      <c r="D114" s="148"/>
      <c r="E114" s="148"/>
      <c r="F114" s="148"/>
      <c r="G114" s="148"/>
      <c r="H114" s="148"/>
      <c r="I114" s="148"/>
      <c r="J114" s="148"/>
      <c r="K114" s="148"/>
      <c r="L114" s="148"/>
      <c r="M114" s="148"/>
      <c r="N114" s="148"/>
      <c r="O114" s="148"/>
      <c r="P114" s="148"/>
      <c r="Q114" s="148"/>
      <c r="R114" s="148"/>
      <c r="S114" s="148"/>
      <c r="T114" s="148"/>
      <c r="U114" s="148"/>
      <c r="V114" s="148"/>
      <c r="W114" s="148"/>
      <c r="X114" s="148"/>
      <c r="Y114" s="148"/>
      <c r="Z114" s="148"/>
      <c r="AA114" s="148"/>
      <c r="AB114" s="148"/>
      <c r="AC114" s="148"/>
      <c r="AD114" s="148"/>
      <c r="AE114" s="148"/>
      <c r="AF114" s="148"/>
      <c r="AG114" s="148"/>
    </row>
    <row r="115" spans="1:33" s="152" customFormat="1" x14ac:dyDescent="0.35">
      <c r="A115" s="69" t="s">
        <v>88</v>
      </c>
      <c r="B115" s="69" t="s">
        <v>86</v>
      </c>
      <c r="C115" s="125"/>
      <c r="D115" s="148">
        <f>(D113*D$44)-D113</f>
        <v>0</v>
      </c>
      <c r="E115" s="148">
        <f t="shared" ref="E115:AG115" si="11">(E113*E$44)-E113</f>
        <v>0</v>
      </c>
      <c r="F115" s="148">
        <f t="shared" si="11"/>
        <v>0</v>
      </c>
      <c r="G115" s="148">
        <f t="shared" si="11"/>
        <v>0</v>
      </c>
      <c r="H115" s="148">
        <f>(H113*H$44)-H113</f>
        <v>0</v>
      </c>
      <c r="I115" s="148">
        <f t="shared" si="11"/>
        <v>0</v>
      </c>
      <c r="J115" s="148">
        <f t="shared" si="11"/>
        <v>0</v>
      </c>
      <c r="K115" s="148">
        <f t="shared" si="11"/>
        <v>0</v>
      </c>
      <c r="L115" s="148">
        <f t="shared" si="11"/>
        <v>0</v>
      </c>
      <c r="M115" s="148">
        <f t="shared" si="11"/>
        <v>0</v>
      </c>
      <c r="N115" s="148">
        <f t="shared" si="11"/>
        <v>0</v>
      </c>
      <c r="O115" s="148">
        <f t="shared" si="11"/>
        <v>0</v>
      </c>
      <c r="P115" s="148">
        <f t="shared" si="11"/>
        <v>0</v>
      </c>
      <c r="Q115" s="148">
        <f t="shared" si="11"/>
        <v>0</v>
      </c>
      <c r="R115" s="148">
        <f t="shared" si="11"/>
        <v>0</v>
      </c>
      <c r="S115" s="148">
        <f t="shared" si="11"/>
        <v>0</v>
      </c>
      <c r="T115" s="148">
        <f t="shared" si="11"/>
        <v>0</v>
      </c>
      <c r="U115" s="148">
        <f t="shared" si="11"/>
        <v>0</v>
      </c>
      <c r="V115" s="148">
        <f t="shared" si="11"/>
        <v>0</v>
      </c>
      <c r="W115" s="148">
        <f t="shared" si="11"/>
        <v>0</v>
      </c>
      <c r="X115" s="148">
        <f t="shared" si="11"/>
        <v>0</v>
      </c>
      <c r="Y115" s="148">
        <f t="shared" si="11"/>
        <v>0</v>
      </c>
      <c r="Z115" s="148">
        <f t="shared" si="11"/>
        <v>0</v>
      </c>
      <c r="AA115" s="148">
        <f t="shared" si="11"/>
        <v>0</v>
      </c>
      <c r="AB115" s="148">
        <f t="shared" si="11"/>
        <v>0</v>
      </c>
      <c r="AC115" s="148">
        <f t="shared" si="11"/>
        <v>0</v>
      </c>
      <c r="AD115" s="148">
        <f t="shared" si="11"/>
        <v>0</v>
      </c>
      <c r="AE115" s="148">
        <f t="shared" si="11"/>
        <v>0</v>
      </c>
      <c r="AF115" s="148">
        <f t="shared" si="11"/>
        <v>0</v>
      </c>
      <c r="AG115" s="148">
        <f t="shared" si="11"/>
        <v>0</v>
      </c>
    </row>
    <row r="116" spans="1:33" s="152" customFormat="1" x14ac:dyDescent="0.35">
      <c r="A116" s="69" t="s">
        <v>89</v>
      </c>
      <c r="B116" s="69" t="s">
        <v>86</v>
      </c>
      <c r="C116" s="125"/>
      <c r="D116" s="148">
        <f t="shared" ref="D116:AG116" si="12">(D113*D$45)-D113</f>
        <v>0</v>
      </c>
      <c r="E116" s="148">
        <f t="shared" si="12"/>
        <v>0</v>
      </c>
      <c r="F116" s="148">
        <f t="shared" si="12"/>
        <v>0</v>
      </c>
      <c r="G116" s="148">
        <f t="shared" si="12"/>
        <v>0</v>
      </c>
      <c r="H116" s="148">
        <f t="shared" si="12"/>
        <v>0</v>
      </c>
      <c r="I116" s="148">
        <f t="shared" si="12"/>
        <v>0</v>
      </c>
      <c r="J116" s="148">
        <f t="shared" si="12"/>
        <v>0</v>
      </c>
      <c r="K116" s="148">
        <f t="shared" si="12"/>
        <v>0</v>
      </c>
      <c r="L116" s="148">
        <f t="shared" si="12"/>
        <v>0</v>
      </c>
      <c r="M116" s="148">
        <f t="shared" si="12"/>
        <v>0</v>
      </c>
      <c r="N116" s="148">
        <f t="shared" si="12"/>
        <v>0</v>
      </c>
      <c r="O116" s="148">
        <f t="shared" si="12"/>
        <v>0</v>
      </c>
      <c r="P116" s="148">
        <f t="shared" si="12"/>
        <v>0</v>
      </c>
      <c r="Q116" s="148">
        <f t="shared" si="12"/>
        <v>0</v>
      </c>
      <c r="R116" s="148">
        <f t="shared" si="12"/>
        <v>0</v>
      </c>
      <c r="S116" s="148">
        <f t="shared" si="12"/>
        <v>0</v>
      </c>
      <c r="T116" s="148">
        <f t="shared" si="12"/>
        <v>0</v>
      </c>
      <c r="U116" s="148">
        <f t="shared" si="12"/>
        <v>0</v>
      </c>
      <c r="V116" s="148">
        <f t="shared" si="12"/>
        <v>0</v>
      </c>
      <c r="W116" s="148">
        <f t="shared" si="12"/>
        <v>0</v>
      </c>
      <c r="X116" s="148">
        <f t="shared" si="12"/>
        <v>0</v>
      </c>
      <c r="Y116" s="148">
        <f t="shared" si="12"/>
        <v>0</v>
      </c>
      <c r="Z116" s="148">
        <f t="shared" si="12"/>
        <v>0</v>
      </c>
      <c r="AA116" s="148">
        <f t="shared" si="12"/>
        <v>0</v>
      </c>
      <c r="AB116" s="148">
        <f t="shared" si="12"/>
        <v>0</v>
      </c>
      <c r="AC116" s="148">
        <f t="shared" si="12"/>
        <v>0</v>
      </c>
      <c r="AD116" s="148">
        <f t="shared" si="12"/>
        <v>0</v>
      </c>
      <c r="AE116" s="148">
        <f t="shared" si="12"/>
        <v>0</v>
      </c>
      <c r="AF116" s="148">
        <f t="shared" si="12"/>
        <v>0</v>
      </c>
      <c r="AG116" s="148">
        <f t="shared" si="12"/>
        <v>0</v>
      </c>
    </row>
    <row r="117" spans="1:33" s="152" customFormat="1" x14ac:dyDescent="0.35">
      <c r="A117" s="69"/>
      <c r="B117" s="69"/>
      <c r="C117" s="125"/>
      <c r="D117" s="148"/>
      <c r="E117" s="148"/>
      <c r="F117" s="148"/>
      <c r="G117" s="148"/>
      <c r="H117" s="148"/>
      <c r="I117" s="148"/>
      <c r="J117" s="148"/>
      <c r="K117" s="148"/>
      <c r="L117" s="148"/>
      <c r="M117" s="148"/>
      <c r="N117" s="148"/>
      <c r="O117" s="148"/>
      <c r="P117" s="148"/>
      <c r="Q117" s="148"/>
      <c r="R117" s="148"/>
      <c r="S117" s="148"/>
      <c r="T117" s="148"/>
      <c r="U117" s="148"/>
      <c r="V117" s="148"/>
      <c r="W117" s="148"/>
      <c r="X117" s="148"/>
      <c r="Y117" s="148"/>
      <c r="Z117" s="148"/>
      <c r="AA117" s="148"/>
      <c r="AB117" s="148"/>
      <c r="AC117" s="148"/>
      <c r="AD117" s="148"/>
      <c r="AE117" s="148"/>
      <c r="AF117" s="148"/>
      <c r="AG117" s="148"/>
    </row>
    <row r="118" spans="1:33" s="152" customFormat="1" x14ac:dyDescent="0.35">
      <c r="A118" s="69" t="s">
        <v>90</v>
      </c>
      <c r="B118" s="69" t="s">
        <v>86</v>
      </c>
      <c r="C118" s="125"/>
      <c r="D118" s="148">
        <f>D113+D115+D116</f>
        <v>43454833.333333336</v>
      </c>
      <c r="E118" s="148">
        <f t="shared" ref="E118:AG118" si="13">E113+E115+E116</f>
        <v>43454833.333333336</v>
      </c>
      <c r="F118" s="148">
        <f>F113+F115+F116</f>
        <v>43454833.333333336</v>
      </c>
      <c r="G118" s="148">
        <f t="shared" si="13"/>
        <v>43454833.333333336</v>
      </c>
      <c r="H118" s="148">
        <f t="shared" si="13"/>
        <v>43454833.333333336</v>
      </c>
      <c r="I118" s="148">
        <f t="shared" si="13"/>
        <v>43454833.333333336</v>
      </c>
      <c r="J118" s="148">
        <f t="shared" si="13"/>
        <v>43454833.333333336</v>
      </c>
      <c r="K118" s="148">
        <f t="shared" si="13"/>
        <v>43454833.333333336</v>
      </c>
      <c r="L118" s="148">
        <f t="shared" si="13"/>
        <v>43454833.333333336</v>
      </c>
      <c r="M118" s="148">
        <f t="shared" si="13"/>
        <v>43454833.333333336</v>
      </c>
      <c r="N118" s="148">
        <f t="shared" si="13"/>
        <v>43454833.333333336</v>
      </c>
      <c r="O118" s="148">
        <f t="shared" si="13"/>
        <v>43454833.333333336</v>
      </c>
      <c r="P118" s="148">
        <f t="shared" si="13"/>
        <v>43454833.333333336</v>
      </c>
      <c r="Q118" s="148">
        <f t="shared" si="13"/>
        <v>43454833.333333336</v>
      </c>
      <c r="R118" s="148">
        <f t="shared" si="13"/>
        <v>43454833.333333336</v>
      </c>
      <c r="S118" s="148">
        <f t="shared" si="13"/>
        <v>43454833.333333336</v>
      </c>
      <c r="T118" s="148">
        <f t="shared" si="13"/>
        <v>43454833.333333336</v>
      </c>
      <c r="U118" s="148">
        <f t="shared" si="13"/>
        <v>43454833.333333336</v>
      </c>
      <c r="V118" s="148">
        <f t="shared" si="13"/>
        <v>43454833.333333336</v>
      </c>
      <c r="W118" s="148">
        <f t="shared" si="13"/>
        <v>43454833.333333336</v>
      </c>
      <c r="X118" s="148">
        <f t="shared" si="13"/>
        <v>43454833.333333336</v>
      </c>
      <c r="Y118" s="148">
        <f t="shared" si="13"/>
        <v>43454833.333333336</v>
      </c>
      <c r="Z118" s="148">
        <f t="shared" si="13"/>
        <v>43454833.333333336</v>
      </c>
      <c r="AA118" s="148">
        <f t="shared" si="13"/>
        <v>43454833.333333336</v>
      </c>
      <c r="AB118" s="148">
        <f t="shared" si="13"/>
        <v>43454833.333333336</v>
      </c>
      <c r="AC118" s="148">
        <f t="shared" si="13"/>
        <v>43454833.333333336</v>
      </c>
      <c r="AD118" s="148">
        <f t="shared" si="13"/>
        <v>43454833.333333336</v>
      </c>
      <c r="AE118" s="148">
        <f t="shared" si="13"/>
        <v>43454833.333333336</v>
      </c>
      <c r="AF118" s="148">
        <f t="shared" si="13"/>
        <v>43454833.333333336</v>
      </c>
      <c r="AG118" s="148">
        <f t="shared" si="13"/>
        <v>43454833.333333336</v>
      </c>
    </row>
    <row r="119" spans="1:33" s="152" customFormat="1" x14ac:dyDescent="0.35">
      <c r="A119" s="69"/>
      <c r="B119" s="69"/>
      <c r="C119" s="125"/>
      <c r="D119" s="148"/>
      <c r="E119" s="148"/>
      <c r="F119" s="148"/>
      <c r="G119" s="148"/>
      <c r="H119" s="148"/>
      <c r="I119" s="148"/>
      <c r="J119" s="148"/>
      <c r="K119" s="148"/>
      <c r="L119" s="148"/>
      <c r="M119" s="148"/>
      <c r="N119" s="148"/>
      <c r="O119" s="148"/>
      <c r="P119" s="148"/>
      <c r="Q119" s="148"/>
      <c r="R119" s="148"/>
      <c r="S119" s="148"/>
      <c r="T119" s="148"/>
      <c r="U119" s="148"/>
      <c r="V119" s="148"/>
      <c r="W119" s="148"/>
      <c r="X119" s="148"/>
      <c r="Y119" s="148"/>
      <c r="Z119" s="148"/>
      <c r="AA119" s="148"/>
      <c r="AB119" s="148"/>
      <c r="AC119" s="148"/>
      <c r="AD119" s="148"/>
      <c r="AE119" s="148"/>
      <c r="AF119" s="148"/>
      <c r="AG119" s="148"/>
    </row>
    <row r="120" spans="1:33" s="152" customFormat="1" x14ac:dyDescent="0.35">
      <c r="A120" s="69" t="s">
        <v>69</v>
      </c>
      <c r="B120" s="69" t="s">
        <v>86</v>
      </c>
      <c r="C120" s="125"/>
      <c r="D120" s="148">
        <f>(SUM($D$118:D118)*$C$104/$C$106)+(SUM($D$118:D118)*$C$105/$C$107)</f>
        <v>1042916</v>
      </c>
      <c r="E120" s="148">
        <f>(SUM($D$118:E118)*$C$104/$C$106)+(SUM($D$118:E118)*$C$105/$C$107)</f>
        <v>2085832</v>
      </c>
      <c r="F120" s="148">
        <f>(SUM($D$118:F118)*$C$104/$C$106)+(SUM($D$118:F118)*$C$105/$C$107)</f>
        <v>3128748</v>
      </c>
      <c r="G120" s="148">
        <f>(SUM($D$118:G118)*$C$104/$C$106)+(SUM($D$118:G118)*$C$105/$C$107)</f>
        <v>4171664</v>
      </c>
      <c r="H120" s="148">
        <f>(SUM($D$118:H118)*$C$104/$C$106)+(SUM($D$118:H118)*$C$105/$C$107)</f>
        <v>5214580</v>
      </c>
      <c r="I120" s="148">
        <f>(SUM($D$118:I118)*$C$104/$C$106)+(SUM($D$118:I118)*$C$105/$C$107)</f>
        <v>6257496</v>
      </c>
      <c r="J120" s="148">
        <f>(SUM($D$118:J118)*$C$104/$C$106)+(SUM($D$118:J118)*$C$105/$C$107)</f>
        <v>7300412.0000000019</v>
      </c>
      <c r="K120" s="148">
        <f>(SUM($D$118:K118)*$C$104/$C$106)+(SUM($D$118:K118)*$C$105/$C$107)</f>
        <v>8343328</v>
      </c>
      <c r="L120" s="148">
        <f>(SUM($D$118:L118)*$C$104/$C$106)+(SUM($D$118:L118)*$C$105/$C$107)</f>
        <v>9386244</v>
      </c>
      <c r="M120" s="148">
        <f>(SUM($D$118:M118)*$C$104/$C$106)+(SUM($D$118:M118)*$C$105/$C$107)</f>
        <v>10429160</v>
      </c>
      <c r="N120" s="148">
        <f>(SUM($D$118:N118)*$C$104/$C$106)+(SUM($D$118:N118)*$C$105/$C$107)</f>
        <v>11472075.999999998</v>
      </c>
      <c r="O120" s="148">
        <f>(SUM($D$118:O118)*$C$104/$C$106)+(SUM($D$118:O118)*$C$105/$C$107)</f>
        <v>12514991.999999998</v>
      </c>
      <c r="P120" s="148">
        <f>(SUM($D$118:P118)*$C$104/$C$106)+(SUM($D$118:P118)*$C$105/$C$107)</f>
        <v>13557907.999999996</v>
      </c>
      <c r="Q120" s="148">
        <f>(SUM($D$118:Q118)*$C$104/$C$106)+(SUM($D$118:Q118)*$C$105/$C$107)</f>
        <v>14600823.999999998</v>
      </c>
      <c r="R120" s="148">
        <f>(SUM($D$118:R118)*$C$104/$C$106)+(SUM($D$118:R118)*$C$105/$C$107)</f>
        <v>15643740</v>
      </c>
      <c r="S120" s="148">
        <f>(SUM($D$118:S118)*$C$104/$C$106)+(SUM($D$118:S118)*$C$105/$C$107)</f>
        <v>16686656</v>
      </c>
      <c r="T120" s="148">
        <f>(SUM($D$118:T118)*$C$104/$C$106)+(SUM($D$118:T118)*$C$105/$C$107)</f>
        <v>17729572.000000004</v>
      </c>
      <c r="U120" s="148">
        <f>(SUM($D$118:U118)*$C$104/$C$106)+(SUM($D$118:U118)*$C$105/$C$107)</f>
        <v>18772488.000000004</v>
      </c>
      <c r="V120" s="148">
        <f>(SUM($D$118:V118)*$C$104/$C$106)+(SUM($D$118:V118)*$C$105/$C$107)</f>
        <v>19815404.000000004</v>
      </c>
      <c r="W120" s="148">
        <f>(SUM($D$118:W118)*$C$104/$C$106)+(SUM($D$118:W118)*$C$105/$C$107)</f>
        <v>20858320.000000004</v>
      </c>
      <c r="X120" s="148">
        <f>(SUM($D$118:X118)*$C$104/$C$106)+(SUM($D$118:X118)*$C$105/$C$107)</f>
        <v>21901236.000000004</v>
      </c>
      <c r="Y120" s="148">
        <f>(SUM($D$118:Y118)*$C$104/$C$106)+(SUM($D$118:Y118)*$C$105/$C$107)</f>
        <v>22944152.000000007</v>
      </c>
      <c r="Z120" s="148">
        <f>(SUM($D$118:Z118)*$C$104/$C$106)+(SUM($D$118:Z118)*$C$105/$C$107)</f>
        <v>23987068.000000004</v>
      </c>
      <c r="AA120" s="148">
        <f>(SUM($D$118:AA118)*$C$104/$C$106)+(SUM($D$118:AA118)*$C$105/$C$107)</f>
        <v>25029984.000000007</v>
      </c>
      <c r="AB120" s="148">
        <f>(SUM($D$118:AB118)*$C$104/$C$106)+(SUM($D$118:AB118)*$C$105/$C$107)</f>
        <v>26072900.000000011</v>
      </c>
      <c r="AC120" s="148">
        <f>(SUM($D$118:AC118)*$C$104/$C$106)+(SUM($D$118:AC118)*$C$105/$C$107)</f>
        <v>27115816.000000004</v>
      </c>
      <c r="AD120" s="148">
        <f>(SUM($D$118:AD118)*$C$104/$C$106)+(SUM($D$118:AD118)*$C$105/$C$107)</f>
        <v>28158732.000000004</v>
      </c>
      <c r="AE120" s="148">
        <f>(SUM($D$118:AE118)*$C$104/$C$106)+(SUM($D$118:AE118)*$C$105/$C$107)</f>
        <v>29201648.000000007</v>
      </c>
      <c r="AF120" s="148">
        <f>(SUM($D$118:AF118)*$C$104/$C$106)+(SUM($D$118:AF118)*$C$105/$C$107)</f>
        <v>30244564</v>
      </c>
      <c r="AG120" s="148">
        <f>(SUM($D$118:AG118)*$C$104/$C$106)+(SUM($D$118:AG118)*$C$105/$C$107)</f>
        <v>31287480</v>
      </c>
    </row>
    <row r="121" spans="1:33" s="152" customFormat="1" x14ac:dyDescent="0.35">
      <c r="A121" s="87"/>
      <c r="B121" s="87"/>
      <c r="C121" s="125"/>
      <c r="D121" s="148"/>
      <c r="E121" s="148"/>
      <c r="F121" s="148"/>
      <c r="G121" s="148"/>
      <c r="H121" s="148"/>
      <c r="I121" s="148"/>
      <c r="J121" s="148"/>
      <c r="K121" s="148"/>
      <c r="L121" s="148"/>
      <c r="M121" s="148"/>
      <c r="N121" s="148"/>
      <c r="O121" s="148"/>
      <c r="P121" s="148"/>
      <c r="Q121" s="148"/>
      <c r="R121" s="148"/>
      <c r="S121" s="148"/>
      <c r="T121" s="148"/>
      <c r="U121" s="148"/>
      <c r="V121" s="148"/>
      <c r="W121" s="148"/>
      <c r="X121" s="148"/>
      <c r="Y121" s="148"/>
      <c r="Z121" s="148"/>
      <c r="AA121" s="148"/>
      <c r="AB121" s="148"/>
      <c r="AC121" s="148"/>
      <c r="AD121" s="148"/>
      <c r="AE121" s="148"/>
      <c r="AF121" s="148"/>
      <c r="AG121" s="148"/>
    </row>
    <row r="122" spans="1:33" x14ac:dyDescent="0.35">
      <c r="A122" s="69" t="s">
        <v>91</v>
      </c>
      <c r="B122" s="69" t="s">
        <v>86</v>
      </c>
      <c r="C122" s="125"/>
      <c r="D122" s="72">
        <f>(SUM($D$118:D118)*$C$109)</f>
        <v>1303645</v>
      </c>
      <c r="E122" s="72">
        <f>(SUM($D$118:E118)*$C$109)</f>
        <v>2607290</v>
      </c>
      <c r="F122" s="72">
        <f>(SUM($D$118:F118)*$C$109)</f>
        <v>3910935</v>
      </c>
      <c r="G122" s="72">
        <f>(SUM($D$118:G118)*$C$109)</f>
        <v>5214580</v>
      </c>
      <c r="H122" s="72">
        <f>(SUM($D$118:H118)*$C$109)</f>
        <v>6518225</v>
      </c>
      <c r="I122" s="72">
        <f>(SUM($D$118:I118)*$C$109)</f>
        <v>7821870.0000000009</v>
      </c>
      <c r="J122" s="72">
        <f>(SUM($D$118:J118)*$C$109)</f>
        <v>9125515</v>
      </c>
      <c r="K122" s="72">
        <f>(SUM($D$118:K118)*$C$109)</f>
        <v>10429160</v>
      </c>
      <c r="L122" s="72">
        <f>(SUM($D$118:L118)*$C$109)</f>
        <v>11732805</v>
      </c>
      <c r="M122" s="72">
        <f>(SUM($D$118:M118)*$C$109)</f>
        <v>13036449.999999998</v>
      </c>
      <c r="N122" s="72">
        <f>(SUM($D$118:N118)*$C$109)</f>
        <v>14340094.999999998</v>
      </c>
      <c r="O122" s="72">
        <f>(SUM($D$118:O118)*$C$109)</f>
        <v>15643739.999999998</v>
      </c>
      <c r="P122" s="72">
        <f>(SUM($D$118:P118)*$C$109)</f>
        <v>16947384.999999996</v>
      </c>
      <c r="Q122" s="72">
        <f>(SUM($D$118:Q118)*$C$109)</f>
        <v>18251029.999999996</v>
      </c>
      <c r="R122" s="72">
        <f>(SUM($D$118:R118)*$C$109)</f>
        <v>19554675</v>
      </c>
      <c r="S122" s="72">
        <f>(SUM($D$118:S118)*$C$109)</f>
        <v>20858320</v>
      </c>
      <c r="T122" s="72">
        <f>(SUM($D$118:T118)*$C$109)</f>
        <v>22161965</v>
      </c>
      <c r="U122" s="72">
        <f>(SUM($D$118:U118)*$C$109)</f>
        <v>23465610.000000004</v>
      </c>
      <c r="V122" s="72">
        <f>(SUM($D$118:V118)*$C$109)</f>
        <v>24769255.000000004</v>
      </c>
      <c r="W122" s="72">
        <f>(SUM($D$118:W118)*$C$109)</f>
        <v>26072900.000000004</v>
      </c>
      <c r="X122" s="72">
        <f>(SUM($D$118:X118)*$C$109)</f>
        <v>27376545.000000007</v>
      </c>
      <c r="Y122" s="72">
        <f>(SUM($D$118:Y118)*$C$109)</f>
        <v>28680190.000000007</v>
      </c>
      <c r="Z122" s="72">
        <f>(SUM($D$118:Z118)*$C$109)</f>
        <v>29983835.000000007</v>
      </c>
      <c r="AA122" s="72">
        <f>(SUM($D$118:AA118)*$C$109)</f>
        <v>31287480.000000011</v>
      </c>
      <c r="AB122" s="72">
        <f>(SUM($D$118:AB118)*$C$109)</f>
        <v>32591125.000000011</v>
      </c>
      <c r="AC122" s="72">
        <f>(SUM($D$118:AC118)*$C$109)</f>
        <v>33894770.000000007</v>
      </c>
      <c r="AD122" s="72">
        <f>(SUM($D$118:AD118)*$C$109)</f>
        <v>35198415.000000007</v>
      </c>
      <c r="AE122" s="72">
        <f>(SUM($D$118:AE118)*$C$109)</f>
        <v>36502060</v>
      </c>
      <c r="AF122" s="72">
        <f>(SUM($D$118:AF118)*$C$109)</f>
        <v>37805705</v>
      </c>
      <c r="AG122" s="72">
        <f>(SUM($D$118:AG118)*$C$109)</f>
        <v>39109350</v>
      </c>
    </row>
    <row r="123" spans="1:33" ht="16" thickBot="1" x14ac:dyDescent="0.4">
      <c r="A123" s="83"/>
      <c r="B123" s="83"/>
      <c r="C123" s="128"/>
      <c r="D123" s="129"/>
      <c r="E123" s="131"/>
      <c r="F123" s="131"/>
      <c r="G123" s="131"/>
      <c r="H123" s="131"/>
      <c r="I123" s="131"/>
      <c r="J123" s="131"/>
      <c r="K123" s="131"/>
      <c r="L123" s="131"/>
      <c r="M123" s="131"/>
      <c r="N123" s="131"/>
      <c r="O123" s="131"/>
      <c r="P123" s="131"/>
      <c r="Q123" s="131"/>
      <c r="R123" s="131"/>
      <c r="S123" s="131"/>
      <c r="T123" s="131"/>
      <c r="U123" s="131"/>
      <c r="V123" s="131"/>
      <c r="W123" s="131"/>
      <c r="X123" s="131"/>
      <c r="Y123" s="131"/>
      <c r="Z123" s="131"/>
      <c r="AA123" s="131"/>
      <c r="AB123" s="131"/>
      <c r="AC123" s="131"/>
      <c r="AD123" s="131"/>
      <c r="AE123" s="131"/>
      <c r="AF123" s="131"/>
      <c r="AG123" s="131"/>
    </row>
    <row r="124" spans="1:33" s="137" customFormat="1" x14ac:dyDescent="0.35">
      <c r="A124" s="80" t="s">
        <v>47</v>
      </c>
      <c r="B124" s="80"/>
      <c r="C124" s="132"/>
      <c r="D124" s="133"/>
      <c r="E124" s="134"/>
      <c r="F124" s="134"/>
      <c r="G124" s="134"/>
      <c r="H124" s="134"/>
      <c r="I124" s="134"/>
      <c r="J124" s="134"/>
      <c r="K124" s="134"/>
      <c r="L124" s="134"/>
      <c r="M124" s="134"/>
      <c r="N124" s="134"/>
      <c r="O124" s="134"/>
      <c r="P124" s="134"/>
      <c r="Q124" s="134"/>
      <c r="R124" s="134"/>
      <c r="S124" s="134"/>
      <c r="T124" s="134"/>
      <c r="U124" s="134"/>
      <c r="V124" s="134"/>
      <c r="W124" s="134"/>
      <c r="X124" s="134"/>
      <c r="Y124" s="134"/>
      <c r="Z124" s="134"/>
      <c r="AA124" s="134"/>
      <c r="AB124" s="134"/>
      <c r="AC124" s="134"/>
      <c r="AD124" s="134"/>
      <c r="AE124" s="134"/>
      <c r="AF124" s="134"/>
      <c r="AG124" s="134"/>
    </row>
    <row r="125" spans="1:33" s="73" customFormat="1" x14ac:dyDescent="0.35">
      <c r="A125" s="88"/>
      <c r="B125" s="88"/>
      <c r="C125" s="125"/>
      <c r="D125" s="72"/>
    </row>
    <row r="126" spans="1:33" s="73" customFormat="1" x14ac:dyDescent="0.35">
      <c r="A126" s="77" t="s">
        <v>151</v>
      </c>
      <c r="B126" s="77" t="s">
        <v>196</v>
      </c>
      <c r="C126" s="125">
        <v>22147</v>
      </c>
      <c r="D126" s="139"/>
    </row>
    <row r="127" spans="1:33" x14ac:dyDescent="0.35">
      <c r="A127" s="77" t="s">
        <v>150</v>
      </c>
      <c r="B127" s="77" t="s">
        <v>133</v>
      </c>
      <c r="C127" s="125">
        <v>15100</v>
      </c>
      <c r="D127" s="139"/>
      <c r="E127" s="73"/>
      <c r="F127" s="73"/>
      <c r="G127" s="73"/>
      <c r="H127" s="73"/>
      <c r="I127" s="73"/>
      <c r="J127" s="73"/>
      <c r="K127" s="73"/>
      <c r="L127" s="73"/>
      <c r="M127" s="73"/>
      <c r="N127" s="73"/>
      <c r="O127" s="73"/>
      <c r="P127" s="73"/>
      <c r="Q127" s="154"/>
      <c r="R127" s="73"/>
      <c r="S127" s="73"/>
      <c r="T127" s="73"/>
      <c r="U127" s="73"/>
      <c r="V127" s="73"/>
      <c r="W127" s="73"/>
      <c r="X127" s="73"/>
      <c r="Y127" s="73"/>
      <c r="Z127" s="73"/>
      <c r="AA127" s="73"/>
      <c r="AB127" s="73"/>
      <c r="AC127" s="73"/>
      <c r="AD127" s="73"/>
      <c r="AE127" s="73"/>
      <c r="AF127" s="73"/>
      <c r="AG127" s="73"/>
    </row>
    <row r="128" spans="1:33" x14ac:dyDescent="0.35">
      <c r="A128" s="77"/>
      <c r="B128" s="77"/>
      <c r="C128" s="125"/>
      <c r="D128" s="72"/>
      <c r="E128" s="73"/>
      <c r="F128" s="73"/>
      <c r="G128" s="73"/>
      <c r="H128" s="73"/>
      <c r="I128" s="73"/>
      <c r="J128" s="73"/>
      <c r="K128" s="73"/>
      <c r="L128" s="73"/>
      <c r="M128" s="73"/>
      <c r="N128" s="73"/>
      <c r="O128" s="73"/>
      <c r="P128" s="73"/>
      <c r="Q128" s="154"/>
      <c r="R128" s="73"/>
      <c r="S128" s="73"/>
      <c r="T128" s="73"/>
      <c r="U128" s="73"/>
      <c r="V128" s="73"/>
      <c r="W128" s="73"/>
      <c r="X128" s="73"/>
      <c r="Y128" s="73"/>
      <c r="Z128" s="73"/>
      <c r="AA128" s="73"/>
      <c r="AB128" s="73"/>
      <c r="AC128" s="73"/>
      <c r="AD128" s="73"/>
      <c r="AE128" s="73"/>
      <c r="AF128" s="73"/>
      <c r="AG128" s="73"/>
    </row>
    <row r="129" spans="1:33" x14ac:dyDescent="0.35">
      <c r="A129" s="77" t="s">
        <v>113</v>
      </c>
      <c r="B129" s="77" t="s">
        <v>86</v>
      </c>
      <c r="C129" s="125">
        <f>AVERAGE(C126:C127)</f>
        <v>18623.5</v>
      </c>
      <c r="D129" s="72"/>
      <c r="E129" s="73"/>
      <c r="F129" s="73"/>
      <c r="G129" s="73"/>
      <c r="H129" s="73"/>
      <c r="I129" s="73"/>
      <c r="J129" s="73"/>
      <c r="K129" s="73"/>
      <c r="L129" s="73"/>
      <c r="M129" s="73"/>
      <c r="N129" s="73"/>
      <c r="O129" s="73"/>
      <c r="P129" s="73"/>
      <c r="Q129" s="154"/>
      <c r="R129" s="73"/>
      <c r="S129" s="73"/>
      <c r="T129" s="73"/>
      <c r="U129" s="73"/>
      <c r="V129" s="73"/>
      <c r="W129" s="73"/>
      <c r="X129" s="73"/>
      <c r="Y129" s="73"/>
      <c r="Z129" s="73"/>
      <c r="AA129" s="73"/>
      <c r="AB129" s="73"/>
      <c r="AC129" s="73"/>
      <c r="AD129" s="73"/>
      <c r="AE129" s="73"/>
      <c r="AF129" s="73"/>
      <c r="AG129" s="73"/>
    </row>
    <row r="130" spans="1:33" x14ac:dyDescent="0.35">
      <c r="A130" s="77"/>
      <c r="B130" s="77"/>
      <c r="C130" s="125"/>
      <c r="D130" s="72"/>
      <c r="E130" s="73"/>
      <c r="F130" s="73"/>
      <c r="G130" s="73"/>
      <c r="H130" s="73"/>
      <c r="I130" s="73"/>
      <c r="J130" s="73"/>
      <c r="K130" s="73"/>
      <c r="L130" s="73"/>
      <c r="M130" s="73"/>
      <c r="N130" s="73"/>
      <c r="O130" s="73"/>
      <c r="P130" s="73"/>
      <c r="Q130" s="154"/>
      <c r="R130" s="73"/>
      <c r="S130" s="73"/>
      <c r="T130" s="73"/>
      <c r="U130" s="73"/>
      <c r="V130" s="73"/>
      <c r="W130" s="73"/>
      <c r="X130" s="73"/>
      <c r="Y130" s="73"/>
      <c r="Z130" s="73"/>
      <c r="AA130" s="73"/>
      <c r="AB130" s="73"/>
      <c r="AC130" s="73"/>
      <c r="AD130" s="73"/>
      <c r="AE130" s="73"/>
      <c r="AF130" s="73"/>
      <c r="AG130" s="73"/>
    </row>
    <row r="131" spans="1:33" x14ac:dyDescent="0.35">
      <c r="A131" s="77" t="s">
        <v>123</v>
      </c>
      <c r="B131" s="77" t="s">
        <v>122</v>
      </c>
      <c r="C131" s="125">
        <v>2.7</v>
      </c>
      <c r="D131" s="72"/>
      <c r="E131" s="73"/>
      <c r="F131" s="73"/>
      <c r="G131" s="73"/>
      <c r="H131" s="73"/>
      <c r="I131" s="73"/>
      <c r="J131" s="73"/>
      <c r="K131" s="73"/>
      <c r="L131" s="73"/>
      <c r="M131" s="73"/>
      <c r="N131" s="73"/>
      <c r="O131" s="73"/>
      <c r="P131" s="73"/>
      <c r="Q131" s="154"/>
      <c r="R131" s="73"/>
      <c r="S131" s="73"/>
      <c r="T131" s="73"/>
      <c r="U131" s="73"/>
      <c r="V131" s="73"/>
      <c r="W131" s="73"/>
      <c r="X131" s="73"/>
      <c r="Y131" s="73"/>
      <c r="Z131" s="73"/>
      <c r="AA131" s="73"/>
      <c r="AB131" s="73"/>
      <c r="AC131" s="73"/>
      <c r="AD131" s="73"/>
      <c r="AE131" s="73"/>
      <c r="AF131" s="73"/>
      <c r="AG131" s="73"/>
    </row>
    <row r="132" spans="1:33" x14ac:dyDescent="0.35">
      <c r="A132" s="77"/>
      <c r="B132" s="77"/>
      <c r="C132" s="125"/>
      <c r="D132" s="72"/>
      <c r="E132" s="73"/>
      <c r="F132" s="73"/>
      <c r="G132" s="73"/>
      <c r="H132" s="73"/>
      <c r="I132" s="73"/>
      <c r="J132" s="73"/>
      <c r="K132" s="73"/>
      <c r="L132" s="73"/>
      <c r="M132" s="73"/>
      <c r="N132" s="73"/>
      <c r="O132" s="73"/>
      <c r="P132" s="73"/>
      <c r="Q132" s="154"/>
      <c r="R132" s="73"/>
      <c r="S132" s="73"/>
      <c r="T132" s="73"/>
      <c r="U132" s="73"/>
      <c r="V132" s="73"/>
      <c r="W132" s="73"/>
      <c r="X132" s="73"/>
      <c r="Y132" s="73"/>
      <c r="Z132" s="73"/>
      <c r="AA132" s="73"/>
      <c r="AB132" s="73"/>
      <c r="AC132" s="73"/>
      <c r="AD132" s="73"/>
      <c r="AE132" s="73"/>
      <c r="AF132" s="73"/>
      <c r="AG132" s="73"/>
    </row>
    <row r="133" spans="1:33" x14ac:dyDescent="0.35">
      <c r="A133" s="77" t="s">
        <v>155</v>
      </c>
      <c r="B133" s="77" t="s">
        <v>156</v>
      </c>
      <c r="C133" s="143">
        <v>0.7</v>
      </c>
      <c r="D133" s="72"/>
      <c r="E133" s="73"/>
      <c r="F133" s="73"/>
      <c r="G133" s="73"/>
      <c r="H133" s="73"/>
      <c r="I133" s="73"/>
      <c r="J133" s="73"/>
      <c r="K133" s="73"/>
      <c r="L133" s="73"/>
      <c r="M133" s="73"/>
      <c r="N133" s="73"/>
      <c r="O133" s="73"/>
      <c r="P133" s="73"/>
      <c r="Q133" s="154"/>
      <c r="R133" s="73"/>
      <c r="S133" s="73"/>
      <c r="T133" s="73"/>
      <c r="U133" s="73"/>
      <c r="V133" s="73"/>
      <c r="W133" s="73"/>
      <c r="X133" s="73"/>
      <c r="Y133" s="73"/>
      <c r="Z133" s="73"/>
      <c r="AA133" s="73"/>
      <c r="AB133" s="73"/>
      <c r="AC133" s="73"/>
      <c r="AD133" s="73"/>
      <c r="AE133" s="73"/>
      <c r="AF133" s="73"/>
      <c r="AG133" s="73"/>
    </row>
    <row r="134" spans="1:33" x14ac:dyDescent="0.35">
      <c r="A134" s="77"/>
      <c r="B134" s="77"/>
      <c r="C134" s="125"/>
      <c r="D134" s="72"/>
      <c r="E134" s="73"/>
      <c r="F134" s="73"/>
      <c r="G134" s="73"/>
      <c r="H134" s="73"/>
      <c r="I134" s="73"/>
      <c r="J134" s="73"/>
      <c r="K134" s="73"/>
      <c r="L134" s="73"/>
      <c r="M134" s="73"/>
      <c r="N134" s="73"/>
      <c r="O134" s="73"/>
      <c r="P134" s="73"/>
      <c r="Q134" s="154"/>
      <c r="R134" s="73"/>
      <c r="S134" s="73"/>
      <c r="T134" s="73"/>
      <c r="U134" s="73"/>
      <c r="V134" s="73"/>
      <c r="W134" s="73"/>
      <c r="X134" s="73"/>
      <c r="Y134" s="73"/>
      <c r="Z134" s="73"/>
      <c r="AA134" s="73"/>
      <c r="AB134" s="73"/>
      <c r="AC134" s="73"/>
      <c r="AD134" s="73"/>
      <c r="AE134" s="73"/>
      <c r="AF134" s="73"/>
      <c r="AG134" s="73"/>
    </row>
    <row r="135" spans="1:33" ht="16" thickBot="1" x14ac:dyDescent="0.4">
      <c r="A135" s="79" t="s">
        <v>99</v>
      </c>
      <c r="B135" s="79" t="s">
        <v>86</v>
      </c>
      <c r="C135" s="155">
        <f>C129/C131</f>
        <v>6897.5925925925922</v>
      </c>
      <c r="D135" s="156">
        <f t="shared" ref="D135:AG135" si="14">$C$135*D13</f>
        <v>6918.2853703703695</v>
      </c>
      <c r="E135" s="156">
        <f t="shared" si="14"/>
        <v>6939.0402264814793</v>
      </c>
      <c r="F135" s="156">
        <f t="shared" si="14"/>
        <v>6959.8573471609234</v>
      </c>
      <c r="G135" s="156">
        <f t="shared" si="14"/>
        <v>6980.7369192024044</v>
      </c>
      <c r="H135" s="156">
        <f t="shared" si="14"/>
        <v>7001.6791299600118</v>
      </c>
      <c r="I135" s="156">
        <f t="shared" si="14"/>
        <v>7022.6841673498893</v>
      </c>
      <c r="J135" s="156">
        <f t="shared" si="14"/>
        <v>7043.7522198519391</v>
      </c>
      <c r="K135" s="156">
        <f t="shared" si="14"/>
        <v>7064.8834765114934</v>
      </c>
      <c r="L135" s="156">
        <f t="shared" si="14"/>
        <v>7086.0781269410272</v>
      </c>
      <c r="M135" s="156">
        <f t="shared" si="14"/>
        <v>7107.3363613218489</v>
      </c>
      <c r="N135" s="156">
        <f t="shared" si="14"/>
        <v>7128.6583704058148</v>
      </c>
      <c r="O135" s="156">
        <f t="shared" si="14"/>
        <v>7150.0443455170316</v>
      </c>
      <c r="P135" s="156">
        <f t="shared" si="14"/>
        <v>7171.4944785535818</v>
      </c>
      <c r="Q135" s="156">
        <f t="shared" si="14"/>
        <v>7193.0089619892406</v>
      </c>
      <c r="R135" s="156">
        <f t="shared" si="14"/>
        <v>7214.587988875207</v>
      </c>
      <c r="S135" s="156">
        <f t="shared" si="14"/>
        <v>7236.2317528418316</v>
      </c>
      <c r="T135" s="156">
        <f t="shared" si="14"/>
        <v>7257.9404481003567</v>
      </c>
      <c r="U135" s="156">
        <f t="shared" si="14"/>
        <v>7279.7142694446566</v>
      </c>
      <c r="V135" s="156">
        <f t="shared" si="14"/>
        <v>7301.5534122529907</v>
      </c>
      <c r="W135" s="156">
        <f t="shared" si="14"/>
        <v>7323.4580724897478</v>
      </c>
      <c r="X135" s="156">
        <f t="shared" si="14"/>
        <v>7345.4284467072166</v>
      </c>
      <c r="Y135" s="156">
        <f t="shared" si="14"/>
        <v>7367.4647320473368</v>
      </c>
      <c r="Z135" s="156">
        <f t="shared" si="14"/>
        <v>7389.5671262434771</v>
      </c>
      <c r="AA135" s="156">
        <f t="shared" si="14"/>
        <v>7411.7358276222067</v>
      </c>
      <c r="AB135" s="156">
        <f t="shared" si="14"/>
        <v>7433.9710351050726</v>
      </c>
      <c r="AC135" s="156">
        <f t="shared" si="14"/>
        <v>7456.2729482103859</v>
      </c>
      <c r="AD135" s="156">
        <f t="shared" si="14"/>
        <v>7478.6417670550181</v>
      </c>
      <c r="AE135" s="156">
        <f t="shared" si="14"/>
        <v>7501.0776923561816</v>
      </c>
      <c r="AF135" s="156">
        <f t="shared" si="14"/>
        <v>7523.5809254332489</v>
      </c>
      <c r="AG135" s="156">
        <f t="shared" si="14"/>
        <v>7546.151668209548</v>
      </c>
    </row>
    <row r="146" spans="4:33" x14ac:dyDescent="0.35">
      <c r="D146" s="157"/>
    </row>
    <row r="153" spans="4:33" x14ac:dyDescent="0.35">
      <c r="E153" s="158"/>
      <c r="F153" s="158"/>
      <c r="G153" s="158"/>
      <c r="H153" s="158"/>
      <c r="I153" s="158"/>
      <c r="J153" s="158"/>
      <c r="K153" s="158"/>
      <c r="L153" s="158"/>
      <c r="M153" s="158"/>
      <c r="N153" s="158"/>
      <c r="O153" s="158"/>
      <c r="P153" s="158"/>
      <c r="Q153" s="158"/>
      <c r="R153" s="158"/>
      <c r="S153" s="158"/>
      <c r="T153" s="158"/>
      <c r="U153" s="158"/>
      <c r="V153" s="158"/>
      <c r="W153" s="158"/>
      <c r="X153" s="158"/>
      <c r="Y153" s="158"/>
      <c r="Z153" s="158"/>
      <c r="AA153" s="158"/>
      <c r="AB153" s="158"/>
      <c r="AC153" s="158"/>
      <c r="AD153" s="158"/>
      <c r="AE153" s="158"/>
      <c r="AF153" s="158"/>
      <c r="AG153" s="158"/>
    </row>
    <row r="156" spans="4:33" x14ac:dyDescent="0.35">
      <c r="D156" s="159"/>
    </row>
    <row r="159" spans="4:33" x14ac:dyDescent="0.35">
      <c r="D159" s="160"/>
    </row>
    <row r="162" spans="4:33" x14ac:dyDescent="0.35">
      <c r="D162" s="157"/>
      <c r="E162" s="161"/>
      <c r="F162" s="161"/>
      <c r="G162" s="161"/>
      <c r="H162" s="161"/>
      <c r="I162" s="161"/>
      <c r="J162" s="161"/>
      <c r="K162" s="161"/>
      <c r="L162" s="161"/>
      <c r="M162" s="161"/>
      <c r="N162" s="161"/>
      <c r="O162" s="161"/>
      <c r="P162" s="161"/>
      <c r="Q162" s="161"/>
      <c r="R162" s="161"/>
      <c r="S162" s="161"/>
      <c r="T162" s="161"/>
      <c r="U162" s="161"/>
      <c r="V162" s="161"/>
      <c r="W162" s="161"/>
      <c r="X162" s="161"/>
      <c r="Y162" s="161"/>
      <c r="Z162" s="161"/>
      <c r="AA162" s="161"/>
      <c r="AB162" s="161"/>
      <c r="AC162" s="161"/>
      <c r="AD162" s="161"/>
      <c r="AE162" s="161"/>
      <c r="AF162" s="161"/>
      <c r="AG162" s="161"/>
    </row>
    <row r="163" spans="4:33" x14ac:dyDescent="0.35">
      <c r="D163" s="157"/>
    </row>
    <row r="166" spans="4:33" x14ac:dyDescent="0.35">
      <c r="M166" s="162"/>
    </row>
    <row r="174" spans="4:33" x14ac:dyDescent="0.35">
      <c r="D174" s="163"/>
    </row>
    <row r="175" spans="4:33" x14ac:dyDescent="0.35">
      <c r="D175" s="163"/>
    </row>
    <row r="176" spans="4:33" x14ac:dyDescent="0.35">
      <c r="D176" s="157"/>
    </row>
    <row r="177" spans="4:4" x14ac:dyDescent="0.35">
      <c r="D177" s="157"/>
    </row>
    <row r="179" spans="4:4" x14ac:dyDescent="0.35">
      <c r="D179" s="164"/>
    </row>
    <row r="180" spans="4:4" x14ac:dyDescent="0.35">
      <c r="D180" s="163"/>
    </row>
    <row r="181" spans="4:4" x14ac:dyDescent="0.35">
      <c r="D181" s="163"/>
    </row>
    <row r="186" spans="4:4" x14ac:dyDescent="0.35">
      <c r="D186" s="165"/>
    </row>
    <row r="195" spans="4:4" x14ac:dyDescent="0.35">
      <c r="D195" s="157"/>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Normal="100" workbookViewId="0">
      <pane xSplit="1" topLeftCell="B1" activePane="topRight" state="frozen"/>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105</v>
      </c>
      <c r="B4" s="35"/>
      <c r="C4" s="34"/>
      <c r="D4" s="53"/>
      <c r="E4" s="65">
        <v>0.75</v>
      </c>
      <c r="F4" s="65">
        <v>0.5</v>
      </c>
      <c r="G4" s="65">
        <v>0.4</v>
      </c>
      <c r="H4" s="65">
        <v>0.3</v>
      </c>
      <c r="I4" s="65">
        <v>0.25</v>
      </c>
      <c r="J4" s="65">
        <v>0.15</v>
      </c>
      <c r="K4" s="65">
        <v>0.12</v>
      </c>
      <c r="L4" s="65">
        <v>0.08</v>
      </c>
      <c r="M4" s="65">
        <v>0.08</v>
      </c>
      <c r="N4" s="65">
        <v>0.06</v>
      </c>
      <c r="O4" s="65">
        <v>0.06</v>
      </c>
      <c r="P4" s="65">
        <v>0.06</v>
      </c>
      <c r="Q4" s="65">
        <v>0.06</v>
      </c>
      <c r="R4" s="65">
        <v>0.06</v>
      </c>
      <c r="S4" s="65">
        <v>0.06</v>
      </c>
      <c r="T4" s="65">
        <v>0.05</v>
      </c>
      <c r="U4" s="65">
        <v>0.05</v>
      </c>
      <c r="V4" s="65">
        <v>0.05</v>
      </c>
      <c r="W4" s="65">
        <v>0.05</v>
      </c>
      <c r="X4" s="65">
        <v>0.05</v>
      </c>
      <c r="Y4" s="65">
        <v>0.05</v>
      </c>
      <c r="Z4" s="65">
        <v>0.05</v>
      </c>
      <c r="AA4" s="65">
        <v>0.05</v>
      </c>
      <c r="AB4" s="65">
        <v>0.05</v>
      </c>
      <c r="AC4" s="65">
        <v>0.05</v>
      </c>
      <c r="AD4" s="65">
        <v>0.04</v>
      </c>
      <c r="AE4" s="65">
        <v>0.04</v>
      </c>
      <c r="AF4" s="65">
        <v>0.04</v>
      </c>
      <c r="AG4" s="65">
        <v>0.04</v>
      </c>
      <c r="AH4" s="65">
        <v>3.5000000000000003E-2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39</v>
      </c>
      <c r="B6" s="68">
        <f ca="1">MAX(E6:AH6)</f>
        <v>2.4999215048061645</v>
      </c>
      <c r="C6" s="25"/>
      <c r="D6" s="25"/>
      <c r="E6" s="27">
        <f>'Debt worksheet'!C5/'Profit and Loss'!C5</f>
        <v>0</v>
      </c>
      <c r="F6" s="28">
        <f ca="1">'Debt worksheet'!D5/'Profit and Loss'!D5</f>
        <v>1.660433524550426</v>
      </c>
      <c r="G6" s="28">
        <f ca="1">'Debt worksheet'!E5/'Profit and Loss'!E5</f>
        <v>2.2780387923389847</v>
      </c>
      <c r="H6" s="28">
        <f ca="1">'Debt worksheet'!F5/'Profit and Loss'!F5</f>
        <v>2.4831754791988563</v>
      </c>
      <c r="I6" s="28">
        <f ca="1">'Debt worksheet'!G5/'Profit and Loss'!G5</f>
        <v>2.4746926837405345</v>
      </c>
      <c r="J6" s="28">
        <f ca="1">'Debt worksheet'!H5/'Profit and Loss'!H5</f>
        <v>2.4783710286542919</v>
      </c>
      <c r="K6" s="28">
        <f ca="1">'Debt worksheet'!I5/'Profit and Loss'!I5</f>
        <v>2.4563330190550245</v>
      </c>
      <c r="L6" s="28">
        <f ca="1">'Debt worksheet'!J5/'Profit and Loss'!J5</f>
        <v>2.4650824509760487</v>
      </c>
      <c r="M6" s="28">
        <f ca="1">'Debt worksheet'!K5/'Profit and Loss'!K5</f>
        <v>2.4519746896735191</v>
      </c>
      <c r="N6" s="28">
        <f ca="1">'Debt worksheet'!L5/'Profit and Loss'!L5</f>
        <v>2.4629078774644193</v>
      </c>
      <c r="O6" s="28">
        <f ca="1">'Debt worksheet'!M5/'Profit and Loss'!M5</f>
        <v>2.4698010528772678</v>
      </c>
      <c r="P6" s="28">
        <f ca="1">'Debt worksheet'!N5/'Profit and Loss'!N5</f>
        <v>2.4718035700942536</v>
      </c>
      <c r="Q6" s="28">
        <f ca="1">'Debt worksheet'!O5/'Profit and Loss'!O5</f>
        <v>2.4681573725609622</v>
      </c>
      <c r="R6" s="28">
        <f ca="1">'Debt worksheet'!P5/'Profit and Loss'!P5</f>
        <v>2.4581907859061709</v>
      </c>
      <c r="S6" s="28">
        <f ca="1">'Debt worksheet'!Q5/'Profit and Loss'!Q5</f>
        <v>2.4413126554810791</v>
      </c>
      <c r="T6" s="28">
        <f ca="1">'Debt worksheet'!R5/'Profit and Loss'!R5</f>
        <v>2.4400259236750839</v>
      </c>
      <c r="U6" s="28">
        <f ca="1">'Debt worksheet'!S5/'Profit and Loss'!S5</f>
        <v>2.4398395828526453</v>
      </c>
      <c r="V6" s="28">
        <f ca="1">'Debt worksheet'!T5/'Profit and Loss'!T5</f>
        <v>2.4400662410921168</v>
      </c>
      <c r="W6" s="28">
        <f ca="1">'Debt worksheet'!U5/'Profit and Loss'!U5</f>
        <v>2.4400634531011676</v>
      </c>
      <c r="X6" s="28">
        <f ca="1">'Debt worksheet'!V5/'Profit and Loss'!V5</f>
        <v>2.4392316531394669</v>
      </c>
      <c r="Y6" s="28">
        <f ca="1">'Debt worksheet'!W5/'Profit and Loss'!W5</f>
        <v>2.4370121699743619</v>
      </c>
      <c r="Z6" s="28">
        <f ca="1">'Debt worksheet'!X5/'Profit and Loss'!X5</f>
        <v>2.4328853208533476</v>
      </c>
      <c r="AA6" s="28">
        <f ca="1">'Debt worksheet'!Y5/'Profit and Loss'!Y5</f>
        <v>2.4263685815832123</v>
      </c>
      <c r="AB6" s="28">
        <f ca="1">'Debt worksheet'!Z5/'Profit and Loss'!Z5</f>
        <v>2.4170148299082399</v>
      </c>
      <c r="AC6" s="28">
        <f ca="1">'Debt worksheet'!AA5/'Profit and Loss'!AA5</f>
        <v>2.4044106594788044</v>
      </c>
      <c r="AD6" s="28">
        <f ca="1">'Debt worksheet'!AB5/'Profit and Loss'!AB5</f>
        <v>2.411137980660718</v>
      </c>
      <c r="AE6" s="28">
        <f ca="1">'Debt worksheet'!AC5/'Profit and Loss'!AC5</f>
        <v>2.4232651637569504</v>
      </c>
      <c r="AF6" s="28">
        <f ca="1">'Debt worksheet'!AD5/'Profit and Loss'!AD5</f>
        <v>2.4403707384181774</v>
      </c>
      <c r="AG6" s="28">
        <f ca="1">'Debt worksheet'!AE5/'Profit and Loss'!AE5</f>
        <v>2.4620476076408573</v>
      </c>
      <c r="AH6" s="28">
        <f ca="1">'Debt worksheet'!AF5/'Profit and Loss'!AF5</f>
        <v>2.4999215048061645</v>
      </c>
      <c r="AI6" s="31"/>
    </row>
    <row r="7" spans="1:35" ht="21" x14ac:dyDescent="0.5">
      <c r="A7" s="19" t="s">
        <v>38</v>
      </c>
      <c r="B7" s="26" t="e">
        <f ca="1">MIN('Price and Financial ratios'!E7:AH7)</f>
        <v>#DIV/0!</v>
      </c>
      <c r="C7" s="26"/>
      <c r="D7" s="26"/>
      <c r="E7" s="56" t="e">
        <f ca="1">'Cash Flow'!C7/'Debt worksheet'!C5</f>
        <v>#DIV/0!</v>
      </c>
      <c r="F7" s="32">
        <f ca="1">'Cash Flow'!D7/'Debt worksheet'!D5</f>
        <v>0.29816971083975419</v>
      </c>
      <c r="G7" s="32">
        <f ca="1">'Cash Flow'!E7/'Debt worksheet'!E5</f>
        <v>0.24767588670743163</v>
      </c>
      <c r="H7" s="32">
        <f ca="1">'Cash Flow'!F7/'Debt worksheet'!F5</f>
        <v>0.24568465753966781</v>
      </c>
      <c r="I7" s="32">
        <f ca="1">'Cash Flow'!G7/'Debt worksheet'!G5</f>
        <v>0.26157526656483127</v>
      </c>
      <c r="J7" s="32">
        <f ca="1">'Cash Flow'!H7/'Debt worksheet'!H5</f>
        <v>0.26587558721845578</v>
      </c>
      <c r="K7" s="32">
        <f ca="1">'Cash Flow'!I7/'Debt worksheet'!I5</f>
        <v>0.27086339506719825</v>
      </c>
      <c r="L7" s="32">
        <f ca="1">'Cash Flow'!J7/'Debt worksheet'!J5</f>
        <v>0.26844557614169551</v>
      </c>
      <c r="M7" s="17">
        <f ca="1">'Cash Flow'!K7/'Debt worksheet'!K5</f>
        <v>0.26925243426244871</v>
      </c>
      <c r="N7" s="17">
        <f ca="1">'Cash Flow'!L7/'Debt worksheet'!L5</f>
        <v>0.26532842860967903</v>
      </c>
      <c r="O7" s="17">
        <f ca="1">'Cash Flow'!M7/'Debt worksheet'!M5</f>
        <v>0.26229359246674411</v>
      </c>
      <c r="P7" s="17">
        <f ca="1">'Cash Flow'!N7/'Debt worksheet'!N5</f>
        <v>0.26020314621398505</v>
      </c>
      <c r="Q7" s="17">
        <f ca="1">'Cash Flow'!O7/'Debt worksheet'!O5</f>
        <v>0.25910990743061263</v>
      </c>
      <c r="R7" s="17">
        <f ca="1">'Cash Flow'!P7/'Debt worksheet'!P5</f>
        <v>0.25906948501714239</v>
      </c>
      <c r="S7" s="17">
        <f ca="1">'Cash Flow'!Q7/'Debt worksheet'!Q5</f>
        <v>0.260145317822633</v>
      </c>
      <c r="T7" s="17">
        <f ca="1">'Cash Flow'!R7/'Debt worksheet'!R5</f>
        <v>0.25836912812423929</v>
      </c>
      <c r="U7" s="17">
        <f ca="1">'Cash Flow'!S7/'Debt worksheet'!S5</f>
        <v>0.25668077612286178</v>
      </c>
      <c r="V7" s="17">
        <f ca="1">'Cash Flow'!T7/'Debt worksheet'!T5</f>
        <v>0.25515329289204947</v>
      </c>
      <c r="W7" s="17">
        <f ca="1">'Cash Flow'!U7/'Debt worksheet'!U5</f>
        <v>0.25385290478472</v>
      </c>
      <c r="X7" s="17">
        <f ca="1">'Cash Flow'!V7/'Debt worksheet'!V5</f>
        <v>0.25283987503836075</v>
      </c>
      <c r="Y7" s="17">
        <f ca="1">'Cash Flow'!W7/'Debt worksheet'!W5</f>
        <v>0.25216958659051764</v>
      </c>
      <c r="Z7" s="17">
        <f ca="1">'Cash Flow'!X7/'Debt worksheet'!X5</f>
        <v>0.25189379318122679</v>
      </c>
      <c r="AA7" s="17">
        <f ca="1">'Cash Flow'!Y7/'Debt worksheet'!Y5</f>
        <v>0.25206199054990536</v>
      </c>
      <c r="AB7" s="17">
        <f ca="1">'Cash Flow'!Z7/'Debt worksheet'!Z5</f>
        <v>0.25272288343561822</v>
      </c>
      <c r="AC7" s="17">
        <f ca="1">'Cash Flow'!AA7/'Debt worksheet'!AA5</f>
        <v>0.2539259466080232</v>
      </c>
      <c r="AD7" s="17">
        <f ca="1">'Cash Flow'!AB7/'Debt worksheet'!AB5</f>
        <v>0.25159055759652771</v>
      </c>
      <c r="AE7" s="17">
        <f ca="1">'Cash Flow'!AC7/'Debt worksheet'!AC5</f>
        <v>0.24874662913098117</v>
      </c>
      <c r="AF7" s="17">
        <f ca="1">'Cash Flow'!AD7/'Debt worksheet'!AD5</f>
        <v>0.24546530136576</v>
      </c>
      <c r="AG7" s="17">
        <f ca="1">'Cash Flow'!AE7/'Debt worksheet'!AE5</f>
        <v>0.24181774819115326</v>
      </c>
      <c r="AH7" s="17">
        <f ca="1">'Cash Flow'!AF7/'Debt worksheet'!AF5</f>
        <v>0.2358707702323313</v>
      </c>
      <c r="AI7" s="29"/>
    </row>
    <row r="8" spans="1:35" ht="21" x14ac:dyDescent="0.5">
      <c r="A8" s="19" t="s">
        <v>33</v>
      </c>
      <c r="B8" s="26">
        <f ca="1">MAX('Price and Financial ratios'!E8:AH8)</f>
        <v>0.45055318984664078</v>
      </c>
      <c r="C8" s="26"/>
      <c r="D8" s="175"/>
      <c r="E8" s="17">
        <f>'Balance Sheet'!B11/'Balance Sheet'!B8</f>
        <v>0</v>
      </c>
      <c r="F8" s="17">
        <f ca="1">'Balance Sheet'!C11/'Balance Sheet'!C8</f>
        <v>0.21354357530285872</v>
      </c>
      <c r="G8" s="17">
        <f ca="1">'Balance Sheet'!D11/'Balance Sheet'!D8</f>
        <v>0.34046141361677257</v>
      </c>
      <c r="H8" s="17">
        <f ca="1">'Balance Sheet'!E11/'Balance Sheet'!E8</f>
        <v>0.41085665357204532</v>
      </c>
      <c r="I8" s="17">
        <f ca="1">'Balance Sheet'!F11/'Balance Sheet'!F8</f>
        <v>0.44420679436050226</v>
      </c>
      <c r="J8" s="17">
        <f ca="1">'Balance Sheet'!G11/'Balance Sheet'!G8</f>
        <v>0.45055318984664078</v>
      </c>
      <c r="K8" s="17">
        <f ca="1">'Balance Sheet'!H11/'Balance Sheet'!H8</f>
        <v>0.44559603541769804</v>
      </c>
      <c r="L8" s="17">
        <f ca="1">'Balance Sheet'!I11/'Balance Sheet'!I8</f>
        <v>0.43437084615200278</v>
      </c>
      <c r="M8" s="17">
        <f ca="1">'Balance Sheet'!J11/'Balance Sheet'!J8</f>
        <v>0.42297343344077726</v>
      </c>
      <c r="N8" s="17">
        <f ca="1">'Balance Sheet'!K11/'Balance Sheet'!K8</f>
        <v>0.41091399633402109</v>
      </c>
      <c r="O8" s="17">
        <f ca="1">'Balance Sheet'!L11/'Balance Sheet'!L8</f>
        <v>0.40078009452713914</v>
      </c>
      <c r="P8" s="17">
        <f ca="1">'Balance Sheet'!M11/'Balance Sheet'!M8</f>
        <v>0.39201325788660685</v>
      </c>
      <c r="Q8" s="17">
        <f ca="1">'Balance Sheet'!N11/'Balance Sheet'!N8</f>
        <v>0.3841781640305636</v>
      </c>
      <c r="R8" s="17">
        <f ca="1">'Balance Sheet'!O11/'Balance Sheet'!O8</f>
        <v>0.37692636704701299</v>
      </c>
      <c r="S8" s="17">
        <f ca="1">'Balance Sheet'!P11/'Balance Sheet'!P8</f>
        <v>0.36997190904238364</v>
      </c>
      <c r="T8" s="17">
        <f ca="1">'Balance Sheet'!Q11/'Balance Sheet'!Q8</f>
        <v>0.36307449956657006</v>
      </c>
      <c r="U8" s="17">
        <f ca="1">'Balance Sheet'!R11/'Balance Sheet'!R8</f>
        <v>0.35740038567380855</v>
      </c>
      <c r="V8" s="17">
        <f ca="1">'Balance Sheet'!S11/'Balance Sheet'!S8</f>
        <v>0.35270504793326984</v>
      </c>
      <c r="W8" s="17">
        <f ca="1">'Balance Sheet'!T11/'Balance Sheet'!T8</f>
        <v>0.34878219369398505</v>
      </c>
      <c r="X8" s="17">
        <f ca="1">'Balance Sheet'!U11/'Balance Sheet'!U8</f>
        <v>0.3454553355716754</v>
      </c>
      <c r="Y8" s="17">
        <f ca="1">'Balance Sheet'!V11/'Balance Sheet'!V8</f>
        <v>0.34257144610836554</v>
      </c>
      <c r="Z8" s="17">
        <f ca="1">'Balance Sheet'!W11/'Balance Sheet'!W8</f>
        <v>0.33999611363331189</v>
      </c>
      <c r="AA8" s="17">
        <f ca="1">'Balance Sheet'!X11/'Balance Sheet'!X8</f>
        <v>0.33760979937865321</v>
      </c>
      <c r="AB8" s="17">
        <f ca="1">'Balance Sheet'!Y11/'Balance Sheet'!Y8</f>
        <v>0.33530491318572897</v>
      </c>
      <c r="AC8" s="17">
        <f ca="1">'Balance Sheet'!Z11/'Balance Sheet'!Z8</f>
        <v>0.33298350509609415</v>
      </c>
      <c r="AD8" s="17">
        <f ca="1">'Balance Sheet'!AA11/'Balance Sheet'!AA8</f>
        <v>0.33055542550220179</v>
      </c>
      <c r="AE8" s="17">
        <f ca="1">'Balance Sheet'!AB11/'Balance Sheet'!AB8</f>
        <v>0.32923465114142675</v>
      </c>
      <c r="AF8" s="17">
        <f ca="1">'Balance Sheet'!AC11/'Balance Sheet'!AC8</f>
        <v>0.32891535770226171</v>
      </c>
      <c r="AG8" s="17">
        <f ca="1">'Balance Sheet'!AD11/'Balance Sheet'!AD8</f>
        <v>0.32950360380099597</v>
      </c>
      <c r="AH8" s="17">
        <f ca="1">'Balance Sheet'!AE11/'Balance Sheet'!AE8</f>
        <v>0.33091550403312597</v>
      </c>
      <c r="AI8" s="29"/>
    </row>
    <row r="9" spans="1:35" ht="21.5" thickBot="1" x14ac:dyDescent="0.55000000000000004">
      <c r="A9" s="20" t="s">
        <v>32</v>
      </c>
      <c r="B9" s="21">
        <f ca="1">MIN('Price and Financial ratios'!E9:AH9)</f>
        <v>5.4220829927736691</v>
      </c>
      <c r="C9" s="21"/>
      <c r="D9" s="176"/>
      <c r="E9" s="21">
        <f ca="1">('Cash Flow'!C7+'Profit and Loss'!C8)/('Profit and Loss'!C8)</f>
        <v>5.6646621898907954</v>
      </c>
      <c r="F9" s="21">
        <f ca="1">('Cash Flow'!D7+'Profit and Loss'!D8)/('Profit and Loss'!D8)</f>
        <v>5.4220829927736691</v>
      </c>
      <c r="G9" s="21">
        <f ca="1">('Cash Flow'!E7+'Profit and Loss'!E8)/('Profit and Loss'!E8)</f>
        <v>5.9788048175791291</v>
      </c>
      <c r="H9" s="21">
        <f ca="1">('Cash Flow'!F7+'Profit and Loss'!F8)/('Profit and Loss'!F8)</f>
        <v>6.6180446036710494</v>
      </c>
      <c r="I9" s="21">
        <f ca="1">('Cash Flow'!G7+'Profit and Loss'!G8)/('Profit and Loss'!G8)</f>
        <v>7.4697099307473351</v>
      </c>
      <c r="J9" s="21">
        <f ca="1">('Cash Flow'!H7+'Profit and Loss'!H8)/('Profit and Loss'!H8)</f>
        <v>7.8229240907275495</v>
      </c>
      <c r="K9" s="21">
        <f ca="1">('Cash Flow'!I7+'Profit and Loss'!I8)/('Profit and Loss'!I8)</f>
        <v>8.1189080116079797</v>
      </c>
      <c r="L9" s="21">
        <f ca="1">('Cash Flow'!J7+'Profit and Loss'!J8)/('Profit and Loss'!J8)</f>
        <v>8.11834422541728</v>
      </c>
      <c r="M9" s="21">
        <f ca="1">('Cash Flow'!K7+'Profit and Loss'!K8)/('Profit and Loss'!K8)</f>
        <v>8.2036501161540762</v>
      </c>
      <c r="N9" s="21">
        <f ca="1">('Cash Flow'!L7+'Profit and Loss'!L8)/('Profit and Loss'!L8)</f>
        <v>8.1104181039134939</v>
      </c>
      <c r="O9" s="21">
        <f ca="1">('Cash Flow'!M7+'Profit and Loss'!M8)/('Profit and Loss'!M8)</f>
        <v>8.0430513539076074</v>
      </c>
      <c r="P9" s="21">
        <f ca="1">('Cash Flow'!N7+'Profit and Loss'!N8)/('Profit and Loss'!N8)</f>
        <v>8.0029142525251018</v>
      </c>
      <c r="Q9" s="21">
        <f ca="1">('Cash Flow'!O7+'Profit and Loss'!O8)/('Profit and Loss'!O8)</f>
        <v>7.9914368205904376</v>
      </c>
      <c r="R9" s="21">
        <f ca="1">('Cash Flow'!P7+'Profit and Loss'!P8)/('Profit and Loss'!P8)</f>
        <v>8.0102515672916947</v>
      </c>
      <c r="S9" s="21">
        <f ca="1">('Cash Flow'!Q7+'Profit and Loss'!Q8)/('Profit and Loss'!Q8)</f>
        <v>8.0613331099095262</v>
      </c>
      <c r="T9" s="21">
        <f ca="1">('Cash Flow'!R7+'Profit and Loss'!R8)/('Profit and Loss'!R8)</f>
        <v>8.0099595326259507</v>
      </c>
      <c r="U9" s="21">
        <f ca="1">('Cash Flow'!S7+'Profit and Loss'!S8)/('Profit and Loss'!S8)</f>
        <v>7.9629732026887501</v>
      </c>
      <c r="V9" s="21">
        <f ca="1">('Cash Flow'!T7+'Profit and Loss'!T8)/('Profit and Loss'!T8)</f>
        <v>7.9221881139582599</v>
      </c>
      <c r="W9" s="21">
        <f ca="1">('Cash Flow'!U7+'Profit and Loss'!U8)/('Profit and Loss'!U8)</f>
        <v>7.8892498263434971</v>
      </c>
      <c r="X9" s="21">
        <f ca="1">('Cash Flow'!V7+'Profit and Loss'!V8)/('Profit and Loss'!V8)</f>
        <v>7.8656654876574592</v>
      </c>
      <c r="Y9" s="21">
        <f ca="1">('Cash Flow'!W7+'Profit and Loss'!W8)/('Profit and Loss'!W8)</f>
        <v>7.8528383892498139</v>
      </c>
      <c r="Z9" s="21">
        <f ca="1">('Cash Flow'!X7+'Profit and Loss'!X8)/('Profit and Loss'!X8)</f>
        <v>7.8521057067906694</v>
      </c>
      <c r="AA9" s="21">
        <f ca="1">('Cash Flow'!Y7+'Profit and Loss'!Y8)/('Profit and Loss'!Y8)</f>
        <v>7.8647787378373</v>
      </c>
      <c r="AB9" s="21">
        <f ca="1">('Cash Flow'!Z7+'Profit and Loss'!Z8)/('Profit and Loss'!Z8)</f>
        <v>7.8921855668796903</v>
      </c>
      <c r="AC9" s="21">
        <f ca="1">('Cash Flow'!AA7+'Profit and Loss'!AA8)/('Profit and Loss'!AA8)</f>
        <v>7.9357166765383473</v>
      </c>
      <c r="AD9" s="21">
        <f ca="1">('Cash Flow'!AB7+'Profit and Loss'!AB8)/('Profit and Loss'!AB8)</f>
        <v>7.8566683897177532</v>
      </c>
      <c r="AE9" s="21">
        <f ca="1">('Cash Flow'!AC7+'Profit and Loss'!AC8)/('Profit and Loss'!AC8)</f>
        <v>7.7655018579099604</v>
      </c>
      <c r="AF9" s="21">
        <f ca="1">('Cash Flow'!AD7+'Profit and Loss'!AD8)/('Profit and Loss'!AD8)</f>
        <v>7.6641866966409662</v>
      </c>
      <c r="AG9" s="21">
        <f ca="1">('Cash Flow'!AE7+'Profit and Loss'!AE8)/('Profit and Loss'!AE8)</f>
        <v>7.5546411408071954</v>
      </c>
      <c r="AH9" s="21">
        <f ca="1">('Cash Flow'!AF7+'Profit and Loss'!AF8)/('Profit and Loss'!AF8)</f>
        <v>7.3723975624662073</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workbookViewId="0">
      <selection sqref="A1:XFD1048576"/>
    </sheetView>
  </sheetViews>
  <sheetFormatPr defaultRowHeight="15.5" x14ac:dyDescent="0.35"/>
  <cols>
    <col min="1" max="16384" width="8.6640625" style="173"/>
  </cols>
  <sheetData>
    <row r="1" spans="1:1" x14ac:dyDescent="0.35">
      <c r="A1" s="174"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161</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72</v>
      </c>
      <c r="C5" s="1">
        <f>Assumptions!D111</f>
        <v>7280390.0389091931</v>
      </c>
      <c r="D5" s="1">
        <f>Assumptions!E111</f>
        <v>7280390.0389091931</v>
      </c>
      <c r="E5" s="1">
        <f>Assumptions!F111</f>
        <v>7280390.0389091931</v>
      </c>
      <c r="F5" s="1">
        <f>Assumptions!G111</f>
        <v>7280390.0389091931</v>
      </c>
      <c r="G5" s="1">
        <f>Assumptions!H111</f>
        <v>7280390.0389091931</v>
      </c>
      <c r="H5" s="1">
        <f>Assumptions!I111</f>
        <v>7280390.0389091931</v>
      </c>
      <c r="I5" s="1">
        <f>Assumptions!J111</f>
        <v>7280390.0389091931</v>
      </c>
      <c r="J5" s="1">
        <f>Assumptions!K111</f>
        <v>7280390.0389091931</v>
      </c>
      <c r="K5" s="1">
        <f>Assumptions!L111</f>
        <v>7280390.0389091931</v>
      </c>
      <c r="L5" s="1">
        <f>Assumptions!M111</f>
        <v>7280390.0389091931</v>
      </c>
      <c r="M5" s="1">
        <f>Assumptions!N111</f>
        <v>7280390.0389091931</v>
      </c>
      <c r="N5" s="1">
        <f>Assumptions!O111</f>
        <v>7280390.0389091931</v>
      </c>
      <c r="O5" s="1">
        <f>Assumptions!P111</f>
        <v>7280390.0389091931</v>
      </c>
      <c r="P5" s="1">
        <f>Assumptions!Q111</f>
        <v>7280390.0389091931</v>
      </c>
      <c r="Q5" s="1">
        <f>Assumptions!R111</f>
        <v>7280390.0389091931</v>
      </c>
      <c r="R5" s="1">
        <f>Assumptions!S111</f>
        <v>7280390.0389091931</v>
      </c>
      <c r="S5" s="1">
        <f>Assumptions!T111</f>
        <v>7280390.0389091931</v>
      </c>
      <c r="T5" s="1">
        <f>Assumptions!U111</f>
        <v>7280390.0389091931</v>
      </c>
      <c r="U5" s="1">
        <f>Assumptions!V111</f>
        <v>7280390.0389091931</v>
      </c>
      <c r="V5" s="1">
        <f>Assumptions!W111</f>
        <v>7280390.0389091931</v>
      </c>
      <c r="W5" s="1">
        <f>Assumptions!X111</f>
        <v>7280390.0389091931</v>
      </c>
      <c r="X5" s="1">
        <f>Assumptions!Y111</f>
        <v>7280390.0389091931</v>
      </c>
      <c r="Y5" s="1">
        <f>Assumptions!Z111</f>
        <v>7280390.0389091931</v>
      </c>
      <c r="Z5" s="1">
        <f>Assumptions!AA111</f>
        <v>7280390.0389091931</v>
      </c>
      <c r="AA5" s="1">
        <f>Assumptions!AB111</f>
        <v>7280390.0389091931</v>
      </c>
      <c r="AB5" s="1">
        <f>Assumptions!AC111</f>
        <v>7280390.0389091931</v>
      </c>
      <c r="AC5" s="1">
        <f>Assumptions!AD111</f>
        <v>7280390.0389091931</v>
      </c>
      <c r="AD5" s="1">
        <f>Assumptions!AE111</f>
        <v>7280390.0389091931</v>
      </c>
      <c r="AE5" s="1">
        <f>Assumptions!AF111</f>
        <v>7280390.0389091931</v>
      </c>
      <c r="AF5" s="1">
        <f>Assumptions!AG111</f>
        <v>7280390.0389091931</v>
      </c>
    </row>
    <row r="6" spans="1:32" x14ac:dyDescent="0.35">
      <c r="A6" t="s">
        <v>68</v>
      </c>
      <c r="C6" s="1">
        <f>Assumptions!D113</f>
        <v>43454833.333333336</v>
      </c>
      <c r="D6" s="1">
        <f>Assumptions!E113</f>
        <v>43454833.333333336</v>
      </c>
      <c r="E6" s="1">
        <f>Assumptions!F113</f>
        <v>43454833.333333336</v>
      </c>
      <c r="F6" s="1">
        <f>Assumptions!G113</f>
        <v>43454833.333333336</v>
      </c>
      <c r="G6" s="1">
        <f>Assumptions!H113</f>
        <v>43454833.333333336</v>
      </c>
      <c r="H6" s="1">
        <f>Assumptions!I113</f>
        <v>43454833.333333336</v>
      </c>
      <c r="I6" s="1">
        <f>Assumptions!J113</f>
        <v>43454833.333333336</v>
      </c>
      <c r="J6" s="1">
        <f>Assumptions!K113</f>
        <v>43454833.333333336</v>
      </c>
      <c r="K6" s="1">
        <f>Assumptions!L113</f>
        <v>43454833.333333336</v>
      </c>
      <c r="L6" s="1">
        <f>Assumptions!M113</f>
        <v>43454833.333333336</v>
      </c>
      <c r="M6" s="1">
        <f>Assumptions!N113</f>
        <v>43454833.333333336</v>
      </c>
      <c r="N6" s="1">
        <f>Assumptions!O113</f>
        <v>43454833.333333336</v>
      </c>
      <c r="O6" s="1">
        <f>Assumptions!P113</f>
        <v>43454833.333333336</v>
      </c>
      <c r="P6" s="1">
        <f>Assumptions!Q113</f>
        <v>43454833.333333336</v>
      </c>
      <c r="Q6" s="1">
        <f>Assumptions!R113</f>
        <v>43454833.333333336</v>
      </c>
      <c r="R6" s="1">
        <f>Assumptions!S113</f>
        <v>43454833.333333336</v>
      </c>
      <c r="S6" s="1">
        <f>Assumptions!T113</f>
        <v>43454833.333333336</v>
      </c>
      <c r="T6" s="1">
        <f>Assumptions!U113</f>
        <v>43454833.333333336</v>
      </c>
      <c r="U6" s="1">
        <f>Assumptions!V113</f>
        <v>43454833.333333336</v>
      </c>
      <c r="V6" s="1">
        <f>Assumptions!W113</f>
        <v>43454833.333333336</v>
      </c>
      <c r="W6" s="1">
        <f>Assumptions!X113</f>
        <v>43454833.333333336</v>
      </c>
      <c r="X6" s="1">
        <f>Assumptions!Y113</f>
        <v>43454833.333333336</v>
      </c>
      <c r="Y6" s="1">
        <f>Assumptions!Z113</f>
        <v>43454833.333333336</v>
      </c>
      <c r="Z6" s="1">
        <f>Assumptions!AA113</f>
        <v>43454833.333333336</v>
      </c>
      <c r="AA6" s="1">
        <f>Assumptions!AB113</f>
        <v>43454833.333333336</v>
      </c>
      <c r="AB6" s="1">
        <f>Assumptions!AC113</f>
        <v>43454833.333333336</v>
      </c>
      <c r="AC6" s="1">
        <f>Assumptions!AD113</f>
        <v>43454833.333333336</v>
      </c>
      <c r="AD6" s="1">
        <f>Assumptions!AE113</f>
        <v>43454833.333333336</v>
      </c>
      <c r="AE6" s="1">
        <f>Assumptions!AF113</f>
        <v>43454833.333333336</v>
      </c>
      <c r="AF6" s="1">
        <f>Assumptions!AG113</f>
        <v>43454833.333333336</v>
      </c>
    </row>
    <row r="7" spans="1:32" x14ac:dyDescent="0.35">
      <c r="A7" t="s">
        <v>73</v>
      </c>
      <c r="C7" s="1">
        <f>Assumptions!D120</f>
        <v>1042916</v>
      </c>
      <c r="D7" s="1">
        <f>Assumptions!E120</f>
        <v>2085832</v>
      </c>
      <c r="E7" s="1">
        <f>Assumptions!F120</f>
        <v>3128748</v>
      </c>
      <c r="F7" s="1">
        <f>Assumptions!G120</f>
        <v>4171664</v>
      </c>
      <c r="G7" s="1">
        <f>Assumptions!H120</f>
        <v>5214580</v>
      </c>
      <c r="H7" s="1">
        <f>Assumptions!I120</f>
        <v>6257496</v>
      </c>
      <c r="I7" s="1">
        <f>Assumptions!J120</f>
        <v>7300412.0000000019</v>
      </c>
      <c r="J7" s="1">
        <f>Assumptions!K120</f>
        <v>8343328</v>
      </c>
      <c r="K7" s="1">
        <f>Assumptions!L120</f>
        <v>9386244</v>
      </c>
      <c r="L7" s="1">
        <f>Assumptions!M120</f>
        <v>10429160</v>
      </c>
      <c r="M7" s="1">
        <f>Assumptions!N120</f>
        <v>11472075.999999998</v>
      </c>
      <c r="N7" s="1">
        <f>Assumptions!O120</f>
        <v>12514991.999999998</v>
      </c>
      <c r="O7" s="1">
        <f>Assumptions!P120</f>
        <v>13557907.999999996</v>
      </c>
      <c r="P7" s="1">
        <f>Assumptions!Q120</f>
        <v>14600823.999999998</v>
      </c>
      <c r="Q7" s="1">
        <f>Assumptions!R120</f>
        <v>15643740</v>
      </c>
      <c r="R7" s="1">
        <f>Assumptions!S120</f>
        <v>16686656</v>
      </c>
      <c r="S7" s="1">
        <f>Assumptions!T120</f>
        <v>17729572.000000004</v>
      </c>
      <c r="T7" s="1">
        <f>Assumptions!U120</f>
        <v>18772488.000000004</v>
      </c>
      <c r="U7" s="1">
        <f>Assumptions!V120</f>
        <v>19815404.000000004</v>
      </c>
      <c r="V7" s="1">
        <f>Assumptions!W120</f>
        <v>20858320.000000004</v>
      </c>
      <c r="W7" s="1">
        <f>Assumptions!X120</f>
        <v>21901236.000000004</v>
      </c>
      <c r="X7" s="1">
        <f>Assumptions!Y120</f>
        <v>22944152.000000007</v>
      </c>
      <c r="Y7" s="1">
        <f>Assumptions!Z120</f>
        <v>23987068.000000004</v>
      </c>
      <c r="Z7" s="1">
        <f>Assumptions!AA120</f>
        <v>25029984.000000007</v>
      </c>
      <c r="AA7" s="1">
        <f>Assumptions!AB120</f>
        <v>26072900.000000011</v>
      </c>
      <c r="AB7" s="1">
        <f>Assumptions!AC120</f>
        <v>27115816.000000004</v>
      </c>
      <c r="AC7" s="1">
        <f>Assumptions!AD120</f>
        <v>28158732.000000004</v>
      </c>
      <c r="AD7" s="1">
        <f>Assumptions!AE120</f>
        <v>29201648.000000007</v>
      </c>
      <c r="AE7" s="1">
        <f>Assumptions!AF120</f>
        <v>30244564</v>
      </c>
      <c r="AF7" s="1">
        <f>Assumptions!AG120</f>
        <v>31287480</v>
      </c>
    </row>
    <row r="9" spans="1:32" x14ac:dyDescent="0.35">
      <c r="A9" t="s">
        <v>92</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70</v>
      </c>
      <c r="C11" s="1">
        <f>C5*C$9</f>
        <v>7513362.5201542871</v>
      </c>
      <c r="D11" s="1">
        <f>D5*D$9</f>
        <v>7753790.1207992239</v>
      </c>
      <c r="E11" s="1">
        <f t="shared" ref="D11:AF13" si="1">E5*E$9</f>
        <v>8001911.4046647986</v>
      </c>
      <c r="F11" s="1">
        <f t="shared" si="1"/>
        <v>8257972.5696140723</v>
      </c>
      <c r="G11" s="1">
        <f t="shared" si="1"/>
        <v>8522227.6918417234</v>
      </c>
      <c r="H11" s="1">
        <f t="shared" si="1"/>
        <v>8794938.9779806584</v>
      </c>
      <c r="I11" s="1">
        <f t="shared" si="1"/>
        <v>9076377.0252760369</v>
      </c>
      <c r="J11" s="1">
        <f t="shared" si="1"/>
        <v>9366821.0900848731</v>
      </c>
      <c r="K11" s="1">
        <f t="shared" si="1"/>
        <v>9666559.3649675883</v>
      </c>
      <c r="L11" s="1">
        <f t="shared" si="1"/>
        <v>9975889.2646465506</v>
      </c>
      <c r="M11" s="1">
        <f t="shared" si="1"/>
        <v>10295117.721115241</v>
      </c>
      <c r="N11" s="1">
        <f t="shared" si="1"/>
        <v>10624561.488190928</v>
      </c>
      <c r="O11" s="1">
        <f t="shared" si="1"/>
        <v>10964547.455813039</v>
      </c>
      <c r="P11" s="1">
        <f t="shared" si="1"/>
        <v>11315412.974399054</v>
      </c>
      <c r="Q11" s="1">
        <f t="shared" si="1"/>
        <v>11677506.189579822</v>
      </c>
      <c r="R11" s="1">
        <f t="shared" si="1"/>
        <v>12051186.387646379</v>
      </c>
      <c r="S11" s="1">
        <f t="shared" si="1"/>
        <v>12436824.352051064</v>
      </c>
      <c r="T11" s="1">
        <f t="shared" si="1"/>
        <v>12834802.731316697</v>
      </c>
      <c r="U11" s="1">
        <f t="shared" si="1"/>
        <v>13245516.41871883</v>
      </c>
      <c r="V11" s="1">
        <f t="shared" si="1"/>
        <v>13669372.944117833</v>
      </c>
      <c r="W11" s="1">
        <f t="shared" si="1"/>
        <v>14106792.878329607</v>
      </c>
      <c r="X11" s="1">
        <f t="shared" si="1"/>
        <v>14558210.250436151</v>
      </c>
      <c r="Y11" s="1">
        <f t="shared" si="1"/>
        <v>15024072.978450106</v>
      </c>
      <c r="Z11" s="1">
        <f t="shared" si="1"/>
        <v>15504843.31376051</v>
      </c>
      <c r="AA11" s="1">
        <f t="shared" si="1"/>
        <v>16000998.29980085</v>
      </c>
      <c r="AB11" s="1">
        <f t="shared" si="1"/>
        <v>16513030.245394474</v>
      </c>
      <c r="AC11" s="1">
        <f t="shared" si="1"/>
        <v>17041447.213247094</v>
      </c>
      <c r="AD11" s="1">
        <f t="shared" si="1"/>
        <v>17586773.524071004</v>
      </c>
      <c r="AE11" s="1">
        <f t="shared" si="1"/>
        <v>18149550.276841279</v>
      </c>
      <c r="AF11" s="1">
        <f t="shared" si="1"/>
        <v>18730335.885700196</v>
      </c>
    </row>
    <row r="12" spans="1:32" x14ac:dyDescent="0.35">
      <c r="A12" t="s">
        <v>71</v>
      </c>
      <c r="C12" s="1">
        <f t="shared" ref="C12:R12" si="2">C6*C$9</f>
        <v>44845388.000000007</v>
      </c>
      <c r="D12" s="1">
        <f t="shared" si="2"/>
        <v>46280440.416000001</v>
      </c>
      <c r="E12" s="1">
        <f t="shared" si="2"/>
        <v>47761414.509311996</v>
      </c>
      <c r="F12" s="1">
        <f t="shared" si="2"/>
        <v>49289779.773609981</v>
      </c>
      <c r="G12" s="1">
        <f t="shared" si="2"/>
        <v>50867052.726365507</v>
      </c>
      <c r="H12" s="1">
        <f t="shared" si="2"/>
        <v>52494798.413609199</v>
      </c>
      <c r="I12" s="1">
        <f t="shared" si="2"/>
        <v>54174631.962844685</v>
      </c>
      <c r="J12" s="1">
        <f t="shared" si="2"/>
        <v>55908220.185655721</v>
      </c>
      <c r="K12" s="1">
        <f t="shared" si="2"/>
        <v>57697283.231596708</v>
      </c>
      <c r="L12" s="1">
        <f t="shared" si="2"/>
        <v>59543596.295007795</v>
      </c>
      <c r="M12" s="1">
        <f t="shared" si="2"/>
        <v>61448991.376448043</v>
      </c>
      <c r="N12" s="1">
        <f t="shared" si="2"/>
        <v>63415359.100494385</v>
      </c>
      <c r="O12" s="1">
        <f t="shared" si="2"/>
        <v>65444650.59171021</v>
      </c>
      <c r="P12" s="1">
        <f t="shared" si="2"/>
        <v>67538879.410644934</v>
      </c>
      <c r="Q12" s="1">
        <f t="shared" si="2"/>
        <v>69700123.551785558</v>
      </c>
      <c r="R12" s="1">
        <f t="shared" si="2"/>
        <v>71930527.505442709</v>
      </c>
      <c r="S12" s="1">
        <f t="shared" si="1"/>
        <v>74232304.385616884</v>
      </c>
      <c r="T12" s="1">
        <f t="shared" si="1"/>
        <v>76607738.12595661</v>
      </c>
      <c r="U12" s="1">
        <f t="shared" si="1"/>
        <v>79059185.745987207</v>
      </c>
      <c r="V12" s="1">
        <f t="shared" si="1"/>
        <v>81589079.689858809</v>
      </c>
      <c r="W12" s="1">
        <f t="shared" si="1"/>
        <v>84199930.23993431</v>
      </c>
      <c r="X12" s="1">
        <f t="shared" si="1"/>
        <v>86894328.007612199</v>
      </c>
      <c r="Y12" s="1">
        <f t="shared" si="1"/>
        <v>89674946.503855765</v>
      </c>
      <c r="Z12" s="1">
        <f t="shared" si="1"/>
        <v>92544544.791979164</v>
      </c>
      <c r="AA12" s="1">
        <f t="shared" si="1"/>
        <v>95505970.225322515</v>
      </c>
      <c r="AB12" s="1">
        <f t="shared" si="1"/>
        <v>98562161.272532821</v>
      </c>
      <c r="AC12" s="1">
        <f t="shared" si="1"/>
        <v>101716150.43325385</v>
      </c>
      <c r="AD12" s="1">
        <f t="shared" si="1"/>
        <v>104971067.247118</v>
      </c>
      <c r="AE12" s="1">
        <f t="shared" si="1"/>
        <v>108330141.39902577</v>
      </c>
      <c r="AF12" s="1">
        <f t="shared" si="1"/>
        <v>111796705.92379458</v>
      </c>
    </row>
    <row r="13" spans="1:32" x14ac:dyDescent="0.35">
      <c r="A13" t="s">
        <v>74</v>
      </c>
      <c r="C13" s="1">
        <f>C7*C$9</f>
        <v>1076289.3119999999</v>
      </c>
      <c r="D13" s="1">
        <f t="shared" si="1"/>
        <v>2221461.1399679999</v>
      </c>
      <c r="E13" s="1">
        <f t="shared" si="1"/>
        <v>3438821.8446704638</v>
      </c>
      <c r="F13" s="1">
        <f t="shared" si="1"/>
        <v>4731818.8582665585</v>
      </c>
      <c r="G13" s="1">
        <f t="shared" si="1"/>
        <v>6104046.3271638602</v>
      </c>
      <c r="H13" s="1">
        <f t="shared" si="1"/>
        <v>7559250.9715597238</v>
      </c>
      <c r="I13" s="1">
        <f t="shared" si="1"/>
        <v>9101338.1697579082</v>
      </c>
      <c r="J13" s="1">
        <f t="shared" si="1"/>
        <v>10734378.275645899</v>
      </c>
      <c r="K13" s="1">
        <f t="shared" si="1"/>
        <v>12462613.178024888</v>
      </c>
      <c r="L13" s="1">
        <f t="shared" si="1"/>
        <v>14290463.11080187</v>
      </c>
      <c r="M13" s="1">
        <f t="shared" si="1"/>
        <v>16222533.723382281</v>
      </c>
      <c r="N13" s="1">
        <f t="shared" si="1"/>
        <v>18263623.420942381</v>
      </c>
      <c r="O13" s="1">
        <f t="shared" si="1"/>
        <v>20418730.984613579</v>
      </c>
      <c r="P13" s="1">
        <f t="shared" si="1"/>
        <v>22693063.481976692</v>
      </c>
      <c r="Q13" s="1">
        <f t="shared" si="1"/>
        <v>25092044.478642799</v>
      </c>
      <c r="R13" s="1">
        <f t="shared" si="1"/>
        <v>27621322.562089998</v>
      </c>
      <c r="S13" s="1">
        <f t="shared" si="1"/>
        <v>30286780.189331692</v>
      </c>
      <c r="T13" s="1">
        <f t="shared" si="1"/>
        <v>33094542.870413259</v>
      </c>
      <c r="U13" s="1">
        <f t="shared" si="1"/>
        <v>36050988.700170174</v>
      </c>
      <c r="V13" s="1">
        <f t="shared" si="1"/>
        <v>39162758.251132235</v>
      </c>
      <c r="W13" s="1">
        <f t="shared" si="1"/>
        <v>42436764.840926893</v>
      </c>
      <c r="X13" s="1">
        <f t="shared" si="1"/>
        <v>45880205.188019246</v>
      </c>
      <c r="Y13" s="1">
        <f t="shared" si="1"/>
        <v>49500570.470128387</v>
      </c>
      <c r="Z13" s="1">
        <f t="shared" si="1"/>
        <v>53305657.80018001</v>
      </c>
      <c r="AA13" s="1">
        <f t="shared" si="1"/>
        <v>57303582.135193527</v>
      </c>
      <c r="AB13" s="1">
        <f t="shared" si="1"/>
        <v>61502788.63406048</v>
      </c>
      <c r="AC13" s="1">
        <f t="shared" si="1"/>
        <v>65912065.480748504</v>
      </c>
      <c r="AD13" s="1">
        <f t="shared" si="1"/>
        <v>70540557.190063313</v>
      </c>
      <c r="AE13" s="1">
        <f t="shared" si="1"/>
        <v>75397778.413721934</v>
      </c>
      <c r="AF13" s="1">
        <f t="shared" si="1"/>
        <v>80493628.265132084</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81</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61</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78</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75</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76</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77</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97</v>
      </c>
      <c r="C25" s="40">
        <f>SUM(C11:C13,C18:C23)</f>
        <v>53435039.832154296</v>
      </c>
      <c r="D25" s="40">
        <f>SUM(D11:D13,D18:D23)</f>
        <v>56255691.676767223</v>
      </c>
      <c r="E25" s="40">
        <f t="shared" ref="E25:AF25" si="7">SUM(E11:E13,E18:E23)</f>
        <v>59202147.758647263</v>
      </c>
      <c r="F25" s="40">
        <f t="shared" si="7"/>
        <v>62279571.201490611</v>
      </c>
      <c r="G25" s="40">
        <f t="shared" si="7"/>
        <v>65493326.745371088</v>
      </c>
      <c r="H25" s="40">
        <f t="shared" si="7"/>
        <v>68848988.363149583</v>
      </c>
      <c r="I25" s="40">
        <f t="shared" si="7"/>
        <v>72352347.157878622</v>
      </c>
      <c r="J25" s="40">
        <f t="shared" si="7"/>
        <v>76009419.55138649</v>
      </c>
      <c r="K25" s="40">
        <f t="shared" si="7"/>
        <v>79826455.774589181</v>
      </c>
      <c r="L25" s="40">
        <f t="shared" si="7"/>
        <v>83809948.670456216</v>
      </c>
      <c r="M25" s="40">
        <f t="shared" si="7"/>
        <v>87966642.820945561</v>
      </c>
      <c r="N25" s="40">
        <f t="shared" si="7"/>
        <v>92303544.0096277</v>
      </c>
      <c r="O25" s="40">
        <f t="shared" si="7"/>
        <v>96827929.032136828</v>
      </c>
      <c r="P25" s="40">
        <f t="shared" si="7"/>
        <v>101547355.86702068</v>
      </c>
      <c r="Q25" s="40">
        <f t="shared" si="7"/>
        <v>106469674.22000816</v>
      </c>
      <c r="R25" s="40">
        <f t="shared" si="7"/>
        <v>111603036.45517908</v>
      </c>
      <c r="S25" s="40">
        <f t="shared" si="7"/>
        <v>116955908.92699964</v>
      </c>
      <c r="T25" s="40">
        <f t="shared" si="7"/>
        <v>122537083.72768657</v>
      </c>
      <c r="U25" s="40">
        <f t="shared" si="7"/>
        <v>128355690.86487621</v>
      </c>
      <c r="V25" s="40">
        <f t="shared" si="7"/>
        <v>134421210.88510889</v>
      </c>
      <c r="W25" s="40">
        <f t="shared" si="7"/>
        <v>140743487.95919082</v>
      </c>
      <c r="X25" s="40">
        <f t="shared" si="7"/>
        <v>147332743.4460676</v>
      </c>
      <c r="Y25" s="40">
        <f t="shared" si="7"/>
        <v>154199589.95243424</v>
      </c>
      <c r="Z25" s="40">
        <f t="shared" si="7"/>
        <v>161355045.90591967</v>
      </c>
      <c r="AA25" s="40">
        <f t="shared" si="7"/>
        <v>168810550.66031688</v>
      </c>
      <c r="AB25" s="40">
        <f t="shared" si="7"/>
        <v>176577980.15198776</v>
      </c>
      <c r="AC25" s="40">
        <f t="shared" si="7"/>
        <v>184669663.12724945</v>
      </c>
      <c r="AD25" s="40">
        <f t="shared" si="7"/>
        <v>193098397.96125233</v>
      </c>
      <c r="AE25" s="40">
        <f t="shared" si="7"/>
        <v>201877470.089589</v>
      </c>
      <c r="AF25" s="40">
        <f t="shared" si="7"/>
        <v>211020670.07462686</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Normal="100" workbookViewId="0">
      <pane xSplit="1" topLeftCell="B1" activePane="topRight" state="frozen"/>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162</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18387998.999999996</v>
      </c>
      <c r="D5" s="59">
        <f>C5*('Price and Financial ratios'!F4+1)*(1+Assumptions!$C$13)</f>
        <v>27664744.495499991</v>
      </c>
      <c r="E5" s="59">
        <f>D5*('Price and Financial ratios'!G4+1)*(1+Assumptions!$C$13)</f>
        <v>38846834.220581084</v>
      </c>
      <c r="F5" s="59">
        <f>E5*('Price and Financial ratios'!H4+1)*(1+Assumptions!$C$13)</f>
        <v>50652387.140215673</v>
      </c>
      <c r="G5" s="59">
        <f>F5*('Price and Financial ratios'!I4+1)*(1+Assumptions!$C$13)</f>
        <v>63505430.377045393</v>
      </c>
      <c r="H5" s="59">
        <f>G5*('Price and Financial ratios'!J4+1)*(1+Assumptions!$C$13)</f>
        <v>73250338.668403</v>
      </c>
      <c r="I5" s="59">
        <f>H5*('Price and Financial ratios'!K4+1)*(1+Assumptions!$C$13)</f>
        <v>82286500.446537182</v>
      </c>
      <c r="J5" s="59">
        <f>I5*('Price and Financial ratios'!L4+1)*(1+Assumptions!$C$13)</f>
        <v>89136028.743706942</v>
      </c>
      <c r="K5" s="59">
        <f>J5*('Price and Financial ratios'!M4+1)*(1+Assumptions!$C$13)</f>
        <v>96555711.776333109</v>
      </c>
      <c r="L5" s="59">
        <f>K5*('Price and Financial ratios'!N4+1)*(1+Assumptions!$C$13)</f>
        <v>102656101.64636183</v>
      </c>
      <c r="M5" s="59">
        <f>L5*('Price and Financial ratios'!O4+1)*(1+Assumptions!$C$13)</f>
        <v>109141914.14837897</v>
      </c>
      <c r="N5" s="59">
        <f>M5*('Price and Financial ratios'!P4+1)*(1+Assumptions!$C$13)</f>
        <v>116037500.28427355</v>
      </c>
      <c r="O5" s="59">
        <f>N5*('Price and Financial ratios'!Q4+1)*(1+Assumptions!$C$13)</f>
        <v>123368749.55223395</v>
      </c>
      <c r="P5" s="59">
        <f>O5*('Price and Financial ratios'!R4+1)*(1+Assumptions!$C$13)</f>
        <v>131163187.14894408</v>
      </c>
      <c r="Q5" s="59">
        <f>P5*('Price and Financial ratios'!S4+1)*(1+Assumptions!$C$13)</f>
        <v>139450077.31301436</v>
      </c>
      <c r="R5" s="59">
        <f>Q5*('Price and Financial ratios'!T4+1)*(1+Assumptions!$C$13)</f>
        <v>146861848.92220104</v>
      </c>
      <c r="S5" s="59">
        <f>R5*('Price and Financial ratios'!U4+1)*(1+Assumptions!$C$13)</f>
        <v>154667556.19241601</v>
      </c>
      <c r="T5" s="59">
        <f>S5*('Price and Financial ratios'!V4+1)*(1+Assumptions!$C$13)</f>
        <v>162888136.80404291</v>
      </c>
      <c r="U5" s="59">
        <f>T5*('Price and Financial ratios'!W4+1)*(1+Assumptions!$C$13)</f>
        <v>171545641.27517778</v>
      </c>
      <c r="V5" s="59">
        <f>U5*('Price and Financial ratios'!X4+1)*(1+Assumptions!$C$13)</f>
        <v>180663292.10895348</v>
      </c>
      <c r="W5" s="59">
        <f>V5*('Price and Financial ratios'!Y4+1)*(1+Assumptions!$C$13)</f>
        <v>190265546.08454433</v>
      </c>
      <c r="X5" s="59">
        <f>W5*('Price and Financial ratios'!Z4+1)*(1+Assumptions!$C$13)</f>
        <v>200378159.85893786</v>
      </c>
      <c r="Y5" s="59">
        <f>X5*('Price and Financial ratios'!AA4+1)*(1+Assumptions!$C$13)</f>
        <v>211028259.0554404</v>
      </c>
      <c r="Z5" s="59">
        <f>Y5*('Price and Financial ratios'!AB4+1)*(1+Assumptions!$C$13)</f>
        <v>222244411.02423704</v>
      </c>
      <c r="AA5" s="59">
        <f>Z5*('Price and Financial ratios'!AC4+1)*(1+Assumptions!$C$13)</f>
        <v>234056701.47017524</v>
      </c>
      <c r="AB5" s="59">
        <f>AA5*('Price and Financial ratios'!AD4+1)*(1+Assumptions!$C$13)</f>
        <v>244149226.43756917</v>
      </c>
      <c r="AC5" s="59">
        <f>AB5*('Price and Financial ratios'!AE4+1)*(1+Assumptions!$C$13)</f>
        <v>254676941.08155712</v>
      </c>
      <c r="AD5" s="59">
        <f>AC5*('Price and Financial ratios'!AF4+1)*(1+Assumptions!$C$13)</f>
        <v>265658610.78099385</v>
      </c>
      <c r="AE5" s="59">
        <f>AD5*('Price and Financial ratios'!AG4+1)*(1+Assumptions!$C$13)</f>
        <v>277113810.07787025</v>
      </c>
      <c r="AF5" s="59">
        <f>AE5*('Price and Financial ratios'!AH4+1)*(1+Assumptions!$C$13)</f>
        <v>287673231.81088746</v>
      </c>
    </row>
    <row r="6" spans="1:32" s="11" customFormat="1" x14ac:dyDescent="0.35">
      <c r="A6" s="11" t="s">
        <v>20</v>
      </c>
      <c r="C6" s="59">
        <f>C27</f>
        <v>9280686.9539999999</v>
      </c>
      <c r="D6" s="59">
        <f t="shared" ref="D6:AF6" si="1">D27</f>
        <v>10870868.088336421</v>
      </c>
      <c r="E6" s="59">
        <f>E27</f>
        <v>12526600.05752811</v>
      </c>
      <c r="F6" s="59">
        <f t="shared" si="1"/>
        <v>14249999.32350678</v>
      </c>
      <c r="G6" s="59">
        <f t="shared" si="1"/>
        <v>16043243.792870369</v>
      </c>
      <c r="H6" s="59">
        <f t="shared" si="1"/>
        <v>17908574.497257479</v>
      </c>
      <c r="I6" s="59">
        <f t="shared" si="1"/>
        <v>19848297.317948628</v>
      </c>
      <c r="J6" s="59">
        <f t="shared" si="1"/>
        <v>21864784.755827643</v>
      </c>
      <c r="K6" s="59">
        <f t="shared" si="1"/>
        <v>23960477.747865081</v>
      </c>
      <c r="L6" s="59">
        <f t="shared" si="1"/>
        <v>26137887.531314887</v>
      </c>
      <c r="M6" s="59">
        <f t="shared" si="1"/>
        <v>28399597.556845151</v>
      </c>
      <c r="N6" s="59">
        <f t="shared" si="1"/>
        <v>30748265.451854639</v>
      </c>
      <c r="O6" s="59">
        <f t="shared" si="1"/>
        <v>33186625.035258271</v>
      </c>
      <c r="P6" s="59">
        <f t="shared" si="1"/>
        <v>35717488.385056585</v>
      </c>
      <c r="Q6" s="59">
        <f t="shared" si="1"/>
        <v>38343747.960037649</v>
      </c>
      <c r="R6" s="59">
        <f t="shared" si="1"/>
        <v>41068378.776993118</v>
      </c>
      <c r="S6" s="59">
        <f t="shared" si="1"/>
        <v>43894440.644865543</v>
      </c>
      <c r="T6" s="59">
        <f t="shared" si="1"/>
        <v>46825080.457278617</v>
      </c>
      <c r="U6" s="59">
        <f t="shared" si="1"/>
        <v>49863534.544939093</v>
      </c>
      <c r="V6" s="59">
        <f t="shared" si="1"/>
        <v>53013131.089436159</v>
      </c>
      <c r="W6" s="59">
        <f t="shared" si="1"/>
        <v>56277292.600002043</v>
      </c>
      <c r="X6" s="59">
        <f t="shared" si="1"/>
        <v>59659538.454837158</v>
      </c>
      <c r="Y6" s="59">
        <f t="shared" si="1"/>
        <v>63163487.508642703</v>
      </c>
      <c r="Z6" s="59">
        <f t="shared" si="1"/>
        <v>66792860.768045023</v>
      </c>
      <c r="AA6" s="59">
        <f t="shared" si="1"/>
        <v>70551484.136638179</v>
      </c>
      <c r="AB6" s="59">
        <f t="shared" si="1"/>
        <v>74443291.23141402</v>
      </c>
      <c r="AC6" s="59">
        <f t="shared" si="1"/>
        <v>78472326.272393405</v>
      </c>
      <c r="AD6" s="59">
        <f t="shared" si="1"/>
        <v>82642747.047317535</v>
      </c>
      <c r="AE6" s="59">
        <f t="shared" si="1"/>
        <v>86958827.953304783</v>
      </c>
      <c r="AF6" s="59">
        <f t="shared" si="1"/>
        <v>91424963.11742565</v>
      </c>
    </row>
    <row r="7" spans="1:32" x14ac:dyDescent="0.35">
      <c r="A7" t="s">
        <v>21</v>
      </c>
      <c r="C7" s="4">
        <f>Depreciation!C8+Depreciation!C9</f>
        <v>8589651.832154287</v>
      </c>
      <c r="D7" s="4">
        <f>Depreciation!D8+Depreciation!D9</f>
        <v>9975251.2607672233</v>
      </c>
      <c r="E7" s="4">
        <f>Depreciation!E8+Depreciation!E9</f>
        <v>11440733.249335263</v>
      </c>
      <c r="F7" s="4">
        <f>Depreciation!F8+Depreciation!F9</f>
        <v>12989791.42788063</v>
      </c>
      <c r="G7" s="4">
        <f>Depreciation!G8+Depreciation!G9</f>
        <v>14626274.019005584</v>
      </c>
      <c r="H7" s="4">
        <f>Depreciation!H8+Depreciation!H9</f>
        <v>16354189.949540382</v>
      </c>
      <c r="I7" s="4">
        <f>Depreciation!I8+Depreciation!I9</f>
        <v>18177715.195033945</v>
      </c>
      <c r="J7" s="4">
        <f>Depreciation!J8+Depreciation!J9</f>
        <v>20101199.36573077</v>
      </c>
      <c r="K7" s="4">
        <f>Depreciation!K8+Depreciation!K9</f>
        <v>22129172.542992476</v>
      </c>
      <c r="L7" s="4">
        <f>Depreciation!L8+Depreciation!L9</f>
        <v>24266352.375448421</v>
      </c>
      <c r="M7" s="4">
        <f>Depreciation!M8+Depreciation!M9</f>
        <v>26517651.444497522</v>
      </c>
      <c r="N7" s="4">
        <f>Depreciation!N8+Depreciation!N9</f>
        <v>28888184.909133308</v>
      </c>
      <c r="O7" s="4">
        <f>Depreciation!O8+Depreciation!O9</f>
        <v>31383278.440426618</v>
      </c>
      <c r="P7" s="4">
        <f>Depreciation!P8+Depreciation!P9</f>
        <v>34008476.456375748</v>
      </c>
      <c r="Q7" s="4">
        <f>Depreciation!Q8+Depreciation!Q9</f>
        <v>36769550.668222621</v>
      </c>
      <c r="R7" s="4">
        <f>Depreciation!R8+Depreciation!R9</f>
        <v>39672508.949736379</v>
      </c>
      <c r="S7" s="4">
        <f>Depreciation!S8+Depreciation!S9</f>
        <v>42723604.54138276</v>
      </c>
      <c r="T7" s="4">
        <f>Depreciation!T8+Depreciation!T9</f>
        <v>45929345.601729959</v>
      </c>
      <c r="U7" s="4">
        <f>Depreciation!U8+Depreciation!U9</f>
        <v>49296505.118889004</v>
      </c>
      <c r="V7" s="4">
        <f>Depreciation!V8+Depreciation!V9</f>
        <v>52832131.195250064</v>
      </c>
      <c r="W7" s="4">
        <f>Depreciation!W8+Depreciation!W9</f>
        <v>56543557.719256498</v>
      </c>
      <c r="X7" s="4">
        <f>Depreciation!X8+Depreciation!X9</f>
        <v>60438415.438455395</v>
      </c>
      <c r="Y7" s="4">
        <f>Depreciation!Y8+Depreciation!Y9</f>
        <v>64524643.448578492</v>
      </c>
      <c r="Z7" s="4">
        <f>Depreciation!Z8+Depreciation!Z9</f>
        <v>68810501.113940522</v>
      </c>
      <c r="AA7" s="4">
        <f>Depreciation!AA8+Depreciation!AA9</f>
        <v>73304580.43499437</v>
      </c>
      <c r="AB7" s="4">
        <f>Depreciation!AB8+Depreciation!AB9</f>
        <v>78015818.879454955</v>
      </c>
      <c r="AC7" s="4">
        <f>Depreciation!AC8+Depreciation!AC9</f>
        <v>82953512.693995595</v>
      </c>
      <c r="AD7" s="4">
        <f>Depreciation!AD8+Depreciation!AD9</f>
        <v>88127330.714134321</v>
      </c>
      <c r="AE7" s="4">
        <f>Depreciation!AE8+Depreciation!AE9</f>
        <v>93547328.690563217</v>
      </c>
      <c r="AF7" s="4">
        <f>Depreciation!AF8+Depreciation!AF9</f>
        <v>99223964.150832281</v>
      </c>
    </row>
    <row r="8" spans="1:32" x14ac:dyDescent="0.35">
      <c r="A8" t="s">
        <v>6</v>
      </c>
      <c r="C8" s="4">
        <f ca="1">'Debt worksheet'!C8</f>
        <v>1607741.422295752</v>
      </c>
      <c r="D8" s="4">
        <f ca="1">'Debt worksheet'!D8</f>
        <v>3097310.8359915852</v>
      </c>
      <c r="E8" s="4">
        <f ca="1">'Debt worksheet'!E8</f>
        <v>4402256.7998314872</v>
      </c>
      <c r="F8" s="4">
        <f ca="1">'Debt worksheet'!F8</f>
        <v>5500474.8376153857</v>
      </c>
      <c r="G8" s="4">
        <f ca="1">'Debt worksheet'!G8</f>
        <v>6353953.1018209821</v>
      </c>
      <c r="H8" s="4">
        <f ca="1">'Debt worksheet'!H8</f>
        <v>7074306.6824260354</v>
      </c>
      <c r="I8" s="4">
        <f ca="1">'Debt worksheet'!I8</f>
        <v>7690468.1072033029</v>
      </c>
      <c r="J8" s="4">
        <f ca="1">'Debt worksheet'!J8</f>
        <v>8286325.6496643052</v>
      </c>
      <c r="K8" s="4">
        <f ca="1">'Debt worksheet'!K8</f>
        <v>8849138.2495114449</v>
      </c>
      <c r="L8" s="4">
        <f ca="1">'Debt worksheet'!L8</f>
        <v>9434558.5066847373</v>
      </c>
      <c r="M8" s="4">
        <f ca="1">'Debt worksheet'!M8</f>
        <v>10038766.761361811</v>
      </c>
      <c r="N8" s="4">
        <f ca="1">'Debt worksheet'!N8</f>
        <v>10657272.10628406</v>
      </c>
      <c r="O8" s="4">
        <f ca="1">'Debt worksheet'!O8</f>
        <v>11284844.833486736</v>
      </c>
      <c r="P8" s="4">
        <f ca="1">'Debt worksheet'!P8</f>
        <v>11915443.349322692</v>
      </c>
      <c r="Q8" s="4">
        <f ca="1">'Debt worksheet'!Q8</f>
        <v>12542135.149915848</v>
      </c>
      <c r="R8" s="4">
        <f ca="1">'Debt worksheet'!R8</f>
        <v>13207740.902346985</v>
      </c>
      <c r="S8" s="4">
        <f ca="1">'Debt worksheet'!S8</f>
        <v>13911024.529147882</v>
      </c>
      <c r="T8" s="4">
        <f ca="1">'Debt worksheet'!T8</f>
        <v>14650378.743502758</v>
      </c>
      <c r="U8" s="4">
        <f ca="1">'Debt worksheet'!U8</f>
        <v>15423786.723538935</v>
      </c>
      <c r="V8" s="4">
        <f ca="1">'Debt worksheet'!V8</f>
        <v>16228780.796719834</v>
      </c>
      <c r="W8" s="4">
        <f ca="1">'Debt worksheet'!W8</f>
        <v>17062397.93091454</v>
      </c>
      <c r="X8" s="4">
        <f ca="1">'Debt worksheet'!X8</f>
        <v>17921131.815941326</v>
      </c>
      <c r="Y8" s="4">
        <f ca="1">'Debt worksheet'!Y8</f>
        <v>18800881.305843115</v>
      </c>
      <c r="Z8" s="4">
        <f ca="1">'Debt worksheet'!Z8</f>
        <v>19696894.977806818</v>
      </c>
      <c r="AA8" s="4">
        <f ca="1">'Debt worksheet'!AA8</f>
        <v>20603711.548439495</v>
      </c>
      <c r="AB8" s="4">
        <f ca="1">'Debt worksheet'!AB8</f>
        <v>21600241.57672916</v>
      </c>
      <c r="AC8" s="4">
        <f ca="1">'Debt worksheet'!AC8</f>
        <v>22690692.505556643</v>
      </c>
      <c r="AD8" s="4">
        <f ca="1">'Debt worksheet'!AD8</f>
        <v>23879358.760126222</v>
      </c>
      <c r="AE8" s="4">
        <f ca="1">'Debt worksheet'!AE8</f>
        <v>25170617.449639425</v>
      </c>
      <c r="AF8" s="4">
        <f ca="1">'Debt worksheet'!AF8</f>
        <v>26619327.977181554</v>
      </c>
    </row>
    <row r="9" spans="1:32" x14ac:dyDescent="0.35">
      <c r="A9" t="s">
        <v>22</v>
      </c>
      <c r="C9" s="4">
        <f ca="1">C5-C6-C7-C8</f>
        <v>-1090081.2084500426</v>
      </c>
      <c r="D9" s="4">
        <f t="shared" ref="D9:AF9" ca="1" si="2">D5-D6-D7-D8</f>
        <v>3721314.3104047594</v>
      </c>
      <c r="E9" s="4">
        <f t="shared" ca="1" si="2"/>
        <v>10477244.113886226</v>
      </c>
      <c r="F9" s="4">
        <f t="shared" ca="1" si="2"/>
        <v>17912121.551212877</v>
      </c>
      <c r="G9" s="4">
        <f t="shared" ca="1" si="2"/>
        <v>26481959.463348456</v>
      </c>
      <c r="H9" s="4">
        <f t="shared" ca="1" si="2"/>
        <v>31913267.539179102</v>
      </c>
      <c r="I9" s="4">
        <f t="shared" ca="1" si="2"/>
        <v>36570019.826351307</v>
      </c>
      <c r="J9" s="4">
        <f t="shared" ca="1" si="2"/>
        <v>38883718.972484231</v>
      </c>
      <c r="K9" s="4">
        <f t="shared" ca="1" si="2"/>
        <v>41616923.235964112</v>
      </c>
      <c r="L9" s="4">
        <f t="shared" ca="1" si="2"/>
        <v>42817303.232913792</v>
      </c>
      <c r="M9" s="4">
        <f t="shared" ca="1" si="2"/>
        <v>44185898.385674477</v>
      </c>
      <c r="N9" s="4">
        <f t="shared" ca="1" si="2"/>
        <v>45743777.817001551</v>
      </c>
      <c r="O9" s="4">
        <f t="shared" ca="1" si="2"/>
        <v>47514001.243062317</v>
      </c>
      <c r="P9" s="4">
        <f t="shared" ca="1" si="2"/>
        <v>49521778.958189055</v>
      </c>
      <c r="Q9" s="4">
        <f t="shared" ca="1" si="2"/>
        <v>51794643.534838244</v>
      </c>
      <c r="R9" s="4">
        <f t="shared" ca="1" si="2"/>
        <v>52913220.293124549</v>
      </c>
      <c r="S9" s="4">
        <f t="shared" ca="1" si="2"/>
        <v>54138486.477019832</v>
      </c>
      <c r="T9" s="4">
        <f t="shared" ca="1" si="2"/>
        <v>55483332.001531579</v>
      </c>
      <c r="U9" s="4">
        <f t="shared" ca="1" si="2"/>
        <v>56961814.887810737</v>
      </c>
      <c r="V9" s="4">
        <f t="shared" ca="1" si="2"/>
        <v>58589249.027547419</v>
      </c>
      <c r="W9" s="4">
        <f t="shared" ca="1" si="2"/>
        <v>60382297.834371254</v>
      </c>
      <c r="X9" s="4">
        <f t="shared" ca="1" si="2"/>
        <v>62359074.149703987</v>
      </c>
      <c r="Y9" s="4">
        <f t="shared" ca="1" si="2"/>
        <v>64539246.792376086</v>
      </c>
      <c r="Z9" s="4">
        <f t="shared" ca="1" si="2"/>
        <v>66944154.164444685</v>
      </c>
      <c r="AA9" s="4">
        <f t="shared" ca="1" si="2"/>
        <v>69596925.35010317</v>
      </c>
      <c r="AB9" s="4">
        <f t="shared" ca="1" si="2"/>
        <v>70089874.749971032</v>
      </c>
      <c r="AC9" s="4">
        <f t="shared" ca="1" si="2"/>
        <v>70560409.609611481</v>
      </c>
      <c r="AD9" s="4">
        <f t="shared" ca="1" si="2"/>
        <v>71009174.259415776</v>
      </c>
      <c r="AE9" s="4">
        <f t="shared" ca="1" si="2"/>
        <v>71437035.984362841</v>
      </c>
      <c r="AF9" s="4">
        <f t="shared" ca="1" si="2"/>
        <v>70404976.565447971</v>
      </c>
    </row>
    <row r="12" spans="1:32" x14ac:dyDescent="0.35">
      <c r="A12" t="s">
        <v>79</v>
      </c>
      <c r="C12" s="2">
        <f>Assumptions!$C$25*Assumptions!D9*Assumptions!D13</f>
        <v>7948361.7639999995</v>
      </c>
      <c r="D12" s="2">
        <f>Assumptions!$C$25*Assumptions!E9*Assumptions!E13</f>
        <v>8147595.3999764211</v>
      </c>
      <c r="E12" s="2">
        <f>Assumptions!$C$25*Assumptions!F9*Assumptions!F13</f>
        <v>8351823.0262722308</v>
      </c>
      <c r="F12" s="2">
        <f>Assumptions!$C$25*Assumptions!G9*Assumptions!G13</f>
        <v>8561169.8222487681</v>
      </c>
      <c r="G12" s="2">
        <f>Assumptions!$C$25*Assumptions!H9*Assumptions!H13</f>
        <v>8775764.1050132569</v>
      </c>
      <c r="H12" s="2">
        <f>Assumptions!$C$25*Assumptions!I9*Assumptions!I13</f>
        <v>8995737.4080695156</v>
      </c>
      <c r="I12" s="2">
        <f>Assumptions!$C$25*Assumptions!J9*Assumptions!J13</f>
        <v>9221224.5619401839</v>
      </c>
      <c r="J12" s="2">
        <f>Assumptions!$C$25*Assumptions!K9*Assumptions!K13</f>
        <v>9452363.7768097781</v>
      </c>
      <c r="K12" s="2">
        <f>Assumptions!$C$25*Assumptions!L9*Assumptions!L13</f>
        <v>9689296.7272392903</v>
      </c>
      <c r="L12" s="2">
        <f>Assumptions!$C$25*Assumptions!M9*Assumptions!M13</f>
        <v>9932168.6390042696</v>
      </c>
      <c r="M12" s="2">
        <f>Assumptions!$C$25*Assumptions!N9*Assumptions!N13</f>
        <v>10181128.378109552</v>
      </c>
      <c r="N12" s="2">
        <f>Assumptions!$C$25*Assumptions!O9*Assumptions!O13</f>
        <v>10436328.542035243</v>
      </c>
      <c r="O12" s="2">
        <f>Assumptions!$C$25*Assumptions!P9*Assumptions!P13</f>
        <v>10697925.553269899</v>
      </c>
      <c r="P12" s="2">
        <f>Assumptions!$C$25*Assumptions!Q9*Assumptions!Q13</f>
        <v>10966079.755188156</v>
      </c>
      <c r="Q12" s="2">
        <f>Assumptions!$C$25*Assumptions!R9*Assumptions!R13</f>
        <v>11240955.510331701</v>
      </c>
      <c r="R12" s="2">
        <f>Assumptions!$C$25*Assumptions!S9*Assumptions!S13</f>
        <v>11522721.301153677</v>
      </c>
      <c r="S12" s="2">
        <f>Assumptions!$C$25*Assumptions!T9*Assumptions!T13</f>
        <v>11811549.833288394</v>
      </c>
      <c r="T12" s="2">
        <f>Assumptions!$C$25*Assumptions!U9*Assumptions!U13</f>
        <v>12107618.141409596</v>
      </c>
      <c r="U12" s="2">
        <f>Assumptions!$C$25*Assumptions!V9*Assumptions!V13</f>
        <v>12411107.69774217</v>
      </c>
      <c r="V12" s="2">
        <f>Assumptions!$C$25*Assumptions!W9*Assumptions!W13</f>
        <v>12722204.523293775</v>
      </c>
      <c r="W12" s="2">
        <f>Assumptions!$C$25*Assumptions!X9*Assumptions!X13</f>
        <v>13041099.301874654</v>
      </c>
      <c r="X12" s="2">
        <f>Assumptions!$C$25*Assumptions!Y9*Assumptions!Y13</f>
        <v>13367987.496975441</v>
      </c>
      <c r="Y12" s="2">
        <f>Assumptions!$C$25*Assumptions!Z9*Assumptions!Z13</f>
        <v>13703069.471574623</v>
      </c>
      <c r="Z12" s="2">
        <f>Assumptions!$C$25*Assumptions!AA9*Assumptions!AA13</f>
        <v>14046550.610949114</v>
      </c>
      <c r="AA12" s="2">
        <f>Assumptions!$C$25*Assumptions!AB9*Assumptions!AB13</f>
        <v>14398641.448563162</v>
      </c>
      <c r="AB12" s="2">
        <f>Assumptions!$C$25*Assumptions!AC9*Assumptions!AC13</f>
        <v>14759557.795112845</v>
      </c>
      <c r="AC12" s="2">
        <f>Assumptions!$C$25*Assumptions!AD9*Assumptions!AD13</f>
        <v>15129520.870805144</v>
      </c>
      <c r="AD12" s="2">
        <f>Assumptions!$C$25*Assumptions!AE9*Assumptions!AE13</f>
        <v>15508757.440952742</v>
      </c>
      <c r="AE12" s="2">
        <f>Assumptions!$C$25*Assumptions!AF9*Assumptions!AF13</f>
        <v>15897499.954967663</v>
      </c>
      <c r="AF12" s="2">
        <f>Assumptions!$C$25*Assumptions!AG9*Assumptions!AG13</f>
        <v>16295986.688838879</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80</v>
      </c>
      <c r="C14" s="5">
        <f>Assumptions!D122*Assumptions!D9</f>
        <v>1332325.19</v>
      </c>
      <c r="D14" s="5">
        <f>Assumptions!E122*Assumptions!E9</f>
        <v>2723272.68836</v>
      </c>
      <c r="E14" s="5">
        <f>Assumptions!F122*Assumptions!F9</f>
        <v>4174777.0312558799</v>
      </c>
      <c r="F14" s="5">
        <f>Assumptions!G122*Assumptions!G9</f>
        <v>5688829.5012580128</v>
      </c>
      <c r="G14" s="5">
        <f>Assumptions!H122*Assumptions!H9</f>
        <v>7267479.687857111</v>
      </c>
      <c r="H14" s="5">
        <f>Assumptions!I122*Assumptions!I9</f>
        <v>8912837.0891879611</v>
      </c>
      <c r="I14" s="5">
        <f>Assumptions!J122*Assumptions!J9</f>
        <v>10627072.756008444</v>
      </c>
      <c r="J14" s="5">
        <f>Assumptions!K122*Assumptions!K9</f>
        <v>12412420.979017865</v>
      </c>
      <c r="K14" s="5">
        <f>Assumptions!L122*Assumptions!L9</f>
        <v>14271181.020625791</v>
      </c>
      <c r="L14" s="5">
        <f>Assumptions!M122*Assumptions!M9</f>
        <v>16205718.892310617</v>
      </c>
      <c r="M14" s="5">
        <f>Assumptions!N122*Assumptions!N9</f>
        <v>18218469.178735599</v>
      </c>
      <c r="N14" s="5">
        <f>Assumptions!O122*Assumptions!O9</f>
        <v>20311936.909819398</v>
      </c>
      <c r="O14" s="5">
        <f>Assumptions!P122*Assumptions!P9</f>
        <v>22488699.481988374</v>
      </c>
      <c r="P14" s="5">
        <f>Assumptions!Q122*Assumptions!Q9</f>
        <v>24751408.629868433</v>
      </c>
      <c r="Q14" s="5">
        <f>Assumptions!R122*Assumptions!R9</f>
        <v>27102792.449705943</v>
      </c>
      <c r="R14" s="5">
        <f>Assumptions!S122*Assumptions!S9</f>
        <v>29545657.47583944</v>
      </c>
      <c r="S14" s="5">
        <f>Assumptions!T122*Assumptions!T9</f>
        <v>32082890.811577152</v>
      </c>
      <c r="T14" s="5">
        <f>Assumptions!U122*Assumptions!U9</f>
        <v>34717462.315869018</v>
      </c>
      <c r="U14" s="5">
        <f>Assumptions!V122*Assumptions!V9</f>
        <v>37452426.847196922</v>
      </c>
      <c r="V14" s="5">
        <f>Assumptions!W122*Assumptions!W9</f>
        <v>40290926.56614238</v>
      </c>
      <c r="W14" s="5">
        <f>Assumptions!X122*Assumptions!X9</f>
        <v>43236193.29812739</v>
      </c>
      <c r="X14" s="5">
        <f>Assumptions!Y122*Assumptions!Y9</f>
        <v>46291550.957861722</v>
      </c>
      <c r="Y14" s="5">
        <f>Assumptions!Z122*Assumptions!Z9</f>
        <v>49460418.037068076</v>
      </c>
      <c r="Z14" s="5">
        <f>Assumptions!AA122*Assumptions!AA9</f>
        <v>52746310.157095909</v>
      </c>
      <c r="AA14" s="5">
        <f>Assumptions!AB122*Assumptions!AB9</f>
        <v>56152842.688075021</v>
      </c>
      <c r="AB14" s="5">
        <f>Assumptions!AC122*Assumptions!AC9</f>
        <v>59683733.436301179</v>
      </c>
      <c r="AC14" s="5">
        <f>Assumptions!AD122*Assumptions!AD9</f>
        <v>63342805.401588254</v>
      </c>
      <c r="AD14" s="5">
        <f>Assumptions!AE122*Assumptions!AE9</f>
        <v>67133989.606364787</v>
      </c>
      <c r="AE14" s="5">
        <f>Assumptions!AF122*Assumptions!AF9</f>
        <v>71061327.99833712</v>
      </c>
      <c r="AF14" s="5">
        <f>Assumptions!AG122*Assumptions!AG9</f>
        <v>75128976.428586766</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193</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61</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82</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83</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93</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84</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85</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45</v>
      </c>
      <c r="C27" s="2">
        <f>C12+C13+C14+C19+C20+C22+C24+C25</f>
        <v>9280686.9539999999</v>
      </c>
      <c r="D27" s="2">
        <f t="shared" ref="D27:AF27" si="8">D12+D13+D14+D19+D20+D22+D24+D25</f>
        <v>10870868.088336421</v>
      </c>
      <c r="E27" s="2">
        <f t="shared" si="8"/>
        <v>12526600.05752811</v>
      </c>
      <c r="F27" s="2">
        <f t="shared" si="8"/>
        <v>14249999.32350678</v>
      </c>
      <c r="G27" s="2">
        <f t="shared" si="8"/>
        <v>16043243.792870369</v>
      </c>
      <c r="H27" s="2">
        <f t="shared" si="8"/>
        <v>17908574.497257479</v>
      </c>
      <c r="I27" s="2">
        <f t="shared" si="8"/>
        <v>19848297.317948628</v>
      </c>
      <c r="J27" s="2">
        <f t="shared" si="8"/>
        <v>21864784.755827643</v>
      </c>
      <c r="K27" s="2">
        <f t="shared" si="8"/>
        <v>23960477.747865081</v>
      </c>
      <c r="L27" s="2">
        <f t="shared" si="8"/>
        <v>26137887.531314887</v>
      </c>
      <c r="M27" s="2">
        <f t="shared" si="8"/>
        <v>28399597.556845151</v>
      </c>
      <c r="N27" s="2">
        <f t="shared" si="8"/>
        <v>30748265.451854639</v>
      </c>
      <c r="O27" s="2">
        <f t="shared" si="8"/>
        <v>33186625.035258271</v>
      </c>
      <c r="P27" s="2">
        <f t="shared" si="8"/>
        <v>35717488.385056585</v>
      </c>
      <c r="Q27" s="2">
        <f t="shared" si="8"/>
        <v>38343747.960037649</v>
      </c>
      <c r="R27" s="2">
        <f t="shared" si="8"/>
        <v>41068378.776993118</v>
      </c>
      <c r="S27" s="2">
        <f t="shared" si="8"/>
        <v>43894440.644865543</v>
      </c>
      <c r="T27" s="2">
        <f t="shared" si="8"/>
        <v>46825080.457278617</v>
      </c>
      <c r="U27" s="2">
        <f t="shared" si="8"/>
        <v>49863534.544939093</v>
      </c>
      <c r="V27" s="2">
        <f t="shared" si="8"/>
        <v>53013131.089436159</v>
      </c>
      <c r="W27" s="2">
        <f t="shared" si="8"/>
        <v>56277292.600002043</v>
      </c>
      <c r="X27" s="2">
        <f t="shared" si="8"/>
        <v>59659538.454837158</v>
      </c>
      <c r="Y27" s="2">
        <f t="shared" si="8"/>
        <v>63163487.508642703</v>
      </c>
      <c r="Z27" s="2">
        <f t="shared" si="8"/>
        <v>66792860.768045023</v>
      </c>
      <c r="AA27" s="2">
        <f t="shared" si="8"/>
        <v>70551484.136638179</v>
      </c>
      <c r="AB27" s="2">
        <f t="shared" si="8"/>
        <v>74443291.23141402</v>
      </c>
      <c r="AC27" s="2">
        <f t="shared" si="8"/>
        <v>78472326.272393405</v>
      </c>
      <c r="AD27" s="2">
        <f t="shared" si="8"/>
        <v>82642747.047317535</v>
      </c>
      <c r="AE27" s="2">
        <f t="shared" si="8"/>
        <v>86958827.953304783</v>
      </c>
      <c r="AF27" s="2">
        <f t="shared" si="8"/>
        <v>91424963.11742565</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3W2DU3RAJ5R2-1900874439-839</_dlc_DocId>
    <_dlc_DocIdUrl xmlns="f54e2983-00ce-40fc-8108-18f351fc47bf">
      <Url>https://dia.cohesion.net.nz/Sites/LGV/TWRP/CAE/_layouts/15/DocIdRedir.aspx?ID=3W2DU3RAJ5R2-1900874439-839</Url>
      <Description>3W2DU3RAJ5R2-1900874439-839</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B387776-0F4A-445C-BAD3-7CE9F779A9A1}"/>
</file>

<file path=customXml/itemProps2.xml><?xml version="1.0" encoding="utf-8"?>
<ds:datastoreItem xmlns:ds="http://schemas.openxmlformats.org/officeDocument/2006/customXml" ds:itemID="{CBCC2D2A-763C-48F8-A3E5-6B0A81386C39}">
  <ds:schemaRefs>
    <ds:schemaRef ds:uri="http://purl.org/dc/terms/"/>
    <ds:schemaRef ds:uri="http://schemas.microsoft.com/office/2006/documentManagement/types"/>
    <ds:schemaRef ds:uri="65b6d800-2dda-48d6-88d8-9e2b35e6f7ea"/>
    <ds:schemaRef ds:uri="08a23fc5-e034-477c-ac83-93bc1440f322"/>
    <ds:schemaRef ds:uri="http://purl.org/dc/elements/1.1/"/>
    <ds:schemaRef ds:uri="http://schemas.microsoft.com/office/infopath/2007/PartnerControls"/>
    <ds:schemaRef ds:uri="http://schemas.openxmlformats.org/package/2006/metadata/core-properties"/>
    <ds:schemaRef ds:uri="http://schemas.microsoft.com/sharepoint/v3"/>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4.xml><?xml version="1.0" encoding="utf-8"?>
<ds:datastoreItem xmlns:ds="http://schemas.openxmlformats.org/officeDocument/2006/customXml" ds:itemID="{72D46875-738E-4DBF-BB8D-D758404EF8B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2021-07-05T14:54:04Z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ecb42d75-2b47-43eb-bef6-2bf1ff89f281</vt:lpwstr>
  </property>
</Properties>
</file>