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9" documentId="8_{57854A74-35AD-4D24-A523-7A809264DE71}" xr6:coauthVersionLast="47" xr6:coauthVersionMax="47" xr10:uidLastSave="{231F407B-0130-4CB6-B57E-52818B82A9BF}"/>
  <bookViews>
    <workbookView xWindow="2070" yWindow="380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c r="B34" i="21"/>
  <c r="C83" i="2"/>
  <c r="C87" i="2"/>
  <c r="C82" i="2"/>
  <c r="C89" i="2"/>
  <c r="C94" i="2"/>
  <c r="C90" i="2"/>
  <c r="C95" i="2"/>
  <c r="C96" i="2"/>
  <c r="C102" i="2"/>
  <c r="D113" i="2"/>
  <c r="C58" i="2"/>
  <c r="C106" i="2"/>
  <c r="C63" i="2"/>
  <c r="C107" i="2"/>
  <c r="D11" i="2"/>
  <c r="C40" i="2"/>
  <c r="C41" i="2"/>
  <c r="C39" i="2"/>
  <c r="C36" i="2"/>
  <c r="C37" i="2"/>
  <c r="C35"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D120" i="2"/>
  <c r="C9" i="6"/>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5" i="9"/>
  <c r="C11" i="9"/>
  <c r="C18" i="2"/>
  <c r="C7" i="6"/>
  <c r="B6" i="5"/>
  <c r="K24" i="8"/>
  <c r="K27" i="8"/>
  <c r="K6" i="8"/>
  <c r="M122" i="2"/>
  <c r="L14" i="8"/>
  <c r="L7" i="9"/>
  <c r="L13" i="9"/>
  <c r="L23" i="9"/>
  <c r="M15" i="9"/>
  <c r="M20" i="9"/>
  <c r="O44" i="2"/>
  <c r="N115" i="2"/>
  <c r="N118" i="2"/>
  <c r="N43" i="2"/>
  <c r="L16" i="8"/>
  <c r="L19" i="8"/>
  <c r="I111" i="2"/>
  <c r="H5" i="9"/>
  <c r="H11" i="9"/>
  <c r="H18" i="9"/>
  <c r="H25" i="9"/>
  <c r="H18" i="6"/>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<sst xmlns="http://schemas.openxmlformats.org/spreadsheetml/2006/main" count="278" uniqueCount="205">
  <si>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</si>
  <si>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</si>
  <si>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</si>
  <si>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</si>
  <si>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</si>
  <si>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</si>
  <si>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</si>
  <si>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</si>
  <si>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</si>
  <si>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</si>
  <si>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</si>
  <si>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</si>
  <si>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</si>
  <si>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</si>
  <si>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</si>
  <si>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</si>
  <si>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</si>
  <si>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</si>
  <si>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</si>
  <si>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</si>
  <si>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</si>
  <si>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</si>
  <si>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</si>
  <si>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</si>
  <si>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</si>
  <si>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</si>
  <si>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</si>
  <si>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</si>
  <si>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</si>
  <si>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</si>
  <si>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</si>
  <si>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</si>
  <si>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</si>
  <si>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</si>
  <si>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</si>
  <si>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</si>
  <si>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</si>
  <si>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</si>
  <si>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</si>
  <si>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</si>
  <si>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</si>
  <si>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</si>
  <si>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</si>
  <si>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</si>
  <si>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</si>
  <si>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</si>
  <si>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</si>
  <si>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</si>
  <si>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</si>
  <si>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</si>
  <si>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</si>
  <si>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</si>
  <si>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</si>
  <si>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</si>
  <si>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</si>
  <si>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</si>
  <si>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</si>
  <si>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</si>
  <si>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</si>
  <si>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</si>
  <si>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</si>
  <si>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</si>
  <si>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</si>
  <si>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</si>
  <si>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</si>
  <si>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</si>
  <si>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</si>
  <si>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</si>
  <si>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</si>
  <si>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</si>
  <si>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</si>
  <si>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</si>
  <si>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</si>
  <si>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</si>
  <si>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</si>
  <si>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</si>
  <si>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</si>
  <si>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</si>
  <si>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</si>
  <si>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</si>
  <si>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</si>
  <si>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</si>
  <si>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</si>
  <si>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</si>
  <si>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</si>
  <si>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</si>
  <si>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</si>
  <si>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</si>
  <si>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</si>
  <si>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</si>
  <si>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</si>
  <si>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</si>
  <si>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</si>
  <si>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</si>
  <si>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</si>
  <si>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</si>
  <si>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</si>
  <si>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</si>
  <si>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</si>
  <si>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</si>
  <si>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</si>
  <si>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</si>
  <si>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</si>
  <si>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</si>
  <si>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</si>
  <si>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</si>
  <si>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</si>
  <si>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</si>
  <si>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</si>
  <si>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</si>
  <si>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</si>
  <si>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</si>
  <si>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</si>
  <si>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</si>
  <si>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</si>
  <si>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</si>
  <si>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</si>
  <si>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</si>
  <si>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</si>
  <si>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</si>
  <si>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</si>
  <si>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</si>
  <si>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</si>
  <si>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</si>
  <si>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</si>
  <si>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</si>
  <si>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</si>
  <si>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</si>
  <si>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</si>
  <si>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</si>
  <si>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</si>
  <si>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</si>
  <si>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</si>
  <si>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</si>
  <si>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</si>
  <si>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</si>
  <si>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</si>
  <si>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</si>
  <si>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</si>
  <si>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</si>
  <si>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</si>
  <si>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</si>
  <si>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</si>
  <si>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</si>
  <si>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</si>
  <si>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</si>
  <si>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</si>
  <si>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</si>
  <si>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</si>
  <si>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</si>
  <si>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</si>
  <si>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</si>
  <si>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</si>
  <si>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</si>
  <si>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</si>
  <si>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</si>
  <si>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</si>
  <si>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</si>
  <si>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</si>
  <si>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</si>
  <si>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</si>
  <si>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</si>
  <si>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</si>
  <si>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</si>
  <si>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</si>
  <si>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</si>
  <si>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</si>
  <si>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</si>
  <si>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</si>
  <si>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</si>
  <si>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</si>
  <si>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</si>
  <si>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</si>
  <si>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</si>
  <si>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</si>
  <si>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</si>
  <si>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</si>
  <si>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</si>
  <si>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</si>
  <si>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</si>
  <si>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</si>
  <si>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</si>
  <si>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</si>
  <si>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</si>
  <si>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</si>
  <si>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</si>
  <si>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</si>
  <si>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</si>
  <si>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</si>
  <si>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</si>
  <si>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</si>
  <si>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</si>
  <si>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</si>
  <si>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</si>
  <si>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</si>
  <si>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</si>
  <si>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RFI Table A1; Line A1.43</t>
  </si>
  <si>
    <t>Wairoa Stand-alone Council</t>
  </si>
  <si>
    <t>RFI Table G1; Line G1.3 for 2022-31 
The average annual growth investment over 2022-31 is assumed to continue over 2032-51.</t>
  </si>
  <si>
    <t xml:space="preserve">For wastewater and stormwater: RFI Table E1 and E2; Lines E2.21 - E2.18 + E2b.21 - E2b.18 
For water: The Funding Impact Statement from the Council Annual Report 2019/20. The Annual Report was used given that the operating expenditure in E1.22 did not reconcile to the Annual Report. 
</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</si>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</sst>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3" fillId="0" borderId="0" xfId="0" applyFont="1" applyFill="1" applyBorder="1" applyAlignment="1">
      <alignment vertical="top" wrapText="1"/>
    </xf>
    <xf numFmtId="0" fontId="0" fillId="0" borderId="0" xfId="0" applyAlignment="1">
      <alignment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197</v>
      </c>
      <c r="C2" s="171"/>
      <c r="D2" s="60"/>
      <c r="E2" s="14"/>
      <c r="F2" s="60"/>
    </row>
    <row r="3" spans="1:6" x14ac:dyDescent="0.35">
      <c r="C3" s="14"/>
      <c r="D3" s="14"/>
    </row>
    <row r="4" spans="1:6" x14ac:dyDescent="0.35">
      <c r="A4" s="14" t="s">
        <v>159</v>
      </c>
      <c r="B4" s="14"/>
      <c r="D4" s="14"/>
    </row>
    <row r="6" spans="1:6" ht="21" x14ac:dyDescent="0.5">
      <c r="A6" s="15" t="s">
        <v>168</v>
      </c>
    </row>
    <row r="7" spans="1:6" ht="241" customHeight="1" x14ac:dyDescent="0.35">
      <c r="A7" s="107">
        <v>1</v>
      </c>
      <c r="B7" s="104" t="s">
        <v>169</v>
      </c>
    </row>
    <row r="8" spans="1:6" ht="408" customHeight="1" x14ac:dyDescent="0.35">
      <c r="A8" s="107">
        <v>2</v>
      </c>
      <c r="B8" s="104" t="s">
        <v>189</v>
      </c>
    </row>
    <row r="9" spans="1:6" ht="195.5" customHeight="1" x14ac:dyDescent="0.35">
      <c r="A9" s="107">
        <f>A8+1</f>
        <v>3</v>
      </c>
      <c r="B9" s="105" t="s">
        <v>173</v>
      </c>
    </row>
    <row r="10" spans="1:6" ht="236" customHeight="1" x14ac:dyDescent="0.35">
      <c r="A10" s="107">
        <v>4</v>
      </c>
      <c r="B10" s="105" t="s">
        <v>174</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165</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102405000.00000001</v>
      </c>
      <c r="C6" s="12">
        <f ca="1">B6+Depreciation!C18+'Cash Flow'!C13</f>
        <v>104329822.73727278</v>
      </c>
      <c r="D6" s="1">
        <f ca="1">C6+Depreciation!D18</f>
        <v>120146635.54029609</v>
      </c>
      <c r="E6" s="1">
        <f ca="1">D6+Depreciation!E18</f>
        <v>136807156.59862152</v>
      </c>
      <c r="F6" s="1">
        <f ca="1">E6+Depreciation!F18</f>
        <v>154349186.82427812</v>
      </c>
      <c r="G6" s="1">
        <f ca="1">F6+Depreciation!G18</f>
        <v>172812082.43041134</v>
      </c>
      <c r="H6" s="1">
        <f ca="1">G6+Depreciation!H18</f>
        <v>192236815.76242062</v>
      </c>
      <c r="I6" s="1">
        <f ca="1">H6+Depreciation!I18</f>
        <v>212666038.42966136</v>
      </c>
      <c r="J6" s="1">
        <f ca="1">I6+Depreciation!J18</f>
        <v>234144146.82265639</v>
      </c>
      <c r="K6" s="1">
        <f ca="1">J6+Depreciation!K18</f>
        <v>256717350.10384274</v>
      </c>
      <c r="L6" s="1">
        <f ca="1">K6+Depreciation!L18</f>
        <v>280433740.76307017</v>
      </c>
      <c r="M6" s="1">
        <f ca="1">L6+Depreciation!M18</f>
        <v>305343367.83237344</v>
      </c>
      <c r="N6" s="1">
        <f ca="1">M6+Depreciation!N18</f>
        <v>331498312.85796231</v>
      </c>
      <c r="O6" s="1">
        <f ca="1">N6+Depreciation!O18</f>
        <v>358952768.73092014</v>
      </c>
      <c r="P6" s="1">
        <f ca="1">O6+Depreciation!P18</f>
        <v>387763121.4817723</v>
      </c>
      <c r="Q6" s="1">
        <f ca="1">P6+Depreciation!Q18</f>
        <v>417988035.14789015</v>
      </c>
      <c r="R6" s="1">
        <f ca="1">Q6+Depreciation!R18</f>
        <v>449688539.82663381</v>
      </c>
      <c r="S6" s="1">
        <f ca="1">R6+Depreciation!S18</f>
        <v>482928123.03121722</v>
      </c>
      <c r="T6" s="1">
        <f ca="1">S6+Depreciation!T18</f>
        <v>517772824.47050309</v>
      </c>
      <c r="U6" s="1">
        <f ca="1">T6+Depreciation!U18</f>
        <v>554291334.37831092</v>
      </c>
      <c r="V6" s="1">
        <f ca="1">U6+Depreciation!V18</f>
        <v>592555095.52235222</v>
      </c>
      <c r="W6" s="1">
        <f ca="1">V6+Depreciation!W18</f>
        <v>632638409.02760041</v>
      </c>
      <c r="X6" s="1">
        <f ca="1">W6+Depreciation!X18</f>
        <v>674618544.15376115</v>
      </c>
      <c r="Y6" s="1">
        <f ca="1">X6+Depreciation!Y18</f>
        <v>718575852.17154348</v>
      </c>
      <c r="Z6" s="1">
        <f ca="1">Y6+Depreciation!Z18</f>
        <v>764593884.48764205</v>
      </c>
      <c r="AA6" s="1">
        <f ca="1">Z6+Depreciation!AA18</f>
        <v>812759515.17373884</v>
      </c>
      <c r="AB6" s="1">
        <f ca="1">AA6+Depreciation!AB18</f>
        <v>863163068.06042206</v>
      </c>
      <c r="AC6" s="1">
        <f ca="1">AB6+Depreciation!AC18</f>
        <v>915898448.56270671</v>
      </c>
      <c r="AD6" s="1">
        <f ca="1">AC6+Depreciation!AD18</f>
        <v>971063280.40983534</v>
      </c>
      <c r="AE6" s="1">
        <f ca="1">AD6+Depreciation!AE18</f>
        <v>1028759047.4582436</v>
      </c>
      <c r="AF6" s="1"/>
      <c r="AG6" s="1"/>
      <c r="AH6" s="1"/>
      <c r="AI6" s="1"/>
      <c r="AJ6" s="1"/>
      <c r="AK6" s="1"/>
      <c r="AL6" s="1"/>
      <c r="AM6" s="1"/>
      <c r="AN6" s="1"/>
      <c r="AO6" s="1"/>
      <c r="AP6" s="1"/>
    </row>
    <row r="7" spans="1:42" x14ac:dyDescent="0.35">
      <c r="A7" t="s">
        <v>12</v>
      </c>
      <c r="B7" s="1">
        <f>Depreciation!C12</f>
        <v>53005232.771177635</v>
      </c>
      <c r="C7" s="1">
        <f>Depreciation!D12</f>
        <v>55192755.942200944</v>
      </c>
      <c r="D7" s="1">
        <f>Depreciation!E12</f>
        <v>57787850.100302376</v>
      </c>
      <c r="E7" s="1">
        <f>Depreciation!F12</f>
        <v>60814359.764927797</v>
      </c>
      <c r="F7" s="1">
        <f>Depreciation!G12</f>
        <v>64297238.152076855</v>
      </c>
      <c r="G7" s="1">
        <f>Depreciation!H12</f>
        <v>68262593.71409449</v>
      </c>
      <c r="H7" s="1">
        <f>Depreciation!I12</f>
        <v>72737738.522703826</v>
      </c>
      <c r="I7" s="1">
        <f>Depreciation!J12</f>
        <v>77751238.565591261</v>
      </c>
      <c r="J7" s="1">
        <f>Depreciation!K12</f>
        <v>83332966.029466555</v>
      </c>
      <c r="K7" s="1">
        <f>Depreciation!L12</f>
        <v>89514153.645229012</v>
      </c>
      <c r="L7" s="1">
        <f>Depreciation!M12</f>
        <v>96327451.173676401</v>
      </c>
      <c r="M7" s="1">
        <f>Depreciation!N12</f>
        <v>103806984.11310202</v>
      </c>
      <c r="N7" s="1">
        <f>Depreciation!O12</f>
        <v>111988414.71313937</v>
      </c>
      <c r="O7" s="1">
        <f>Depreciation!P12</f>
        <v>120909005.3823376</v>
      </c>
      <c r="P7" s="1">
        <f>Depreciation!Q12</f>
        <v>130607684.58018859</v>
      </c>
      <c r="Q7" s="1">
        <f>Depreciation!R12</f>
        <v>141125115.28768083</v>
      </c>
      <c r="R7" s="1">
        <f>Depreciation!S12</f>
        <v>152503766.15393281</v>
      </c>
      <c r="S7" s="1">
        <f>Depreciation!T12</f>
        <v>164787985.42006063</v>
      </c>
      <c r="T7" s="1">
        <f>Depreciation!U12</f>
        <v>178024077.7251693</v>
      </c>
      <c r="U7" s="1">
        <f>Depreciation!V12</f>
        <v>192260383.90322512</v>
      </c>
      <c r="V7" s="1">
        <f>Depreciation!W12</f>
        <v>207547363.88357624</v>
      </c>
      <c r="W7" s="1">
        <f>Depreciation!X12</f>
        <v>223937682.81204325</v>
      </c>
      <c r="X7" s="1">
        <f>Depreciation!Y12</f>
        <v>241486300.51380569</v>
      </c>
      <c r="Y7" s="1">
        <f>Depreciation!Z12</f>
        <v>260250564.42377168</v>
      </c>
      <c r="Z7" s="1">
        <f>Depreciation!AA12</f>
        <v>280290306.11473972</v>
      </c>
      <c r="AA7" s="1">
        <f>Depreciation!AB12</f>
        <v>301667941.55845004</v>
      </c>
      <c r="AB7" s="1">
        <f>Depreciation!AC12</f>
        <v>324448575.25958663</v>
      </c>
      <c r="AC7" s="1">
        <f>Depreciation!AD12</f>
        <v>348700108.40793043</v>
      </c>
      <c r="AD7" s="1">
        <f>Depreciation!AE12</f>
        <v>374493351.19919276</v>
      </c>
      <c r="AE7" s="1">
        <f>Depreciation!AF12</f>
        <v>401902139.48057646</v>
      </c>
      <c r="AF7" s="1"/>
      <c r="AG7" s="1"/>
      <c r="AH7" s="1"/>
      <c r="AI7" s="1"/>
      <c r="AJ7" s="1"/>
      <c r="AK7" s="1"/>
      <c r="AL7" s="1"/>
      <c r="AM7" s="1"/>
      <c r="AN7" s="1"/>
      <c r="AO7" s="1"/>
      <c r="AP7" s="1"/>
    </row>
    <row r="8" spans="1:42" x14ac:dyDescent="0.35">
      <c r="A8" t="s">
        <v>191</v>
      </c>
      <c r="B8" s="1">
        <f t="shared" ref="B8:AE8" si="1">B6-B7</f>
        <v>49399767.22882238</v>
      </c>
      <c r="C8" s="1">
        <f t="shared" ca="1" si="1"/>
        <v>49137066.79507184</v>
      </c>
      <c r="D8" s="1">
        <f ca="1">D6-D7</f>
        <v>62358785.439993717</v>
      </c>
      <c r="E8" s="1">
        <f t="shared" ca="1" si="1"/>
        <v>75992796.833693713</v>
      </c>
      <c r="F8" s="1">
        <f t="shared" ca="1" si="1"/>
        <v>90051948.672201261</v>
      </c>
      <c r="G8" s="1">
        <f t="shared" ca="1" si="1"/>
        <v>104549488.71631685</v>
      </c>
      <c r="H8" s="1">
        <f t="shared" ca="1" si="1"/>
        <v>119499077.2397168</v>
      </c>
      <c r="I8" s="1">
        <f t="shared" ca="1" si="1"/>
        <v>134914799.86407012</v>
      </c>
      <c r="J8" s="1">
        <f t="shared" ca="1" si="1"/>
        <v>150811180.79318982</v>
      </c>
      <c r="K8" s="1">
        <f t="shared" ca="1" si="1"/>
        <v>167203196.45861372</v>
      </c>
      <c r="L8" s="1">
        <f t="shared" ca="1" si="1"/>
        <v>184106289.58939376</v>
      </c>
      <c r="M8" s="1">
        <f t="shared" ca="1" si="1"/>
        <v>201536383.71927142</v>
      </c>
      <c r="N8" s="1">
        <f t="shared" ca="1" si="1"/>
        <v>219509898.14482296</v>
      </c>
      <c r="O8" s="1">
        <f t="shared" ca="1" si="1"/>
        <v>238043763.34858254</v>
      </c>
      <c r="P8" s="1">
        <f t="shared" ca="1" si="1"/>
        <v>257155436.90158373</v>
      </c>
      <c r="Q8" s="1">
        <f t="shared" ca="1" si="1"/>
        <v>276862919.86020935</v>
      </c>
      <c r="R8" s="1">
        <f t="shared" ca="1" si="1"/>
        <v>297184773.672701</v>
      </c>
      <c r="S8" s="1">
        <f t="shared" ca="1" si="1"/>
        <v>318140137.61115658</v>
      </c>
      <c r="T8" s="1">
        <f t="shared" ca="1" si="1"/>
        <v>339748746.74533379</v>
      </c>
      <c r="U8" s="1">
        <f t="shared" ca="1" si="1"/>
        <v>362030950.47508579</v>
      </c>
      <c r="V8" s="1">
        <f t="shared" ca="1" si="1"/>
        <v>385007731.63877594</v>
      </c>
      <c r="W8" s="1">
        <f t="shared" ca="1" si="1"/>
        <v>408700726.21555716</v>
      </c>
      <c r="X8" s="1">
        <f t="shared" ca="1" si="1"/>
        <v>433132243.63995546</v>
      </c>
      <c r="Y8" s="1">
        <f t="shared" ca="1" si="1"/>
        <v>458325287.7477718</v>
      </c>
      <c r="Z8" s="1">
        <f t="shared" ca="1" si="1"/>
        <v>484303578.37290233</v>
      </c>
      <c r="AA8" s="1">
        <f t="shared" ca="1" si="1"/>
        <v>511091573.61528879</v>
      </c>
      <c r="AB8" s="1">
        <f t="shared" ca="1" si="1"/>
        <v>538714492.80083537</v>
      </c>
      <c r="AC8" s="1">
        <f t="shared" ca="1" si="1"/>
        <v>567198340.15477633</v>
      </c>
      <c r="AD8" s="1">
        <f t="shared" ca="1" si="1"/>
        <v>596569929.21064258</v>
      </c>
      <c r="AE8" s="1">
        <f t="shared" ca="1" si="1"/>
        <v>626856907.97766709</v>
      </c>
      <c r="AF8" s="1"/>
      <c r="AG8" s="1"/>
      <c r="AH8" s="1"/>
      <c r="AI8" s="1"/>
      <c r="AJ8" s="1"/>
      <c r="AK8" s="1"/>
      <c r="AL8" s="1"/>
      <c r="AM8" s="1"/>
      <c r="AN8" s="1"/>
      <c r="AO8" s="1"/>
      <c r="AP8" s="1"/>
    </row>
    <row r="10" spans="1:42" x14ac:dyDescent="0.35">
      <c r="A10" t="s">
        <v>17</v>
      </c>
      <c r="B10" s="1">
        <f>B8-B11</f>
        <v>40800767.22882238</v>
      </c>
      <c r="C10" s="1">
        <f ca="1">C8-C11</f>
        <v>27453480.761166982</v>
      </c>
      <c r="D10" s="1">
        <f ca="1">D8-D11</f>
        <v>29901702.427053381</v>
      </c>
      <c r="E10" s="1">
        <f t="shared" ref="E10:AE10" ca="1" si="2">E8-E11</f>
        <v>34065878.612745963</v>
      </c>
      <c r="F10" s="1">
        <f t="shared" ca="1" si="2"/>
        <v>39950872.892370492</v>
      </c>
      <c r="G10" s="1">
        <f ca="1">G8-G11</f>
        <v>47246761.585617863</v>
      </c>
      <c r="H10" s="1">
        <f t="shared" ca="1" si="2"/>
        <v>55716684.829336822</v>
      </c>
      <c r="I10" s="1">
        <f t="shared" ca="1" si="2"/>
        <v>65164653.146436542</v>
      </c>
      <c r="J10" s="1">
        <f t="shared" ca="1" si="2"/>
        <v>75799751.284922987</v>
      </c>
      <c r="K10" s="1">
        <f t="shared" ca="1" si="2"/>
        <v>87274065.085484996</v>
      </c>
      <c r="L10" s="1">
        <f t="shared" ca="1" si="2"/>
        <v>99414510.120198458</v>
      </c>
      <c r="M10" s="1">
        <f t="shared" ca="1" si="2"/>
        <v>111983663.24851635</v>
      </c>
      <c r="N10" s="1">
        <f t="shared" ca="1" si="2"/>
        <v>125038639.98475319</v>
      </c>
      <c r="O10" s="1">
        <f t="shared" ca="1" si="2"/>
        <v>138643185.82103795</v>
      </c>
      <c r="P10" s="1">
        <f t="shared" ca="1" si="2"/>
        <v>152462610.74147391</v>
      </c>
      <c r="Q10" s="1">
        <f t="shared" ca="1" si="2"/>
        <v>166515636.67898735</v>
      </c>
      <c r="R10" s="1">
        <f t="shared" ca="1" si="2"/>
        <v>180823547.89568242</v>
      </c>
      <c r="S10" s="1">
        <f t="shared" ca="1" si="2"/>
        <v>195410433.34839588</v>
      </c>
      <c r="T10" s="1">
        <f t="shared" ca="1" si="2"/>
        <v>210303447.43220502</v>
      </c>
      <c r="U10" s="1">
        <f t="shared" ca="1" si="2"/>
        <v>225533090.32729846</v>
      </c>
      <c r="V10" s="1">
        <f t="shared" ca="1" si="2"/>
        <v>241133509.2500093</v>
      </c>
      <c r="W10" s="1">
        <f t="shared" ca="1" si="2"/>
        <v>257142821.98860028</v>
      </c>
      <c r="X10" s="1">
        <f t="shared" ca="1" si="2"/>
        <v>273603464.18882328</v>
      </c>
      <c r="Y10" s="1">
        <f t="shared" ca="1" si="2"/>
        <v>290562561.94361812</v>
      </c>
      <c r="Z10" s="1">
        <f t="shared" ca="1" si="2"/>
        <v>308072331.33583224</v>
      </c>
      <c r="AA10" s="1">
        <f t="shared" ca="1" si="2"/>
        <v>326190506.68283767</v>
      </c>
      <c r="AB10" s="1">
        <f t="shared" ca="1" si="2"/>
        <v>344980799.33768749</v>
      </c>
      <c r="AC10" s="1">
        <f t="shared" ca="1" si="2"/>
        <v>364513389.01332319</v>
      </c>
      <c r="AD10" s="1">
        <f t="shared" ca="1" si="2"/>
        <v>384865449.71464884</v>
      </c>
      <c r="AE10" s="1">
        <f t="shared" ca="1" si="2"/>
        <v>405266662.93092</v>
      </c>
      <c r="AF10" s="1"/>
      <c r="AG10" s="1"/>
      <c r="AH10" s="1"/>
      <c r="AI10" s="1"/>
      <c r="AJ10" s="1"/>
      <c r="AK10" s="1"/>
      <c r="AL10" s="1"/>
      <c r="AM10" s="1"/>
      <c r="AN10" s="1"/>
      <c r="AO10" s="1"/>
    </row>
    <row r="11" spans="1:42" x14ac:dyDescent="0.35">
      <c r="A11" t="s">
        <v>9</v>
      </c>
      <c r="B11" s="1">
        <f>Assumptions!$C$20</f>
        <v>8599000</v>
      </c>
      <c r="C11" s="1">
        <f ca="1">'Debt worksheet'!D5</f>
        <v>21683586.033904858</v>
      </c>
      <c r="D11" s="1">
        <f ca="1">'Debt worksheet'!E5</f>
        <v>32457083.012940336</v>
      </c>
      <c r="E11" s="1">
        <f ca="1">'Debt worksheet'!F5</f>
        <v>41926918.22094775</v>
      </c>
      <c r="F11" s="1">
        <f ca="1">'Debt worksheet'!G5</f>
        <v>50101075.779830769</v>
      </c>
      <c r="G11" s="1">
        <f ca="1">'Debt worksheet'!H5</f>
        <v>57302727.130698986</v>
      </c>
      <c r="H11" s="1">
        <f ca="1">'Debt worksheet'!I5</f>
        <v>63782392.410379976</v>
      </c>
      <c r="I11" s="1">
        <f ca="1">'Debt worksheet'!J5</f>
        <v>69750146.717633575</v>
      </c>
      <c r="J11" s="1">
        <f ca="1">'Debt worksheet'!K5</f>
        <v>75011429.508266836</v>
      </c>
      <c r="K11" s="1">
        <f ca="1">'Debt worksheet'!L5</f>
        <v>79929131.373128727</v>
      </c>
      <c r="L11" s="1">
        <f ca="1">'Debt worksheet'!M5</f>
        <v>84691779.469195306</v>
      </c>
      <c r="M11" s="1">
        <f ca="1">'Debt worksheet'!N5</f>
        <v>89552720.47075507</v>
      </c>
      <c r="N11" s="1">
        <f ca="1">'Debt worksheet'!O5</f>
        <v>94471258.160069764</v>
      </c>
      <c r="O11" s="1">
        <f ca="1">'Debt worksheet'!P5</f>
        <v>99400577.527544603</v>
      </c>
      <c r="P11" s="1">
        <f ca="1">'Debt worksheet'!Q5</f>
        <v>104692826.1601098</v>
      </c>
      <c r="Q11" s="1">
        <f ca="1">'Debt worksheet'!R5</f>
        <v>110347283.18122199</v>
      </c>
      <c r="R11" s="1">
        <f ca="1">'Debt worksheet'!S5</f>
        <v>116361225.77701858</v>
      </c>
      <c r="S11" s="1">
        <f ca="1">'Debt worksheet'!T5</f>
        <v>122729704.2627607</v>
      </c>
      <c r="T11" s="1">
        <f ca="1">'Debt worksheet'!U5</f>
        <v>129445299.31312875</v>
      </c>
      <c r="U11" s="1">
        <f ca="1">'Debt worksheet'!V5</f>
        <v>136497860.14778733</v>
      </c>
      <c r="V11" s="1">
        <f ca="1">'Debt worksheet'!W5</f>
        <v>143874222.38876665</v>
      </c>
      <c r="W11" s="1">
        <f ca="1">'Debt worksheet'!X5</f>
        <v>151557904.22695687</v>
      </c>
      <c r="X11" s="1">
        <f ca="1">'Debt worksheet'!Y5</f>
        <v>159528779.45113218</v>
      </c>
      <c r="Y11" s="1">
        <f ca="1">'Debt worksheet'!Z5</f>
        <v>167762725.80415368</v>
      </c>
      <c r="Z11" s="1">
        <f ca="1">'Debt worksheet'!AA5</f>
        <v>176231247.0370701</v>
      </c>
      <c r="AA11" s="1">
        <f ca="1">'Debt worksheet'!AB5</f>
        <v>184901066.93245113</v>
      </c>
      <c r="AB11" s="1">
        <f ca="1">'Debt worksheet'!AC5</f>
        <v>193733693.46314788</v>
      </c>
      <c r="AC11" s="1">
        <f ca="1">'Debt worksheet'!AD5</f>
        <v>202684951.14145312</v>
      </c>
      <c r="AD11" s="1">
        <f ca="1">'Debt worksheet'!AE5</f>
        <v>211704479.49599373</v>
      </c>
      <c r="AE11" s="1">
        <f ca="1">'Debt worksheet'!AF5</f>
        <v>221590245.04674709</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166</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122089.96609514323</v>
      </c>
      <c r="D5" s="4">
        <f ca="1">'Profit and Loss'!D9</f>
        <v>2855792.6529645193</v>
      </c>
      <c r="E5" s="4">
        <f ca="1">'Profit and Loss'!E9</f>
        <v>4595591.6922165854</v>
      </c>
      <c r="F5" s="4">
        <f ca="1">'Profit and Loss'!F9</f>
        <v>6341363.0021481467</v>
      </c>
      <c r="G5" s="4">
        <f ca="1">'Profit and Loss'!G9</f>
        <v>7778365.8681159485</v>
      </c>
      <c r="H5" s="4">
        <f ca="1">'Profit and Loss'!H9</f>
        <v>8979712.4903106634</v>
      </c>
      <c r="I5" s="4">
        <f ca="1">'Profit and Loss'!I9</f>
        <v>9986323.5513777938</v>
      </c>
      <c r="J5" s="4">
        <f ca="1">'Profit and Loss'!J9</f>
        <v>11203325.559474327</v>
      </c>
      <c r="K5" s="4">
        <f ca="1">'Profit and Loss'!K9</f>
        <v>12073773.95244915</v>
      </c>
      <c r="L5" s="4">
        <f ca="1">'Profit and Loss'!L9</f>
        <v>12772554.947398413</v>
      </c>
      <c r="M5" s="4">
        <f ca="1">'Profit and Loss'!M9</f>
        <v>13235388.539296115</v>
      </c>
      <c r="N5" s="4">
        <f ca="1">'Profit and Loss'!N9</f>
        <v>13756874.396848567</v>
      </c>
      <c r="O5" s="4">
        <f ca="1">'Profit and Loss'!O9</f>
        <v>14343705.905445641</v>
      </c>
      <c r="P5" s="4">
        <f ca="1">'Profit and Loss'!P9</f>
        <v>14597513.449088726</v>
      </c>
      <c r="Q5" s="4">
        <f ca="1">'Profit and Loss'!Q9</f>
        <v>14871777.447154667</v>
      </c>
      <c r="R5" s="4">
        <f ca="1">'Profit and Loss'!R9</f>
        <v>15169131.375454817</v>
      </c>
      <c r="S5" s="4">
        <f ca="1">'Profit and Loss'!S9</f>
        <v>15492453.852589332</v>
      </c>
      <c r="T5" s="4">
        <f ca="1">'Profit and Loss'!T9</f>
        <v>15844887.122789994</v>
      </c>
      <c r="U5" s="4">
        <f ca="1">'Profit and Loss'!U9</f>
        <v>16229856.768040538</v>
      </c>
      <c r="V5" s="4">
        <f ca="1">'Profit and Loss'!V9</f>
        <v>16651092.725006161</v>
      </c>
      <c r="W5" s="4">
        <f ca="1">'Profit and Loss'!W9</f>
        <v>17112651.686706789</v>
      </c>
      <c r="X5" s="4">
        <f ca="1">'Profit and Loss'!X9</f>
        <v>17618940.973518431</v>
      </c>
      <c r="Y5" s="4">
        <f ca="1">'Profit and Loss'!Y9</f>
        <v>18174743.962998413</v>
      </c>
      <c r="Z5" s="4">
        <f ca="1">'Profit and Loss'!Z9</f>
        <v>18785247.173216131</v>
      </c>
      <c r="AA5" s="4">
        <f ca="1">'Profit and Loss'!AA9</f>
        <v>19456069.09974777</v>
      </c>
      <c r="AB5" s="4">
        <f ca="1">'Profit and Loss'!AB9</f>
        <v>20193290.912276186</v>
      </c>
      <c r="AC5" s="4">
        <f ca="1">'Profit and Loss'!AC9</f>
        <v>21003489.1228428</v>
      </c>
      <c r="AD5" s="4">
        <f ca="1">'Profit and Loss'!AD9</f>
        <v>21893770.344244178</v>
      </c>
      <c r="AE5" s="4">
        <f ca="1">'Profit and Loss'!AE9</f>
        <v>22016758.706392564</v>
      </c>
      <c r="AF5" s="4">
        <f ca="1">'Profit and Loss'!AF9</f>
        <v>21236105.268691037</v>
      </c>
      <c r="AG5" s="4"/>
      <c r="AH5" s="4"/>
      <c r="AI5" s="4"/>
      <c r="AJ5" s="4"/>
      <c r="AK5" s="4"/>
      <c r="AL5" s="4"/>
      <c r="AM5" s="4"/>
      <c r="AN5" s="4"/>
      <c r="AO5" s="4"/>
      <c r="AP5" s="4"/>
    </row>
    <row r="6" spans="1:42" x14ac:dyDescent="0.35">
      <c r="A6" t="s">
        <v>21</v>
      </c>
      <c r="C6" s="4">
        <f>Depreciation!C8+Depreciation!C9</f>
        <v>1802732.7711776246</v>
      </c>
      <c r="D6" s="4">
        <f>Depreciation!D8+Depreciation!D9</f>
        <v>2187523.1710233088</v>
      </c>
      <c r="E6" s="4">
        <f>Depreciation!E8+Depreciation!E9</f>
        <v>2595094.1581014302</v>
      </c>
      <c r="F6" s="4">
        <f>Depreciation!F8+Depreciation!F9</f>
        <v>3026509.664625424</v>
      </c>
      <c r="G6" s="4">
        <f>Depreciation!G8+Depreciation!G9</f>
        <v>3482878.3871490574</v>
      </c>
      <c r="H6" s="4">
        <f>Depreciation!H8+Depreciation!H9</f>
        <v>3965355.5620176271</v>
      </c>
      <c r="I6" s="4">
        <f>Depreciation!I8+Depreciation!I9</f>
        <v>4475144.8086093441</v>
      </c>
      <c r="J6" s="4">
        <f>Depreciation!J8+Depreciation!J9</f>
        <v>5013500.042887426</v>
      </c>
      <c r="K6" s="4">
        <f>Depreciation!K8+Depreciation!K9</f>
        <v>5581727.4638752891</v>
      </c>
      <c r="L6" s="4">
        <f>Depreciation!L8+Depreciation!L9</f>
        <v>6181187.6157624582</v>
      </c>
      <c r="M6" s="4">
        <f>Depreciation!M8+Depreciation!M9</f>
        <v>6813297.5284473961</v>
      </c>
      <c r="N6" s="4">
        <f>Depreciation!N8+Depreciation!N9</f>
        <v>7479532.9394256324</v>
      </c>
      <c r="O6" s="4">
        <f>Depreciation!O8+Depreciation!O9</f>
        <v>8181430.6000373438</v>
      </c>
      <c r="P6" s="4">
        <f>Depreciation!P8+Depreciation!P9</f>
        <v>8920590.6691982318</v>
      </c>
      <c r="Q6" s="4">
        <f>Depreciation!Q8+Depreciation!Q9</f>
        <v>9698679.1978509761</v>
      </c>
      <c r="R6" s="4">
        <f>Depreciation!R8+Depreciation!R9</f>
        <v>10517430.707492245</v>
      </c>
      <c r="S6" s="4">
        <f>Depreciation!S8+Depreciation!S9</f>
        <v>11378650.866251953</v>
      </c>
      <c r="T6" s="4">
        <f>Depreciation!T8+Depreciation!T9</f>
        <v>12284219.266127806</v>
      </c>
      <c r="U6" s="4">
        <f>Depreciation!U8+Depreciation!U9</f>
        <v>13236092.30510867</v>
      </c>
      <c r="V6" s="4">
        <f>Depreciation!V8+Depreciation!V9</f>
        <v>14236306.178055804</v>
      </c>
      <c r="W6" s="4">
        <f>Depreciation!W8+Depreciation!W9</f>
        <v>15286979.98035112</v>
      </c>
      <c r="X6" s="4">
        <f>Depreciation!X8+Depreciation!X9</f>
        <v>16390318.928467002</v>
      </c>
      <c r="Y6" s="4">
        <f>Depreciation!Y8+Depreciation!Y9</f>
        <v>17548617.701762423</v>
      </c>
      <c r="Z6" s="4">
        <f>Depreciation!Z8+Depreciation!Z9</f>
        <v>18764263.909966003</v>
      </c>
      <c r="AA6" s="4">
        <f>Depreciation!AA8+Depreciation!AA9</f>
        <v>20039741.690968014</v>
      </c>
      <c r="AB6" s="4">
        <f>Depreciation!AB8+Depreciation!AB9</f>
        <v>21377635.443710338</v>
      </c>
      <c r="AC6" s="4">
        <f>Depreciation!AC8+Depreciation!AC9</f>
        <v>22780633.701136619</v>
      </c>
      <c r="AD6" s="4">
        <f>Depreciation!AD8+Depreciation!AD9</f>
        <v>24251533.148343831</v>
      </c>
      <c r="AE6" s="4">
        <f>Depreciation!AE8+Depreciation!AE9</f>
        <v>25793242.791262336</v>
      </c>
      <c r="AF6" s="4">
        <f>Depreciation!AF8+Depreciation!AF9</f>
        <v>27408788.281383716</v>
      </c>
      <c r="AG6" s="4"/>
      <c r="AH6" s="4"/>
      <c r="AI6" s="4"/>
      <c r="AJ6" s="4"/>
      <c r="AK6" s="4"/>
      <c r="AL6" s="4"/>
      <c r="AM6" s="4"/>
      <c r="AN6" s="4"/>
      <c r="AO6" s="4"/>
      <c r="AP6" s="4"/>
    </row>
    <row r="7" spans="1:42" x14ac:dyDescent="0.35">
      <c r="A7" t="s">
        <v>23</v>
      </c>
      <c r="C7" s="4">
        <f ca="1">C6+C5</f>
        <v>1924822.7372727678</v>
      </c>
      <c r="D7" s="4">
        <f ca="1">D6+D5</f>
        <v>5043315.8239878286</v>
      </c>
      <c r="E7" s="4">
        <f t="shared" ref="E7:AF7" ca="1" si="1">E6+E5</f>
        <v>7190685.8503180156</v>
      </c>
      <c r="F7" s="4">
        <f t="shared" ca="1" si="1"/>
        <v>9367872.6667735707</v>
      </c>
      <c r="G7" s="4">
        <f ca="1">G6+G5</f>
        <v>11261244.255265005</v>
      </c>
      <c r="H7" s="4">
        <f t="shared" ca="1" si="1"/>
        <v>12945068.05232829</v>
      </c>
      <c r="I7" s="4">
        <f t="shared" ca="1" si="1"/>
        <v>14461468.359987138</v>
      </c>
      <c r="J7" s="4">
        <f t="shared" ca="1" si="1"/>
        <v>16216825.602361754</v>
      </c>
      <c r="K7" s="4">
        <f t="shared" ca="1" si="1"/>
        <v>17655501.41632444</v>
      </c>
      <c r="L7" s="4">
        <f t="shared" ca="1" si="1"/>
        <v>18953742.56316087</v>
      </c>
      <c r="M7" s="4">
        <f t="shared" ca="1" si="1"/>
        <v>20048686.06774351</v>
      </c>
      <c r="N7" s="4">
        <f t="shared" ca="1" si="1"/>
        <v>21236407.336274199</v>
      </c>
      <c r="O7" s="4">
        <f t="shared" ca="1" si="1"/>
        <v>22525136.505482987</v>
      </c>
      <c r="P7" s="4">
        <f t="shared" ca="1" si="1"/>
        <v>23518104.11828696</v>
      </c>
      <c r="Q7" s="4">
        <f t="shared" ca="1" si="1"/>
        <v>24570456.645005643</v>
      </c>
      <c r="R7" s="4">
        <f t="shared" ca="1" si="1"/>
        <v>25686562.08294706</v>
      </c>
      <c r="S7" s="4">
        <f t="shared" ca="1" si="1"/>
        <v>26871104.718841285</v>
      </c>
      <c r="T7" s="4">
        <f t="shared" ca="1" si="1"/>
        <v>28129106.3889178</v>
      </c>
      <c r="U7" s="4">
        <f t="shared" ca="1" si="1"/>
        <v>29465949.073149208</v>
      </c>
      <c r="V7" s="4">
        <f t="shared" ca="1" si="1"/>
        <v>30887398.903061964</v>
      </c>
      <c r="W7" s="4">
        <f t="shared" ca="1" si="1"/>
        <v>32399631.667057909</v>
      </c>
      <c r="X7" s="4">
        <f t="shared" ca="1" si="1"/>
        <v>34009259.901985437</v>
      </c>
      <c r="Y7" s="4">
        <f t="shared" ca="1" si="1"/>
        <v>35723361.664760835</v>
      </c>
      <c r="Z7" s="4">
        <f t="shared" ca="1" si="1"/>
        <v>37549511.083182134</v>
      </c>
      <c r="AA7" s="4">
        <f t="shared" ca="1" si="1"/>
        <v>39495810.790715784</v>
      </c>
      <c r="AB7" s="4">
        <f t="shared" ca="1" si="1"/>
        <v>41570926.355986521</v>
      </c>
      <c r="AC7" s="4">
        <f t="shared" ca="1" si="1"/>
        <v>43784122.823979422</v>
      </c>
      <c r="AD7" s="4">
        <f t="shared" ca="1" si="1"/>
        <v>46145303.492588013</v>
      </c>
      <c r="AE7" s="4">
        <f t="shared" ca="1" si="1"/>
        <v>47810001.4976549</v>
      </c>
      <c r="AF7" s="4">
        <f t="shared" ca="1" si="1"/>
        <v>48644893.550074756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15009408.771177623</v>
      </c>
      <c r="D10" s="9">
        <f>Investment!D25</f>
        <v>15816812.803023307</v>
      </c>
      <c r="E10" s="9">
        <f>Investment!E25</f>
        <v>16660521.05832543</v>
      </c>
      <c r="F10" s="9">
        <f>Investment!F25</f>
        <v>17542030.225656591</v>
      </c>
      <c r="G10" s="9">
        <f>Investment!G25</f>
        <v>18462895.606133223</v>
      </c>
      <c r="H10" s="9">
        <f>Investment!H25</f>
        <v>19424733.332009282</v>
      </c>
      <c r="I10" s="9">
        <f>Investment!I25</f>
        <v>20429222.667240731</v>
      </c>
      <c r="J10" s="9">
        <f>Investment!J25</f>
        <v>21478108.392995022</v>
      </c>
      <c r="K10" s="9">
        <f>Investment!K25</f>
        <v>22573203.281186327</v>
      </c>
      <c r="L10" s="9">
        <f>Investment!L25</f>
        <v>23716390.659227446</v>
      </c>
      <c r="M10" s="9">
        <f>Investment!M25</f>
        <v>24909627.069303267</v>
      </c>
      <c r="N10" s="9">
        <f>Investment!N25</f>
        <v>26154945.025588889</v>
      </c>
      <c r="O10" s="9">
        <f>Investment!O25</f>
        <v>27454455.872957826</v>
      </c>
      <c r="P10" s="9">
        <f>Investment!P25</f>
        <v>28810352.750852164</v>
      </c>
      <c r="Q10" s="9">
        <f>Investment!Q25</f>
        <v>30224913.666117832</v>
      </c>
      <c r="R10" s="9">
        <f>Investment!R25</f>
        <v>31700504.678743646</v>
      </c>
      <c r="S10" s="9">
        <f>Investment!S25</f>
        <v>33239583.204583399</v>
      </c>
      <c r="T10" s="9">
        <f>Investment!T25</f>
        <v>34844701.439285859</v>
      </c>
      <c r="U10" s="9">
        <f>Investment!U25</f>
        <v>36518509.907807782</v>
      </c>
      <c r="V10" s="9">
        <f>Investment!V25</f>
        <v>38263761.144041285</v>
      </c>
      <c r="W10" s="9">
        <f>Investment!W25</f>
        <v>40083313.505248144</v>
      </c>
      <c r="X10" s="9">
        <f>Investment!X25</f>
        <v>41980135.126160726</v>
      </c>
      <c r="Y10" s="9">
        <f>Investment!Y25</f>
        <v>43957308.017782338</v>
      </c>
      <c r="Z10" s="9">
        <f>Investment!Z25</f>
        <v>46018032.316098563</v>
      </c>
      <c r="AA10" s="9">
        <f>Investment!AA25</f>
        <v>48165630.686096817</v>
      </c>
      <c r="AB10" s="9">
        <f>Investment!AB25</f>
        <v>50403552.886683255</v>
      </c>
      <c r="AC10" s="9">
        <f>Investment!AC25</f>
        <v>52735380.502284668</v>
      </c>
      <c r="AD10" s="9">
        <f>Investment!AD25</f>
        <v>55164831.84712863</v>
      </c>
      <c r="AE10" s="9">
        <f>Investment!AE25</f>
        <v>57695767.04840824</v>
      </c>
      <c r="AF10" s="9">
        <f>Investment!AF25</f>
        <v>60332193.314758286</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-13084586.033904856</v>
      </c>
      <c r="D12" s="1">
        <f t="shared" ref="D12:AF12" ca="1" si="2">D7-D9-D10</f>
        <v>-10773496.979035478</v>
      </c>
      <c r="E12" s="1">
        <f ca="1">E7-E9-E10</f>
        <v>-9469835.2080074139</v>
      </c>
      <c r="F12" s="1">
        <f t="shared" ca="1" si="2"/>
        <v>-8174157.5588830207</v>
      </c>
      <c r="G12" s="1">
        <f ca="1">G7-G9-G10</f>
        <v>-7201651.3508682176</v>
      </c>
      <c r="H12" s="1">
        <f t="shared" ca="1" si="2"/>
        <v>-6479665.2796809915</v>
      </c>
      <c r="I12" s="1">
        <f t="shared" ca="1" si="2"/>
        <v>-5967754.3072535936</v>
      </c>
      <c r="J12" s="1">
        <f t="shared" ca="1" si="2"/>
        <v>-5261282.7906332687</v>
      </c>
      <c r="K12" s="1">
        <f t="shared" ca="1" si="2"/>
        <v>-4917701.8648618869</v>
      </c>
      <c r="L12" s="1">
        <f t="shared" ca="1" si="2"/>
        <v>-4762648.0960665755</v>
      </c>
      <c r="M12" s="1">
        <f t="shared" ca="1" si="2"/>
        <v>-4860941.0015597567</v>
      </c>
      <c r="N12" s="1">
        <f t="shared" ca="1" si="2"/>
        <v>-4918537.6893146895</v>
      </c>
      <c r="O12" s="1">
        <f t="shared" ca="1" si="2"/>
        <v>-4929319.3674748391</v>
      </c>
      <c r="P12" s="1">
        <f t="shared" ca="1" si="2"/>
        <v>-5292248.6325652041</v>
      </c>
      <c r="Q12" s="1">
        <f t="shared" ca="1" si="2"/>
        <v>-5654457.0211121887</v>
      </c>
      <c r="R12" s="1">
        <f t="shared" ca="1" si="2"/>
        <v>-6013942.5957965851</v>
      </c>
      <c r="S12" s="1">
        <f t="shared" ca="1" si="2"/>
        <v>-6368478.4857421145</v>
      </c>
      <c r="T12" s="1">
        <f t="shared" ca="1" si="2"/>
        <v>-6715595.0503680594</v>
      </c>
      <c r="U12" s="1">
        <f t="shared" ca="1" si="2"/>
        <v>-7052560.8346585743</v>
      </c>
      <c r="V12" s="1">
        <f t="shared" ca="1" si="2"/>
        <v>-7376362.2409793213</v>
      </c>
      <c r="W12" s="1">
        <f t="shared" ca="1" si="2"/>
        <v>-7683681.8381902352</v>
      </c>
      <c r="X12" s="1">
        <f t="shared" ca="1" si="2"/>
        <v>-7970875.2241752893</v>
      </c>
      <c r="Y12" s="1">
        <f t="shared" ca="1" si="2"/>
        <v>-8233946.3530215025</v>
      </c>
      <c r="Z12" s="1">
        <f t="shared" ca="1" si="2"/>
        <v>-8468521.2329164296</v>
      </c>
      <c r="AA12" s="1">
        <f t="shared" ca="1" si="2"/>
        <v>-8669819.8953810334</v>
      </c>
      <c r="AB12" s="1">
        <f t="shared" ca="1" si="2"/>
        <v>-8832626.5306967348</v>
      </c>
      <c r="AC12" s="1">
        <f t="shared" ca="1" si="2"/>
        <v>-8951257.6783052459</v>
      </c>
      <c r="AD12" s="1">
        <f t="shared" ca="1" si="2"/>
        <v>-9019528.3545406163</v>
      </c>
      <c r="AE12" s="1">
        <f t="shared" ca="1" si="2"/>
        <v>-9885765.5507533401</v>
      </c>
      <c r="AF12" s="1">
        <f t="shared" ca="1" si="2"/>
        <v>-11687299.76468353</v>
      </c>
      <c r="AG12" s="1"/>
      <c r="AH12" s="1"/>
      <c r="AI12" s="1"/>
      <c r="AJ12" s="1"/>
      <c r="AK12" s="1"/>
      <c r="AL12" s="1"/>
      <c r="AM12" s="1"/>
      <c r="AN12" s="1"/>
      <c r="AO12" s="1"/>
      <c r="AP12" s="1"/>
    </row>
    <row r="13" spans="1:42" x14ac:dyDescent="0.35">
      <c r="A13" t="s">
        <v>19</v>
      </c>
      <c r="C13" s="1">
        <f ca="1">C12</f>
        <v>-13084586.033904856</v>
      </c>
      <c r="D13" s="1">
        <f ca="1">D12</f>
        <v>-10773496.979035478</v>
      </c>
      <c r="E13" s="1">
        <f ca="1">E12</f>
        <v>-9469835.2080074139</v>
      </c>
      <c r="F13" s="1">
        <f t="shared" ref="F13:AF13" ca="1" si="3">F12</f>
        <v>-8174157.5588830207</v>
      </c>
      <c r="G13" s="1">
        <f ca="1">G12</f>
        <v>-7201651.3508682176</v>
      </c>
      <c r="H13" s="1">
        <f t="shared" ca="1" si="3"/>
        <v>-6479665.2796809915</v>
      </c>
      <c r="I13" s="1">
        <f t="shared" ca="1" si="3"/>
        <v>-5967754.3072535936</v>
      </c>
      <c r="J13" s="1">
        <f t="shared" ca="1" si="3"/>
        <v>-5261282.7906332687</v>
      </c>
      <c r="K13" s="1">
        <f t="shared" ca="1" si="3"/>
        <v>-4917701.8648618869</v>
      </c>
      <c r="L13" s="1">
        <f t="shared" ca="1" si="3"/>
        <v>-4762648.0960665755</v>
      </c>
      <c r="M13" s="1">
        <f t="shared" ca="1" si="3"/>
        <v>-4860941.0015597567</v>
      </c>
      <c r="N13" s="1">
        <f t="shared" ca="1" si="3"/>
        <v>-4918537.6893146895</v>
      </c>
      <c r="O13" s="1">
        <f t="shared" ca="1" si="3"/>
        <v>-4929319.3674748391</v>
      </c>
      <c r="P13" s="1">
        <f t="shared" ca="1" si="3"/>
        <v>-5292248.6325652041</v>
      </c>
      <c r="Q13" s="1">
        <f t="shared" ca="1" si="3"/>
        <v>-5654457.0211121887</v>
      </c>
      <c r="R13" s="1">
        <f t="shared" ca="1" si="3"/>
        <v>-6013942.5957965851</v>
      </c>
      <c r="S13" s="1">
        <f t="shared" ca="1" si="3"/>
        <v>-6368478.4857421145</v>
      </c>
      <c r="T13" s="1">
        <f t="shared" ca="1" si="3"/>
        <v>-6715595.0503680594</v>
      </c>
      <c r="U13" s="1">
        <f t="shared" ca="1" si="3"/>
        <v>-7052560.8346585743</v>
      </c>
      <c r="V13" s="1">
        <f t="shared" ca="1" si="3"/>
        <v>-7376362.2409793213</v>
      </c>
      <c r="W13" s="1">
        <f t="shared" ca="1" si="3"/>
        <v>-7683681.8381902352</v>
      </c>
      <c r="X13" s="1">
        <f t="shared" ca="1" si="3"/>
        <v>-7970875.2241752893</v>
      </c>
      <c r="Y13" s="1">
        <f t="shared" ca="1" si="3"/>
        <v>-8233946.3530215025</v>
      </c>
      <c r="Z13" s="1">
        <f t="shared" ca="1" si="3"/>
        <v>-8468521.2329164296</v>
      </c>
      <c r="AA13" s="1">
        <f t="shared" ca="1" si="3"/>
        <v>-8669819.8953810334</v>
      </c>
      <c r="AB13" s="1">
        <f t="shared" ca="1" si="3"/>
        <v>-8832626.5306967348</v>
      </c>
      <c r="AC13" s="1">
        <f t="shared" ca="1" si="3"/>
        <v>-8951257.6783052459</v>
      </c>
      <c r="AD13" s="1">
        <f t="shared" ca="1" si="3"/>
        <v>-9019528.3545406163</v>
      </c>
      <c r="AE13" s="1">
        <f t="shared" ca="1" si="3"/>
        <v>-9885765.5507533401</v>
      </c>
      <c r="AF13" s="1">
        <f t="shared" ca="1" si="3"/>
        <v>-11687299.76468353</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140</v>
      </c>
      <c r="C6" s="9">
        <f>Assumptions!C17</f>
        <v>102405000.00000001</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51202500.000000007</v>
      </c>
      <c r="D7" s="9">
        <f>C12</f>
        <v>53005232.771177635</v>
      </c>
      <c r="E7" s="9">
        <f>D12</f>
        <v>55192755.942200944</v>
      </c>
      <c r="F7" s="9">
        <f t="shared" ref="F7:H7" si="1">E12</f>
        <v>57787850.100302376</v>
      </c>
      <c r="G7" s="9">
        <f t="shared" si="1"/>
        <v>60814359.764927797</v>
      </c>
      <c r="H7" s="9">
        <f t="shared" si="1"/>
        <v>64297238.152076855</v>
      </c>
      <c r="I7" s="9">
        <f t="shared" ref="I7" si="2">H12</f>
        <v>68262593.71409449</v>
      </c>
      <c r="J7" s="9">
        <f t="shared" ref="J7" si="3">I12</f>
        <v>72737738.522703826</v>
      </c>
      <c r="K7" s="9">
        <f t="shared" ref="K7" si="4">J12</f>
        <v>77751238.565591261</v>
      </c>
      <c r="L7" s="9">
        <f t="shared" ref="L7" si="5">K12</f>
        <v>83332966.029466555</v>
      </c>
      <c r="M7" s="9">
        <f t="shared" ref="M7" si="6">L12</f>
        <v>89514153.645229012</v>
      </c>
      <c r="N7" s="9">
        <f t="shared" ref="N7" si="7">M12</f>
        <v>96327451.173676401</v>
      </c>
      <c r="O7" s="9">
        <f t="shared" ref="O7" si="8">N12</f>
        <v>103806984.11310202</v>
      </c>
      <c r="P7" s="9">
        <f t="shared" ref="P7" si="9">O12</f>
        <v>111988414.71313937</v>
      </c>
      <c r="Q7" s="9">
        <f t="shared" ref="Q7" si="10">P12</f>
        <v>120909005.3823376</v>
      </c>
      <c r="R7" s="9">
        <f t="shared" ref="R7" si="11">Q12</f>
        <v>130607684.58018859</v>
      </c>
      <c r="S7" s="9">
        <f t="shared" ref="S7" si="12">R12</f>
        <v>141125115.28768083</v>
      </c>
      <c r="T7" s="9">
        <f t="shared" ref="T7" si="13">S12</f>
        <v>152503766.15393281</v>
      </c>
      <c r="U7" s="9">
        <f t="shared" ref="U7" si="14">T12</f>
        <v>164787985.42006063</v>
      </c>
      <c r="V7" s="9">
        <f t="shared" ref="V7" si="15">U12</f>
        <v>178024077.7251693</v>
      </c>
      <c r="W7" s="9">
        <f t="shared" ref="W7" si="16">V12</f>
        <v>192260383.90322512</v>
      </c>
      <c r="X7" s="9">
        <f t="shared" ref="X7" si="17">W12</f>
        <v>207547363.88357624</v>
      </c>
      <c r="Y7" s="9">
        <f t="shared" ref="Y7" si="18">X12</f>
        <v>223937682.81204325</v>
      </c>
      <c r="Z7" s="9">
        <f t="shared" ref="Z7" si="19">Y12</f>
        <v>241486300.51380569</v>
      </c>
      <c r="AA7" s="9">
        <f t="shared" ref="AA7" si="20">Z12</f>
        <v>260250564.42377168</v>
      </c>
      <c r="AB7" s="9">
        <f t="shared" ref="AB7" si="21">AA12</f>
        <v>280290306.11473972</v>
      </c>
      <c r="AC7" s="9">
        <f t="shared" ref="AC7" si="22">AB12</f>
        <v>301667941.55845004</v>
      </c>
      <c r="AD7" s="9">
        <f t="shared" ref="AD7" si="23">AC12</f>
        <v>324448575.25958663</v>
      </c>
      <c r="AE7" s="9">
        <f t="shared" ref="AE7" si="24">AD12</f>
        <v>348700108.40793043</v>
      </c>
      <c r="AF7" s="9">
        <f t="shared" ref="AF7" si="25">AE12</f>
        <v>374493351.19919276</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141</v>
      </c>
      <c r="C8" s="9">
        <f>Assumptions!D111*Assumptions!D11</f>
        <v>1485772.5471776247</v>
      </c>
      <c r="D8" s="9">
        <f>Assumptions!E111*Assumptions!E11</f>
        <v>1533317.2686873088</v>
      </c>
      <c r="E8" s="9">
        <f>Assumptions!F111*Assumptions!F11</f>
        <v>1582383.4212853024</v>
      </c>
      <c r="F8" s="9">
        <f>Assumptions!G111*Assumptions!G11</f>
        <v>1633019.6907664321</v>
      </c>
      <c r="G8" s="9">
        <f>Assumptions!H111*Assumptions!H11</f>
        <v>1685276.320870958</v>
      </c>
      <c r="H8" s="9">
        <f>Assumptions!I111*Assumptions!I11</f>
        <v>1739205.1631388285</v>
      </c>
      <c r="I8" s="9">
        <f>Assumptions!J111*Assumptions!J11</f>
        <v>1794859.7283592708</v>
      </c>
      <c r="J8" s="9">
        <f>Assumptions!K111*Assumptions!K11</f>
        <v>1852295.2396667679</v>
      </c>
      <c r="K8" s="9">
        <f>Assumptions!L111*Assumptions!L11</f>
        <v>1911568.6873361045</v>
      </c>
      <c r="L8" s="9">
        <f>Assumptions!M111*Assumptions!M11</f>
        <v>1972738.8853308596</v>
      </c>
      <c r="M8" s="9">
        <f>Assumptions!N111*Assumptions!N11</f>
        <v>2035866.529661447</v>
      </c>
      <c r="N8" s="9">
        <f>Assumptions!O111*Assumptions!O11</f>
        <v>2101014.2586106136</v>
      </c>
      <c r="O8" s="9">
        <f>Assumptions!P111*Assumptions!P11</f>
        <v>2168246.7148861531</v>
      </c>
      <c r="P8" s="9">
        <f>Assumptions!Q111*Assumptions!Q11</f>
        <v>2237630.6097625098</v>
      </c>
      <c r="Q8" s="9">
        <f>Assumptions!R111*Assumptions!R11</f>
        <v>2309234.7892749095</v>
      </c>
      <c r="R8" s="9">
        <f>Assumptions!S111*Assumptions!S11</f>
        <v>2383130.3025317076</v>
      </c>
      <c r="S8" s="9">
        <f>Assumptions!T111*Assumptions!T11</f>
        <v>2459390.4722127221</v>
      </c>
      <c r="T8" s="9">
        <f>Assumptions!U111*Assumptions!U11</f>
        <v>2538090.9673235291</v>
      </c>
      <c r="U8" s="9">
        <f>Assumptions!V111*Assumptions!V11</f>
        <v>2619309.8782778815</v>
      </c>
      <c r="V8" s="9">
        <f>Assumptions!W111*Assumptions!W11</f>
        <v>2703127.7943827743</v>
      </c>
      <c r="W8" s="9">
        <f>Assumptions!X111*Assumptions!X11</f>
        <v>2789627.8838030235</v>
      </c>
      <c r="X8" s="9">
        <f>Assumptions!Y111*Assumptions!Y11</f>
        <v>2878895.9760847194</v>
      </c>
      <c r="Y8" s="9">
        <f>Assumptions!Z111*Assumptions!Z11</f>
        <v>2971020.64731943</v>
      </c>
      <c r="Z8" s="9">
        <f>Assumptions!AA111*Assumptions!AA11</f>
        <v>3066093.3080336521</v>
      </c>
      <c r="AA8" s="9">
        <f>Assumptions!AB111*Assumptions!AB11</f>
        <v>3164208.29389073</v>
      </c>
      <c r="AB8" s="9">
        <f>Assumptions!AC111*Assumptions!AC11</f>
        <v>3265462.9592952323</v>
      </c>
      <c r="AC8" s="9">
        <f>Assumptions!AD111*Assumptions!AD11</f>
        <v>3369957.7739926795</v>
      </c>
      <c r="AD8" s="9">
        <f>Assumptions!AE111*Assumptions!AE11</f>
        <v>3477796.4227604461</v>
      </c>
      <c r="AE8" s="9">
        <f>Assumptions!AF111*Assumptions!AF11</f>
        <v>3589085.9082887801</v>
      </c>
      <c r="AF8" s="9">
        <f>Assumptions!AG111*Assumptions!AG11</f>
        <v>3703936.6573540205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316960.22399999999</v>
      </c>
      <c r="D9" s="9">
        <f>Assumptions!E120*Assumptions!E11</f>
        <v>654205.902336</v>
      </c>
      <c r="E9" s="9">
        <f>Assumptions!F120*Assumptions!F11</f>
        <v>1012710.7368161279</v>
      </c>
      <c r="F9" s="9">
        <f>Assumptions!G120*Assumptions!G11</f>
        <v>1393489.9738589921</v>
      </c>
      <c r="G9" s="9">
        <f>Assumptions!H120*Assumptions!H11</f>
        <v>1797602.0662780995</v>
      </c>
      <c r="H9" s="9">
        <f>Assumptions!I120*Assumptions!I11</f>
        <v>2226150.3988787988</v>
      </c>
      <c r="I9" s="9">
        <f>Assumptions!J120*Assumptions!J11</f>
        <v>2680285.0802500732</v>
      </c>
      <c r="J9" s="9">
        <f>Assumptions!K120*Assumptions!K11</f>
        <v>3161204.8032206581</v>
      </c>
      <c r="K9" s="9">
        <f>Assumptions!L120*Assumptions!L11</f>
        <v>3670158.7765391846</v>
      </c>
      <c r="L9" s="9">
        <f>Assumptions!M120*Assumptions!M11</f>
        <v>4208448.7304315986</v>
      </c>
      <c r="M9" s="9">
        <f>Assumptions!N120*Assumptions!N11</f>
        <v>4777430.9987859493</v>
      </c>
      <c r="N9" s="9">
        <f>Assumptions!O120*Assumptions!O11</f>
        <v>5378518.6808150187</v>
      </c>
      <c r="O9" s="9">
        <f>Assumptions!P120*Assumptions!P11</f>
        <v>6013183.8851511907</v>
      </c>
      <c r="P9" s="9">
        <f>Assumptions!Q120*Assumptions!Q11</f>
        <v>6682960.0594357215</v>
      </c>
      <c r="Q9" s="9">
        <f>Assumptions!R120*Assumptions!R11</f>
        <v>7389444.4085760675</v>
      </c>
      <c r="R9" s="9">
        <f>Assumptions!S120*Assumptions!S11</f>
        <v>8134300.4049605373</v>
      </c>
      <c r="S9" s="9">
        <f>Assumptions!T120*Assumptions!T11</f>
        <v>8919260.3940392304</v>
      </c>
      <c r="T9" s="9">
        <f>Assumptions!U120*Assumptions!U11</f>
        <v>9746128.2988042776</v>
      </c>
      <c r="U9" s="9">
        <f>Assumptions!V120*Assumptions!V11</f>
        <v>10616782.426830789</v>
      </c>
      <c r="V9" s="9">
        <f>Assumptions!W120*Assumptions!W11</f>
        <v>11533178.383673029</v>
      </c>
      <c r="W9" s="9">
        <f>Assumptions!X120*Assumptions!X11</f>
        <v>12497352.096548097</v>
      </c>
      <c r="X9" s="9">
        <f>Assumptions!Y120*Assumptions!Y11</f>
        <v>13511422.952382281</v>
      </c>
      <c r="Y9" s="9">
        <f>Assumptions!Z120*Assumptions!Z11</f>
        <v>14577597.054442992</v>
      </c>
      <c r="Z9" s="9">
        <f>Assumptions!AA120*Assumptions!AA11</f>
        <v>15698170.601932352</v>
      </c>
      <c r="AA9" s="9">
        <f>Assumptions!AB120*Assumptions!AB11</f>
        <v>16875533.397077285</v>
      </c>
      <c r="AB9" s="9">
        <f>Assumptions!AC120*Assumptions!AC11</f>
        <v>18112172.484415106</v>
      </c>
      <c r="AC9" s="9">
        <f>Assumptions!AD120*Assumptions!AD11</f>
        <v>19410675.927143939</v>
      </c>
      <c r="AD9" s="9">
        <f>Assumptions!AE120*Assumptions!AE11</f>
        <v>20773736.725583386</v>
      </c>
      <c r="AE9" s="9">
        <f>Assumptions!AF120*Assumptions!AF11</f>
        <v>22204156.882973555</v>
      </c>
      <c r="AF9" s="9">
        <f>Assumptions!AG120*Assumptions!AG11</f>
        <v>23704851.624029696</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1802732.7711776246</v>
      </c>
      <c r="D10" s="9">
        <f>SUM($C$8:D9)</f>
        <v>3990255.9422009336</v>
      </c>
      <c r="E10" s="9">
        <f>SUM($C$8:E9)</f>
        <v>6585350.1003023637</v>
      </c>
      <c r="F10" s="9">
        <f>SUM($C$8:F9)</f>
        <v>9611859.7649277896</v>
      </c>
      <c r="G10" s="9">
        <f>SUM($C$8:G9)</f>
        <v>13094738.152076848</v>
      </c>
      <c r="H10" s="9">
        <f>SUM($C$8:H9)</f>
        <v>17060093.714094475</v>
      </c>
      <c r="I10" s="9">
        <f>SUM($C$8:I9)</f>
        <v>21535238.522703819</v>
      </c>
      <c r="J10" s="9">
        <f>SUM($C$8:J9)</f>
        <v>26548738.565591242</v>
      </c>
      <c r="K10" s="9">
        <f>SUM($C$8:K9)</f>
        <v>32130466.029466532</v>
      </c>
      <c r="L10" s="9">
        <f>SUM($C$8:L9)</f>
        <v>38311653.645228997</v>
      </c>
      <c r="M10" s="9">
        <f>SUM($C$8:M9)</f>
        <v>45124951.173676394</v>
      </c>
      <c r="N10" s="9">
        <f>SUM($C$8:N9)</f>
        <v>52604484.113102019</v>
      </c>
      <c r="O10" s="9">
        <f>SUM($C$8:O9)</f>
        <v>60785914.713139363</v>
      </c>
      <c r="P10" s="9">
        <f>SUM($C$8:P9)</f>
        <v>69706505.3823376</v>
      </c>
      <c r="Q10" s="9">
        <f>SUM($C$8:Q9)</f>
        <v>79405184.580188572</v>
      </c>
      <c r="R10" s="9">
        <f>SUM($C$8:R9)</f>
        <v>89922615.28768082</v>
      </c>
      <c r="S10" s="9">
        <f>SUM($C$8:S9)</f>
        <v>101301266.15393277</v>
      </c>
      <c r="T10" s="9">
        <f>SUM($C$8:T9)</f>
        <v>113585485.42006059</v>
      </c>
      <c r="U10" s="9">
        <f>SUM($C$8:U9)</f>
        <v>126821577.72516926</v>
      </c>
      <c r="V10" s="9">
        <f>SUM($C$8:V9)</f>
        <v>141057883.90322506</v>
      </c>
      <c r="W10" s="9">
        <f>SUM($C$8:W9)</f>
        <v>156344863.88357618</v>
      </c>
      <c r="X10" s="9">
        <f>SUM($C$8:X9)</f>
        <v>172735182.81204319</v>
      </c>
      <c r="Y10" s="9">
        <f>SUM($C$8:Y9)</f>
        <v>190283800.51380563</v>
      </c>
      <c r="Z10" s="9">
        <f>SUM($C$8:Z9)</f>
        <v>209048064.42377168</v>
      </c>
      <c r="AA10" s="9">
        <f>SUM($C$8:AA9)</f>
        <v>229087806.11473969</v>
      </c>
      <c r="AB10" s="9">
        <f>SUM($C$8:AB9)</f>
        <v>250465441.55845001</v>
      </c>
      <c r="AC10" s="9">
        <f>SUM($C$8:AC9)</f>
        <v>273246075.25958663</v>
      </c>
      <c r="AD10" s="9">
        <f>SUM($C$8:AD9)</f>
        <v>297497608.40793049</v>
      </c>
      <c r="AE10" s="9">
        <f>SUM($C$8:AE9)</f>
        <v>323290851.19919282</v>
      </c>
      <c r="AF10" s="9">
        <f>SUM($C$8:AF9)</f>
        <v>350699639.48057657</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53005232.771177635</v>
      </c>
      <c r="D12" s="9">
        <f>D7+D8+D9</f>
        <v>55192755.942200944</v>
      </c>
      <c r="E12" s="9">
        <f>E7+E8+E9</f>
        <v>57787850.100302376</v>
      </c>
      <c r="F12" s="9">
        <f t="shared" ref="F12:H12" si="26">F7+F8+F9</f>
        <v>60814359.764927797</v>
      </c>
      <c r="G12" s="9">
        <f t="shared" si="26"/>
        <v>64297238.152076855</v>
      </c>
      <c r="H12" s="9">
        <f t="shared" si="26"/>
        <v>68262593.71409449</v>
      </c>
      <c r="I12" s="9">
        <f t="shared" ref="I12:AF12" si="27">I7+I8+I9</f>
        <v>72737738.522703826</v>
      </c>
      <c r="J12" s="9">
        <f t="shared" si="27"/>
        <v>77751238.565591261</v>
      </c>
      <c r="K12" s="9">
        <f t="shared" si="27"/>
        <v>83332966.029466555</v>
      </c>
      <c r="L12" s="9">
        <f t="shared" si="27"/>
        <v>89514153.645229012</v>
      </c>
      <c r="M12" s="9">
        <f t="shared" si="27"/>
        <v>96327451.173676401</v>
      </c>
      <c r="N12" s="9">
        <f t="shared" si="27"/>
        <v>103806984.11310202</v>
      </c>
      <c r="O12" s="9">
        <f t="shared" si="27"/>
        <v>111988414.71313937</v>
      </c>
      <c r="P12" s="9">
        <f t="shared" si="27"/>
        <v>120909005.3823376</v>
      </c>
      <c r="Q12" s="9">
        <f t="shared" si="27"/>
        <v>130607684.58018859</v>
      </c>
      <c r="R12" s="9">
        <f t="shared" si="27"/>
        <v>141125115.28768083</v>
      </c>
      <c r="S12" s="9">
        <f t="shared" si="27"/>
        <v>152503766.15393281</v>
      </c>
      <c r="T12" s="9">
        <f t="shared" si="27"/>
        <v>164787985.42006063</v>
      </c>
      <c r="U12" s="9">
        <f t="shared" si="27"/>
        <v>178024077.7251693</v>
      </c>
      <c r="V12" s="9">
        <f t="shared" si="27"/>
        <v>192260383.90322512</v>
      </c>
      <c r="W12" s="9">
        <f t="shared" si="27"/>
        <v>207547363.88357624</v>
      </c>
      <c r="X12" s="9">
        <f t="shared" si="27"/>
        <v>223937682.81204325</v>
      </c>
      <c r="Y12" s="9">
        <f t="shared" si="27"/>
        <v>241486300.51380569</v>
      </c>
      <c r="Z12" s="9">
        <f t="shared" si="27"/>
        <v>260250564.42377168</v>
      </c>
      <c r="AA12" s="9">
        <f t="shared" si="27"/>
        <v>280290306.11473972</v>
      </c>
      <c r="AB12" s="9">
        <f t="shared" si="27"/>
        <v>301667941.55845004</v>
      </c>
      <c r="AC12" s="9">
        <f t="shared" si="27"/>
        <v>324448575.25958663</v>
      </c>
      <c r="AD12" s="9">
        <f t="shared" si="27"/>
        <v>348700108.40793043</v>
      </c>
      <c r="AE12" s="9">
        <f t="shared" si="27"/>
        <v>374493351.19919276</v>
      </c>
      <c r="AF12" s="9">
        <f t="shared" si="27"/>
        <v>401902139.48057646</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15009408.771177623</v>
      </c>
      <c r="D18" s="9">
        <f>Investment!D25</f>
        <v>15816812.803023307</v>
      </c>
      <c r="E18" s="9">
        <f>Investment!E25</f>
        <v>16660521.05832543</v>
      </c>
      <c r="F18" s="9">
        <f>Investment!F25</f>
        <v>17542030.225656591</v>
      </c>
      <c r="G18" s="9">
        <f>Investment!G25</f>
        <v>18462895.606133223</v>
      </c>
      <c r="H18" s="9">
        <f>Investment!H25</f>
        <v>19424733.332009282</v>
      </c>
      <c r="I18" s="9">
        <f>Investment!I25</f>
        <v>20429222.667240731</v>
      </c>
      <c r="J18" s="9">
        <f>Investment!J25</f>
        <v>21478108.392995022</v>
      </c>
      <c r="K18" s="9">
        <f>Investment!K25</f>
        <v>22573203.281186327</v>
      </c>
      <c r="L18" s="9">
        <f>Investment!L25</f>
        <v>23716390.659227446</v>
      </c>
      <c r="M18" s="9">
        <f>Investment!M25</f>
        <v>24909627.069303267</v>
      </c>
      <c r="N18" s="9">
        <f>Investment!N25</f>
        <v>26154945.025588889</v>
      </c>
      <c r="O18" s="9">
        <f>Investment!O25</f>
        <v>27454455.872957826</v>
      </c>
      <c r="P18" s="9">
        <f>Investment!P25</f>
        <v>28810352.750852164</v>
      </c>
      <c r="Q18" s="9">
        <f>Investment!Q25</f>
        <v>30224913.666117832</v>
      </c>
      <c r="R18" s="9">
        <f>Investment!R25</f>
        <v>31700504.678743646</v>
      </c>
      <c r="S18" s="9">
        <f>Investment!S25</f>
        <v>33239583.204583399</v>
      </c>
      <c r="T18" s="9">
        <f>Investment!T25</f>
        <v>34844701.439285859</v>
      </c>
      <c r="U18" s="9">
        <f>Investment!U25</f>
        <v>36518509.907807782</v>
      </c>
      <c r="V18" s="9">
        <f>Investment!V25</f>
        <v>38263761.144041285</v>
      </c>
      <c r="W18" s="9">
        <f>Investment!W25</f>
        <v>40083313.505248144</v>
      </c>
      <c r="X18" s="9">
        <f>Investment!X25</f>
        <v>41980135.126160726</v>
      </c>
      <c r="Y18" s="9">
        <f>Investment!Y25</f>
        <v>43957308.017782338</v>
      </c>
      <c r="Z18" s="9">
        <f>Investment!Z25</f>
        <v>46018032.316098563</v>
      </c>
      <c r="AA18" s="9">
        <f>Investment!AA25</f>
        <v>48165630.686096817</v>
      </c>
      <c r="AB18" s="9">
        <f>Investment!AB25</f>
        <v>50403552.886683255</v>
      </c>
      <c r="AC18" s="9">
        <f>Investment!AC25</f>
        <v>52735380.502284668</v>
      </c>
      <c r="AD18" s="9">
        <f>Investment!AD25</f>
        <v>55164831.84712863</v>
      </c>
      <c r="AE18" s="9">
        <f>Investment!AE25</f>
        <v>57695767.04840824</v>
      </c>
      <c r="AF18" s="9">
        <f>Investment!AF25</f>
        <v>60332193.314758286</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66211908.771177635</v>
      </c>
      <c r="D19" s="9">
        <f>D18+C20</f>
        <v>80225988.803023309</v>
      </c>
      <c r="E19" s="9">
        <f>E18+D20</f>
        <v>94698986.690325424</v>
      </c>
      <c r="F19" s="9">
        <f t="shared" ref="F19:AF19" si="28">F18+E20</f>
        <v>109645922.7578806</v>
      </c>
      <c r="G19" s="9">
        <f t="shared" si="28"/>
        <v>125082308.69938838</v>
      </c>
      <c r="H19" s="9">
        <f t="shared" si="28"/>
        <v>141024163.6442486</v>
      </c>
      <c r="I19" s="9">
        <f t="shared" si="28"/>
        <v>157488030.74947169</v>
      </c>
      <c r="J19" s="9">
        <f t="shared" si="28"/>
        <v>174490994.33385736</v>
      </c>
      <c r="K19" s="9">
        <f t="shared" si="28"/>
        <v>192050697.57215625</v>
      </c>
      <c r="L19" s="9">
        <f t="shared" si="28"/>
        <v>210185360.76750839</v>
      </c>
      <c r="M19" s="9">
        <f t="shared" si="28"/>
        <v>228913800.22104922</v>
      </c>
      <c r="N19" s="9">
        <f t="shared" si="28"/>
        <v>248255447.71819073</v>
      </c>
      <c r="O19" s="9">
        <f t="shared" si="28"/>
        <v>268230370.65172294</v>
      </c>
      <c r="P19" s="9">
        <f t="shared" si="28"/>
        <v>288859292.80253774</v>
      </c>
      <c r="Q19" s="9">
        <f t="shared" si="28"/>
        <v>310163615.79945737</v>
      </c>
      <c r="R19" s="9">
        <f t="shared" si="28"/>
        <v>332165441.28035003</v>
      </c>
      <c r="S19" s="9">
        <f t="shared" si="28"/>
        <v>354887593.7774412</v>
      </c>
      <c r="T19" s="9">
        <f t="shared" si="28"/>
        <v>378353644.35047513</v>
      </c>
      <c r="U19" s="9">
        <f t="shared" si="28"/>
        <v>402587934.99215508</v>
      </c>
      <c r="V19" s="9">
        <f t="shared" si="28"/>
        <v>427615603.83108771</v>
      </c>
      <c r="W19" s="9">
        <f t="shared" si="28"/>
        <v>453462611.15828007</v>
      </c>
      <c r="X19" s="9">
        <f t="shared" si="28"/>
        <v>480155766.30408973</v>
      </c>
      <c r="Y19" s="9">
        <f t="shared" si="28"/>
        <v>507722755.39340508</v>
      </c>
      <c r="Z19" s="9">
        <f t="shared" si="28"/>
        <v>536192170.00774121</v>
      </c>
      <c r="AA19" s="9">
        <f t="shared" si="28"/>
        <v>565593536.78387201</v>
      </c>
      <c r="AB19" s="9">
        <f t="shared" si="28"/>
        <v>595957347.9795872</v>
      </c>
      <c r="AC19" s="9">
        <f t="shared" si="28"/>
        <v>627315093.03816152</v>
      </c>
      <c r="AD19" s="9">
        <f t="shared" si="28"/>
        <v>659699291.18415356</v>
      </c>
      <c r="AE19" s="9">
        <f t="shared" si="28"/>
        <v>693143525.08421791</v>
      </c>
      <c r="AF19" s="9">
        <f t="shared" si="28"/>
        <v>727682475.60771382</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64409176.000000007</v>
      </c>
      <c r="D20" s="9">
        <f>D19-D8-D9</f>
        <v>78038465.631999999</v>
      </c>
      <c r="E20" s="9">
        <f t="shared" ref="E20:AF20" si="29">E19-E8-E9</f>
        <v>92103892.532224</v>
      </c>
      <c r="F20" s="9">
        <f t="shared" si="29"/>
        <v>106619413.09325516</v>
      </c>
      <c r="G20" s="9">
        <f t="shared" si="29"/>
        <v>121599430.31223933</v>
      </c>
      <c r="H20" s="9">
        <f t="shared" si="29"/>
        <v>137058808.08223096</v>
      </c>
      <c r="I20" s="9">
        <f t="shared" si="29"/>
        <v>153012885.94086233</v>
      </c>
      <c r="J20" s="9">
        <f t="shared" si="29"/>
        <v>169477494.29096994</v>
      </c>
      <c r="K20" s="9">
        <f t="shared" si="29"/>
        <v>186468970.10828096</v>
      </c>
      <c r="L20" s="9">
        <f t="shared" si="29"/>
        <v>204004173.15174595</v>
      </c>
      <c r="M20" s="9">
        <f t="shared" si="29"/>
        <v>222100502.69260183</v>
      </c>
      <c r="N20" s="9">
        <f t="shared" si="29"/>
        <v>240775914.77876511</v>
      </c>
      <c r="O20" s="9">
        <f t="shared" si="29"/>
        <v>260048940.0516856</v>
      </c>
      <c r="P20" s="9">
        <f t="shared" si="29"/>
        <v>279938702.13333952</v>
      </c>
      <c r="Q20" s="9">
        <f t="shared" si="29"/>
        <v>300464936.60160637</v>
      </c>
      <c r="R20" s="9">
        <f t="shared" si="29"/>
        <v>321648010.5728578</v>
      </c>
      <c r="S20" s="9">
        <f t="shared" si="29"/>
        <v>343508942.91118926</v>
      </c>
      <c r="T20" s="9">
        <f t="shared" si="29"/>
        <v>366069425.08434731</v>
      </c>
      <c r="U20" s="9">
        <f t="shared" si="29"/>
        <v>389351842.68704641</v>
      </c>
      <c r="V20" s="9">
        <f t="shared" si="29"/>
        <v>413379297.65303195</v>
      </c>
      <c r="W20" s="9">
        <f t="shared" si="29"/>
        <v>438175631.17792898</v>
      </c>
      <c r="X20" s="9">
        <f t="shared" si="29"/>
        <v>463765447.37562275</v>
      </c>
      <c r="Y20" s="9">
        <f t="shared" si="29"/>
        <v>490174137.69164264</v>
      </c>
      <c r="Z20" s="9">
        <f t="shared" si="29"/>
        <v>517427906.09777522</v>
      </c>
      <c r="AA20" s="9">
        <f t="shared" si="29"/>
        <v>545553795.09290397</v>
      </c>
      <c r="AB20" s="9">
        <f t="shared" si="29"/>
        <v>574579712.53587687</v>
      </c>
      <c r="AC20" s="9">
        <f t="shared" si="29"/>
        <v>604534459.33702493</v>
      </c>
      <c r="AD20" s="9">
        <f t="shared" si="29"/>
        <v>635447758.03580964</v>
      </c>
      <c r="AE20" s="9">
        <f t="shared" si="29"/>
        <v>667350282.29295552</v>
      </c>
      <c r="AF20" s="9">
        <f t="shared" si="29"/>
        <v>700273687.32633018</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8599000</v>
      </c>
      <c r="D22" s="9">
        <f ca="1">'Balance Sheet'!C11</f>
        <v>21683586.033904858</v>
      </c>
      <c r="E22" s="9">
        <f ca="1">'Balance Sheet'!D11</f>
        <v>32457083.012940336</v>
      </c>
      <c r="F22" s="9">
        <f ca="1">'Balance Sheet'!E11</f>
        <v>41926918.22094775</v>
      </c>
      <c r="G22" s="9">
        <f ca="1">'Balance Sheet'!F11</f>
        <v>50101075.779830769</v>
      </c>
      <c r="H22" s="9">
        <f ca="1">'Balance Sheet'!G11</f>
        <v>57302727.130698986</v>
      </c>
      <c r="I22" s="9">
        <f ca="1">'Balance Sheet'!H11</f>
        <v>63782392.410379976</v>
      </c>
      <c r="J22" s="9">
        <f ca="1">'Balance Sheet'!I11</f>
        <v>69750146.717633575</v>
      </c>
      <c r="K22" s="9">
        <f ca="1">'Balance Sheet'!J11</f>
        <v>75011429.508266836</v>
      </c>
      <c r="L22" s="9">
        <f ca="1">'Balance Sheet'!K11</f>
        <v>79929131.373128727</v>
      </c>
      <c r="M22" s="9">
        <f ca="1">'Balance Sheet'!L11</f>
        <v>84691779.469195306</v>
      </c>
      <c r="N22" s="9">
        <f ca="1">'Balance Sheet'!M11</f>
        <v>89552720.47075507</v>
      </c>
      <c r="O22" s="9">
        <f ca="1">'Balance Sheet'!N11</f>
        <v>94471258.160069764</v>
      </c>
      <c r="P22" s="9">
        <f ca="1">'Balance Sheet'!O11</f>
        <v>99400577.527544603</v>
      </c>
      <c r="Q22" s="9">
        <f ca="1">'Balance Sheet'!P11</f>
        <v>104692826.1601098</v>
      </c>
      <c r="R22" s="9">
        <f ca="1">'Balance Sheet'!Q11</f>
        <v>110347283.18122199</v>
      </c>
      <c r="S22" s="9">
        <f ca="1">'Balance Sheet'!R11</f>
        <v>116361225.77701858</v>
      </c>
      <c r="T22" s="9">
        <f ca="1">'Balance Sheet'!S11</f>
        <v>122729704.2627607</v>
      </c>
      <c r="U22" s="9">
        <f ca="1">'Balance Sheet'!T11</f>
        <v>129445299.31312875</v>
      </c>
      <c r="V22" s="9">
        <f ca="1">'Balance Sheet'!U11</f>
        <v>136497860.14778733</v>
      </c>
      <c r="W22" s="9">
        <f ca="1">'Balance Sheet'!V11</f>
        <v>143874222.38876665</v>
      </c>
      <c r="X22" s="9">
        <f ca="1">'Balance Sheet'!W11</f>
        <v>151557904.22695687</v>
      </c>
      <c r="Y22" s="9">
        <f ca="1">'Balance Sheet'!X11</f>
        <v>159528779.45113218</v>
      </c>
      <c r="Z22" s="9">
        <f ca="1">'Balance Sheet'!Y11</f>
        <v>167762725.80415368</v>
      </c>
      <c r="AA22" s="9">
        <f ca="1">'Balance Sheet'!Z11</f>
        <v>176231247.0370701</v>
      </c>
      <c r="AB22" s="9">
        <f ca="1">'Balance Sheet'!AA11</f>
        <v>184901066.93245113</v>
      </c>
      <c r="AC22" s="9">
        <f ca="1">'Balance Sheet'!AB11</f>
        <v>193733693.46314788</v>
      </c>
      <c r="AD22" s="9">
        <f ca="1">'Balance Sheet'!AC11</f>
        <v>202684951.14145312</v>
      </c>
      <c r="AE22" s="9">
        <f ca="1">'Balance Sheet'!AD11</f>
        <v>211704479.49599373</v>
      </c>
      <c r="AF22" s="9">
        <f ca="1">'Balance Sheet'!AE11</f>
        <v>221590245.04674709</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55810176.000000007</v>
      </c>
      <c r="D23" s="9">
        <f t="shared" ref="D23:AF23" ca="1" si="30">D20-D22</f>
        <v>56354879.598095141</v>
      </c>
      <c r="E23" s="9">
        <f t="shared" ca="1" si="30"/>
        <v>59646809.519283667</v>
      </c>
      <c r="F23" s="9">
        <f t="shared" ca="1" si="30"/>
        <v>64692494.872307412</v>
      </c>
      <c r="G23" s="9">
        <f t="shared" ca="1" si="30"/>
        <v>71498354.532408565</v>
      </c>
      <c r="H23" s="9">
        <f t="shared" ca="1" si="30"/>
        <v>79756080.951531976</v>
      </c>
      <c r="I23" s="9">
        <f t="shared" ca="1" si="30"/>
        <v>89230493.530482352</v>
      </c>
      <c r="J23" s="9">
        <f ca="1">J20-J22</f>
        <v>99727347.573336363</v>
      </c>
      <c r="K23" s="9">
        <f t="shared" ca="1" si="30"/>
        <v>111457540.60001412</v>
      </c>
      <c r="L23" s="9">
        <f t="shared" ca="1" si="30"/>
        <v>124075041.77861722</v>
      </c>
      <c r="M23" s="9">
        <f t="shared" ca="1" si="30"/>
        <v>137408723.22340652</v>
      </c>
      <c r="N23" s="9">
        <f t="shared" ca="1" si="30"/>
        <v>151223194.30801004</v>
      </c>
      <c r="O23" s="9">
        <f t="shared" ca="1" si="30"/>
        <v>165577681.89161584</v>
      </c>
      <c r="P23" s="9">
        <f t="shared" ca="1" si="30"/>
        <v>180538124.60579491</v>
      </c>
      <c r="Q23" s="9">
        <f t="shared" ca="1" si="30"/>
        <v>195772110.44149655</v>
      </c>
      <c r="R23" s="9">
        <f t="shared" ca="1" si="30"/>
        <v>211300727.39163581</v>
      </c>
      <c r="S23" s="9">
        <f t="shared" ca="1" si="30"/>
        <v>227147717.13417068</v>
      </c>
      <c r="T23" s="9">
        <f t="shared" ca="1" si="30"/>
        <v>243339720.82158661</v>
      </c>
      <c r="U23" s="9">
        <f t="shared" ca="1" si="30"/>
        <v>259906543.37391764</v>
      </c>
      <c r="V23" s="9">
        <f t="shared" ca="1" si="30"/>
        <v>276881437.50524461</v>
      </c>
      <c r="W23" s="9">
        <f t="shared" ca="1" si="30"/>
        <v>294301408.78916234</v>
      </c>
      <c r="X23" s="9">
        <f t="shared" ca="1" si="30"/>
        <v>312207543.1486659</v>
      </c>
      <c r="Y23" s="9">
        <f t="shared" ca="1" si="30"/>
        <v>330645358.24051046</v>
      </c>
      <c r="Z23" s="9">
        <f t="shared" ca="1" si="30"/>
        <v>349665180.29362154</v>
      </c>
      <c r="AA23" s="9">
        <f t="shared" ca="1" si="30"/>
        <v>369322548.05583388</v>
      </c>
      <c r="AB23" s="9">
        <f t="shared" ca="1" si="30"/>
        <v>389678645.60342574</v>
      </c>
      <c r="AC23" s="9">
        <f t="shared" ca="1" si="30"/>
        <v>410800765.87387705</v>
      </c>
      <c r="AD23" s="9">
        <f t="shared" ca="1" si="30"/>
        <v>432762806.89435649</v>
      </c>
      <c r="AE23" s="9">
        <f t="shared" ca="1" si="30"/>
        <v>455645802.79696178</v>
      </c>
      <c r="AF23" s="9">
        <f t="shared" ca="1" si="30"/>
        <v>478683442.2795831</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167</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8599000</v>
      </c>
      <c r="D5" s="1">
        <f ca="1">C5+C6</f>
        <v>21683586.033904858</v>
      </c>
      <c r="E5" s="1">
        <f t="shared" ref="E5:AF5" ca="1" si="1">D5+D6</f>
        <v>32457083.012940336</v>
      </c>
      <c r="F5" s="1">
        <f t="shared" ca="1" si="1"/>
        <v>41926918.22094775</v>
      </c>
      <c r="G5" s="1">
        <f t="shared" ca="1" si="1"/>
        <v>50101075.779830769</v>
      </c>
      <c r="H5" s="1">
        <f t="shared" ca="1" si="1"/>
        <v>57302727.130698986</v>
      </c>
      <c r="I5" s="1">
        <f t="shared" ca="1" si="1"/>
        <v>63782392.410379976</v>
      </c>
      <c r="J5" s="1">
        <f t="shared" ca="1" si="1"/>
        <v>69750146.717633575</v>
      </c>
      <c r="K5" s="1">
        <f t="shared" ca="1" si="1"/>
        <v>75011429.508266836</v>
      </c>
      <c r="L5" s="1">
        <f t="shared" ca="1" si="1"/>
        <v>79929131.373128727</v>
      </c>
      <c r="M5" s="1">
        <f t="shared" ca="1" si="1"/>
        <v>84691779.469195306</v>
      </c>
      <c r="N5" s="1">
        <f t="shared" ca="1" si="1"/>
        <v>89552720.47075507</v>
      </c>
      <c r="O5" s="1">
        <f t="shared" ca="1" si="1"/>
        <v>94471258.160069764</v>
      </c>
      <c r="P5" s="1">
        <f t="shared" ca="1" si="1"/>
        <v>99400577.527544603</v>
      </c>
      <c r="Q5" s="1">
        <f t="shared" ca="1" si="1"/>
        <v>104692826.1601098</v>
      </c>
      <c r="R5" s="1">
        <f t="shared" ca="1" si="1"/>
        <v>110347283.18122199</v>
      </c>
      <c r="S5" s="1">
        <f t="shared" ca="1" si="1"/>
        <v>116361225.77701858</v>
      </c>
      <c r="T5" s="1">
        <f t="shared" ca="1" si="1"/>
        <v>122729704.2627607</v>
      </c>
      <c r="U5" s="1">
        <f t="shared" ca="1" si="1"/>
        <v>129445299.31312875</v>
      </c>
      <c r="V5" s="1">
        <f t="shared" ca="1" si="1"/>
        <v>136497860.14778733</v>
      </c>
      <c r="W5" s="1">
        <f t="shared" ca="1" si="1"/>
        <v>143874222.38876665</v>
      </c>
      <c r="X5" s="1">
        <f t="shared" ca="1" si="1"/>
        <v>151557904.22695687</v>
      </c>
      <c r="Y5" s="1">
        <f t="shared" ca="1" si="1"/>
        <v>159528779.45113218</v>
      </c>
      <c r="Z5" s="1">
        <f t="shared" ca="1" si="1"/>
        <v>167762725.80415368</v>
      </c>
      <c r="AA5" s="1">
        <f t="shared" ca="1" si="1"/>
        <v>176231247.0370701</v>
      </c>
      <c r="AB5" s="1">
        <f t="shared" ca="1" si="1"/>
        <v>184901066.93245113</v>
      </c>
      <c r="AC5" s="1">
        <f t="shared" ca="1" si="1"/>
        <v>193733693.46314788</v>
      </c>
      <c r="AD5" s="1">
        <f t="shared" ca="1" si="1"/>
        <v>202684951.14145312</v>
      </c>
      <c r="AE5" s="1">
        <f t="shared" ca="1" si="1"/>
        <v>211704479.49599373</v>
      </c>
      <c r="AF5" s="1">
        <f t="shared" ca="1" si="1"/>
        <v>221590245.04674709</v>
      </c>
      <c r="AG5" s="1"/>
      <c r="AH5" s="1"/>
      <c r="AI5" s="1"/>
      <c r="AJ5" s="1"/>
      <c r="AK5" s="1"/>
      <c r="AL5" s="1"/>
      <c r="AM5" s="1"/>
      <c r="AN5" s="1"/>
      <c r="AO5" s="1"/>
      <c r="AP5" s="1"/>
    </row>
    <row r="6" spans="1:42" x14ac:dyDescent="0.35">
      <c r="A6" s="63" t="s">
        <v>3</v>
      </c>
      <c r="C6" s="1">
        <f ca="1">-'Cash Flow'!C13</f>
        <v>13084586.033904856</v>
      </c>
      <c r="D6" s="1">
        <f ca="1">-'Cash Flow'!D13</f>
        <v>10773496.979035478</v>
      </c>
      <c r="E6" s="1">
        <f ca="1">-'Cash Flow'!E13</f>
        <v>9469835.2080074139</v>
      </c>
      <c r="F6" s="1">
        <f ca="1">-'Cash Flow'!F13</f>
        <v>8174157.5588830207</v>
      </c>
      <c r="G6" s="1">
        <f ca="1">-'Cash Flow'!G13</f>
        <v>7201651.3508682176</v>
      </c>
      <c r="H6" s="1">
        <f ca="1">-'Cash Flow'!H13</f>
        <v>6479665.2796809915</v>
      </c>
      <c r="I6" s="1">
        <f ca="1">-'Cash Flow'!I13</f>
        <v>5967754.3072535936</v>
      </c>
      <c r="J6" s="1">
        <f ca="1">-'Cash Flow'!J13</f>
        <v>5261282.7906332687</v>
      </c>
      <c r="K6" s="1">
        <f ca="1">-'Cash Flow'!K13</f>
        <v>4917701.8648618869</v>
      </c>
      <c r="L6" s="1">
        <f ca="1">-'Cash Flow'!L13</f>
        <v>4762648.0960665755</v>
      </c>
      <c r="M6" s="1">
        <f ca="1">-'Cash Flow'!M13</f>
        <v>4860941.0015597567</v>
      </c>
      <c r="N6" s="1">
        <f ca="1">-'Cash Flow'!N13</f>
        <v>4918537.6893146895</v>
      </c>
      <c r="O6" s="1">
        <f ca="1">-'Cash Flow'!O13</f>
        <v>4929319.3674748391</v>
      </c>
      <c r="P6" s="1">
        <f ca="1">-'Cash Flow'!P13</f>
        <v>5292248.6325652041</v>
      </c>
      <c r="Q6" s="1">
        <f ca="1">-'Cash Flow'!Q13</f>
        <v>5654457.0211121887</v>
      </c>
      <c r="R6" s="1">
        <f ca="1">-'Cash Flow'!R13</f>
        <v>6013942.5957965851</v>
      </c>
      <c r="S6" s="1">
        <f ca="1">-'Cash Flow'!S13</f>
        <v>6368478.4857421145</v>
      </c>
      <c r="T6" s="1">
        <f ca="1">-'Cash Flow'!T13</f>
        <v>6715595.0503680594</v>
      </c>
      <c r="U6" s="1">
        <f ca="1">-'Cash Flow'!U13</f>
        <v>7052560.8346585743</v>
      </c>
      <c r="V6" s="1">
        <f ca="1">-'Cash Flow'!V13</f>
        <v>7376362.2409793213</v>
      </c>
      <c r="W6" s="1">
        <f ca="1">-'Cash Flow'!W13</f>
        <v>7683681.8381902352</v>
      </c>
      <c r="X6" s="1">
        <f ca="1">-'Cash Flow'!X13</f>
        <v>7970875.2241752893</v>
      </c>
      <c r="Y6" s="1">
        <f ca="1">-'Cash Flow'!Y13</f>
        <v>8233946.3530215025</v>
      </c>
      <c r="Z6" s="1">
        <f ca="1">-'Cash Flow'!Z13</f>
        <v>8468521.2329164296</v>
      </c>
      <c r="AA6" s="1">
        <f ca="1">-'Cash Flow'!AA13</f>
        <v>8669819.8953810334</v>
      </c>
      <c r="AB6" s="1">
        <f ca="1">-'Cash Flow'!AB13</f>
        <v>8832626.5306967348</v>
      </c>
      <c r="AC6" s="1">
        <f ca="1">-'Cash Flow'!AC13</f>
        <v>8951257.6783052459</v>
      </c>
      <c r="AD6" s="1">
        <f ca="1">-'Cash Flow'!AD13</f>
        <v>9019528.3545406163</v>
      </c>
      <c r="AE6" s="1">
        <f ca="1">-'Cash Flow'!AE13</f>
        <v>9885765.5507533401</v>
      </c>
      <c r="AF6" s="1">
        <f ca="1">-'Cash Flow'!AF13</f>
        <v>11687299.76468353</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758925.51118667005</v>
      </c>
      <c r="D8" s="1">
        <f ca="1">IF(SUM(D5:D6)&gt;0,Assumptions!$C$26*SUM(D5:D6),Assumptions!$C$27*(SUM(D5:D6)))</f>
        <v>1135997.905452912</v>
      </c>
      <c r="E8" s="1">
        <f ca="1">IF(SUM(E5:E6)&gt;0,Assumptions!$C$26*SUM(E5:E6),Assumptions!$C$27*(SUM(E5:E6)))</f>
        <v>1467442.1377331715</v>
      </c>
      <c r="F8" s="1">
        <f ca="1">IF(SUM(F5:F6)&gt;0,Assumptions!$C$26*SUM(F5:F6),Assumptions!$C$27*(SUM(F5:F6)))</f>
        <v>1753537.652294077</v>
      </c>
      <c r="G8" s="1">
        <f ca="1">IF(SUM(G5:G6)&gt;0,Assumptions!$C$26*SUM(G5:G6),Assumptions!$C$27*(SUM(G5:G6)))</f>
        <v>2005595.4495744647</v>
      </c>
      <c r="H8" s="1">
        <f ca="1">IF(SUM(H5:H6)&gt;0,Assumptions!$C$26*SUM(H5:H6),Assumptions!$C$27*(SUM(H5:H6)))</f>
        <v>2232383.7343632993</v>
      </c>
      <c r="I8" s="1">
        <f ca="1">IF(SUM(I5:I6)&gt;0,Assumptions!$C$26*SUM(I5:I6),Assumptions!$C$27*(SUM(I5:I6)))</f>
        <v>2441255.1351171755</v>
      </c>
      <c r="J8" s="1">
        <f ca="1">IF(SUM(J5:J6)&gt;0,Assumptions!$C$26*SUM(J5:J6),Assumptions!$C$27*(SUM(J5:J6)))</f>
        <v>2625400.0327893393</v>
      </c>
      <c r="K8" s="1">
        <f ca="1">IF(SUM(K5:K6)&gt;0,Assumptions!$C$26*SUM(K5:K6),Assumptions!$C$27*(SUM(K5:K6)))</f>
        <v>2797519.5980595057</v>
      </c>
      <c r="L8" s="1">
        <f ca="1">IF(SUM(L5:L6)&gt;0,Assumptions!$C$26*SUM(L5:L6),Assumptions!$C$27*(SUM(L5:L6)))</f>
        <v>2964212.281421836</v>
      </c>
      <c r="M8" s="1">
        <f ca="1">IF(SUM(M5:M6)&gt;0,Assumptions!$C$26*SUM(M5:M6),Assumptions!$C$27*(SUM(M5:M6)))</f>
        <v>3134345.2164764279</v>
      </c>
      <c r="N8" s="1">
        <f ca="1">IF(SUM(N5:N6)&gt;0,Assumptions!$C$26*SUM(N5:N6),Assumptions!$C$27*(SUM(N5:N6)))</f>
        <v>3306494.035602442</v>
      </c>
      <c r="O8" s="1">
        <f ca="1">IF(SUM(O5:O6)&gt;0,Assumptions!$C$26*SUM(O5:O6),Assumptions!$C$27*(SUM(O5:O6)))</f>
        <v>3479020.2134640613</v>
      </c>
      <c r="P8" s="1">
        <f ca="1">IF(SUM(P5:P6)&gt;0,Assumptions!$C$26*SUM(P5:P6),Assumptions!$C$27*(SUM(P5:P6)))</f>
        <v>3664248.9156038435</v>
      </c>
      <c r="Q8" s="1">
        <f ca="1">IF(SUM(Q5:Q6)&gt;0,Assumptions!$C$26*SUM(Q5:Q6),Assumptions!$C$27*(SUM(Q5:Q6)))</f>
        <v>3862154.9113427699</v>
      </c>
      <c r="R8" s="1">
        <f ca="1">IF(SUM(R5:R6)&gt;0,Assumptions!$C$26*SUM(R5:R6),Assumptions!$C$27*(SUM(R5:R6)))</f>
        <v>4072642.9021956506</v>
      </c>
      <c r="S8" s="1">
        <f ca="1">IF(SUM(S5:S6)&gt;0,Assumptions!$C$26*SUM(S5:S6),Assumptions!$C$27*(SUM(S5:S6)))</f>
        <v>4295539.6491966248</v>
      </c>
      <c r="T8" s="1">
        <f ca="1">IF(SUM(T5:T6)&gt;0,Assumptions!$C$26*SUM(T5:T6),Assumptions!$C$27*(SUM(T5:T6)))</f>
        <v>4530585.4759595068</v>
      </c>
      <c r="U8" s="1">
        <f ca="1">IF(SUM(U5:U6)&gt;0,Assumptions!$C$26*SUM(U5:U6),Assumptions!$C$27*(SUM(U5:U6)))</f>
        <v>4777425.1051725568</v>
      </c>
      <c r="V8" s="1">
        <f ca="1">IF(SUM(V5:V6)&gt;0,Assumptions!$C$26*SUM(V5:V6),Assumptions!$C$27*(SUM(V5:V6)))</f>
        <v>5035597.7836068328</v>
      </c>
      <c r="W8" s="1">
        <f ca="1">IF(SUM(W5:W6)&gt;0,Assumptions!$C$26*SUM(W5:W6),Assumptions!$C$27*(SUM(W5:W6)))</f>
        <v>5304526.6479434911</v>
      </c>
      <c r="X8" s="1">
        <f ca="1">IF(SUM(X5:X6)&gt;0,Assumptions!$C$26*SUM(X5:X6),Assumptions!$C$27*(SUM(X5:X6)))</f>
        <v>5583507.2807896268</v>
      </c>
      <c r="Y8" s="1">
        <f ca="1">IF(SUM(Y5:Y6)&gt;0,Assumptions!$C$26*SUM(Y5:Y6),Assumptions!$C$27*(SUM(Y5:Y6)))</f>
        <v>5871695.4031453794</v>
      </c>
      <c r="Z8" s="1">
        <f ca="1">IF(SUM(Z5:Z6)&gt;0,Assumptions!$C$26*SUM(Z5:Z6),Assumptions!$C$27*(SUM(Z5:Z6)))</f>
        <v>6168093.6462974539</v>
      </c>
      <c r="AA8" s="1">
        <f ca="1">IF(SUM(AA5:AA6)&gt;0,Assumptions!$C$26*SUM(AA5:AA6),Assumptions!$C$27*(SUM(AA5:AA6)))</f>
        <v>6471537.3426357899</v>
      </c>
      <c r="AB8" s="1">
        <f ca="1">IF(SUM(AB5:AB6)&gt;0,Assumptions!$C$26*SUM(AB5:AB6),Assumptions!$C$27*(SUM(AB5:AB6)))</f>
        <v>6780679.2712101759</v>
      </c>
      <c r="AC8" s="1">
        <f ca="1">IF(SUM(AC5:AC6)&gt;0,Assumptions!$C$26*SUM(AC5:AC6),Assumptions!$C$27*(SUM(AC5:AC6)))</f>
        <v>7093973.2899508597</v>
      </c>
      <c r="AD8" s="1">
        <f ca="1">IF(SUM(AD5:AD6)&gt;0,Assumptions!$C$26*SUM(AD5:AD6),Assumptions!$C$27*(SUM(AD5:AD6)))</f>
        <v>7409656.7823597817</v>
      </c>
      <c r="AE8" s="1">
        <f ca="1">IF(SUM(AE5:AE6)&gt;0,Assumptions!$C$26*SUM(AE5:AE6),Assumptions!$C$27*(SUM(AE5:AE6)))</f>
        <v>7755658.5766361486</v>
      </c>
      <c r="AF8" s="1">
        <f ca="1">IF(SUM(AF5:AF6)&gt;0,Assumptions!$C$26*SUM(AF5:AF6),Assumptions!$C$27*(SUM(AF5:AF6)))</f>
        <v>8164714.0684000729</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56.33203125" style="180"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45">
      <c r="A7" s="90" t="s">
        <v>97</v>
      </c>
      <c r="B7" s="91">
        <f>Assumptions!C24</f>
        <v>3203000</v>
      </c>
      <c r="C7" s="180" t="s">
        <v>137</v>
      </c>
    </row>
    <row r="8" spans="1:3" ht="32" x14ac:dyDescent="0.45">
      <c r="A8" s="90" t="s">
        <v>175</v>
      </c>
      <c r="B8" s="92">
        <f>Assumptions!$C$133</f>
        <v>0.7</v>
      </c>
      <c r="C8" s="180" t="s">
        <v>200</v>
      </c>
    </row>
    <row r="9" spans="1:3" ht="18.5" x14ac:dyDescent="0.45">
      <c r="A9" s="90"/>
      <c r="B9" s="93"/>
    </row>
    <row r="10" spans="1:3" ht="63" x14ac:dyDescent="0.45">
      <c r="A10" s="94" t="s">
        <v>103</v>
      </c>
      <c r="B10" s="95">
        <f>Assumptions!C135</f>
        <v>2031.2962962962961</v>
      </c>
      <c r="C10" s="180" t="s">
        <v>201</v>
      </c>
    </row>
    <row r="11" spans="1:3" ht="18.5" x14ac:dyDescent="0.45">
      <c r="A11" s="94"/>
      <c r="B11" s="94"/>
    </row>
    <row r="12" spans="1:3" ht="18.5" x14ac:dyDescent="0.45">
      <c r="A12" s="94" t="s">
        <v>184</v>
      </c>
      <c r="B12" s="91">
        <f>(B7*B8)/B10</f>
        <v>1103.7779195915764</v>
      </c>
    </row>
    <row r="13" spans="1:3" ht="18.5" x14ac:dyDescent="0.45">
      <c r="A13" s="96"/>
      <c r="B13" s="97"/>
    </row>
    <row r="14" spans="1:3" ht="18.5" x14ac:dyDescent="0.45">
      <c r="A14" s="94" t="s">
        <v>104</v>
      </c>
      <c r="B14" s="98">
        <v>1</v>
      </c>
    </row>
    <row r="15" spans="1:3" ht="18.5" x14ac:dyDescent="0.45">
      <c r="A15" s="96"/>
      <c r="B15" s="99"/>
    </row>
    <row r="16" spans="1:3" ht="18.5" x14ac:dyDescent="0.45">
      <c r="A16" s="96" t="s">
        <v>179</v>
      </c>
      <c r="B16" s="100">
        <f>B12/B14</f>
        <v>1103.7779195915764</v>
      </c>
    </row>
    <row r="17" spans="1:3" ht="18.5" x14ac:dyDescent="0.45">
      <c r="A17" s="94"/>
      <c r="B17" s="101"/>
    </row>
    <row r="18" spans="1:3" ht="18.5" x14ac:dyDescent="0.45">
      <c r="A18" s="102" t="s">
        <v>178</v>
      </c>
      <c r="B18" s="101"/>
    </row>
    <row r="19" spans="1:3" ht="18.5" x14ac:dyDescent="0.45">
      <c r="A19" s="94"/>
      <c r="B19" s="101"/>
    </row>
    <row r="20" spans="1:3" ht="32" x14ac:dyDescent="0.45">
      <c r="A20" s="94" t="s">
        <v>66</v>
      </c>
      <c r="B20" s="91">
        <f>'Profit and Loss'!L5</f>
        <v>32747565.560613178</v>
      </c>
      <c r="C20" s="180" t="s">
        <v>202</v>
      </c>
    </row>
    <row r="21" spans="1:3" ht="32" x14ac:dyDescent="0.45">
      <c r="A21" s="94" t="str">
        <f>A8</f>
        <v>Assumed revenue from households</v>
      </c>
      <c r="B21" s="92">
        <f>B8</f>
        <v>0.7</v>
      </c>
      <c r="C21" s="180" t="s">
        <v>200</v>
      </c>
    </row>
    <row r="22" spans="1:3" ht="18.5" x14ac:dyDescent="0.45">
      <c r="A22" s="94"/>
      <c r="B22" s="94"/>
    </row>
    <row r="23" spans="1:3" ht="32" x14ac:dyDescent="0.45">
      <c r="A23" s="94" t="s">
        <v>102</v>
      </c>
      <c r="B23" s="95">
        <f>Assumptions!M135</f>
        <v>2050.0481660982464</v>
      </c>
      <c r="C23" s="180" t="s">
        <v>203</v>
      </c>
    </row>
    <row r="24" spans="1:3" ht="18.5" x14ac:dyDescent="0.45">
      <c r="A24" s="94"/>
      <c r="B24" s="94"/>
    </row>
    <row r="25" spans="1:3" ht="18.5" x14ac:dyDescent="0.45">
      <c r="A25" s="94" t="s">
        <v>183</v>
      </c>
      <c r="B25" s="91">
        <f>(B20*B21)/B23</f>
        <v>11181.83283276606</v>
      </c>
    </row>
    <row r="26" spans="1:3" ht="18.5" x14ac:dyDescent="0.45">
      <c r="A26" s="94"/>
      <c r="B26" s="91"/>
    </row>
    <row r="27" spans="1:3" ht="32" x14ac:dyDescent="0.45">
      <c r="A27" s="94" t="s">
        <v>104</v>
      </c>
      <c r="B27" s="103">
        <f>1.022^11</f>
        <v>1.2704566586717592</v>
      </c>
      <c r="C27" s="180" t="s">
        <v>204</v>
      </c>
    </row>
    <row r="28" spans="1:3" ht="18.5" x14ac:dyDescent="0.45">
      <c r="A28" s="96"/>
      <c r="B28" s="97"/>
    </row>
    <row r="29" spans="1:3" ht="18.5" x14ac:dyDescent="0.45">
      <c r="A29" s="96" t="s">
        <v>180</v>
      </c>
      <c r="B29" s="91">
        <f>B25/B27</f>
        <v>8801.428019163186</v>
      </c>
    </row>
    <row r="30" spans="1:3" ht="18.5" x14ac:dyDescent="0.45">
      <c r="A30" s="96"/>
      <c r="B30" s="97"/>
    </row>
    <row r="31" spans="1:3" ht="18.5" x14ac:dyDescent="0.45">
      <c r="A31" s="102" t="s">
        <v>186</v>
      </c>
      <c r="B31" s="96"/>
    </row>
    <row r="32" spans="1:3" ht="18.5" x14ac:dyDescent="0.45">
      <c r="A32" s="94"/>
      <c r="B32" s="91"/>
    </row>
    <row r="33" spans="1:3" ht="32" x14ac:dyDescent="0.45">
      <c r="A33" s="94" t="s">
        <v>67</v>
      </c>
      <c r="B33" s="91">
        <f>'Profit and Loss'!AF5</f>
        <v>88468414.229294419</v>
      </c>
      <c r="C33" s="180" t="s">
        <v>202</v>
      </c>
    </row>
    <row r="34" spans="1:3" ht="32" x14ac:dyDescent="0.45">
      <c r="A34" s="94" t="str">
        <f>A21</f>
        <v>Assumed revenue from households</v>
      </c>
      <c r="B34" s="92">
        <f>B21</f>
        <v>0.7</v>
      </c>
      <c r="C34" s="180" t="s">
        <v>200</v>
      </c>
    </row>
    <row r="35" spans="1:3" ht="18.5" x14ac:dyDescent="0.45">
      <c r="A35" s="94"/>
      <c r="B35" s="94"/>
    </row>
    <row r="36" spans="1:3" ht="32" x14ac:dyDescent="0.45">
      <c r="A36" s="94" t="s">
        <v>101</v>
      </c>
      <c r="B36" s="95">
        <f>Assumptions!AG135</f>
        <v>2088.0728262366929</v>
      </c>
      <c r="C36" s="180" t="s">
        <v>203</v>
      </c>
    </row>
    <row r="37" spans="1:3" ht="18.5" x14ac:dyDescent="0.45">
      <c r="A37" s="94"/>
      <c r="B37" s="94"/>
    </row>
    <row r="38" spans="1:3" ht="18.5" x14ac:dyDescent="0.45">
      <c r="A38" s="94" t="s">
        <v>182</v>
      </c>
      <c r="B38" s="91">
        <f>(B33*B34)/B36</f>
        <v>29657.916707875527</v>
      </c>
    </row>
    <row r="39" spans="1:3" ht="18.5" x14ac:dyDescent="0.45">
      <c r="A39" s="94"/>
      <c r="B39" s="94"/>
    </row>
    <row r="40" spans="1:3" ht="32" x14ac:dyDescent="0.45">
      <c r="A40" s="94" t="s">
        <v>104</v>
      </c>
      <c r="B40" s="103">
        <f>1.022^31</f>
        <v>1.9632597808456462</v>
      </c>
      <c r="C40" s="180" t="s">
        <v>204</v>
      </c>
    </row>
    <row r="41" spans="1:3" ht="18.5" x14ac:dyDescent="0.45">
      <c r="A41" s="96"/>
      <c r="B41" s="97"/>
    </row>
    <row r="42" spans="1:3" ht="18.5" x14ac:dyDescent="0.45">
      <c r="A42" s="96" t="s">
        <v>181</v>
      </c>
      <c r="B42" s="91">
        <f>B38/B40</f>
        <v>15106.465785745788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114"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162</v>
      </c>
    </row>
    <row r="2" spans="1:33" ht="26.5" thickBot="1" x14ac:dyDescent="0.4">
      <c r="A2" s="111"/>
      <c r="B2" s="111"/>
      <c r="D2" s="112"/>
    </row>
    <row r="3" spans="1:33" s="114" customFormat="1" ht="21.5" thickBot="1" x14ac:dyDescent="0.4">
      <c r="A3" s="84"/>
      <c r="B3" s="84"/>
      <c r="C3" s="113"/>
      <c r="D3" s="181" t="s">
        <v>28</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row>
    <row r="4" spans="1:33" s="120" customFormat="1" ht="16" thickBot="1" x14ac:dyDescent="0.4">
      <c r="A4" s="115" t="s">
        <v>26</v>
      </c>
      <c r="B4" s="115" t="s">
        <v>195</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139</v>
      </c>
      <c r="C13" s="127">
        <v>9.1933529717347362E-4</v>
      </c>
      <c r="D13" s="128">
        <f t="shared" ref="D13:AG13" si="3">(1+$C$13)^D8</f>
        <v>1.0009193352971735</v>
      </c>
      <c r="E13" s="128">
        <f t="shared" si="3"/>
        <v>1.0018395157717355</v>
      </c>
      <c r="F13" s="128">
        <f t="shared" si="3"/>
        <v>1.0027605422006876</v>
      </c>
      <c r="G13" s="128">
        <f t="shared" si="3"/>
        <v>1.0036824153617454</v>
      </c>
      <c r="H13" s="128">
        <f t="shared" si="3"/>
        <v>1.0046051360333399</v>
      </c>
      <c r="I13" s="128">
        <f t="shared" si="3"/>
        <v>1.0055287049946169</v>
      </c>
      <c r="J13" s="128">
        <f t="shared" si="3"/>
        <v>1.0064531230254394</v>
      </c>
      <c r="K13" s="128">
        <f t="shared" si="3"/>
        <v>1.0073783909063871</v>
      </c>
      <c r="L13" s="128">
        <f t="shared" si="3"/>
        <v>1.0083045094187573</v>
      </c>
      <c r="M13" s="128">
        <f t="shared" si="3"/>
        <v>1.0092314793445649</v>
      </c>
      <c r="N13" s="128">
        <f t="shared" si="3"/>
        <v>1.0101593014665449</v>
      </c>
      <c r="O13" s="128">
        <f t="shared" si="3"/>
        <v>1.0110879765681513</v>
      </c>
      <c r="P13" s="128">
        <f t="shared" si="3"/>
        <v>1.0120175054335581</v>
      </c>
      <c r="Q13" s="128">
        <f t="shared" si="3"/>
        <v>1.0129478888476604</v>
      </c>
      <c r="R13" s="128">
        <f t="shared" si="3"/>
        <v>1.0138791275960752</v>
      </c>
      <c r="S13" s="128">
        <f t="shared" si="3"/>
        <v>1.0148112224651418</v>
      </c>
      <c r="T13" s="128">
        <f t="shared" si="3"/>
        <v>1.0157441742419218</v>
      </c>
      <c r="U13" s="128">
        <f t="shared" si="3"/>
        <v>1.0166779837142006</v>
      </c>
      <c r="V13" s="128">
        <f t="shared" si="3"/>
        <v>1.0176126516704882</v>
      </c>
      <c r="W13" s="128">
        <f t="shared" si="3"/>
        <v>1.018548178900019</v>
      </c>
      <c r="X13" s="128">
        <f t="shared" si="3"/>
        <v>1.0194845661927536</v>
      </c>
      <c r="Y13" s="128">
        <f t="shared" si="3"/>
        <v>1.0204218143393782</v>
      </c>
      <c r="Z13" s="128">
        <f t="shared" si="3"/>
        <v>1.0213599241313058</v>
      </c>
      <c r="AA13" s="128">
        <f t="shared" si="3"/>
        <v>1.0222988963606783</v>
      </c>
      <c r="AB13" s="128">
        <f t="shared" si="3"/>
        <v>1.0232387318203642</v>
      </c>
      <c r="AC13" s="128">
        <f t="shared" si="3"/>
        <v>1.0241794313039614</v>
      </c>
      <c r="AD13" s="128">
        <f t="shared" si="3"/>
        <v>1.0251209956057981</v>
      </c>
      <c r="AE13" s="128">
        <f t="shared" si="3"/>
        <v>1.0260634255209322</v>
      </c>
      <c r="AF13" s="128">
        <f t="shared" si="3"/>
        <v>1.0270067218451524</v>
      </c>
      <c r="AG13" s="128">
        <f t="shared" si="3"/>
        <v>1.0279508853749788</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133</v>
      </c>
      <c r="B17" s="77" t="s">
        <v>171</v>
      </c>
      <c r="C17" s="136">
        <f>AVERAGE(C49:C50)</f>
        <v>102405000.00000001</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51202500.000000007</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138</v>
      </c>
      <c r="C20" s="137">
        <v>8599000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160</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137</v>
      </c>
      <c r="C24" s="136">
        <v>3203000</v>
      </c>
      <c r="D24" s="140"/>
      <c r="E24" s="179"/>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ht="77.5" x14ac:dyDescent="0.35">
      <c r="A25" s="77" t="s">
        <v>1</v>
      </c>
      <c r="B25" s="106" t="s">
        <v>199</v>
      </c>
      <c r="C25" s="136">
        <v>4828000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132</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132</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161</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135</v>
      </c>
      <c r="C49" s="71">
        <v>93100000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136</v>
      </c>
      <c r="C50" s="71">
        <v>111710000.00000003</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172</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172</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274974.93802229397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466630.97237395169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370802.95519812283</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749504.92777222628</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1196637.2886768177</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973071.10822452197</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1439702.0805984735</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46.5" x14ac:dyDescent="0.35">
      <c r="A77" s="69" t="s">
        <v>142</v>
      </c>
      <c r="B77" s="70" t="s">
        <v>198</v>
      </c>
      <c r="C77" s="87">
        <v>1500000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143</v>
      </c>
      <c r="B79" s="69" t="s">
        <v>156</v>
      </c>
      <c r="C79" s="87">
        <v>793359280.16744256</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144</v>
      </c>
      <c r="B80" s="69" t="s">
        <v>156</v>
      </c>
      <c r="C80" s="87">
        <v>904307802.04070401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145</v>
      </c>
      <c r="B82" s="69" t="s">
        <v>87</v>
      </c>
      <c r="C82" s="87">
        <f>C79+$C$77</f>
        <v>794859280.16744256</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146</v>
      </c>
      <c r="B83" s="69" t="s">
        <v>87</v>
      </c>
      <c r="C83" s="87">
        <f>C80+$C$77</f>
        <v>905807802.04070401</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151</v>
      </c>
      <c r="B85" s="69" t="s">
        <v>196</v>
      </c>
      <c r="C85" s="150">
        <v>4830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152</v>
      </c>
      <c r="B86" s="69" t="s">
        <v>134</v>
      </c>
      <c r="C86" s="150">
        <v>6139</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5484.5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147</v>
      </c>
      <c r="B89" s="69" t="s">
        <v>87</v>
      </c>
      <c r="C89" s="150">
        <f>C82/$C$87</f>
        <v>144928.30343102245</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147</v>
      </c>
      <c r="B90" s="69" t="s">
        <v>87</v>
      </c>
      <c r="C90" s="150">
        <f>C83/$C$87</f>
        <v>165157.7722747204</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148</v>
      </c>
      <c r="B92" s="69" t="s">
        <v>155</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149</v>
      </c>
      <c r="B94" s="69" t="s">
        <v>87</v>
      </c>
      <c r="C94" s="87">
        <f>IF(C89&lt;$C$92,C89*$C$87,$C$92*$C$87)</f>
        <v>383915000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150</v>
      </c>
      <c r="B95" s="69" t="s">
        <v>87</v>
      </c>
      <c r="C95" s="87">
        <f>IF(C90&lt;$C$92,C90*$C$87,$C$92*$C$87)</f>
        <v>383915000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154</v>
      </c>
      <c r="B96" s="69" t="s">
        <v>87</v>
      </c>
      <c r="C96" s="87">
        <f>AVERAGE(C94:C95)</f>
        <v>383915000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383915000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12797166.666666666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131</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130</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170</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170</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1439702.0805984735</v>
      </c>
      <c r="E111" s="149">
        <f t="shared" si="9"/>
        <v>1439702.0805984735</v>
      </c>
      <c r="F111" s="149">
        <f t="shared" si="9"/>
        <v>1439702.0805984735</v>
      </c>
      <c r="G111" s="149">
        <f t="shared" si="9"/>
        <v>1439702.0805984735</v>
      </c>
      <c r="H111" s="149">
        <f t="shared" si="9"/>
        <v>1439702.0805984735</v>
      </c>
      <c r="I111" s="149">
        <f t="shared" si="9"/>
        <v>1439702.0805984735</v>
      </c>
      <c r="J111" s="149">
        <f t="shared" si="9"/>
        <v>1439702.0805984735</v>
      </c>
      <c r="K111" s="149">
        <f t="shared" si="9"/>
        <v>1439702.0805984735</v>
      </c>
      <c r="L111" s="149">
        <f t="shared" si="9"/>
        <v>1439702.0805984735</v>
      </c>
      <c r="M111" s="149">
        <f t="shared" si="9"/>
        <v>1439702.0805984735</v>
      </c>
      <c r="N111" s="149">
        <f t="shared" si="9"/>
        <v>1439702.0805984735</v>
      </c>
      <c r="O111" s="149">
        <f t="shared" si="9"/>
        <v>1439702.0805984735</v>
      </c>
      <c r="P111" s="149">
        <f t="shared" si="9"/>
        <v>1439702.0805984735</v>
      </c>
      <c r="Q111" s="149">
        <f t="shared" si="9"/>
        <v>1439702.0805984735</v>
      </c>
      <c r="R111" s="149">
        <f t="shared" si="9"/>
        <v>1439702.0805984735</v>
      </c>
      <c r="S111" s="149">
        <f t="shared" si="9"/>
        <v>1439702.0805984735</v>
      </c>
      <c r="T111" s="149">
        <f t="shared" si="9"/>
        <v>1439702.0805984735</v>
      </c>
      <c r="U111" s="149">
        <f t="shared" si="9"/>
        <v>1439702.0805984735</v>
      </c>
      <c r="V111" s="149">
        <f t="shared" si="9"/>
        <v>1439702.0805984735</v>
      </c>
      <c r="W111" s="149">
        <f t="shared" si="9"/>
        <v>1439702.0805984735</v>
      </c>
      <c r="X111" s="149">
        <f t="shared" si="9"/>
        <v>1439702.0805984735</v>
      </c>
      <c r="Y111" s="149">
        <f t="shared" si="9"/>
        <v>1439702.0805984735</v>
      </c>
      <c r="Z111" s="149">
        <f t="shared" si="9"/>
        <v>1439702.0805984735</v>
      </c>
      <c r="AA111" s="149">
        <f t="shared" si="9"/>
        <v>1439702.0805984735</v>
      </c>
      <c r="AB111" s="149">
        <f t="shared" si="9"/>
        <v>1439702.0805984735</v>
      </c>
      <c r="AC111" s="149">
        <f t="shared" si="9"/>
        <v>1439702.0805984735</v>
      </c>
      <c r="AD111" s="149">
        <f t="shared" si="9"/>
        <v>1439702.0805984735</v>
      </c>
      <c r="AE111" s="149">
        <f t="shared" si="9"/>
        <v>1439702.0805984735</v>
      </c>
      <c r="AF111" s="149">
        <f t="shared" si="9"/>
        <v>1439702.0805984735</v>
      </c>
      <c r="AG111" s="149">
        <f t="shared" si="9"/>
        <v>1439702.0805984735</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383915000.00000012</v>
      </c>
      <c r="D113" s="149">
        <f t="shared" ref="D113:AG113" si="10">$C$102</f>
        <v>12797166.666666666</v>
      </c>
      <c r="E113" s="149">
        <f t="shared" si="10"/>
        <v>12797166.666666666</v>
      </c>
      <c r="F113" s="149">
        <f t="shared" si="10"/>
        <v>12797166.666666666</v>
      </c>
      <c r="G113" s="149">
        <f t="shared" si="10"/>
        <v>12797166.666666666</v>
      </c>
      <c r="H113" s="149">
        <f t="shared" si="10"/>
        <v>12797166.666666666</v>
      </c>
      <c r="I113" s="149">
        <f t="shared" si="10"/>
        <v>12797166.666666666</v>
      </c>
      <c r="J113" s="149">
        <f t="shared" si="10"/>
        <v>12797166.666666666</v>
      </c>
      <c r="K113" s="149">
        <f t="shared" si="10"/>
        <v>12797166.666666666</v>
      </c>
      <c r="L113" s="149">
        <f t="shared" si="10"/>
        <v>12797166.666666666</v>
      </c>
      <c r="M113" s="149">
        <f t="shared" si="10"/>
        <v>12797166.666666666</v>
      </c>
      <c r="N113" s="149">
        <f t="shared" si="10"/>
        <v>12797166.666666666</v>
      </c>
      <c r="O113" s="149">
        <f t="shared" si="10"/>
        <v>12797166.666666666</v>
      </c>
      <c r="P113" s="149">
        <f t="shared" si="10"/>
        <v>12797166.666666666</v>
      </c>
      <c r="Q113" s="149">
        <f t="shared" si="10"/>
        <v>12797166.666666666</v>
      </c>
      <c r="R113" s="149">
        <f t="shared" si="10"/>
        <v>12797166.666666666</v>
      </c>
      <c r="S113" s="149">
        <f t="shared" si="10"/>
        <v>12797166.666666666</v>
      </c>
      <c r="T113" s="149">
        <f t="shared" si="10"/>
        <v>12797166.666666666</v>
      </c>
      <c r="U113" s="149">
        <f t="shared" si="10"/>
        <v>12797166.666666666</v>
      </c>
      <c r="V113" s="149">
        <f t="shared" si="10"/>
        <v>12797166.666666666</v>
      </c>
      <c r="W113" s="149">
        <f t="shared" si="10"/>
        <v>12797166.666666666</v>
      </c>
      <c r="X113" s="149">
        <f t="shared" si="10"/>
        <v>12797166.666666666</v>
      </c>
      <c r="Y113" s="149">
        <f t="shared" si="10"/>
        <v>12797166.666666666</v>
      </c>
      <c r="Z113" s="149">
        <f t="shared" si="10"/>
        <v>12797166.666666666</v>
      </c>
      <c r="AA113" s="149">
        <f t="shared" si="10"/>
        <v>12797166.666666666</v>
      </c>
      <c r="AB113" s="149">
        <f t="shared" si="10"/>
        <v>12797166.666666666</v>
      </c>
      <c r="AC113" s="149">
        <f t="shared" si="10"/>
        <v>12797166.666666666</v>
      </c>
      <c r="AD113" s="149">
        <f t="shared" si="10"/>
        <v>12797166.666666666</v>
      </c>
      <c r="AE113" s="149">
        <f t="shared" si="10"/>
        <v>12797166.666666666</v>
      </c>
      <c r="AF113" s="149">
        <f t="shared" si="10"/>
        <v>12797166.666666666</v>
      </c>
      <c r="AG113" s="149">
        <f t="shared" si="10"/>
        <v>12797166.666666666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12797166.666666666</v>
      </c>
      <c r="E118" s="149">
        <f t="shared" ref="E118:AG118" si="13">E113+E115+E116</f>
        <v>12797166.666666666</v>
      </c>
      <c r="F118" s="149">
        <f>F113+F115+F116</f>
        <v>12797166.666666666</v>
      </c>
      <c r="G118" s="149">
        <f t="shared" si="13"/>
        <v>12797166.666666666</v>
      </c>
      <c r="H118" s="149">
        <f t="shared" si="13"/>
        <v>12797166.666666666</v>
      </c>
      <c r="I118" s="149">
        <f t="shared" si="13"/>
        <v>12797166.666666666</v>
      </c>
      <c r="J118" s="149">
        <f t="shared" si="13"/>
        <v>12797166.666666666</v>
      </c>
      <c r="K118" s="149">
        <f t="shared" si="13"/>
        <v>12797166.666666666</v>
      </c>
      <c r="L118" s="149">
        <f t="shared" si="13"/>
        <v>12797166.666666666</v>
      </c>
      <c r="M118" s="149">
        <f t="shared" si="13"/>
        <v>12797166.666666666</v>
      </c>
      <c r="N118" s="149">
        <f t="shared" si="13"/>
        <v>12797166.666666666</v>
      </c>
      <c r="O118" s="149">
        <f t="shared" si="13"/>
        <v>12797166.666666666</v>
      </c>
      <c r="P118" s="149">
        <f t="shared" si="13"/>
        <v>12797166.666666666</v>
      </c>
      <c r="Q118" s="149">
        <f t="shared" si="13"/>
        <v>12797166.666666666</v>
      </c>
      <c r="R118" s="149">
        <f t="shared" si="13"/>
        <v>12797166.666666666</v>
      </c>
      <c r="S118" s="149">
        <f t="shared" si="13"/>
        <v>12797166.666666666</v>
      </c>
      <c r="T118" s="149">
        <f t="shared" si="13"/>
        <v>12797166.666666666</v>
      </c>
      <c r="U118" s="149">
        <f t="shared" si="13"/>
        <v>12797166.666666666</v>
      </c>
      <c r="V118" s="149">
        <f t="shared" si="13"/>
        <v>12797166.666666666</v>
      </c>
      <c r="W118" s="149">
        <f t="shared" si="13"/>
        <v>12797166.666666666</v>
      </c>
      <c r="X118" s="149">
        <f t="shared" si="13"/>
        <v>12797166.666666666</v>
      </c>
      <c r="Y118" s="149">
        <f t="shared" si="13"/>
        <v>12797166.666666666</v>
      </c>
      <c r="Z118" s="149">
        <f t="shared" si="13"/>
        <v>12797166.666666666</v>
      </c>
      <c r="AA118" s="149">
        <f t="shared" si="13"/>
        <v>12797166.666666666</v>
      </c>
      <c r="AB118" s="149">
        <f t="shared" si="13"/>
        <v>12797166.666666666</v>
      </c>
      <c r="AC118" s="149">
        <f t="shared" si="13"/>
        <v>12797166.666666666</v>
      </c>
      <c r="AD118" s="149">
        <f t="shared" si="13"/>
        <v>12797166.666666666</v>
      </c>
      <c r="AE118" s="149">
        <f t="shared" si="13"/>
        <v>12797166.666666666</v>
      </c>
      <c r="AF118" s="149">
        <f t="shared" si="13"/>
        <v>12797166.666666666</v>
      </c>
      <c r="AG118" s="149">
        <f t="shared" si="13"/>
        <v>12797166.666666666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307132</v>
      </c>
      <c r="E120" s="149">
        <f>(SUM($D$118:E118)*$C$104/$C$106)+(SUM($D$118:E118)*$C$105/$C$107)</f>
        <v>614264</v>
      </c>
      <c r="F120" s="149">
        <f>(SUM($D$118:F118)*$C$104/$C$106)+(SUM($D$118:F118)*$C$105/$C$107)</f>
        <v>921396</v>
      </c>
      <c r="G120" s="149">
        <f>(SUM($D$118:G118)*$C$104/$C$106)+(SUM($D$118:G118)*$C$105/$C$107)</f>
        <v>1228528</v>
      </c>
      <c r="H120" s="149">
        <f>(SUM($D$118:H118)*$C$104/$C$106)+(SUM($D$118:H118)*$C$105/$C$107)</f>
        <v>1535659.9999999998</v>
      </c>
      <c r="I120" s="149">
        <f>(SUM($D$118:I118)*$C$104/$C$106)+(SUM($D$118:I118)*$C$105/$C$107)</f>
        <v>1842792</v>
      </c>
      <c r="J120" s="149">
        <f>(SUM($D$118:J118)*$C$104/$C$106)+(SUM($D$118:J118)*$C$105/$C$107)</f>
        <v>2149924</v>
      </c>
      <c r="K120" s="149">
        <f>(SUM($D$118:K118)*$C$104/$C$106)+(SUM($D$118:K118)*$C$105/$C$107)</f>
        <v>2457056</v>
      </c>
      <c r="L120" s="149">
        <f>(SUM($D$118:L118)*$C$104/$C$106)+(SUM($D$118:L118)*$C$105/$C$107)</f>
        <v>2764188</v>
      </c>
      <c r="M120" s="149">
        <f>(SUM($D$118:M118)*$C$104/$C$106)+(SUM($D$118:M118)*$C$105/$C$107)</f>
        <v>3071320.0000000009</v>
      </c>
      <c r="N120" s="149">
        <f>(SUM($D$118:N118)*$C$104/$C$106)+(SUM($D$118:N118)*$C$105/$C$107)</f>
        <v>3378452</v>
      </c>
      <c r="O120" s="149">
        <f>(SUM($D$118:O118)*$C$104/$C$106)+(SUM($D$118:O118)*$C$105/$C$107)</f>
        <v>3685584</v>
      </c>
      <c r="P120" s="149">
        <f>(SUM($D$118:P118)*$C$104/$C$106)+(SUM($D$118:P118)*$C$105/$C$107)</f>
        <v>3992715.9999999995</v>
      </c>
      <c r="Q120" s="149">
        <f>(SUM($D$118:Q118)*$C$104/$C$106)+(SUM($D$118:Q118)*$C$105/$C$107)</f>
        <v>4299847.9999999991</v>
      </c>
      <c r="R120" s="149">
        <f>(SUM($D$118:R118)*$C$104/$C$106)+(SUM($D$118:R118)*$C$105/$C$107)</f>
        <v>4606979.9999999991</v>
      </c>
      <c r="S120" s="149">
        <f>(SUM($D$118:S118)*$C$104/$C$106)+(SUM($D$118:S118)*$C$105/$C$107)</f>
        <v>4914111.9999999991</v>
      </c>
      <c r="T120" s="149">
        <f>(SUM($D$118:T118)*$C$104/$C$106)+(SUM($D$118:T118)*$C$105/$C$107)</f>
        <v>5221243.9999999991</v>
      </c>
      <c r="U120" s="149">
        <f>(SUM($D$118:U118)*$C$104/$C$106)+(SUM($D$118:U118)*$C$105/$C$107)</f>
        <v>5528375.9999999991</v>
      </c>
      <c r="V120" s="149">
        <f>(SUM($D$118:V118)*$C$104/$C$106)+(SUM($D$118:V118)*$C$105/$C$107)</f>
        <v>5835507.9999999972</v>
      </c>
      <c r="W120" s="149">
        <f>(SUM($D$118:W118)*$C$104/$C$106)+(SUM($D$118:W118)*$C$105/$C$107)</f>
        <v>6142639.9999999981</v>
      </c>
      <c r="X120" s="149">
        <f>(SUM($D$118:X118)*$C$104/$C$106)+(SUM($D$118:X118)*$C$105/$C$107)</f>
        <v>6449771.9999999991</v>
      </c>
      <c r="Y120" s="149">
        <f>(SUM($D$118:Y118)*$C$104/$C$106)+(SUM($D$118:Y118)*$C$105/$C$107)</f>
        <v>6756903.9999999981</v>
      </c>
      <c r="Z120" s="149">
        <f>(SUM($D$118:Z118)*$C$104/$C$106)+(SUM($D$118:Z118)*$C$105/$C$107)</f>
        <v>7064035.9999999991</v>
      </c>
      <c r="AA120" s="149">
        <f>(SUM($D$118:AA118)*$C$104/$C$106)+(SUM($D$118:AA118)*$C$105/$C$107)</f>
        <v>7371168</v>
      </c>
      <c r="AB120" s="149">
        <f>(SUM($D$118:AB118)*$C$104/$C$106)+(SUM($D$118:AB118)*$C$105/$C$107)</f>
        <v>7678300</v>
      </c>
      <c r="AC120" s="149">
        <f>(SUM($D$118:AC118)*$C$104/$C$106)+(SUM($D$118:AC118)*$C$105/$C$107)</f>
        <v>7985432.0000000019</v>
      </c>
      <c r="AD120" s="149">
        <f>(SUM($D$118:AD118)*$C$104/$C$106)+(SUM($D$118:AD118)*$C$105/$C$107)</f>
        <v>8292564.0000000009</v>
      </c>
      <c r="AE120" s="149">
        <f>(SUM($D$118:AE118)*$C$104/$C$106)+(SUM($D$118:AE118)*$C$105/$C$107)</f>
        <v>8599696.0000000019</v>
      </c>
      <c r="AF120" s="149">
        <f>(SUM($D$118:AF118)*$C$104/$C$106)+(SUM($D$118:AF118)*$C$105/$C$107)</f>
        <v>8906828.0000000019</v>
      </c>
      <c r="AG120" s="149">
        <f>(SUM($D$118:AG118)*$C$104/$C$106)+(SUM($D$118:AG118)*$C$105/$C$107)</f>
        <v>9213960.0000000019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383914.99999999994</v>
      </c>
      <c r="E122" s="72">
        <f>(SUM($D$118:E118)*$C$109)</f>
        <v>767829.99999999988</v>
      </c>
      <c r="F122" s="72">
        <f>(SUM($D$118:F118)*$C$109)</f>
        <v>1151745</v>
      </c>
      <c r="G122" s="72">
        <f>(SUM($D$118:G118)*$C$109)</f>
        <v>1535659.9999999998</v>
      </c>
      <c r="H122" s="72">
        <f>(SUM($D$118:H118)*$C$109)</f>
        <v>1919574.9999999998</v>
      </c>
      <c r="I122" s="72">
        <f>(SUM($D$118:I118)*$C$109)</f>
        <v>2303490</v>
      </c>
      <c r="J122" s="72">
        <f>(SUM($D$118:J118)*$C$109)</f>
        <v>2687405</v>
      </c>
      <c r="K122" s="72">
        <f>(SUM($D$118:K118)*$C$109)</f>
        <v>3071320</v>
      </c>
      <c r="L122" s="72">
        <f>(SUM($D$118:L118)*$C$109)</f>
        <v>3455235.0000000005</v>
      </c>
      <c r="M122" s="72">
        <f>(SUM($D$118:M118)*$C$109)</f>
        <v>3839150.0000000005</v>
      </c>
      <c r="N122" s="72">
        <f>(SUM($D$118:N118)*$C$109)</f>
        <v>4223065</v>
      </c>
      <c r="O122" s="72">
        <f>(SUM($D$118:O118)*$C$109)</f>
        <v>4606980</v>
      </c>
      <c r="P122" s="72">
        <f>(SUM($D$118:P118)*$C$109)</f>
        <v>4990894.9999999991</v>
      </c>
      <c r="Q122" s="72">
        <f>(SUM($D$118:Q118)*$C$109)</f>
        <v>5374809.9999999991</v>
      </c>
      <c r="R122" s="72">
        <f>(SUM($D$118:R118)*$C$109)</f>
        <v>5758724.9999999991</v>
      </c>
      <c r="S122" s="72">
        <f>(SUM($D$118:S118)*$C$109)</f>
        <v>6142639.9999999981</v>
      </c>
      <c r="T122" s="72">
        <f>(SUM($D$118:T118)*$C$109)</f>
        <v>6526554.9999999981</v>
      </c>
      <c r="U122" s="72">
        <f>(SUM($D$118:U118)*$C$109)</f>
        <v>6910469.9999999981</v>
      </c>
      <c r="V122" s="72">
        <f>(SUM($D$118:V118)*$C$109)</f>
        <v>7294384.9999999972</v>
      </c>
      <c r="W122" s="72">
        <f>(SUM($D$118:W118)*$C$109)</f>
        <v>7678299.9999999972</v>
      </c>
      <c r="X122" s="72">
        <f>(SUM($D$118:X118)*$C$109)</f>
        <v>8062214.9999999981</v>
      </c>
      <c r="Y122" s="72">
        <f>(SUM($D$118:Y118)*$C$109)</f>
        <v>8446129.9999999981</v>
      </c>
      <c r="Z122" s="72">
        <f>(SUM($D$118:Z118)*$C$109)</f>
        <v>8830045</v>
      </c>
      <c r="AA122" s="72">
        <f>(SUM($D$118:AA118)*$C$109)</f>
        <v>9213960</v>
      </c>
      <c r="AB122" s="72">
        <f>(SUM($D$118:AB118)*$C$109)</f>
        <v>9597875</v>
      </c>
      <c r="AC122" s="72">
        <f>(SUM($D$118:AC118)*$C$109)</f>
        <v>9981790</v>
      </c>
      <c r="AD122" s="72">
        <f>(SUM($D$118:AD118)*$C$109)</f>
        <v>10365705.000000002</v>
      </c>
      <c r="AE122" s="72">
        <f>(SUM($D$118:AE118)*$C$109)</f>
        <v>10749620.000000002</v>
      </c>
      <c r="AF122" s="72">
        <f>(SUM($D$118:AF118)*$C$109)</f>
        <v>11133535.000000002</v>
      </c>
      <c r="AG122" s="72">
        <f>(SUM($D$118:AG118)*$C$109)</f>
        <v>11517450.000000004</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153</v>
      </c>
      <c r="B126" s="77" t="s">
        <v>196</v>
      </c>
      <c r="C126" s="126">
        <v>4830</v>
      </c>
      <c r="D126" s="140"/>
    </row>
    <row r="127" spans="1:33" x14ac:dyDescent="0.35">
      <c r="A127" s="77" t="s">
        <v>152</v>
      </c>
      <c r="B127" s="77" t="s">
        <v>134</v>
      </c>
      <c r="C127" s="126">
        <v>6139</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5484.5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157</v>
      </c>
      <c r="B133" s="77" t="s">
        <v>158</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2031.2962962962961</v>
      </c>
      <c r="D135" s="157">
        <f t="shared" ref="D135:AG135" si="14">$C$135*D13</f>
        <v>2033.1637386804989</v>
      </c>
      <c r="E135" s="157">
        <f t="shared" si="14"/>
        <v>2035.032897870401</v>
      </c>
      <c r="F135" s="157">
        <f t="shared" si="14"/>
        <v>2036.9037754443223</v>
      </c>
      <c r="G135" s="157">
        <f t="shared" si="14"/>
        <v>2038.7763729820342</v>
      </c>
      <c r="H135" s="157">
        <f t="shared" si="14"/>
        <v>2040.6506920647601</v>
      </c>
      <c r="I135" s="157">
        <f t="shared" si="14"/>
        <v>2042.5267342751763</v>
      </c>
      <c r="J135" s="157">
        <f t="shared" si="14"/>
        <v>2044.4045011974156</v>
      </c>
      <c r="K135" s="157">
        <f t="shared" si="14"/>
        <v>2046.2839944170667</v>
      </c>
      <c r="L135" s="157">
        <f t="shared" si="14"/>
        <v>2048.1652155211755</v>
      </c>
      <c r="M135" s="157">
        <f t="shared" si="14"/>
        <v>2050.0481660982464</v>
      </c>
      <c r="N135" s="157">
        <f t="shared" si="14"/>
        <v>2051.932847738246</v>
      </c>
      <c r="O135" s="157">
        <f t="shared" si="14"/>
        <v>2053.8192620326017</v>
      </c>
      <c r="P135" s="157">
        <f t="shared" si="14"/>
        <v>2055.7074105742031</v>
      </c>
      <c r="Q135" s="157">
        <f t="shared" si="14"/>
        <v>2057.5972949574048</v>
      </c>
      <c r="R135" s="157">
        <f t="shared" si="14"/>
        <v>2059.4889167780275</v>
      </c>
      <c r="S135" s="157">
        <f t="shared" si="14"/>
        <v>2061.3822776333591</v>
      </c>
      <c r="T135" s="157">
        <f t="shared" si="14"/>
        <v>2063.2773791221553</v>
      </c>
      <c r="U135" s="157">
        <f t="shared" si="14"/>
        <v>2065.1742228446415</v>
      </c>
      <c r="V135" s="157">
        <f t="shared" si="14"/>
        <v>2067.0728104025156</v>
      </c>
      <c r="W135" s="157">
        <f t="shared" si="14"/>
        <v>2068.9731433989459</v>
      </c>
      <c r="X135" s="157">
        <f t="shared" si="14"/>
        <v>2070.8752234385765</v>
      </c>
      <c r="Y135" s="157">
        <f t="shared" si="14"/>
        <v>2072.7790521275256</v>
      </c>
      <c r="Z135" s="157">
        <f t="shared" si="14"/>
        <v>2074.6846310733877</v>
      </c>
      <c r="AA135" s="157">
        <f t="shared" si="14"/>
        <v>2076.5919618852367</v>
      </c>
      <c r="AB135" s="157">
        <f t="shared" si="14"/>
        <v>2078.5010461736247</v>
      </c>
      <c r="AC135" s="157">
        <f t="shared" si="14"/>
        <v>2080.4118855505835</v>
      </c>
      <c r="AD135" s="157">
        <f t="shared" si="14"/>
        <v>2082.3244816296292</v>
      </c>
      <c r="AE135" s="157">
        <f t="shared" si="14"/>
        <v>2084.2388360257601</v>
      </c>
      <c r="AF135" s="157">
        <f t="shared" si="14"/>
        <v>2086.1549503554584</v>
      </c>
      <c r="AG135" s="157">
        <f t="shared" si="14"/>
        <v>2088.0728262366929</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1.5</v>
      </c>
      <c r="F4" s="65">
        <v>0.5</v>
      </c>
      <c r="G4" s="65">
        <v>0.25</v>
      </c>
      <c r="H4" s="65">
        <v>0.2</v>
      </c>
      <c r="I4" s="65">
        <v>0.15</v>
      </c>
      <c r="J4" s="65">
        <v>0.12</v>
      </c>
      <c r="K4" s="65">
        <v>0.1</v>
      </c>
      <c r="L4" s="65">
        <v>0.1</v>
      </c>
      <c r="M4" s="65">
        <v>0.08</v>
      </c>
      <c r="N4" s="65">
        <v>7.0000000000000007E-2</v>
      </c>
      <c r="O4" s="65">
        <v>0.06</v>
      </c>
      <c r="P4" s="65">
        <v>0.06</v>
      </c>
      <c r="Q4" s="65">
        <v>0.06</v>
      </c>
      <c r="R4" s="65">
        <v>0.05</v>
      </c>
      <c r="S4" s="65">
        <v>0.05</v>
      </c>
      <c r="T4" s="65">
        <v>0.05</v>
      </c>
      <c r="U4" s="65">
        <v>0.05</v>
      </c>
      <c r="V4" s="65">
        <v>0.05</v>
      </c>
      <c r="W4" s="65">
        <v>0.05</v>
      </c>
      <c r="X4" s="65">
        <v>0.05</v>
      </c>
      <c r="Y4" s="65">
        <v>0.05</v>
      </c>
      <c r="Z4" s="65">
        <v>0.05</v>
      </c>
      <c r="AA4" s="65">
        <v>0.05</v>
      </c>
      <c r="AB4" s="65">
        <v>0.05</v>
      </c>
      <c r="AC4" s="65">
        <v>0.05</v>
      </c>
      <c r="AD4" s="65">
        <v>0.05</v>
      </c>
      <c r="AE4" s="65">
        <v>0.05</v>
      </c>
      <c r="AF4" s="65">
        <v>0.05</v>
      </c>
      <c r="AG4" s="65">
        <v>0.04</v>
      </c>
      <c r="AH4" s="65">
        <v>0.03</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2.5047385213939126</v>
      </c>
      <c r="C6" s="25"/>
      <c r="D6" s="25"/>
      <c r="E6" s="27">
        <f>'Debt worksheet'!C5/'Profit and Loss'!C5</f>
        <v>1.0728819103071712</v>
      </c>
      <c r="F6" s="28">
        <f ca="1">'Debt worksheet'!D5/'Profit and Loss'!D5</f>
        <v>1.8019583285668719</v>
      </c>
      <c r="G6" s="28">
        <f ca="1">'Debt worksheet'!E5/'Profit and Loss'!E5</f>
        <v>2.1558276134044596</v>
      </c>
      <c r="H6" s="28">
        <f ca="1">'Debt worksheet'!F5/'Profit and Loss'!F5</f>
        <v>2.3185537083424634</v>
      </c>
      <c r="I6" s="28">
        <f ca="1">'Debt worksheet'!G5/'Profit and Loss'!G5</f>
        <v>2.4069903618653514</v>
      </c>
      <c r="J6" s="28">
        <f ca="1">'Debt worksheet'!H5/'Profit and Loss'!H5</f>
        <v>2.4557575605680144</v>
      </c>
      <c r="K6" s="28">
        <f ca="1">'Debt worksheet'!I5/'Profit and Loss'!I5</f>
        <v>2.4826713910634051</v>
      </c>
      <c r="L6" s="28">
        <f ca="1">'Debt worksheet'!J5/'Profit and Loss'!J5</f>
        <v>2.4658791928522921</v>
      </c>
      <c r="M6" s="28">
        <f ca="1">'Debt worksheet'!K5/'Profit and Loss'!K5</f>
        <v>2.4531905226917377</v>
      </c>
      <c r="N6" s="28">
        <f ca="1">'Debt worksheet'!L5/'Profit and Loss'!L5</f>
        <v>2.4407655960009049</v>
      </c>
      <c r="O6" s="28">
        <f ca="1">'Debt worksheet'!M5/'Profit and Loss'!M5</f>
        <v>2.4375711077931856</v>
      </c>
      <c r="P6" s="28">
        <f ca="1">'Debt worksheet'!N5/'Profit and Loss'!N5</f>
        <v>2.4293488049113576</v>
      </c>
      <c r="Q6" s="28">
        <f ca="1">'Debt worksheet'!O5/'Profit and Loss'!O5</f>
        <v>2.4154933530509042</v>
      </c>
      <c r="R6" s="28">
        <f ca="1">'Debt worksheet'!P5/'Profit and Loss'!P5</f>
        <v>2.4182805185065024</v>
      </c>
      <c r="S6" s="28">
        <f ca="1">'Debt worksheet'!Q5/'Profit and Loss'!Q5</f>
        <v>2.423518366168421</v>
      </c>
      <c r="T6" s="28">
        <f ca="1">'Debt worksheet'!R5/'Profit and Loss'!R5</f>
        <v>2.430539362035042</v>
      </c>
      <c r="U6" s="28">
        <f ca="1">'Debt worksheet'!S5/'Profit and Loss'!S5</f>
        <v>2.4387142917296885</v>
      </c>
      <c r="V6" s="28">
        <f ca="1">'Debt worksheet'!T5/'Profit and Loss'!T5</f>
        <v>2.4474506620250196</v>
      </c>
      <c r="W6" s="28">
        <f ca="1">'Debt worksheet'!U5/'Profit and Loss'!U5</f>
        <v>2.456191160638149</v>
      </c>
      <c r="X6" s="28">
        <f ca="1">'Debt worksheet'!V5/'Profit and Loss'!V5</f>
        <v>2.4644121723143977</v>
      </c>
      <c r="Y6" s="28">
        <f ca="1">'Debt worksheet'!W5/'Profit and Loss'!W5</f>
        <v>2.4716223492823901</v>
      </c>
      <c r="Z6" s="28">
        <f ca="1">'Debt worksheet'!X5/'Profit and Loss'!X5</f>
        <v>2.4773612342259033</v>
      </c>
      <c r="AA6" s="28">
        <f ca="1">'Debt worksheet'!Y5/'Profit and Loss'!Y5</f>
        <v>2.4811979339786179</v>
      </c>
      <c r="AB6" s="28">
        <f ca="1">'Debt worksheet'!Z5/'Profit and Loss'!Z5</f>
        <v>2.4827298422066928</v>
      </c>
      <c r="AC6" s="28">
        <f ca="1">'Debt worksheet'!AA5/'Profit and Loss'!AA5</f>
        <v>2.4815814094009894</v>
      </c>
      <c r="AD6" s="28">
        <f ca="1">'Debt worksheet'!AB5/'Profit and Loss'!AB5</f>
        <v>2.4774029585558668</v>
      </c>
      <c r="AE6" s="28">
        <f ca="1">'Debt worksheet'!AC5/'Profit and Loss'!AC5</f>
        <v>2.4698695449647921</v>
      </c>
      <c r="AF6" s="28">
        <f ca="1">'Debt worksheet'!AD5/'Profit and Loss'!AD5</f>
        <v>2.458679858614631</v>
      </c>
      <c r="AG6" s="28">
        <f ca="1">'Debt worksheet'!AE5/'Profit and Loss'!AE5</f>
        <v>2.4670508904769113</v>
      </c>
      <c r="AH6" s="28">
        <f ca="1">'Debt worksheet'!AF5/'Profit and Loss'!AF5</f>
        <v>2.5047385213939126</v>
      </c>
      <c r="AI6" s="31"/>
    </row>
    <row r="7" spans="1:35" ht="21" x14ac:dyDescent="0.5">
      <c r="A7" s="19" t="s">
        <v>39</v>
      </c>
      <c r="B7" s="26">
        <f ca="1">MIN('Price and Financial ratios'!E7:AH7)</f>
        <v>0.21952633131396437</v>
      </c>
      <c r="C7" s="26"/>
      <c r="D7" s="26"/>
      <c r="E7" s="56">
        <f ca="1">'Cash Flow'!C7/'Debt worksheet'!C5</f>
        <v>0.22384262556957413</v>
      </c>
      <c r="F7" s="32">
        <f ca="1">'Cash Flow'!D7/'Debt worksheet'!D5</f>
        <v>0.23258679704095098</v>
      </c>
      <c r="G7" s="32">
        <f ca="1">'Cash Flow'!E7/'Debt worksheet'!E5</f>
        <v>0.22154442675736313</v>
      </c>
      <c r="H7" s="32">
        <f ca="1">'Cash Flow'!F7/'Debt worksheet'!F5</f>
        <v>0.22343337083366038</v>
      </c>
      <c r="I7" s="32">
        <f ca="1">'Cash Flow'!G7/'Debt worksheet'!G5</f>
        <v>0.2247705080176832</v>
      </c>
      <c r="J7" s="32">
        <f ca="1">'Cash Flow'!H7/'Debt worksheet'!H5</f>
        <v>0.22590666623601557</v>
      </c>
      <c r="K7" s="32">
        <f ca="1">'Cash Flow'!I7/'Debt worksheet'!I5</f>
        <v>0.22673135662489938</v>
      </c>
      <c r="L7" s="32">
        <f ca="1">'Cash Flow'!J7/'Debt worksheet'!J5</f>
        <v>0.23249880273387249</v>
      </c>
      <c r="M7" s="17">
        <f ca="1">'Cash Flow'!K7/'Debt worksheet'!K5</f>
        <v>0.23537081658174064</v>
      </c>
      <c r="N7" s="17">
        <f ca="1">'Cash Flow'!L7/'Debt worksheet'!L5</f>
        <v>0.23713184714444308</v>
      </c>
      <c r="O7" s="17">
        <f ca="1">'Cash Flow'!M7/'Debt worksheet'!M5</f>
        <v>0.23672529014502239</v>
      </c>
      <c r="P7" s="17">
        <f ca="1">'Cash Flow'!N7/'Debt worksheet'!N5</f>
        <v>0.23713860645036799</v>
      </c>
      <c r="Q7" s="17">
        <f ca="1">'Cash Flow'!O7/'Debt worksheet'!O5</f>
        <v>0.23843375164239849</v>
      </c>
      <c r="R7" s="17">
        <f ca="1">'Cash Flow'!P7/'Debt worksheet'!P5</f>
        <v>0.23659927037918796</v>
      </c>
      <c r="S7" s="17">
        <f ca="1">'Cash Flow'!Q7/'Debt worksheet'!Q5</f>
        <v>0.2346909291323297</v>
      </c>
      <c r="T7" s="17">
        <f ca="1">'Cash Flow'!R7/'Debt worksheet'!R5</f>
        <v>0.23277928864603159</v>
      </c>
      <c r="U7" s="17">
        <f ca="1">'Cash Flow'!S7/'Debt worksheet'!S5</f>
        <v>0.23092834008412746</v>
      </c>
      <c r="V7" s="17">
        <f ca="1">'Cash Flow'!T7/'Debt worksheet'!T5</f>
        <v>0.22919558519178215</v>
      </c>
      <c r="W7" s="17">
        <f ca="1">'Cash Flow'!U7/'Debt worksheet'!U5</f>
        <v>0.22763243802210961</v>
      </c>
      <c r="X7" s="17">
        <f ca="1">'Cash Flow'!V7/'Debt worksheet'!V5</f>
        <v>0.22628485801623505</v>
      </c>
      <c r="Y7" s="17">
        <f ca="1">'Cash Flow'!W7/'Debt worksheet'!W5</f>
        <v>0.22519413922189577</v>
      </c>
      <c r="Z7" s="17">
        <f ca="1">'Cash Flow'!X7/'Debt worksheet'!X5</f>
        <v>0.22439779749828695</v>
      </c>
      <c r="AA7" s="17">
        <f ca="1">'Cash Flow'!Y7/'Debt worksheet'!Y5</f>
        <v>0.22393051452953561</v>
      </c>
      <c r="AB7" s="17">
        <f ca="1">'Cash Flow'!Z7/'Debt worksheet'!Z5</f>
        <v>0.22382511313637965</v>
      </c>
      <c r="AC7" s="17">
        <f ca="1">'Cash Flow'!AA7/'Debt worksheet'!AA5</f>
        <v>0.22411355224881246</v>
      </c>
      <c r="AD7" s="17">
        <f ca="1">'Cash Flow'!AB7/'Debt worksheet'!AB5</f>
        <v>0.22482794202141296</v>
      </c>
      <c r="AE7" s="17">
        <f ca="1">'Cash Flow'!AC7/'Debt worksheet'!AC5</f>
        <v>0.2260015903341463</v>
      </c>
      <c r="AF7" s="17">
        <f ca="1">'Cash Flow'!AD7/'Debt worksheet'!AD5</f>
        <v>0.22767010196224863</v>
      </c>
      <c r="AG7" s="17">
        <f ca="1">'Cash Flow'!AE7/'Debt worksheet'!AE5</f>
        <v>0.22583367915254551</v>
      </c>
      <c r="AH7" s="17">
        <f ca="1">'Cash Flow'!AF7/'Debt worksheet'!AF5</f>
        <v>0.21952633131396437</v>
      </c>
      <c r="AI7" s="29"/>
    </row>
    <row r="8" spans="1:35" ht="21" x14ac:dyDescent="0.5">
      <c r="A8" s="19" t="s">
        <v>34</v>
      </c>
      <c r="B8" s="26">
        <f ca="1">MAX('Price and Financial ratios'!E8:AH8)</f>
        <v>0.55635748607955227</v>
      </c>
      <c r="C8" s="26"/>
      <c r="D8" s="176"/>
      <c r="E8" s="17">
        <f>'Balance Sheet'!B11/'Balance Sheet'!B8</f>
        <v>0.17406964612138695</v>
      </c>
      <c r="F8" s="17">
        <f ca="1">'Balance Sheet'!C11/'Balance Sheet'!C8</f>
        <v>0.44128775786184277</v>
      </c>
      <c r="G8" s="17">
        <f ca="1">'Balance Sheet'!D11/'Balance Sheet'!D8</f>
        <v>0.52048933897490623</v>
      </c>
      <c r="H8" s="17">
        <f ca="1">'Balance Sheet'!E11/'Balance Sheet'!E8</f>
        <v>0.55172226800261914</v>
      </c>
      <c r="I8" s="17">
        <f ca="1">'Balance Sheet'!F11/'Balance Sheet'!F8</f>
        <v>0.55635748607955227</v>
      </c>
      <c r="J8" s="17">
        <f ca="1">'Balance Sheet'!G11/'Balance Sheet'!G8</f>
        <v>0.54809189250253931</v>
      </c>
      <c r="K8" s="17">
        <f ca="1">'Balance Sheet'!H11/'Balance Sheet'!H8</f>
        <v>0.53374799106131687</v>
      </c>
      <c r="L8" s="17">
        <f ca="1">'Balance Sheet'!I11/'Balance Sheet'!I8</f>
        <v>0.51699403466416227</v>
      </c>
      <c r="M8" s="17">
        <f ca="1">'Balance Sheet'!J11/'Balance Sheet'!J8</f>
        <v>0.49738639478681229</v>
      </c>
      <c r="N8" s="17">
        <f ca="1">'Balance Sheet'!K11/'Balance Sheet'!K8</f>
        <v>0.47803590521017852</v>
      </c>
      <c r="O8" s="17">
        <f ca="1">'Balance Sheet'!L11/'Balance Sheet'!L8</f>
        <v>0.46001567712912261</v>
      </c>
      <c r="P8" s="17">
        <f ca="1">'Balance Sheet'!M11/'Balance Sheet'!M8</f>
        <v>0.44435014074429785</v>
      </c>
      <c r="Q8" s="17">
        <f ca="1">'Balance Sheet'!N11/'Balance Sheet'!N8</f>
        <v>0.43037356838342566</v>
      </c>
      <c r="R8" s="17">
        <f ca="1">'Balance Sheet'!O11/'Balance Sheet'!O8</f>
        <v>0.41757270230174465</v>
      </c>
      <c r="S8" s="17">
        <f ca="1">'Balance Sheet'!P11/'Balance Sheet'!P8</f>
        <v>0.40711885162349076</v>
      </c>
      <c r="T8" s="17">
        <f ca="1">'Balance Sheet'!Q11/'Balance Sheet'!Q8</f>
        <v>0.39856288172116855</v>
      </c>
      <c r="U8" s="17">
        <f ca="1">'Balance Sheet'!R11/'Balance Sheet'!R8</f>
        <v>0.39154504565961001</v>
      </c>
      <c r="V8" s="17">
        <f ca="1">'Balance Sheet'!S11/'Balance Sheet'!S8</f>
        <v>0.38577246236300361</v>
      </c>
      <c r="W8" s="17">
        <f ca="1">'Balance Sheet'!T11/'Balance Sheet'!T8</f>
        <v>0.38100302224266142</v>
      </c>
      <c r="X8" s="17">
        <f ca="1">'Balance Sheet'!U11/'Balance Sheet'!U8</f>
        <v>0.37703367617786265</v>
      </c>
      <c r="Y8" s="17">
        <f ca="1">'Balance Sheet'!V11/'Balance Sheet'!V8</f>
        <v>0.37369177438689233</v>
      </c>
      <c r="Z8" s="17">
        <f ca="1">'Balance Sheet'!W11/'Balance Sheet'!W8</f>
        <v>0.37082856600313974</v>
      </c>
      <c r="AA8" s="17">
        <f ca="1">'Balance Sheet'!X11/'Balance Sheet'!X8</f>
        <v>0.36831425458073658</v>
      </c>
      <c r="AB8" s="17">
        <f ca="1">'Balance Sheet'!Y11/'Balance Sheet'!Y8</f>
        <v>0.36603419075684479</v>
      </c>
      <c r="AC8" s="17">
        <f ca="1">'Balance Sheet'!Z11/'Balance Sheet'!Z8</f>
        <v>0.3638859073252112</v>
      </c>
      <c r="AD8" s="17">
        <f ca="1">'Balance Sheet'!AA11/'Balance Sheet'!AA8</f>
        <v>0.36177678615306369</v>
      </c>
      <c r="AE8" s="17">
        <f ca="1">'Balance Sheet'!AB11/'Balance Sheet'!AB8</f>
        <v>0.35962220443690923</v>
      </c>
      <c r="AF8" s="17">
        <f ca="1">'Balance Sheet'!AC11/'Balance Sheet'!AC8</f>
        <v>0.35734404844369733</v>
      </c>
      <c r="AG8" s="17">
        <f ca="1">'Balance Sheet'!AD11/'Balance Sheet'!AD8</f>
        <v>0.35486951173706094</v>
      </c>
      <c r="AH8" s="17">
        <f ca="1">'Balance Sheet'!AE11/'Balance Sheet'!AE8</f>
        <v>0.35349414232608511</v>
      </c>
      <c r="AI8" s="29"/>
    </row>
    <row r="9" spans="1:35" ht="21.5" thickBot="1" x14ac:dyDescent="0.55000000000000004">
      <c r="A9" s="20" t="s">
        <v>33</v>
      </c>
      <c r="B9" s="21">
        <f ca="1">MIN('Price and Financial ratios'!E9:AH9)</f>
        <v>3.5362472454814164</v>
      </c>
      <c r="C9" s="21"/>
      <c r="D9" s="177"/>
      <c r="E9" s="21">
        <f ca="1">('Cash Flow'!C7+'Profit and Loss'!C8)/('Profit and Loss'!C8)</f>
        <v>3.5362472454814164</v>
      </c>
      <c r="F9" s="21">
        <f ca="1">('Cash Flow'!D7+'Profit and Loss'!D8)/('Profit and Loss'!D8)</f>
        <v>5.4395467630524408</v>
      </c>
      <c r="G9" s="21">
        <f ca="1">('Cash Flow'!E7+'Profit and Loss'!E8)/('Profit and Loss'!E8)</f>
        <v>5.9001494951111422</v>
      </c>
      <c r="H9" s="21">
        <f ca="1">('Cash Flow'!F7+'Profit and Loss'!F8)/('Profit and Loss'!F8)</f>
        <v>6.342270611935815</v>
      </c>
      <c r="I9" s="21">
        <f ca="1">('Cash Flow'!G7+'Profit and Loss'!G8)/('Profit and Loss'!G8)</f>
        <v>6.6149131459459332</v>
      </c>
      <c r="J9" s="21">
        <f ca="1">('Cash Flow'!H7+'Profit and Loss'!H8)/('Profit and Loss'!H8)</f>
        <v>6.7987647253756611</v>
      </c>
      <c r="K9" s="21">
        <f ca="1">('Cash Flow'!I7+'Profit and Loss'!I8)/('Profit and Loss'!I8)</f>
        <v>6.9237841026775824</v>
      </c>
      <c r="L9" s="21">
        <f ca="1">('Cash Flow'!J7+'Profit and Loss'!J8)/('Profit and Loss'!J8)</f>
        <v>7.1768970061039772</v>
      </c>
      <c r="M9" s="21">
        <f ca="1">('Cash Flow'!K7+'Profit and Loss'!K8)/('Profit and Loss'!K8)</f>
        <v>7.3111269814056516</v>
      </c>
      <c r="N9" s="21">
        <f ca="1">('Cash Flow'!L7+'Profit and Loss'!L8)/('Profit and Loss'!L8)</f>
        <v>7.3941920360944522</v>
      </c>
      <c r="O9" s="21">
        <f ca="1">('Cash Flow'!M7+'Profit and Loss'!M8)/('Profit and Loss'!M8)</f>
        <v>7.3964511510579136</v>
      </c>
      <c r="P9" s="21">
        <f ca="1">('Cash Flow'!N7+'Profit and Loss'!N8)/('Profit and Loss'!N8)</f>
        <v>7.4226359121210193</v>
      </c>
      <c r="Q9" s="21">
        <f ca="1">('Cash Flow'!O7+'Profit and Loss'!O8)/('Profit and Loss'!O8)</f>
        <v>7.4745632745418007</v>
      </c>
      <c r="R9" s="21">
        <f ca="1">('Cash Flow'!P7+'Profit and Loss'!P8)/('Profit and Loss'!P8)</f>
        <v>7.4182605112162072</v>
      </c>
      <c r="S9" s="21">
        <f ca="1">('Cash Flow'!Q7+'Profit and Loss'!Q8)/('Profit and Loss'!Q8)</f>
        <v>7.3618516628746882</v>
      </c>
      <c r="T9" s="21">
        <f ca="1">('Cash Flow'!R7+'Profit and Loss'!R8)/('Profit and Loss'!R8)</f>
        <v>7.3070990263101327</v>
      </c>
      <c r="U9" s="21">
        <f ca="1">('Cash Flow'!S7+'Profit and Loss'!S8)/('Profit and Loss'!S8)</f>
        <v>7.2555829798630462</v>
      </c>
      <c r="V9" s="21">
        <f ca="1">('Cash Flow'!T7+'Profit and Loss'!T8)/('Profit and Loss'!T8)</f>
        <v>7.2087133193222659</v>
      </c>
      <c r="W9" s="21">
        <f ca="1">('Cash Flow'!U7+'Profit and Loss'!U8)/('Profit and Loss'!U8)</f>
        <v>7.1677469399250624</v>
      </c>
      <c r="X9" s="21">
        <f ca="1">('Cash Flow'!V7+'Profit and Loss'!V8)/('Profit and Loss'!V8)</f>
        <v>7.1338097740082684</v>
      </c>
      <c r="Y9" s="21">
        <f ca="1">('Cash Flow'!W7+'Profit and Loss'!W8)/('Profit and Loss'!W8)</f>
        <v>7.1079213693117937</v>
      </c>
      <c r="Z9" s="21">
        <f ca="1">('Cash Flow'!X7+'Profit and Loss'!X8)/('Profit and Loss'!X8)</f>
        <v>7.091020964367007</v>
      </c>
      <c r="AA9" s="21">
        <f ca="1">('Cash Flow'!Y7+'Profit and Loss'!Y8)/('Profit and Loss'!Y8)</f>
        <v>7.0839943512097658</v>
      </c>
      <c r="AB9" s="21">
        <f ca="1">('Cash Flow'!Z7+'Profit and Loss'!Z8)/('Profit and Loss'!Z8)</f>
        <v>7.0877011985254352</v>
      </c>
      <c r="AC9" s="21">
        <f ca="1">('Cash Flow'!AA7+'Profit and Loss'!AA8)/('Profit and Loss'!AA8)</f>
        <v>7.1030028414592365</v>
      </c>
      <c r="AD9" s="21">
        <f ca="1">('Cash Flow'!AB7+'Profit and Loss'!AB8)/('Profit and Loss'!AB8)</f>
        <v>7.1307908386835095</v>
      </c>
      <c r="AE9" s="21">
        <f ca="1">('Cash Flow'!AC7+'Profit and Loss'!AC8)/('Profit and Loss'!AC8)</f>
        <v>7.1720168704332297</v>
      </c>
      <c r="AF9" s="21">
        <f ca="1">('Cash Flow'!AD7+'Profit and Loss'!AD8)/('Profit and Loss'!AD8)</f>
        <v>7.2277248255879325</v>
      </c>
      <c r="AG9" s="21">
        <f ca="1">('Cash Flow'!AE7+'Profit and Loss'!AE8)/('Profit and Loss'!AE8)</f>
        <v>7.1645314869432362</v>
      </c>
      <c r="AH9" s="21">
        <f ca="1">('Cash Flow'!AF7+'Profit and Loss'!AF8)/('Profit and Loss'!AF8)</f>
        <v>6.957942083770611</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1439702.0805984735</v>
      </c>
      <c r="D5" s="1">
        <f>Assumptions!E111</f>
        <v>1439702.0805984735</v>
      </c>
      <c r="E5" s="1">
        <f>Assumptions!F111</f>
        <v>1439702.0805984735</v>
      </c>
      <c r="F5" s="1">
        <f>Assumptions!G111</f>
        <v>1439702.0805984735</v>
      </c>
      <c r="G5" s="1">
        <f>Assumptions!H111</f>
        <v>1439702.0805984735</v>
      </c>
      <c r="H5" s="1">
        <f>Assumptions!I111</f>
        <v>1439702.0805984735</v>
      </c>
      <c r="I5" s="1">
        <f>Assumptions!J111</f>
        <v>1439702.0805984735</v>
      </c>
      <c r="J5" s="1">
        <f>Assumptions!K111</f>
        <v>1439702.0805984735</v>
      </c>
      <c r="K5" s="1">
        <f>Assumptions!L111</f>
        <v>1439702.0805984735</v>
      </c>
      <c r="L5" s="1">
        <f>Assumptions!M111</f>
        <v>1439702.0805984735</v>
      </c>
      <c r="M5" s="1">
        <f>Assumptions!N111</f>
        <v>1439702.0805984735</v>
      </c>
      <c r="N5" s="1">
        <f>Assumptions!O111</f>
        <v>1439702.0805984735</v>
      </c>
      <c r="O5" s="1">
        <f>Assumptions!P111</f>
        <v>1439702.0805984735</v>
      </c>
      <c r="P5" s="1">
        <f>Assumptions!Q111</f>
        <v>1439702.0805984735</v>
      </c>
      <c r="Q5" s="1">
        <f>Assumptions!R111</f>
        <v>1439702.0805984735</v>
      </c>
      <c r="R5" s="1">
        <f>Assumptions!S111</f>
        <v>1439702.0805984735</v>
      </c>
      <c r="S5" s="1">
        <f>Assumptions!T111</f>
        <v>1439702.0805984735</v>
      </c>
      <c r="T5" s="1">
        <f>Assumptions!U111</f>
        <v>1439702.0805984735</v>
      </c>
      <c r="U5" s="1">
        <f>Assumptions!V111</f>
        <v>1439702.0805984735</v>
      </c>
      <c r="V5" s="1">
        <f>Assumptions!W111</f>
        <v>1439702.0805984735</v>
      </c>
      <c r="W5" s="1">
        <f>Assumptions!X111</f>
        <v>1439702.0805984735</v>
      </c>
      <c r="X5" s="1">
        <f>Assumptions!Y111</f>
        <v>1439702.0805984735</v>
      </c>
      <c r="Y5" s="1">
        <f>Assumptions!Z111</f>
        <v>1439702.0805984735</v>
      </c>
      <c r="Z5" s="1">
        <f>Assumptions!AA111</f>
        <v>1439702.0805984735</v>
      </c>
      <c r="AA5" s="1">
        <f>Assumptions!AB111</f>
        <v>1439702.0805984735</v>
      </c>
      <c r="AB5" s="1">
        <f>Assumptions!AC111</f>
        <v>1439702.0805984735</v>
      </c>
      <c r="AC5" s="1">
        <f>Assumptions!AD111</f>
        <v>1439702.0805984735</v>
      </c>
      <c r="AD5" s="1">
        <f>Assumptions!AE111</f>
        <v>1439702.0805984735</v>
      </c>
      <c r="AE5" s="1">
        <f>Assumptions!AF111</f>
        <v>1439702.0805984735</v>
      </c>
      <c r="AF5" s="1">
        <f>Assumptions!AG111</f>
        <v>1439702.0805984735</v>
      </c>
    </row>
    <row r="6" spans="1:32" x14ac:dyDescent="0.35">
      <c r="A6" t="s">
        <v>69</v>
      </c>
      <c r="C6" s="1">
        <f>Assumptions!D113</f>
        <v>12797166.666666666</v>
      </c>
      <c r="D6" s="1">
        <f>Assumptions!E113</f>
        <v>12797166.666666666</v>
      </c>
      <c r="E6" s="1">
        <f>Assumptions!F113</f>
        <v>12797166.666666666</v>
      </c>
      <c r="F6" s="1">
        <f>Assumptions!G113</f>
        <v>12797166.666666666</v>
      </c>
      <c r="G6" s="1">
        <f>Assumptions!H113</f>
        <v>12797166.666666666</v>
      </c>
      <c r="H6" s="1">
        <f>Assumptions!I113</f>
        <v>12797166.666666666</v>
      </c>
      <c r="I6" s="1">
        <f>Assumptions!J113</f>
        <v>12797166.666666666</v>
      </c>
      <c r="J6" s="1">
        <f>Assumptions!K113</f>
        <v>12797166.666666666</v>
      </c>
      <c r="K6" s="1">
        <f>Assumptions!L113</f>
        <v>12797166.666666666</v>
      </c>
      <c r="L6" s="1">
        <f>Assumptions!M113</f>
        <v>12797166.666666666</v>
      </c>
      <c r="M6" s="1">
        <f>Assumptions!N113</f>
        <v>12797166.666666666</v>
      </c>
      <c r="N6" s="1">
        <f>Assumptions!O113</f>
        <v>12797166.666666666</v>
      </c>
      <c r="O6" s="1">
        <f>Assumptions!P113</f>
        <v>12797166.666666666</v>
      </c>
      <c r="P6" s="1">
        <f>Assumptions!Q113</f>
        <v>12797166.666666666</v>
      </c>
      <c r="Q6" s="1">
        <f>Assumptions!R113</f>
        <v>12797166.666666666</v>
      </c>
      <c r="R6" s="1">
        <f>Assumptions!S113</f>
        <v>12797166.666666666</v>
      </c>
      <c r="S6" s="1">
        <f>Assumptions!T113</f>
        <v>12797166.666666666</v>
      </c>
      <c r="T6" s="1">
        <f>Assumptions!U113</f>
        <v>12797166.666666666</v>
      </c>
      <c r="U6" s="1">
        <f>Assumptions!V113</f>
        <v>12797166.666666666</v>
      </c>
      <c r="V6" s="1">
        <f>Assumptions!W113</f>
        <v>12797166.666666666</v>
      </c>
      <c r="W6" s="1">
        <f>Assumptions!X113</f>
        <v>12797166.666666666</v>
      </c>
      <c r="X6" s="1">
        <f>Assumptions!Y113</f>
        <v>12797166.666666666</v>
      </c>
      <c r="Y6" s="1">
        <f>Assumptions!Z113</f>
        <v>12797166.666666666</v>
      </c>
      <c r="Z6" s="1">
        <f>Assumptions!AA113</f>
        <v>12797166.666666666</v>
      </c>
      <c r="AA6" s="1">
        <f>Assumptions!AB113</f>
        <v>12797166.666666666</v>
      </c>
      <c r="AB6" s="1">
        <f>Assumptions!AC113</f>
        <v>12797166.666666666</v>
      </c>
      <c r="AC6" s="1">
        <f>Assumptions!AD113</f>
        <v>12797166.666666666</v>
      </c>
      <c r="AD6" s="1">
        <f>Assumptions!AE113</f>
        <v>12797166.666666666</v>
      </c>
      <c r="AE6" s="1">
        <f>Assumptions!AF113</f>
        <v>12797166.666666666</v>
      </c>
      <c r="AF6" s="1">
        <f>Assumptions!AG113</f>
        <v>12797166.666666666</v>
      </c>
    </row>
    <row r="7" spans="1:32" x14ac:dyDescent="0.35">
      <c r="A7" t="s">
        <v>74</v>
      </c>
      <c r="C7" s="1">
        <f>Assumptions!D120</f>
        <v>307132</v>
      </c>
      <c r="D7" s="1">
        <f>Assumptions!E120</f>
        <v>614264</v>
      </c>
      <c r="E7" s="1">
        <f>Assumptions!F120</f>
        <v>921396</v>
      </c>
      <c r="F7" s="1">
        <f>Assumptions!G120</f>
        <v>1228528</v>
      </c>
      <c r="G7" s="1">
        <f>Assumptions!H120</f>
        <v>1535659.9999999998</v>
      </c>
      <c r="H7" s="1">
        <f>Assumptions!I120</f>
        <v>1842792</v>
      </c>
      <c r="I7" s="1">
        <f>Assumptions!J120</f>
        <v>2149924</v>
      </c>
      <c r="J7" s="1">
        <f>Assumptions!K120</f>
        <v>2457056</v>
      </c>
      <c r="K7" s="1">
        <f>Assumptions!L120</f>
        <v>2764188</v>
      </c>
      <c r="L7" s="1">
        <f>Assumptions!M120</f>
        <v>3071320.0000000009</v>
      </c>
      <c r="M7" s="1">
        <f>Assumptions!N120</f>
        <v>3378452</v>
      </c>
      <c r="N7" s="1">
        <f>Assumptions!O120</f>
        <v>3685584</v>
      </c>
      <c r="O7" s="1">
        <f>Assumptions!P120</f>
        <v>3992715.9999999995</v>
      </c>
      <c r="P7" s="1">
        <f>Assumptions!Q120</f>
        <v>4299847.9999999991</v>
      </c>
      <c r="Q7" s="1">
        <f>Assumptions!R120</f>
        <v>4606979.9999999991</v>
      </c>
      <c r="R7" s="1">
        <f>Assumptions!S120</f>
        <v>4914111.9999999991</v>
      </c>
      <c r="S7" s="1">
        <f>Assumptions!T120</f>
        <v>5221243.9999999991</v>
      </c>
      <c r="T7" s="1">
        <f>Assumptions!U120</f>
        <v>5528375.9999999991</v>
      </c>
      <c r="U7" s="1">
        <f>Assumptions!V120</f>
        <v>5835507.9999999972</v>
      </c>
      <c r="V7" s="1">
        <f>Assumptions!W120</f>
        <v>6142639.9999999981</v>
      </c>
      <c r="W7" s="1">
        <f>Assumptions!X120</f>
        <v>6449771.9999999991</v>
      </c>
      <c r="X7" s="1">
        <f>Assumptions!Y120</f>
        <v>6756903.9999999981</v>
      </c>
      <c r="Y7" s="1">
        <f>Assumptions!Z120</f>
        <v>7064035.9999999991</v>
      </c>
      <c r="Z7" s="1">
        <f>Assumptions!AA120</f>
        <v>7371168</v>
      </c>
      <c r="AA7" s="1">
        <f>Assumptions!AB120</f>
        <v>7678300</v>
      </c>
      <c r="AB7" s="1">
        <f>Assumptions!AC120</f>
        <v>7985432.0000000019</v>
      </c>
      <c r="AC7" s="1">
        <f>Assumptions!AD120</f>
        <v>8292564.0000000009</v>
      </c>
      <c r="AD7" s="1">
        <f>Assumptions!AE120</f>
        <v>8599696.0000000019</v>
      </c>
      <c r="AE7" s="1">
        <f>Assumptions!AF120</f>
        <v>8906828.0000000019</v>
      </c>
      <c r="AF7" s="1">
        <f>Assumptions!AG120</f>
        <v>9213960.0000000019</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1485772.5471776247</v>
      </c>
      <c r="D11" s="1">
        <f>D5*D$9</f>
        <v>1533317.2686873088</v>
      </c>
      <c r="E11" s="1">
        <f t="shared" ref="D11:AF13" si="1">E5*E$9</f>
        <v>1582383.4212853024</v>
      </c>
      <c r="F11" s="1">
        <f t="shared" si="1"/>
        <v>1633019.6907664321</v>
      </c>
      <c r="G11" s="1">
        <f t="shared" si="1"/>
        <v>1685276.320870958</v>
      </c>
      <c r="H11" s="1">
        <f t="shared" si="1"/>
        <v>1739205.1631388285</v>
      </c>
      <c r="I11" s="1">
        <f t="shared" si="1"/>
        <v>1794859.7283592708</v>
      </c>
      <c r="J11" s="1">
        <f t="shared" si="1"/>
        <v>1852295.2396667679</v>
      </c>
      <c r="K11" s="1">
        <f t="shared" si="1"/>
        <v>1911568.6873361045</v>
      </c>
      <c r="L11" s="1">
        <f t="shared" si="1"/>
        <v>1972738.8853308596</v>
      </c>
      <c r="M11" s="1">
        <f t="shared" si="1"/>
        <v>2035866.529661447</v>
      </c>
      <c r="N11" s="1">
        <f t="shared" si="1"/>
        <v>2101014.2586106136</v>
      </c>
      <c r="O11" s="1">
        <f t="shared" si="1"/>
        <v>2168246.7148861531</v>
      </c>
      <c r="P11" s="1">
        <f t="shared" si="1"/>
        <v>2237630.6097625098</v>
      </c>
      <c r="Q11" s="1">
        <f t="shared" si="1"/>
        <v>2309234.7892749095</v>
      </c>
      <c r="R11" s="1">
        <f t="shared" si="1"/>
        <v>2383130.3025317076</v>
      </c>
      <c r="S11" s="1">
        <f t="shared" si="1"/>
        <v>2459390.4722127221</v>
      </c>
      <c r="T11" s="1">
        <f t="shared" si="1"/>
        <v>2538090.9673235291</v>
      </c>
      <c r="U11" s="1">
        <f t="shared" si="1"/>
        <v>2619309.8782778815</v>
      </c>
      <c r="V11" s="1">
        <f t="shared" si="1"/>
        <v>2703127.7943827743</v>
      </c>
      <c r="W11" s="1">
        <f t="shared" si="1"/>
        <v>2789627.8838030235</v>
      </c>
      <c r="X11" s="1">
        <f t="shared" si="1"/>
        <v>2878895.9760847194</v>
      </c>
      <c r="Y11" s="1">
        <f t="shared" si="1"/>
        <v>2971020.64731943</v>
      </c>
      <c r="Z11" s="1">
        <f t="shared" si="1"/>
        <v>3066093.3080336521</v>
      </c>
      <c r="AA11" s="1">
        <f t="shared" si="1"/>
        <v>3164208.29389073</v>
      </c>
      <c r="AB11" s="1">
        <f t="shared" si="1"/>
        <v>3265462.9592952323</v>
      </c>
      <c r="AC11" s="1">
        <f t="shared" si="1"/>
        <v>3369957.7739926795</v>
      </c>
      <c r="AD11" s="1">
        <f t="shared" si="1"/>
        <v>3477796.4227604461</v>
      </c>
      <c r="AE11" s="1">
        <f t="shared" si="1"/>
        <v>3589085.9082887801</v>
      </c>
      <c r="AF11" s="1">
        <f t="shared" si="1"/>
        <v>3703936.6573540205</v>
      </c>
    </row>
    <row r="12" spans="1:32" x14ac:dyDescent="0.35">
      <c r="A12" t="s">
        <v>72</v>
      </c>
      <c r="C12" s="1">
        <f t="shared" ref="C12:R12" si="2">C6*C$9</f>
        <v>13206676</v>
      </c>
      <c r="D12" s="1">
        <f t="shared" si="2"/>
        <v>13629289.631999999</v>
      </c>
      <c r="E12" s="1">
        <f t="shared" si="2"/>
        <v>14065426.900223998</v>
      </c>
      <c r="F12" s="1">
        <f t="shared" si="2"/>
        <v>14515520.561031166</v>
      </c>
      <c r="G12" s="1">
        <f t="shared" si="2"/>
        <v>14980017.218984164</v>
      </c>
      <c r="H12" s="1">
        <f t="shared" si="2"/>
        <v>15459377.769991657</v>
      </c>
      <c r="I12" s="1">
        <f t="shared" si="2"/>
        <v>15954077.858631387</v>
      </c>
      <c r="J12" s="1">
        <f t="shared" si="2"/>
        <v>16464608.350107593</v>
      </c>
      <c r="K12" s="1">
        <f t="shared" si="2"/>
        <v>16991475.817311037</v>
      </c>
      <c r="L12" s="1">
        <f t="shared" si="2"/>
        <v>17535203.043464988</v>
      </c>
      <c r="M12" s="1">
        <f t="shared" si="2"/>
        <v>18096329.54085587</v>
      </c>
      <c r="N12" s="1">
        <f t="shared" si="2"/>
        <v>18675412.086163256</v>
      </c>
      <c r="O12" s="1">
        <f t="shared" si="2"/>
        <v>19273025.272920482</v>
      </c>
      <c r="P12" s="1">
        <f t="shared" si="2"/>
        <v>19889762.081653934</v>
      </c>
      <c r="Q12" s="1">
        <f t="shared" si="2"/>
        <v>20526234.468266856</v>
      </c>
      <c r="R12" s="1">
        <f t="shared" si="2"/>
        <v>21183073.971251402</v>
      </c>
      <c r="S12" s="1">
        <f t="shared" si="1"/>
        <v>21860932.33833145</v>
      </c>
      <c r="T12" s="1">
        <f t="shared" si="1"/>
        <v>22560482.173158053</v>
      </c>
      <c r="U12" s="1">
        <f t="shared" si="1"/>
        <v>23282417.602699108</v>
      </c>
      <c r="V12" s="1">
        <f t="shared" si="1"/>
        <v>24027454.965985481</v>
      </c>
      <c r="W12" s="1">
        <f t="shared" si="1"/>
        <v>24796333.52489702</v>
      </c>
      <c r="X12" s="1">
        <f t="shared" si="1"/>
        <v>25589816.19769372</v>
      </c>
      <c r="Y12" s="1">
        <f t="shared" si="1"/>
        <v>26408690.316019915</v>
      </c>
      <c r="Z12" s="1">
        <f t="shared" si="1"/>
        <v>27253768.406132556</v>
      </c>
      <c r="AA12" s="1">
        <f t="shared" si="1"/>
        <v>28125888.995128803</v>
      </c>
      <c r="AB12" s="1">
        <f t="shared" si="1"/>
        <v>29025917.442972921</v>
      </c>
      <c r="AC12" s="1">
        <f t="shared" si="1"/>
        <v>29954746.80114805</v>
      </c>
      <c r="AD12" s="1">
        <f t="shared" si="1"/>
        <v>30913298.698784791</v>
      </c>
      <c r="AE12" s="1">
        <f t="shared" si="1"/>
        <v>31902524.257145904</v>
      </c>
      <c r="AF12" s="1">
        <f t="shared" si="1"/>
        <v>32923405.03337457</v>
      </c>
    </row>
    <row r="13" spans="1:32" x14ac:dyDescent="0.35">
      <c r="A13" t="s">
        <v>75</v>
      </c>
      <c r="C13" s="1">
        <f>C7*C$9</f>
        <v>316960.22399999999</v>
      </c>
      <c r="D13" s="1">
        <f t="shared" si="1"/>
        <v>654205.902336</v>
      </c>
      <c r="E13" s="1">
        <f t="shared" si="1"/>
        <v>1012710.7368161279</v>
      </c>
      <c r="F13" s="1">
        <f t="shared" si="1"/>
        <v>1393489.9738589921</v>
      </c>
      <c r="G13" s="1">
        <f t="shared" si="1"/>
        <v>1797602.0662780995</v>
      </c>
      <c r="H13" s="1">
        <f t="shared" si="1"/>
        <v>2226150.3988787988</v>
      </c>
      <c r="I13" s="1">
        <f t="shared" si="1"/>
        <v>2680285.0802500732</v>
      </c>
      <c r="J13" s="1">
        <f t="shared" si="1"/>
        <v>3161204.8032206581</v>
      </c>
      <c r="K13" s="1">
        <f t="shared" si="1"/>
        <v>3670158.7765391846</v>
      </c>
      <c r="L13" s="1">
        <f t="shared" si="1"/>
        <v>4208448.7304315986</v>
      </c>
      <c r="M13" s="1">
        <f t="shared" si="1"/>
        <v>4777430.9987859493</v>
      </c>
      <c r="N13" s="1">
        <f t="shared" si="1"/>
        <v>5378518.6808150187</v>
      </c>
      <c r="O13" s="1">
        <f t="shared" si="1"/>
        <v>6013183.8851511907</v>
      </c>
      <c r="P13" s="1">
        <f t="shared" si="1"/>
        <v>6682960.0594357215</v>
      </c>
      <c r="Q13" s="1">
        <f t="shared" si="1"/>
        <v>7389444.4085760675</v>
      </c>
      <c r="R13" s="1">
        <f t="shared" si="1"/>
        <v>8134300.4049605373</v>
      </c>
      <c r="S13" s="1">
        <f t="shared" si="1"/>
        <v>8919260.3940392304</v>
      </c>
      <c r="T13" s="1">
        <f t="shared" si="1"/>
        <v>9746128.2988042776</v>
      </c>
      <c r="U13" s="1">
        <f t="shared" si="1"/>
        <v>10616782.426830789</v>
      </c>
      <c r="V13" s="1">
        <f t="shared" si="1"/>
        <v>11533178.383673029</v>
      </c>
      <c r="W13" s="1">
        <f t="shared" si="1"/>
        <v>12497352.096548097</v>
      </c>
      <c r="X13" s="1">
        <f t="shared" si="1"/>
        <v>13511422.952382281</v>
      </c>
      <c r="Y13" s="1">
        <f t="shared" si="1"/>
        <v>14577597.054442992</v>
      </c>
      <c r="Z13" s="1">
        <f t="shared" si="1"/>
        <v>15698170.601932352</v>
      </c>
      <c r="AA13" s="1">
        <f t="shared" si="1"/>
        <v>16875533.397077285</v>
      </c>
      <c r="AB13" s="1">
        <f t="shared" si="1"/>
        <v>18112172.484415106</v>
      </c>
      <c r="AC13" s="1">
        <f t="shared" si="1"/>
        <v>19410675.927143939</v>
      </c>
      <c r="AD13" s="1">
        <f t="shared" si="1"/>
        <v>20773736.725583386</v>
      </c>
      <c r="AE13" s="1">
        <f t="shared" si="1"/>
        <v>22204156.882973555</v>
      </c>
      <c r="AF13" s="1">
        <f t="shared" si="1"/>
        <v>23704851.624029696</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15009408.771177623</v>
      </c>
      <c r="D25" s="40">
        <f>SUM(D11:D13,D18:D23)</f>
        <v>15816812.803023307</v>
      </c>
      <c r="E25" s="40">
        <f t="shared" ref="E25:AF25" si="7">SUM(E11:E13,E18:E23)</f>
        <v>16660521.05832543</v>
      </c>
      <c r="F25" s="40">
        <f t="shared" si="7"/>
        <v>17542030.225656591</v>
      </c>
      <c r="G25" s="40">
        <f t="shared" si="7"/>
        <v>18462895.606133223</v>
      </c>
      <c r="H25" s="40">
        <f t="shared" si="7"/>
        <v>19424733.332009282</v>
      </c>
      <c r="I25" s="40">
        <f t="shared" si="7"/>
        <v>20429222.667240731</v>
      </c>
      <c r="J25" s="40">
        <f t="shared" si="7"/>
        <v>21478108.392995022</v>
      </c>
      <c r="K25" s="40">
        <f t="shared" si="7"/>
        <v>22573203.281186327</v>
      </c>
      <c r="L25" s="40">
        <f t="shared" si="7"/>
        <v>23716390.659227446</v>
      </c>
      <c r="M25" s="40">
        <f t="shared" si="7"/>
        <v>24909627.069303267</v>
      </c>
      <c r="N25" s="40">
        <f t="shared" si="7"/>
        <v>26154945.025588889</v>
      </c>
      <c r="O25" s="40">
        <f t="shared" si="7"/>
        <v>27454455.872957826</v>
      </c>
      <c r="P25" s="40">
        <f t="shared" si="7"/>
        <v>28810352.750852164</v>
      </c>
      <c r="Q25" s="40">
        <f t="shared" si="7"/>
        <v>30224913.666117832</v>
      </c>
      <c r="R25" s="40">
        <f t="shared" si="7"/>
        <v>31700504.678743646</v>
      </c>
      <c r="S25" s="40">
        <f t="shared" si="7"/>
        <v>33239583.204583399</v>
      </c>
      <c r="T25" s="40">
        <f t="shared" si="7"/>
        <v>34844701.439285859</v>
      </c>
      <c r="U25" s="40">
        <f t="shared" si="7"/>
        <v>36518509.907807782</v>
      </c>
      <c r="V25" s="40">
        <f t="shared" si="7"/>
        <v>38263761.144041285</v>
      </c>
      <c r="W25" s="40">
        <f t="shared" si="7"/>
        <v>40083313.505248144</v>
      </c>
      <c r="X25" s="40">
        <f t="shared" si="7"/>
        <v>41980135.126160726</v>
      </c>
      <c r="Y25" s="40">
        <f t="shared" si="7"/>
        <v>43957308.017782338</v>
      </c>
      <c r="Z25" s="40">
        <f t="shared" si="7"/>
        <v>46018032.316098563</v>
      </c>
      <c r="AA25" s="40">
        <f t="shared" si="7"/>
        <v>48165630.686096817</v>
      </c>
      <c r="AB25" s="40">
        <f t="shared" si="7"/>
        <v>50403552.886683255</v>
      </c>
      <c r="AC25" s="40">
        <f t="shared" si="7"/>
        <v>52735380.502284668</v>
      </c>
      <c r="AD25" s="40">
        <f t="shared" si="7"/>
        <v>55164831.84712863</v>
      </c>
      <c r="AE25" s="40">
        <f t="shared" si="7"/>
        <v>57695767.04840824</v>
      </c>
      <c r="AF25" s="40">
        <f t="shared" si="7"/>
        <v>60332193.314758286</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164</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8014861.5773921162</v>
      </c>
      <c r="D5" s="59">
        <f>C5*('Price and Financial ratios'!F4+1)*(1+Assumptions!$C$13)</f>
        <v>12033344.883813258</v>
      </c>
      <c r="E5" s="59">
        <f>D5*('Price and Financial ratios'!G4+1)*(1+Assumptions!$C$13)</f>
        <v>15055509.453135014</v>
      </c>
      <c r="F5" s="59">
        <f>E5*('Price and Financial ratios'!H4+1)*(1+Assumptions!$C$13)</f>
        <v>18083220.617270648</v>
      </c>
      <c r="G5" s="59">
        <f>F5*('Price and Financial ratios'!I4+1)*(1+Assumptions!$C$13)</f>
        <v>20814821.934311282</v>
      </c>
      <c r="H5" s="59">
        <f>G5*('Price and Financial ratios'!J4+1)*(1+Assumptions!$C$13)</f>
        <v>23334032.662998263</v>
      </c>
      <c r="I5" s="59">
        <f>H5*('Price and Financial ratios'!K4+1)*(1+Assumptions!$C$13)</f>
        <v>25691032.909135833</v>
      </c>
      <c r="J5" s="59">
        <f>I5*('Price and Financial ratios'!L4+1)*(1+Assumptions!$C$13)</f>
        <v>28286116.740761053</v>
      </c>
      <c r="K5" s="59">
        <f>J5*('Price and Financial ratios'!M4+1)*(1+Assumptions!$C$13)</f>
        <v>30577090.859604873</v>
      </c>
      <c r="L5" s="59">
        <f>K5*('Price and Financial ratios'!N4+1)*(1+Assumptions!$C$13)</f>
        <v>32747565.560613178</v>
      </c>
      <c r="M5" s="59">
        <f>L5*('Price and Financial ratios'!O4+1)*(1+Assumptions!$C$13)</f>
        <v>34744331.846741326</v>
      </c>
      <c r="N5" s="59">
        <f>M5*('Price and Financial ratios'!P4+1)*(1+Assumptions!$C$13)</f>
        <v>36862849.949627832</v>
      </c>
      <c r="O5" s="59">
        <f>N5*('Price and Financial ratios'!Q4+1)*(1+Assumptions!$C$13)</f>
        <v>39110543.62486539</v>
      </c>
      <c r="P5" s="59">
        <f>O5*('Price and Financial ratios'!R4+1)*(1+Assumptions!$C$13)</f>
        <v>41103824.294516943</v>
      </c>
      <c r="Q5" s="59">
        <f>P5*('Price and Financial ratios'!S4+1)*(1+Assumptions!$C$13)</f>
        <v>43198693.115591697</v>
      </c>
      <c r="R5" s="59">
        <f>Q5*('Price and Financial ratios'!T4+1)*(1+Assumptions!$C$13)</f>
        <v>45400327.558912858</v>
      </c>
      <c r="S5" s="59">
        <f>R5*('Price and Financial ratios'!U4+1)*(1+Assumptions!$C$13)</f>
        <v>47714168.966668062</v>
      </c>
      <c r="T5" s="59">
        <f>S5*('Price and Financial ratios'!V4+1)*(1+Assumptions!$C$13)</f>
        <v>50145936.000693142</v>
      </c>
      <c r="U5" s="59">
        <f>T5*('Price and Financial ratios'!W4+1)*(1+Assumptions!$C$13)</f>
        <v>52701638.776151799</v>
      </c>
      <c r="V5" s="59">
        <f>U5*('Price and Financial ratios'!X4+1)*(1+Assumptions!$C$13)</f>
        <v>55387593.71554248</v>
      </c>
      <c r="W5" s="59">
        <f>V5*('Price and Financial ratios'!Y4+1)*(1+Assumptions!$C$13)</f>
        <v>58210439.159744218</v>
      </c>
      <c r="X5" s="59">
        <f>W5*('Price and Financial ratios'!Z4+1)*(1+Assumptions!$C$13)</f>
        <v>61177151.774684131</v>
      </c>
      <c r="Y5" s="59">
        <f>X5*('Price and Financial ratios'!AA4+1)*(1+Assumptions!$C$13)</f>
        <v>64295063.794175699</v>
      </c>
      <c r="Z5" s="59">
        <f>Y5*('Price and Financial ratios'!AB4+1)*(1+Assumptions!$C$13)</f>
        <v>67571881.141543493</v>
      </c>
      <c r="AA5" s="59">
        <f>Z5*('Price and Financial ratios'!AC4+1)*(1+Assumptions!$C$13)</f>
        <v>71015702.474822</v>
      </c>
      <c r="AB5" s="59">
        <f>AA5*('Price and Financial ratios'!AD4+1)*(1+Assumptions!$C$13)</f>
        <v>74635039.202598706</v>
      </c>
      <c r="AC5" s="59">
        <f>AB5*('Price and Financial ratios'!AE4+1)*(1+Assumptions!$C$13)</f>
        <v>78438836.51997076</v>
      </c>
      <c r="AD5" s="59">
        <f>AC5*('Price and Financial ratios'!AF4+1)*(1+Assumptions!$C$13)</f>
        <v>82436495.516605437</v>
      </c>
      <c r="AE5" s="59">
        <f>AD5*('Price and Financial ratios'!AG4+1)*(1+Assumptions!$C$13)</f>
        <v>85812773.588577509</v>
      </c>
      <c r="AF5" s="59">
        <f>AE5*('Price and Financial ratios'!AH4+1)*(1+Assumptions!$C$13)</f>
        <v>88468414.229294419</v>
      </c>
    </row>
    <row r="6" spans="1:32" s="11" customFormat="1" x14ac:dyDescent="0.35">
      <c r="A6" s="11" t="s">
        <v>20</v>
      </c>
      <c r="C6" s="59">
        <f>C27</f>
        <v>5331113.3289326783</v>
      </c>
      <c r="D6" s="59">
        <f t="shared" ref="D6:AF6" si="1">D27</f>
        <v>5854031.154372518</v>
      </c>
      <c r="E6" s="59">
        <f>E27</f>
        <v>6397381.4650838254</v>
      </c>
      <c r="F6" s="59">
        <f t="shared" si="1"/>
        <v>6961810.2982030008</v>
      </c>
      <c r="G6" s="59">
        <f t="shared" si="1"/>
        <v>7547982.229471812</v>
      </c>
      <c r="H6" s="59">
        <f t="shared" si="1"/>
        <v>8156580.8763066735</v>
      </c>
      <c r="I6" s="59">
        <f t="shared" si="1"/>
        <v>8788309.4140315186</v>
      </c>
      <c r="J6" s="59">
        <f t="shared" si="1"/>
        <v>9443891.1056099609</v>
      </c>
      <c r="K6" s="59">
        <f t="shared" si="1"/>
        <v>10124069.845220927</v>
      </c>
      <c r="L6" s="59">
        <f t="shared" si="1"/>
        <v>10829610.716030471</v>
      </c>
      <c r="M6" s="59">
        <f t="shared" si="1"/>
        <v>11561300.562521387</v>
      </c>
      <c r="N6" s="59">
        <f t="shared" si="1"/>
        <v>12319948.577751189</v>
      </c>
      <c r="O6" s="59">
        <f t="shared" si="1"/>
        <v>13106386.905918343</v>
      </c>
      <c r="P6" s="59">
        <f t="shared" si="1"/>
        <v>13921471.260626145</v>
      </c>
      <c r="Q6" s="59">
        <f t="shared" si="1"/>
        <v>14766081.559243284</v>
      </c>
      <c r="R6" s="59">
        <f t="shared" si="1"/>
        <v>15641122.573770141</v>
      </c>
      <c r="S6" s="59">
        <f t="shared" si="1"/>
        <v>16547524.598630151</v>
      </c>
      <c r="T6" s="59">
        <f t="shared" si="1"/>
        <v>17486244.135815836</v>
      </c>
      <c r="U6" s="59">
        <f t="shared" si="1"/>
        <v>18458264.597830035</v>
      </c>
      <c r="V6" s="59">
        <f t="shared" si="1"/>
        <v>19464597.028873678</v>
      </c>
      <c r="W6" s="59">
        <f t="shared" si="1"/>
        <v>20506280.844742823</v>
      </c>
      <c r="X6" s="59">
        <f t="shared" si="1"/>
        <v>21584384.591909073</v>
      </c>
      <c r="Y6" s="59">
        <f t="shared" si="1"/>
        <v>22700006.72626948</v>
      </c>
      <c r="Z6" s="59">
        <f t="shared" si="1"/>
        <v>23854276.412063904</v>
      </c>
      <c r="AA6" s="59">
        <f t="shared" si="1"/>
        <v>25048354.341470428</v>
      </c>
      <c r="AB6" s="59">
        <f t="shared" si="1"/>
        <v>26283433.575402003</v>
      </c>
      <c r="AC6" s="59">
        <f t="shared" si="1"/>
        <v>27560740.406040482</v>
      </c>
      <c r="AD6" s="59">
        <f t="shared" si="1"/>
        <v>28881535.241657648</v>
      </c>
      <c r="AE6" s="59">
        <f t="shared" si="1"/>
        <v>30247113.514286462</v>
      </c>
      <c r="AF6" s="59">
        <f t="shared" si="1"/>
        <v>31658806.610819589</v>
      </c>
    </row>
    <row r="7" spans="1:32" x14ac:dyDescent="0.35">
      <c r="A7" t="s">
        <v>21</v>
      </c>
      <c r="C7" s="4">
        <f>Depreciation!C8+Depreciation!C9</f>
        <v>1802732.7711776246</v>
      </c>
      <c r="D7" s="4">
        <f>Depreciation!D8+Depreciation!D9</f>
        <v>2187523.1710233088</v>
      </c>
      <c r="E7" s="4">
        <f>Depreciation!E8+Depreciation!E9</f>
        <v>2595094.1581014302</v>
      </c>
      <c r="F7" s="4">
        <f>Depreciation!F8+Depreciation!F9</f>
        <v>3026509.664625424</v>
      </c>
      <c r="G7" s="4">
        <f>Depreciation!G8+Depreciation!G9</f>
        <v>3482878.3871490574</v>
      </c>
      <c r="H7" s="4">
        <f>Depreciation!H8+Depreciation!H9</f>
        <v>3965355.5620176271</v>
      </c>
      <c r="I7" s="4">
        <f>Depreciation!I8+Depreciation!I9</f>
        <v>4475144.8086093441</v>
      </c>
      <c r="J7" s="4">
        <f>Depreciation!J8+Depreciation!J9</f>
        <v>5013500.042887426</v>
      </c>
      <c r="K7" s="4">
        <f>Depreciation!K8+Depreciation!K9</f>
        <v>5581727.4638752891</v>
      </c>
      <c r="L7" s="4">
        <f>Depreciation!L8+Depreciation!L9</f>
        <v>6181187.6157624582</v>
      </c>
      <c r="M7" s="4">
        <f>Depreciation!M8+Depreciation!M9</f>
        <v>6813297.5284473961</v>
      </c>
      <c r="N7" s="4">
        <f>Depreciation!N8+Depreciation!N9</f>
        <v>7479532.9394256324</v>
      </c>
      <c r="O7" s="4">
        <f>Depreciation!O8+Depreciation!O9</f>
        <v>8181430.6000373438</v>
      </c>
      <c r="P7" s="4">
        <f>Depreciation!P8+Depreciation!P9</f>
        <v>8920590.6691982318</v>
      </c>
      <c r="Q7" s="4">
        <f>Depreciation!Q8+Depreciation!Q9</f>
        <v>9698679.1978509761</v>
      </c>
      <c r="R7" s="4">
        <f>Depreciation!R8+Depreciation!R9</f>
        <v>10517430.707492245</v>
      </c>
      <c r="S7" s="4">
        <f>Depreciation!S8+Depreciation!S9</f>
        <v>11378650.866251953</v>
      </c>
      <c r="T7" s="4">
        <f>Depreciation!T8+Depreciation!T9</f>
        <v>12284219.266127806</v>
      </c>
      <c r="U7" s="4">
        <f>Depreciation!U8+Depreciation!U9</f>
        <v>13236092.30510867</v>
      </c>
      <c r="V7" s="4">
        <f>Depreciation!V8+Depreciation!V9</f>
        <v>14236306.178055804</v>
      </c>
      <c r="W7" s="4">
        <f>Depreciation!W8+Depreciation!W9</f>
        <v>15286979.98035112</v>
      </c>
      <c r="X7" s="4">
        <f>Depreciation!X8+Depreciation!X9</f>
        <v>16390318.928467002</v>
      </c>
      <c r="Y7" s="4">
        <f>Depreciation!Y8+Depreciation!Y9</f>
        <v>17548617.701762423</v>
      </c>
      <c r="Z7" s="4">
        <f>Depreciation!Z8+Depreciation!Z9</f>
        <v>18764263.909966003</v>
      </c>
      <c r="AA7" s="4">
        <f>Depreciation!AA8+Depreciation!AA9</f>
        <v>20039741.690968014</v>
      </c>
      <c r="AB7" s="4">
        <f>Depreciation!AB8+Depreciation!AB9</f>
        <v>21377635.443710338</v>
      </c>
      <c r="AC7" s="4">
        <f>Depreciation!AC8+Depreciation!AC9</f>
        <v>22780633.701136619</v>
      </c>
      <c r="AD7" s="4">
        <f>Depreciation!AD8+Depreciation!AD9</f>
        <v>24251533.148343831</v>
      </c>
      <c r="AE7" s="4">
        <f>Depreciation!AE8+Depreciation!AE9</f>
        <v>25793242.791262336</v>
      </c>
      <c r="AF7" s="4">
        <f>Depreciation!AF8+Depreciation!AF9</f>
        <v>27408788.281383716</v>
      </c>
    </row>
    <row r="8" spans="1:32" x14ac:dyDescent="0.35">
      <c r="A8" t="s">
        <v>6</v>
      </c>
      <c r="C8" s="4">
        <f ca="1">'Debt worksheet'!C8</f>
        <v>758925.51118667005</v>
      </c>
      <c r="D8" s="4">
        <f ca="1">'Debt worksheet'!D8</f>
        <v>1135997.905452912</v>
      </c>
      <c r="E8" s="4">
        <f ca="1">'Debt worksheet'!E8</f>
        <v>1467442.1377331715</v>
      </c>
      <c r="F8" s="4">
        <f ca="1">'Debt worksheet'!F8</f>
        <v>1753537.652294077</v>
      </c>
      <c r="G8" s="4">
        <f ca="1">'Debt worksheet'!G8</f>
        <v>2005595.4495744647</v>
      </c>
      <c r="H8" s="4">
        <f ca="1">'Debt worksheet'!H8</f>
        <v>2232383.7343632993</v>
      </c>
      <c r="I8" s="4">
        <f ca="1">'Debt worksheet'!I8</f>
        <v>2441255.1351171755</v>
      </c>
      <c r="J8" s="4">
        <f ca="1">'Debt worksheet'!J8</f>
        <v>2625400.0327893393</v>
      </c>
      <c r="K8" s="4">
        <f ca="1">'Debt worksheet'!K8</f>
        <v>2797519.5980595057</v>
      </c>
      <c r="L8" s="4">
        <f ca="1">'Debt worksheet'!L8</f>
        <v>2964212.281421836</v>
      </c>
      <c r="M8" s="4">
        <f ca="1">'Debt worksheet'!M8</f>
        <v>3134345.2164764279</v>
      </c>
      <c r="N8" s="4">
        <f ca="1">'Debt worksheet'!N8</f>
        <v>3306494.035602442</v>
      </c>
      <c r="O8" s="4">
        <f ca="1">'Debt worksheet'!O8</f>
        <v>3479020.2134640613</v>
      </c>
      <c r="P8" s="4">
        <f ca="1">'Debt worksheet'!P8</f>
        <v>3664248.9156038435</v>
      </c>
      <c r="Q8" s="4">
        <f ca="1">'Debt worksheet'!Q8</f>
        <v>3862154.9113427699</v>
      </c>
      <c r="R8" s="4">
        <f ca="1">'Debt worksheet'!R8</f>
        <v>4072642.9021956506</v>
      </c>
      <c r="S8" s="4">
        <f ca="1">'Debt worksheet'!S8</f>
        <v>4295539.6491966248</v>
      </c>
      <c r="T8" s="4">
        <f ca="1">'Debt worksheet'!T8</f>
        <v>4530585.4759595068</v>
      </c>
      <c r="U8" s="4">
        <f ca="1">'Debt worksheet'!U8</f>
        <v>4777425.1051725568</v>
      </c>
      <c r="V8" s="4">
        <f ca="1">'Debt worksheet'!V8</f>
        <v>5035597.7836068328</v>
      </c>
      <c r="W8" s="4">
        <f ca="1">'Debt worksheet'!W8</f>
        <v>5304526.6479434911</v>
      </c>
      <c r="X8" s="4">
        <f ca="1">'Debt worksheet'!X8</f>
        <v>5583507.2807896268</v>
      </c>
      <c r="Y8" s="4">
        <f ca="1">'Debt worksheet'!Y8</f>
        <v>5871695.4031453794</v>
      </c>
      <c r="Z8" s="4">
        <f ca="1">'Debt worksheet'!Z8</f>
        <v>6168093.6462974539</v>
      </c>
      <c r="AA8" s="4">
        <f ca="1">'Debt worksheet'!AA8</f>
        <v>6471537.3426357899</v>
      </c>
      <c r="AB8" s="4">
        <f ca="1">'Debt worksheet'!AB8</f>
        <v>6780679.2712101759</v>
      </c>
      <c r="AC8" s="4">
        <f ca="1">'Debt worksheet'!AC8</f>
        <v>7093973.2899508597</v>
      </c>
      <c r="AD8" s="4">
        <f ca="1">'Debt worksheet'!AD8</f>
        <v>7409656.7823597817</v>
      </c>
      <c r="AE8" s="4">
        <f ca="1">'Debt worksheet'!AE8</f>
        <v>7755658.5766361486</v>
      </c>
      <c r="AF8" s="4">
        <f ca="1">'Debt worksheet'!AF8</f>
        <v>8164714.0684000729</v>
      </c>
    </row>
    <row r="9" spans="1:32" x14ac:dyDescent="0.35">
      <c r="A9" t="s">
        <v>22</v>
      </c>
      <c r="C9" s="4">
        <f ca="1">C5-C6-C7-C8</f>
        <v>122089.96609514323</v>
      </c>
      <c r="D9" s="4">
        <f t="shared" ref="D9:AF9" ca="1" si="2">D5-D6-D7-D8</f>
        <v>2855792.6529645193</v>
      </c>
      <c r="E9" s="4">
        <f t="shared" ca="1" si="2"/>
        <v>4595591.6922165854</v>
      </c>
      <c r="F9" s="4">
        <f t="shared" ca="1" si="2"/>
        <v>6341363.0021481467</v>
      </c>
      <c r="G9" s="4">
        <f t="shared" ca="1" si="2"/>
        <v>7778365.8681159485</v>
      </c>
      <c r="H9" s="4">
        <f t="shared" ca="1" si="2"/>
        <v>8979712.4903106634</v>
      </c>
      <c r="I9" s="4">
        <f t="shared" ca="1" si="2"/>
        <v>9986323.5513777938</v>
      </c>
      <c r="J9" s="4">
        <f t="shared" ca="1" si="2"/>
        <v>11203325.559474327</v>
      </c>
      <c r="K9" s="4">
        <f t="shared" ca="1" si="2"/>
        <v>12073773.95244915</v>
      </c>
      <c r="L9" s="4">
        <f t="shared" ca="1" si="2"/>
        <v>12772554.947398413</v>
      </c>
      <c r="M9" s="4">
        <f t="shared" ca="1" si="2"/>
        <v>13235388.539296115</v>
      </c>
      <c r="N9" s="4">
        <f t="shared" ca="1" si="2"/>
        <v>13756874.396848567</v>
      </c>
      <c r="O9" s="4">
        <f t="shared" ca="1" si="2"/>
        <v>14343705.905445641</v>
      </c>
      <c r="P9" s="4">
        <f t="shared" ca="1" si="2"/>
        <v>14597513.449088726</v>
      </c>
      <c r="Q9" s="4">
        <f t="shared" ca="1" si="2"/>
        <v>14871777.447154667</v>
      </c>
      <c r="R9" s="4">
        <f t="shared" ca="1" si="2"/>
        <v>15169131.375454817</v>
      </c>
      <c r="S9" s="4">
        <f t="shared" ca="1" si="2"/>
        <v>15492453.852589332</v>
      </c>
      <c r="T9" s="4">
        <f t="shared" ca="1" si="2"/>
        <v>15844887.122789994</v>
      </c>
      <c r="U9" s="4">
        <f t="shared" ca="1" si="2"/>
        <v>16229856.768040538</v>
      </c>
      <c r="V9" s="4">
        <f t="shared" ca="1" si="2"/>
        <v>16651092.725006161</v>
      </c>
      <c r="W9" s="4">
        <f t="shared" ca="1" si="2"/>
        <v>17112651.686706789</v>
      </c>
      <c r="X9" s="4">
        <f t="shared" ca="1" si="2"/>
        <v>17618940.973518431</v>
      </c>
      <c r="Y9" s="4">
        <f t="shared" ca="1" si="2"/>
        <v>18174743.962998413</v>
      </c>
      <c r="Z9" s="4">
        <f t="shared" ca="1" si="2"/>
        <v>18785247.173216131</v>
      </c>
      <c r="AA9" s="4">
        <f t="shared" ca="1" si="2"/>
        <v>19456069.09974777</v>
      </c>
      <c r="AB9" s="4">
        <f t="shared" ca="1" si="2"/>
        <v>20193290.912276186</v>
      </c>
      <c r="AC9" s="4">
        <f t="shared" ca="1" si="2"/>
        <v>21003489.1228428</v>
      </c>
      <c r="AD9" s="4">
        <f t="shared" ca="1" si="2"/>
        <v>21893770.344244178</v>
      </c>
      <c r="AE9" s="4">
        <f t="shared" ca="1" si="2"/>
        <v>22016758.706392564</v>
      </c>
      <c r="AF9" s="4">
        <f t="shared" ca="1" si="2"/>
        <v>21236105.268691037</v>
      </c>
    </row>
    <row r="12" spans="1:32" x14ac:dyDescent="0.35">
      <c r="A12" t="s">
        <v>80</v>
      </c>
      <c r="C12" s="2">
        <f>Assumptions!$C$25*Assumptions!D9*Assumptions!D13</f>
        <v>4938752.1989326784</v>
      </c>
      <c r="D12" s="2">
        <f>Assumptions!$C$25*Assumptions!E9*Assumptions!E13</f>
        <v>5052045.0046525178</v>
      </c>
      <c r="E12" s="2">
        <f>Assumptions!$C$25*Assumptions!F9*Assumptions!F13</f>
        <v>5167936.6975630652</v>
      </c>
      <c r="F12" s="2">
        <f>Assumptions!$C$25*Assumptions!G9*Assumptions!G13</f>
        <v>5286486.8949947124</v>
      </c>
      <c r="G12" s="2">
        <f>Assumptions!$C$25*Assumptions!H9*Assumptions!H13</f>
        <v>5407756.5818732232</v>
      </c>
      <c r="H12" s="2">
        <f>Assumptions!$C$25*Assumptions!I9*Assumptions!I13</f>
        <v>5531808.1420917641</v>
      </c>
      <c r="I12" s="2">
        <f>Assumptions!$C$25*Assumptions!J9*Assumptions!J13</f>
        <v>5658705.3906026073</v>
      </c>
      <c r="J12" s="2">
        <f>Assumptions!$C$25*Assumptions!K9*Assumptions!K13</f>
        <v>5788513.6062449934</v>
      </c>
      <c r="K12" s="2">
        <f>Assumptions!$C$25*Assumptions!L9*Assumptions!L13</f>
        <v>5921299.5653260546</v>
      </c>
      <c r="L12" s="2">
        <f>Assumptions!$C$25*Assumptions!M9*Assumptions!M13</f>
        <v>6057131.5759720709</v>
      </c>
      <c r="M12" s="2">
        <f>Assumptions!$C$25*Assumptions!N9*Assumptions!N13</f>
        <v>6196079.5132677341</v>
      </c>
      <c r="N12" s="2">
        <f>Assumptions!$C$25*Assumptions!O9*Assumptions!O13</f>
        <v>6338214.85520148</v>
      </c>
      <c r="O12" s="2">
        <f>Assumptions!$C$25*Assumptions!P9*Assumptions!P13</f>
        <v>6483610.7194353919</v>
      </c>
      <c r="P12" s="2">
        <f>Assumptions!$C$25*Assumptions!Q9*Assumptions!Q13</f>
        <v>6632341.9009186029</v>
      </c>
      <c r="Q12" s="2">
        <f>Assumptions!$C$25*Assumptions!R9*Assumptions!R13</f>
        <v>6784484.9103635224</v>
      </c>
      <c r="R12" s="2">
        <f>Assumptions!$C$25*Assumptions!S9*Assumptions!S13</f>
        <v>6940118.0136046857</v>
      </c>
      <c r="S12" s="2">
        <f>Assumptions!$C$25*Assumptions!T9*Assumptions!T13</f>
        <v>7099321.2718604878</v>
      </c>
      <c r="T12" s="2">
        <f>Assumptions!$C$25*Assumptions!U9*Assumptions!U13</f>
        <v>7262176.5829184987</v>
      </c>
      <c r="U12" s="2">
        <f>Assumptions!$C$25*Assumptions!V9*Assumptions!V13</f>
        <v>7428767.7232655641</v>
      </c>
      <c r="V12" s="2">
        <f>Assumptions!$C$25*Assumptions!W9*Assumptions!W13</f>
        <v>7599180.3911843216</v>
      </c>
      <c r="W12" s="2">
        <f>Assumptions!$C$25*Assumptions!X9*Assumptions!X13</f>
        <v>7773502.2508383719</v>
      </c>
      <c r="X12" s="2">
        <f>Assumptions!$C$25*Assumptions!Y9*Assumptions!Y13</f>
        <v>7951822.9773687087</v>
      </c>
      <c r="Y12" s="2">
        <f>Assumptions!$C$25*Assumptions!Z9*Assumptions!Z13</f>
        <v>8134234.3030246664</v>
      </c>
      <c r="Z12" s="2">
        <f>Assumptions!$C$25*Assumptions!AA9*Assumptions!AA13</f>
        <v>8320830.064353087</v>
      </c>
      <c r="AA12" s="2">
        <f>Assumptions!$C$25*Assumptions!AB9*Assumptions!AB13</f>
        <v>8511706.2504699547</v>
      </c>
      <c r="AB12" s="2">
        <f>Assumptions!$C$25*Assumptions!AC9*Assumptions!AC13</f>
        <v>8706961.0524394177</v>
      </c>
      <c r="AC12" s="2">
        <f>Assumptions!$C$25*Assumptions!AD9*Assumptions!AD13</f>
        <v>8906694.913785493</v>
      </c>
      <c r="AD12" s="2">
        <f>Assumptions!$C$25*Assumptions!AE9*Assumptions!AE13</f>
        <v>9111010.5821625106</v>
      </c>
      <c r="AE12" s="2">
        <f>Assumptions!$C$25*Assumptions!AF9*Assumptions!AF13</f>
        <v>9320013.1622108556</v>
      </c>
      <c r="AF12" s="2">
        <f>Assumptions!$C$25*Assumptions!AG9*Assumptions!AG13</f>
        <v>9533810.1696251743</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392361.12999999995</v>
      </c>
      <c r="D14" s="5">
        <f>Assumptions!E122*Assumptions!E9</f>
        <v>801986.14971999987</v>
      </c>
      <c r="E14" s="5">
        <f>Assumptions!F122*Assumptions!F9</f>
        <v>1229444.76752076</v>
      </c>
      <c r="F14" s="5">
        <f>Assumptions!G122*Assumptions!G9</f>
        <v>1675323.4032082888</v>
      </c>
      <c r="G14" s="5">
        <f>Assumptions!H122*Assumptions!H9</f>
        <v>2140225.6475985888</v>
      </c>
      <c r="H14" s="5">
        <f>Assumptions!I122*Assumptions!I9</f>
        <v>2624772.7342149094</v>
      </c>
      <c r="I14" s="5">
        <f>Assumptions!J122*Assumptions!J9</f>
        <v>3129604.0234289109</v>
      </c>
      <c r="J14" s="5">
        <f>Assumptions!K122*Assumptions!K9</f>
        <v>3655377.4993649679</v>
      </c>
      <c r="K14" s="5">
        <f>Assumptions!L122*Assumptions!L9</f>
        <v>4202770.2798948726</v>
      </c>
      <c r="L14" s="5">
        <f>Assumptions!M122*Assumptions!M9</f>
        <v>4772479.1400584001</v>
      </c>
      <c r="M14" s="5">
        <f>Assumptions!N122*Assumptions!N9</f>
        <v>5365221.0492536528</v>
      </c>
      <c r="N14" s="5">
        <f>Assumptions!O122*Assumptions!O9</f>
        <v>5981733.7225497086</v>
      </c>
      <c r="O14" s="5">
        <f>Assumptions!P122*Assumptions!P9</f>
        <v>6622776.186482951</v>
      </c>
      <c r="P14" s="5">
        <f>Assumptions!Q122*Assumptions!Q9</f>
        <v>7289129.3597075427</v>
      </c>
      <c r="Q14" s="5">
        <f>Assumptions!R122*Assumptions!R9</f>
        <v>7981596.6488797609</v>
      </c>
      <c r="R14" s="5">
        <f>Assumptions!S122*Assumptions!S9</f>
        <v>8701004.5601654556</v>
      </c>
      <c r="S14" s="5">
        <f>Assumptions!T122*Assumptions!T9</f>
        <v>9448203.326769663</v>
      </c>
      <c r="T14" s="5">
        <f>Assumptions!U122*Assumptions!U9</f>
        <v>10224067.552897336</v>
      </c>
      <c r="U14" s="5">
        <f>Assumptions!V122*Assumptions!V9</f>
        <v>11029496.874564471</v>
      </c>
      <c r="V14" s="5">
        <f>Assumptions!W122*Assumptions!W9</f>
        <v>11865416.637689358</v>
      </c>
      <c r="W14" s="5">
        <f>Assumptions!X122*Assumptions!X9</f>
        <v>12732778.593904452</v>
      </c>
      <c r="X14" s="5">
        <f>Assumptions!Y122*Assumptions!Y9</f>
        <v>13632561.614540365</v>
      </c>
      <c r="Y14" s="5">
        <f>Assumptions!Z122*Assumptions!Z9</f>
        <v>14565772.423244813</v>
      </c>
      <c r="Z14" s="5">
        <f>Assumptions!AA122*Assumptions!AA9</f>
        <v>15533446.347710818</v>
      </c>
      <c r="AA14" s="5">
        <f>Assumptions!AB122*Assumptions!AB9</f>
        <v>16536648.091000475</v>
      </c>
      <c r="AB14" s="5">
        <f>Assumptions!AC122*Assumptions!AC9</f>
        <v>17576472.522962585</v>
      </c>
      <c r="AC14" s="5">
        <f>Assumptions!AD122*Assumptions!AD9</f>
        <v>18654045.492254987</v>
      </c>
      <c r="AD14" s="5">
        <f>Assumptions!AE122*Assumptions!AE9</f>
        <v>19770524.659495138</v>
      </c>
      <c r="AE14" s="5">
        <f>Assumptions!AF122*Assumptions!AF9</f>
        <v>20927100.352075607</v>
      </c>
      <c r="AF14" s="5">
        <f>Assumptions!AG122*Assumptions!AG9</f>
        <v>22124996.441194415</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5331113.3289326783</v>
      </c>
      <c r="D27" s="2">
        <f t="shared" ref="D27:AF27" si="8">D12+D13+D14+D19+D20+D22+D24+D25</f>
        <v>5854031.154372518</v>
      </c>
      <c r="E27" s="2">
        <f t="shared" si="8"/>
        <v>6397381.4650838254</v>
      </c>
      <c r="F27" s="2">
        <f t="shared" si="8"/>
        <v>6961810.2982030008</v>
      </c>
      <c r="G27" s="2">
        <f t="shared" si="8"/>
        <v>7547982.229471812</v>
      </c>
      <c r="H27" s="2">
        <f t="shared" si="8"/>
        <v>8156580.8763066735</v>
      </c>
      <c r="I27" s="2">
        <f t="shared" si="8"/>
        <v>8788309.4140315186</v>
      </c>
      <c r="J27" s="2">
        <f t="shared" si="8"/>
        <v>9443891.1056099609</v>
      </c>
      <c r="K27" s="2">
        <f t="shared" si="8"/>
        <v>10124069.845220927</v>
      </c>
      <c r="L27" s="2">
        <f t="shared" si="8"/>
        <v>10829610.716030471</v>
      </c>
      <c r="M27" s="2">
        <f t="shared" si="8"/>
        <v>11561300.562521387</v>
      </c>
      <c r="N27" s="2">
        <f t="shared" si="8"/>
        <v>12319948.577751189</v>
      </c>
      <c r="O27" s="2">
        <f t="shared" si="8"/>
        <v>13106386.905918343</v>
      </c>
      <c r="P27" s="2">
        <f t="shared" si="8"/>
        <v>13921471.260626145</v>
      </c>
      <c r="Q27" s="2">
        <f t="shared" si="8"/>
        <v>14766081.559243284</v>
      </c>
      <c r="R27" s="2">
        <f t="shared" si="8"/>
        <v>15641122.573770141</v>
      </c>
      <c r="S27" s="2">
        <f t="shared" si="8"/>
        <v>16547524.598630151</v>
      </c>
      <c r="T27" s="2">
        <f t="shared" si="8"/>
        <v>17486244.135815836</v>
      </c>
      <c r="U27" s="2">
        <f t="shared" si="8"/>
        <v>18458264.597830035</v>
      </c>
      <c r="V27" s="2">
        <f t="shared" si="8"/>
        <v>19464597.028873678</v>
      </c>
      <c r="W27" s="2">
        <f t="shared" si="8"/>
        <v>20506280.844742823</v>
      </c>
      <c r="X27" s="2">
        <f t="shared" si="8"/>
        <v>21584384.591909073</v>
      </c>
      <c r="Y27" s="2">
        <f t="shared" si="8"/>
        <v>22700006.72626948</v>
      </c>
      <c r="Z27" s="2">
        <f t="shared" si="8"/>
        <v>23854276.412063904</v>
      </c>
      <c r="AA27" s="2">
        <f t="shared" si="8"/>
        <v>25048354.341470428</v>
      </c>
      <c r="AB27" s="2">
        <f t="shared" si="8"/>
        <v>26283433.575402003</v>
      </c>
      <c r="AC27" s="2">
        <f t="shared" si="8"/>
        <v>27560740.406040482</v>
      </c>
      <c r="AD27" s="2">
        <f t="shared" si="8"/>
        <v>28881535.241657648</v>
      </c>
      <c r="AE27" s="2">
        <f t="shared" si="8"/>
        <v>30247113.514286462</v>
      </c>
      <c r="AF27" s="2">
        <f t="shared" si="8"/>
        <v>31658806.610819589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3W2DU3RAJ5R2-1900874439-881</_dlc_DocId>
    <_dlc_DocIdUrl xmlns="f54e2983-00ce-40fc-8108-18f351fc47bf">
      <Url>https://dia.cohesion.net.nz/Sites/LGV/TWRP/CAE/_layouts/15/DocIdRedir.aspx?ID=3W2DU3RAJ5R2-1900874439-881</Url>
      <Description>3W2DU3RAJ5R2-1900874439-881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79AD3D4-D72F-4074-89C4-D42238F58A3F}"/>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4163D3FE-4113-4591-930B-182D10E21B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2021-06-28T22:06:22Z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8f82c030-8516-4a7d-b159-0d5146a4b52c</vt:lpwstr>
  </property>
</Properties>
</file>