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18" documentId="8_{2AA0FB44-CD4E-493A-890F-C374CE15129A}" xr6:coauthVersionLast="47" xr6:coauthVersionMax="47" xr10:uidLastSave="{832E98C5-AF03-42BA-9AD4-54187821C017}"/>
  <bookViews>
    <workbookView xWindow="1290" yWindow="-110" windowWidth="37220" windowHeight="21820" tabRatio="856"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9" l="1"/>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C40" i="2" l="1"/>
  <c r="C41" i="2"/>
  <c r="C39" i="2"/>
  <c r="C36" i="2"/>
  <c r="C37" i="2"/>
  <c r="C35"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5" i="9"/>
  <c r="C11" i="9"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<sst xmlns="http://schemas.openxmlformats.org/spreadsheetml/2006/main" count="277" uniqueCount="205">
  <si>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</si>
  <si>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</si>
  <si>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</si>
  <si>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</si>
  <si>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</si>
  <si>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</si>
  <si>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</si>
  <si>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</si>
  <si>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</si>
  <si>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</si>
  <si>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</si>
  <si>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</si>
  <si>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</si>
  <si>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</si>
  <si>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</si>
  <si>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</si>
  <si>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</si>
  <si>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</si>
  <si>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</si>
  <si>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</si>
  <si>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</si>
  <si>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</si>
  <si>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</si>
  <si>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</si>
  <si>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</si>
  <si>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</si>
  <si>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</si>
  <si>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</si>
  <si>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</si>
  <si>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</si>
  <si>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</si>
  <si>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</si>
  <si>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</si>
  <si>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</si>
  <si>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</si>
  <si>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</si>
  <si>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</si>
  <si>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</si>
  <si>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</si>
  <si>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</si>
  <si>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</si>
  <si>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</si>
  <si>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</si>
  <si>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</si>
  <si>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</si>
  <si>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</si>
  <si>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</si>
  <si>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</si>
  <si>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</si>
  <si>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</si>
  <si>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</si>
  <si>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</si>
  <si>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</si>
  <si>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</si>
  <si>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</si>
  <si>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</si>
  <si>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</si>
  <si>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</si>
  <si>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</si>
  <si>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</si>
  <si>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</si>
  <si>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</si>
  <si>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</si>
  <si>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</si>
  <si>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</si>
  <si>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</si>
  <si>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</si>
  <si>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</si>
  <si>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</si>
  <si>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</si>
  <si>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</si>
  <si>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</si>
  <si>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</si>
  <si>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</si>
  <si>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</si>
  <si>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</si>
  <si>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</si>
  <si>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</si>
  <si>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</si>
  <si>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</si>
  <si>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</si>
  <si>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</si>
  <si>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</si>
  <si>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</si>
  <si>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</si>
  <si>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</si>
  <si>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</si>
  <si>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</si>
  <si>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</si>
  <si>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</si>
  <si>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</si>
  <si>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</si>
  <si>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</si>
  <si>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</si>
  <si>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</si>
  <si>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</si>
  <si>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</si>
  <si>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</si>
  <si>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</si>
  <si>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</si>
  <si>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</si>
  <si>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</si>
  <si>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</si>
  <si>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</si>
  <si>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</si>
  <si>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</si>
  <si>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</si>
  <si>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</si>
  <si>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</si>
  <si>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</si>
  <si>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</si>
  <si>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</si>
  <si>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</si>
  <si>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</si>
  <si>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</si>
  <si>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</si>
  <si>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</si>
  <si>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</si>
  <si>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</si>
  <si>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</si>
  <si>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</si>
  <si>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</si>
  <si>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</si>
  <si>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</si>
  <si>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</si>
  <si>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</si>
  <si>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</si>
  <si>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</si>
  <si>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</si>
  <si>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</si>
  <si>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</si>
  <si>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</si>
  <si>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</si>
  <si>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A1; Line A1.47</t>
  </si>
  <si>
    <t>RFI Table A3; Line A3.58</t>
  </si>
  <si>
    <t>RFI Table J1; Sum of lines J1.1 to J1.30 (Column I)</t>
  </si>
  <si>
    <t>RFI Table J1; Sum of lines J1.1 to J1.30 (Column J)</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</si>
  <si>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</si>
  <si>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</si>
  <si>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</si>
  <si>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</si>
  <si>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</si>
  <si>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</si>
  <si>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</si>
  <si>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</si>
  <si>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</si>
  <si>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</si>
  <si>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</si>
  <si>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</si>
  <si>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</si>
  <si>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</si>
  <si>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</si>
  <si>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</si>
  <si>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</si>
  <si>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</si>
  <si>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</si>
  <si>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</si>
  <si>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</si>
  <si>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</si>
  <si>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</si>
  <si>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</si>
  <si>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</si>
  <si>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</si>
  <si>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</si>
  <si>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</si>
  <si>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</si>
  <si>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</si>
  <si>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</si>
  <si>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</si>
  <si>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</si>
  <si>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</si>
  <si>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</si>
  <si>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</si>
  <si>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</si>
  <si>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</si>
  <si>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</si>
  <si>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(adjusted for projected inflation in RFI Table G5)</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</si>
  <si>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</si>
  <si>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</si>
  <si>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</si>
  <si>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</si>
  <si>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</si>
  <si>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</si>
  <si>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</si>
  <si>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</si>
  <si>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</si>
  <si>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</si>
  <si>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</si>
  <si>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</si>
  <si>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</si>
  <si>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</si>
  <si>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</si>
  <si>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</si>
  <si>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</si>
  <si>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</si>
  <si>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</si>
  <si>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</si>
  <si>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Waipa Stand-alone Council</t>
  </si>
  <si>
    <t>RFI Table F10; Lines F10.62 + F10.70 - F10.61</t>
  </si>
  <si>
    <t>RFI Table F10; Lines F10.62 + F10.70</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</si>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</sst>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4">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18" fillId="0" borderId="0" xfId="0" applyFont="1" applyAlignment="1">
      <alignment horizontal="left" vertical="center" wrapText="1"/>
    </xf>
    <xf numFmtId="0" fontId="16" fillId="0" borderId="0" xfId="0" applyFont="1" applyAlignment="1">
      <alignment horizontal="right"/>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0" fontId="0" fillId="0" borderId="0" xfId="0" applyAlignment="1">
      <alignment horizontal="right"/>
    </xf>
    <xf numFmtId="166" fontId="10" fillId="0" borderId="0" xfId="0" applyNumberFormat="1" applyFont="1" applyFill="1" applyAlignment="1">
      <alignment vertical="top" wrapText="1"/>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197</v>
      </c>
      <c r="C2" s="171"/>
      <c r="D2" s="60"/>
      <c r="E2" s="14"/>
      <c r="F2" s="60"/>
    </row>
    <row r="3" spans="1:6" x14ac:dyDescent="0.35">
      <c r="C3" s="14"/>
      <c r="D3" s="14"/>
    </row>
    <row r="4" spans="1:6" x14ac:dyDescent="0.35">
      <c r="A4" s="14" t="s">
        <v>158</v>
      </c>
      <c r="B4" s="14"/>
      <c r="D4" s="14"/>
    </row>
    <row r="6" spans="1:6" ht="21" x14ac:dyDescent="0.5">
      <c r="A6" s="15" t="s">
        <v>167</v>
      </c>
    </row>
    <row r="7" spans="1:6" ht="241" customHeight="1" x14ac:dyDescent="0.35">
      <c r="A7" s="107">
        <v>1</v>
      </c>
      <c r="B7" s="104" t="s">
        <v>168</v>
      </c>
    </row>
    <row r="8" spans="1:6" ht="408" customHeight="1" x14ac:dyDescent="0.35">
      <c r="A8" s="107">
        <v>2</v>
      </c>
      <c r="B8" s="104" t="s">
        <v>189</v>
      </c>
    </row>
    <row r="9" spans="1:6" ht="195.5" customHeight="1" x14ac:dyDescent="0.35">
      <c r="A9" s="107">
        <f>A8+1</f>
        <v>3</v>
      </c>
      <c r="B9" s="105" t="s">
        <v>172</v>
      </c>
    </row>
    <row r="10" spans="1:6" ht="236" customHeight="1" x14ac:dyDescent="0.35">
      <c r="A10" s="107">
        <v>4</v>
      </c>
      <c r="B10" s="105" t="s">
        <v>173</v>
      </c>
    </row>
    <row r="11" spans="1:6" ht="21" x14ac:dyDescent="0.35">
      <c r="A11" s="107">
        <f>A10+1</f>
        <v>5</v>
      </c>
      <c r="B11" s="63" t="s">
        <v>187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164</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190</v>
      </c>
      <c r="B6" s="1">
        <f>Assumptions!C17</f>
        <v>799034500</v>
      </c>
      <c r="C6" s="12">
        <f ca="1">B6+Depreciation!C18+'Cash Flow'!C13</f>
        <v>816340193.05234718</v>
      </c>
      <c r="D6" s="1">
        <f ca="1">C6+Depreciation!D18</f>
        <v>880810075.14182377</v>
      </c>
      <c r="E6" s="1">
        <f ca="1">D6+Depreciation!E18</f>
        <v>948571806.19601798</v>
      </c>
      <c r="F6" s="1">
        <f ca="1">E6+Depreciation!F18</f>
        <v>1019770047.3894123</v>
      </c>
      <c r="G6" s="1">
        <f ca="1">F6+Depreciation!G18</f>
        <v>1094555347.3583159</v>
      </c>
      <c r="H6" s="1">
        <f ca="1">G6+Depreciation!H18</f>
        <v>1173084370.8653793</v>
      </c>
      <c r="I6" s="1">
        <f ca="1">H6+Depreciation!I18</f>
        <v>1255520136.0698767</v>
      </c>
      <c r="J6" s="1">
        <f ca="1">I6+Depreciation!J18</f>
        <v>1342032260.7203724</v>
      </c>
      <c r="K6" s="1">
        <f ca="1">J6+Depreciation!K18</f>
        <v>1432797217.5978413</v>
      </c>
      <c r="L6" s="1">
        <f ca="1">K6+Depreciation!L18</f>
        <v>1527998599.5491672</v>
      </c>
      <c r="M6" s="1">
        <f ca="1">L6+Depreciation!M18</f>
        <v>1627827394.4632347</v>
      </c>
      <c r="N6" s="1">
        <f ca="1">M6+Depreciation!N18</f>
        <v>1732482270.5545409</v>
      </c>
      <c r="O6" s="1">
        <f ca="1">N6+Depreciation!O18</f>
        <v>1842169872.332437</v>
      </c>
      <c r="P6" s="1">
        <f ca="1">O6+Depreciation!P18</f>
        <v>1957105127.6477475</v>
      </c>
      <c r="Q6" s="1">
        <f ca="1">P6+Depreciation!Q18</f>
        <v>2077511566.2226462</v>
      </c>
      <c r="R6" s="1">
        <f ca="1">Q6+Depreciation!R18</f>
        <v>2203621650.0843039</v>
      </c>
      <c r="S6" s="1">
        <f ca="1">R6+Depreciation!S18</f>
        <v>2335677116.3379726</v>
      </c>
      <c r="T6" s="1">
        <f ca="1">S6+Depreciation!T18</f>
        <v>2473929332.7308664</v>
      </c>
      <c r="U6" s="1">
        <f ca="1">T6+Depreciation!U18</f>
        <v>2618639666.4744525</v>
      </c>
      <c r="V6" s="1">
        <f ca="1">U6+Depreciation!V18</f>
        <v>2770079866.8095884</v>
      </c>
      <c r="W6" s="1">
        <f ca="1">V6+Depreciation!W18</f>
        <v>2928532461.81638</v>
      </c>
      <c r="X6" s="1">
        <f ca="1">W6+Depreciation!X18</f>
        <v>3094291169.9886699</v>
      </c>
      <c r="Y6" s="1">
        <f ca="1">X6+Depreciation!Y18</f>
        <v>3267661327.111763</v>
      </c>
      <c r="Z6" s="1">
        <f ca="1">Y6+Depreciation!Z18</f>
        <v>3448960329.0013428</v>
      </c>
      <c r="AA6" s="1">
        <f ca="1">Z6+Depreciation!AA18</f>
        <v>3638518090.6815696</v>
      </c>
      <c r="AB6" s="1">
        <f ca="1">AA6+Depreciation!AB18</f>
        <v>3836677522.6011105</v>
      </c>
      <c r="AC6" s="1">
        <f ca="1">AB6+Depreciation!AC18</f>
        <v>4043795024.5073209</v>
      </c>
      <c r="AD6" s="1">
        <f ca="1">AC6+Depreciation!AD18</f>
        <v>4260240997.6210623</v>
      </c>
      <c r="AE6" s="1">
        <f ca="1">AD6+Depreciation!AE18</f>
        <v>4486400375.7776642</v>
      </c>
      <c r="AF6" s="1"/>
      <c r="AG6" s="1"/>
      <c r="AH6" s="1"/>
      <c r="AI6" s="1"/>
      <c r="AJ6" s="1"/>
      <c r="AK6" s="1"/>
      <c r="AL6" s="1"/>
      <c r="AM6" s="1"/>
      <c r="AN6" s="1"/>
      <c r="AO6" s="1"/>
      <c r="AP6" s="1"/>
    </row>
    <row r="7" spans="1:42" x14ac:dyDescent="0.35">
      <c r="A7" t="s">
        <v>12</v>
      </c>
      <c r="B7" s="1">
        <f>Depreciation!C12</f>
        <v>412759744.84945917</v>
      </c>
      <c r="C7" s="1">
        <f>Depreciation!D12</f>
        <v>427616709.55140185</v>
      </c>
      <c r="D7" s="1">
        <f>Depreciation!E12</f>
        <v>444177909.86166114</v>
      </c>
      <c r="E7" s="1">
        <f>Depreciation!F12</f>
        <v>462537203.3273145</v>
      </c>
      <c r="F7" s="1">
        <f>Depreciation!G12</f>
        <v>482792709.24118948</v>
      </c>
      <c r="G7" s="1">
        <f>Depreciation!H12</f>
        <v>505046985.28346342</v>
      </c>
      <c r="H7" s="1">
        <f>Depreciation!I12</f>
        <v>529407211.104298</v>
      </c>
      <c r="I7" s="1">
        <f>Depreciation!J12</f>
        <v>555985379.11085391</v>
      </c>
      <c r="J7" s="1">
        <f>Depreciation!K12</f>
        <v>584898492.73177671</v>
      </c>
      <c r="K7" s="1">
        <f>Depreciation!L12</f>
        <v>616268772.44234717</v>
      </c>
      <c r="L7" s="1">
        <f>Depreciation!M12</f>
        <v>650223869.8439548</v>
      </c>
      <c r="M7" s="1">
        <f>Depreciation!N12</f>
        <v>686897090.10240257</v>
      </c>
      <c r="N7" s="1">
        <f>Depreciation!O12</f>
        <v>726427623.06078887</v>
      </c>
      <c r="O7" s="1">
        <f>Depreciation!P12</f>
        <v>768960783.35436511</v>
      </c>
      <c r="P7" s="1">
        <f>Depreciation!Q12</f>
        <v>814648259.86683416</v>
      </c>
      <c r="Q7" s="1">
        <f>Depreciation!R12</f>
        <v>863648374.88006437</v>
      </c>
      <c r="R7" s="1">
        <f>Depreciation!S12</f>
        <v>916126353.28215587</v>
      </c>
      <c r="S7" s="1">
        <f>Depreciation!T12</f>
        <v>972254602.21222222</v>
      </c>
      <c r="T7" s="1">
        <f>Depreciation!U12</f>
        <v>1032213001.5341699</v>
      </c>
      <c r="U7" s="1">
        <f>Depreciation!V12</f>
        <v>1096189205.5461752</v>
      </c>
      <c r="V7" s="1">
        <f>Depreciation!W12</f>
        <v>1164378956.347496</v>
      </c>
      <c r="W7" s="1">
        <f>Depreciation!X12</f>
        <v>1236986409.2997401</v>
      </c>
      <c r="X7" s="1">
        <f>Depreciation!Y12</f>
        <v>1314224471.0357461</v>
      </c>
      <c r="Y7" s="1">
        <f>Depreciation!Z12</f>
        <v>1396315150.4858515</v>
      </c>
      <c r="Z7" s="1">
        <f>Depreciation!AA12</f>
        <v>1483489923.4085412</v>
      </c>
      <c r="AA7" s="1">
        <f>Depreciation!AB12</f>
        <v>1575990110.9303038</v>
      </c>
      <c r="AB7" s="1">
        <f>Depreciation!AC12</f>
        <v>1674067272.6180067</v>
      </c>
      <c r="AC7" s="1">
        <f>Depreciation!AD12</f>
        <v>1777983614.6262484</v>
      </c>
      <c r="AD7" s="1">
        <f>Depreciation!AE12</f>
        <v>1888012413.4819748</v>
      </c>
      <c r="AE7" s="1">
        <f>Depreciation!AF12</f>
        <v>2004438456.0892084</v>
      </c>
      <c r="AF7" s="1"/>
      <c r="AG7" s="1"/>
      <c r="AH7" s="1"/>
      <c r="AI7" s="1"/>
      <c r="AJ7" s="1"/>
      <c r="AK7" s="1"/>
      <c r="AL7" s="1"/>
      <c r="AM7" s="1"/>
      <c r="AN7" s="1"/>
      <c r="AO7" s="1"/>
      <c r="AP7" s="1"/>
    </row>
    <row r="8" spans="1:42" x14ac:dyDescent="0.35">
      <c r="A8" t="s">
        <v>191</v>
      </c>
      <c r="B8" s="1">
        <f t="shared" ref="B8:AE8" si="1">B6-B7</f>
        <v>386274755.15054083</v>
      </c>
      <c r="C8" s="1">
        <f t="shared" ca="1" si="1"/>
        <v>388723483.50094533</v>
      </c>
      <c r="D8" s="1">
        <f ca="1">D6-D7</f>
        <v>436632165.28016263</v>
      </c>
      <c r="E8" s="1">
        <f t="shared" ca="1" si="1"/>
        <v>486034602.86870348</v>
      </c>
      <c r="F8" s="1">
        <f t="shared" ca="1" si="1"/>
        <v>536977338.1482228</v>
      </c>
      <c r="G8" s="1">
        <f t="shared" ca="1" si="1"/>
        <v>589508362.07485247</v>
      </c>
      <c r="H8" s="1">
        <f t="shared" ca="1" si="1"/>
        <v>643677159.76108134</v>
      </c>
      <c r="I8" s="1">
        <f t="shared" ca="1" si="1"/>
        <v>699534756.95902276</v>
      </c>
      <c r="J8" s="1">
        <f t="shared" ca="1" si="1"/>
        <v>757133767.98859572</v>
      </c>
      <c r="K8" s="1">
        <f t="shared" ca="1" si="1"/>
        <v>816528445.15549409</v>
      </c>
      <c r="L8" s="1">
        <f t="shared" ca="1" si="1"/>
        <v>877774729.70521235</v>
      </c>
      <c r="M8" s="1">
        <f t="shared" ca="1" si="1"/>
        <v>940930304.3608321</v>
      </c>
      <c r="N8" s="1">
        <f t="shared" ca="1" si="1"/>
        <v>1006054647.493752</v>
      </c>
      <c r="O8" s="1">
        <f t="shared" ca="1" si="1"/>
        <v>1073209088.9780719</v>
      </c>
      <c r="P8" s="1">
        <f t="shared" ca="1" si="1"/>
        <v>1142456867.7809134</v>
      </c>
      <c r="Q8" s="1">
        <f t="shared" ca="1" si="1"/>
        <v>1213863191.3425817</v>
      </c>
      <c r="R8" s="1">
        <f t="shared" ca="1" si="1"/>
        <v>1287495296.8021479</v>
      </c>
      <c r="S8" s="1">
        <f t="shared" ca="1" si="1"/>
        <v>1363422514.1257505</v>
      </c>
      <c r="T8" s="1">
        <f t="shared" ca="1" si="1"/>
        <v>1441716331.1966965</v>
      </c>
      <c r="U8" s="1">
        <f t="shared" ca="1" si="1"/>
        <v>1522450460.9282773</v>
      </c>
      <c r="V8" s="1">
        <f t="shared" ca="1" si="1"/>
        <v>1605700910.4620924</v>
      </c>
      <c r="W8" s="1">
        <f t="shared" ca="1" si="1"/>
        <v>1691546052.5166399</v>
      </c>
      <c r="X8" s="1">
        <f t="shared" ca="1" si="1"/>
        <v>1780066698.9529238</v>
      </c>
      <c r="Y8" s="1">
        <f t="shared" ca="1" si="1"/>
        <v>1871346176.6259115</v>
      </c>
      <c r="Z8" s="1">
        <f t="shared" ca="1" si="1"/>
        <v>1965470405.5928016</v>
      </c>
      <c r="AA8" s="1">
        <f t="shared" ca="1" si="1"/>
        <v>2062527979.7512658</v>
      </c>
      <c r="AB8" s="1">
        <f t="shared" ca="1" si="1"/>
        <v>2162610249.9831038</v>
      </c>
      <c r="AC8" s="1">
        <f t="shared" ca="1" si="1"/>
        <v>2265811409.8810725</v>
      </c>
      <c r="AD8" s="1">
        <f t="shared" ca="1" si="1"/>
        <v>2372228584.1390877</v>
      </c>
      <c r="AE8" s="1">
        <f t="shared" ca="1" si="1"/>
        <v>2481961919.6884556</v>
      </c>
      <c r="AF8" s="1"/>
      <c r="AG8" s="1"/>
      <c r="AH8" s="1"/>
      <c r="AI8" s="1"/>
      <c r="AJ8" s="1"/>
      <c r="AK8" s="1"/>
      <c r="AL8" s="1"/>
      <c r="AM8" s="1"/>
      <c r="AN8" s="1"/>
      <c r="AO8" s="1"/>
      <c r="AP8" s="1"/>
    </row>
    <row r="10" spans="1:42" x14ac:dyDescent="0.35">
      <c r="A10" t="s">
        <v>17</v>
      </c>
      <c r="B10" s="1">
        <f>B8-B11</f>
        <v>328738755.15054083</v>
      </c>
      <c r="C10" s="1">
        <f ca="1">C8-C11</f>
        <v>287176149.3515718</v>
      </c>
      <c r="D10" s="1">
        <f ca="1">D8-D11</f>
        <v>293821999.99982893</v>
      </c>
      <c r="E10" s="1">
        <f t="shared" ref="E10:AE10" ca="1" si="2">E8-E11</f>
        <v>307080205.72324622</v>
      </c>
      <c r="F10" s="1">
        <f t="shared" ca="1" si="2"/>
        <v>324677273.38890696</v>
      </c>
      <c r="G10" s="1">
        <f ca="1">G8-G11</f>
        <v>348205815.46070468</v>
      </c>
      <c r="H10" s="1">
        <f t="shared" ca="1" si="2"/>
        <v>377761433.39497733</v>
      </c>
      <c r="I10" s="1">
        <f t="shared" ca="1" si="2"/>
        <v>410846783.04092926</v>
      </c>
      <c r="J10" s="1">
        <f t="shared" ca="1" si="2"/>
        <v>447122205.79371738</v>
      </c>
      <c r="K10" s="1">
        <f t="shared" ca="1" si="2"/>
        <v>484739813.78936529</v>
      </c>
      <c r="L10" s="1">
        <f t="shared" ca="1" si="2"/>
        <v>523960335.50681067</v>
      </c>
      <c r="M10" s="1">
        <f t="shared" ca="1" si="2"/>
        <v>563925428.88326275</v>
      </c>
      <c r="N10" s="1">
        <f t="shared" ca="1" si="2"/>
        <v>604773292.6556766</v>
      </c>
      <c r="O10" s="1">
        <f t="shared" ca="1" si="2"/>
        <v>646661730.20721579</v>
      </c>
      <c r="P10" s="1">
        <f t="shared" ca="1" si="2"/>
        <v>689770076.6623044</v>
      </c>
      <c r="Q10" s="1">
        <f t="shared" ca="1" si="2"/>
        <v>734301283.05930293</v>
      </c>
      <c r="R10" s="1">
        <f t="shared" ca="1" si="2"/>
        <v>780484169.14454865</v>
      </c>
      <c r="S10" s="1">
        <f t="shared" ca="1" si="2"/>
        <v>828160855.53393674</v>
      </c>
      <c r="T10" s="1">
        <f t="shared" ca="1" si="2"/>
        <v>877553340.24787748</v>
      </c>
      <c r="U10" s="1">
        <f t="shared" ca="1" si="2"/>
        <v>928910290.56335068</v>
      </c>
      <c r="V10" s="1">
        <f t="shared" ca="1" si="2"/>
        <v>982509459.81664526</v>
      </c>
      <c r="W10" s="1">
        <f t="shared" ca="1" si="2"/>
        <v>1038660290.7203493</v>
      </c>
      <c r="X10" s="1">
        <f t="shared" ca="1" si="2"/>
        <v>1094924525.8521643</v>
      </c>
      <c r="Y10" s="1">
        <f t="shared" ca="1" si="2"/>
        <v>1151275484.7215495</v>
      </c>
      <c r="Z10" s="1">
        <f t="shared" ca="1" si="2"/>
        <v>1207686920.440227</v>
      </c>
      <c r="AA10" s="1">
        <f t="shared" ca="1" si="2"/>
        <v>1264133157.1002851</v>
      </c>
      <c r="AB10" s="1">
        <f t="shared" ca="1" si="2"/>
        <v>1320589235.2846384</v>
      </c>
      <c r="AC10" s="1">
        <f t="shared" ca="1" si="2"/>
        <v>1377031065.7394311</v>
      </c>
      <c r="AD10" s="1">
        <f t="shared" ca="1" si="2"/>
        <v>1433435591.1906242</v>
      </c>
      <c r="AE10" s="1">
        <f t="shared" ca="1" si="2"/>
        <v>1489780956.2329926</v>
      </c>
      <c r="AF10" s="1"/>
      <c r="AG10" s="1"/>
      <c r="AH10" s="1"/>
      <c r="AI10" s="1"/>
      <c r="AJ10" s="1"/>
      <c r="AK10" s="1"/>
      <c r="AL10" s="1"/>
      <c r="AM10" s="1"/>
      <c r="AN10" s="1"/>
      <c r="AO10" s="1"/>
    </row>
    <row r="11" spans="1:42" x14ac:dyDescent="0.35">
      <c r="A11" t="s">
        <v>9</v>
      </c>
      <c r="B11" s="1">
        <f>Assumptions!$C$20</f>
        <v>57536000</v>
      </c>
      <c r="C11" s="1">
        <f ca="1">'Debt worksheet'!D5</f>
        <v>101547334.14937353</v>
      </c>
      <c r="D11" s="1">
        <f ca="1">'Debt worksheet'!E5</f>
        <v>142810165.2803337</v>
      </c>
      <c r="E11" s="1">
        <f ca="1">'Debt worksheet'!F5</f>
        <v>178954397.14545724</v>
      </c>
      <c r="F11" s="1">
        <f ca="1">'Debt worksheet'!G5</f>
        <v>212300064.75931585</v>
      </c>
      <c r="G11" s="1">
        <f ca="1">'Debt worksheet'!H5</f>
        <v>241302546.61414781</v>
      </c>
      <c r="H11" s="1">
        <f ca="1">'Debt worksheet'!I5</f>
        <v>265915726.36610401</v>
      </c>
      <c r="I11" s="1">
        <f ca="1">'Debt worksheet'!J5</f>
        <v>288687973.9180935</v>
      </c>
      <c r="J11" s="1">
        <f ca="1">'Debt worksheet'!K5</f>
        <v>310011562.19487834</v>
      </c>
      <c r="K11" s="1">
        <f ca="1">'Debt worksheet'!L5</f>
        <v>331788631.3661288</v>
      </c>
      <c r="L11" s="1">
        <f ca="1">'Debt worksheet'!M5</f>
        <v>353814394.19840169</v>
      </c>
      <c r="M11" s="1">
        <f ca="1">'Debt worksheet'!N5</f>
        <v>377004875.47756934</v>
      </c>
      <c r="N11" s="1">
        <f ca="1">'Debt worksheet'!O5</f>
        <v>401281354.83807546</v>
      </c>
      <c r="O11" s="1">
        <f ca="1">'Debt worksheet'!P5</f>
        <v>426547358.7708562</v>
      </c>
      <c r="P11" s="1">
        <f ca="1">'Debt worksheet'!Q5</f>
        <v>452686791.11860889</v>
      </c>
      <c r="Q11" s="1">
        <f ca="1">'Debt worksheet'!R5</f>
        <v>479561908.28327882</v>
      </c>
      <c r="R11" s="1">
        <f ca="1">'Debt worksheet'!S5</f>
        <v>507011127.65759921</v>
      </c>
      <c r="S11" s="1">
        <f ca="1">'Debt worksheet'!T5</f>
        <v>535261658.59181386</v>
      </c>
      <c r="T11" s="1">
        <f ca="1">'Debt worksheet'!U5</f>
        <v>564162990.94881904</v>
      </c>
      <c r="U11" s="1">
        <f ca="1">'Debt worksheet'!V5</f>
        <v>593540170.36492658</v>
      </c>
      <c r="V11" s="1">
        <f ca="1">'Debt worksheet'!W5</f>
        <v>623191450.64544713</v>
      </c>
      <c r="W11" s="1">
        <f ca="1">'Debt worksheet'!X5</f>
        <v>652885761.79629064</v>
      </c>
      <c r="X11" s="1">
        <f ca="1">'Debt worksheet'!Y5</f>
        <v>685142173.10075939</v>
      </c>
      <c r="Y11" s="1">
        <f ca="1">'Debt worksheet'!Z5</f>
        <v>720070691.90436196</v>
      </c>
      <c r="Z11" s="1">
        <f ca="1">'Debt worksheet'!AA5</f>
        <v>757783485.15257454</v>
      </c>
      <c r="AA11" s="1">
        <f ca="1">'Debt worksheet'!AB5</f>
        <v>798394822.65098083</v>
      </c>
      <c r="AB11" s="1">
        <f ca="1">'Debt worksheet'!AC5</f>
        <v>842021014.69846535</v>
      </c>
      <c r="AC11" s="1">
        <f ca="1">'Debt worksheet'!AD5</f>
        <v>888780344.14164138</v>
      </c>
      <c r="AD11" s="1">
        <f ca="1">'Debt worksheet'!AE5</f>
        <v>938792992.94846332</v>
      </c>
      <c r="AE11" s="1">
        <f ca="1">'Debt worksheet'!AF5</f>
        <v>992180963.45546293</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165</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4063198.2028880175</v>
      </c>
      <c r="D5" s="4">
        <f ca="1">'Profit and Loss'!D9</f>
        <v>8350086.2565737432</v>
      </c>
      <c r="E5" s="4">
        <f ca="1">'Profit and Loss'!E9</f>
        <v>15056298.878811456</v>
      </c>
      <c r="F5" s="4">
        <f ca="1">'Profit and Loss'!F9</f>
        <v>19493280.113882311</v>
      </c>
      <c r="G5" s="4">
        <f ca="1">'Profit and Loss'!G9</f>
        <v>25527312.20019668</v>
      </c>
      <c r="H5" s="4">
        <f ca="1">'Profit and Loss'!H9</f>
        <v>31661567.71283336</v>
      </c>
      <c r="I5" s="4">
        <f ca="1">'Profit and Loss'!I9</f>
        <v>35303291.831673324</v>
      </c>
      <c r="J5" s="4">
        <f ca="1">'Profit and Loss'!J9</f>
        <v>38610368.367155194</v>
      </c>
      <c r="K5" s="4">
        <f ca="1">'Profit and Loss'!K9</f>
        <v>40074774.085295625</v>
      </c>
      <c r="L5" s="4">
        <f ca="1">'Profit and Loss'!L9</f>
        <v>41805339.408482671</v>
      </c>
      <c r="M5" s="4">
        <f ca="1">'Profit and Loss'!M9</f>
        <v>42683216.23329211</v>
      </c>
      <c r="N5" s="4">
        <f ca="1">'Profit and Loss'!N9</f>
        <v>43705176.472352371</v>
      </c>
      <c r="O5" s="4">
        <f ca="1">'Profit and Loss'!O9</f>
        <v>44891064.886729211</v>
      </c>
      <c r="P5" s="4">
        <f ca="1">'Profit and Loss'!P9</f>
        <v>46262662.673981577</v>
      </c>
      <c r="Q5" s="4">
        <f ca="1">'Profit and Loss'!Q9</f>
        <v>47843844.897759825</v>
      </c>
      <c r="R5" s="4">
        <f ca="1">'Profit and Loss'!R9</f>
        <v>49660749.474107131</v>
      </c>
      <c r="S5" s="4">
        <f ca="1">'Profit and Loss'!S9</f>
        <v>51326956.917362534</v>
      </c>
      <c r="T5" s="4">
        <f ca="1">'Profit and Loss'!T9</f>
        <v>53222635.105822481</v>
      </c>
      <c r="U5" s="4">
        <f ca="1">'Profit and Loss'!U9</f>
        <v>55374755.005530536</v>
      </c>
      <c r="V5" s="4">
        <f ca="1">'Profit and Loss'!V9</f>
        <v>57812716.042610049</v>
      </c>
      <c r="W5" s="4">
        <f ca="1">'Profit and Loss'!W9</f>
        <v>60568533.054627247</v>
      </c>
      <c r="X5" s="4">
        <f ca="1">'Profit and Loss'!X9</f>
        <v>60894843.915577024</v>
      </c>
      <c r="Y5" s="4">
        <f ca="1">'Profit and Loss'!Y9</f>
        <v>61203576.583484665</v>
      </c>
      <c r="Z5" s="4">
        <f ca="1">'Profit and Loss'!Z9</f>
        <v>61495529.1912615</v>
      </c>
      <c r="AA5" s="4">
        <f ca="1">'Profit and Loss'!AA9</f>
        <v>61771651.259130985</v>
      </c>
      <c r="AB5" s="4">
        <f ca="1">'Profit and Loss'!AB9</f>
        <v>62033052.35029389</v>
      </c>
      <c r="AC5" s="4">
        <f ca="1">'Profit and Loss'!AC9</f>
        <v>62281010.775331207</v>
      </c>
      <c r="AD5" s="4">
        <f ca="1">'Profit and Loss'!AD9</f>
        <v>62516982.298677608</v>
      </c>
      <c r="AE5" s="4">
        <f ca="1">'Profit and Loss'!AE9</f>
        <v>62742608.79387603</v>
      </c>
      <c r="AF5" s="4">
        <f ca="1">'Profit and Loss'!AF9</f>
        <v>62959726.787046544</v>
      </c>
      <c r="AG5" s="4"/>
      <c r="AH5" s="4"/>
      <c r="AI5" s="4"/>
      <c r="AJ5" s="4"/>
      <c r="AK5" s="4"/>
      <c r="AL5" s="4"/>
      <c r="AM5" s="4"/>
      <c r="AN5" s="4"/>
      <c r="AO5" s="4"/>
      <c r="AP5" s="4"/>
    </row>
    <row r="6" spans="1:42" x14ac:dyDescent="0.35">
      <c r="A6" t="s">
        <v>21</v>
      </c>
      <c r="C6" s="4">
        <f>Depreciation!C8+Depreciation!C9</f>
        <v>13242494.849459158</v>
      </c>
      <c r="D6" s="4">
        <f>Depreciation!D8+Depreciation!D9</f>
        <v>14856964.701942664</v>
      </c>
      <c r="E6" s="4">
        <f>Depreciation!E8+Depreciation!E9</f>
        <v>16561200.310259271</v>
      </c>
      <c r="F6" s="4">
        <f>Depreciation!F8+Depreciation!F9</f>
        <v>18359293.465653349</v>
      </c>
      <c r="G6" s="4">
        <f>Depreciation!G8+Depreciation!G9</f>
        <v>20255505.913874947</v>
      </c>
      <c r="H6" s="4">
        <f>Depreciation!H8+Depreciation!H9</f>
        <v>22254276.04227389</v>
      </c>
      <c r="I6" s="4">
        <f>Depreciation!I8+Depreciation!I9</f>
        <v>24360225.820834562</v>
      </c>
      <c r="J6" s="4">
        <f>Depreciation!J8+Depreciation!J9</f>
        <v>26578168.006555833</v>
      </c>
      <c r="K6" s="4">
        <f>Depreciation!K8+Depreciation!K9</f>
        <v>28913113.620922729</v>
      </c>
      <c r="L6" s="4">
        <f>Depreciation!L8+Depreciation!L9</f>
        <v>31370279.710570388</v>
      </c>
      <c r="M6" s="4">
        <f>Depreciation!M8+Depreciation!M9</f>
        <v>33955097.40160767</v>
      </c>
      <c r="N6" s="4">
        <f>Depreciation!N8+Depreciation!N9</f>
        <v>36673220.258447722</v>
      </c>
      <c r="O6" s="4">
        <f>Depreciation!O8+Depreciation!O9</f>
        <v>39530532.958386287</v>
      </c>
      <c r="P6" s="4">
        <f>Depreciation!P8+Depreciation!P9</f>
        <v>42533160.29357627</v>
      </c>
      <c r="Q6" s="4">
        <f>Depreciation!Q8+Depreciation!Q9</f>
        <v>45687476.512469009</v>
      </c>
      <c r="R6" s="4">
        <f>Depreciation!R8+Depreciation!R9</f>
        <v>49000115.013230279</v>
      </c>
      <c r="S6" s="4">
        <f>Depreciation!S8+Depreciation!S9</f>
        <v>52477978.402091511</v>
      </c>
      <c r="T6" s="4">
        <f>Depreciation!T8+Depreciation!T9</f>
        <v>56128248.930066295</v>
      </c>
      <c r="U6" s="4">
        <f>Depreciation!U8+Depreciation!U9</f>
        <v>59958399.321947724</v>
      </c>
      <c r="V6" s="4">
        <f>Depreciation!V8+Depreciation!V9</f>
        <v>63976204.012005195</v>
      </c>
      <c r="W6" s="4">
        <f>Depreciation!W8+Depreciation!W9</f>
        <v>68189750.801320657</v>
      </c>
      <c r="X6" s="4">
        <f>Depreciation!X8+Depreciation!X9</f>
        <v>72607452.952244014</v>
      </c>
      <c r="Y6" s="4">
        <f>Depreciation!Y8+Depreciation!Y9</f>
        <v>77238061.736005902</v>
      </c>
      <c r="Z6" s="4">
        <f>Depreciation!Z8+Depreciation!Z9</f>
        <v>82090679.450105473</v>
      </c>
      <c r="AA6" s="4">
        <f>Depreciation!AA8+Depreciation!AA9</f>
        <v>87174772.922689766</v>
      </c>
      <c r="AB6" s="4">
        <f>Depreciation!AB8+Depreciation!AB9</f>
        <v>92500187.521762505</v>
      </c>
      <c r="AC6" s="4">
        <f>Depreciation!AC8+Depreciation!AC9</f>
        <v>98077161.687703073</v>
      </c>
      <c r="AD6" s="4">
        <f>Depreciation!AD8+Depreciation!AD9</f>
        <v>103916342.00824159</v>
      </c>
      <c r="AE6" s="4">
        <f>Depreciation!AE8+Depreciation!AE9</f>
        <v>110028798.85572633</v>
      </c>
      <c r="AF6" s="4">
        <f>Depreciation!AF8+Depreciation!AF9</f>
        <v>116426042.60723366</v>
      </c>
      <c r="AG6" s="4"/>
      <c r="AH6" s="4"/>
      <c r="AI6" s="4"/>
      <c r="AJ6" s="4"/>
      <c r="AK6" s="4"/>
      <c r="AL6" s="4"/>
      <c r="AM6" s="4"/>
      <c r="AN6" s="4"/>
      <c r="AO6" s="4"/>
      <c r="AP6" s="4"/>
    </row>
    <row r="7" spans="1:42" x14ac:dyDescent="0.35">
      <c r="A7" t="s">
        <v>23</v>
      </c>
      <c r="C7" s="4">
        <f ca="1">C6+C5</f>
        <v>17305693.052347176</v>
      </c>
      <c r="D7" s="4">
        <f ca="1">D6+D5</f>
        <v>23207050.958516408</v>
      </c>
      <c r="E7" s="4">
        <f t="shared" ref="E7:AF7" ca="1" si="1">E6+E5</f>
        <v>31617499.189070728</v>
      </c>
      <c r="F7" s="4">
        <f t="shared" ca="1" si="1"/>
        <v>37852573.579535663</v>
      </c>
      <c r="G7" s="4">
        <f ca="1">G6+G5</f>
        <v>45782818.114071622</v>
      </c>
      <c r="H7" s="4">
        <f t="shared" ca="1" si="1"/>
        <v>53915843.755107254</v>
      </c>
      <c r="I7" s="4">
        <f t="shared" ca="1" si="1"/>
        <v>59663517.652507886</v>
      </c>
      <c r="J7" s="4">
        <f t="shared" ca="1" si="1"/>
        <v>65188536.373711027</v>
      </c>
      <c r="K7" s="4">
        <f t="shared" ca="1" si="1"/>
        <v>68987887.706218362</v>
      </c>
      <c r="L7" s="4">
        <f t="shared" ca="1" si="1"/>
        <v>73175619.119053066</v>
      </c>
      <c r="M7" s="4">
        <f t="shared" ca="1" si="1"/>
        <v>76638313.63489978</v>
      </c>
      <c r="N7" s="4">
        <f t="shared" ca="1" si="1"/>
        <v>80378396.730800092</v>
      </c>
      <c r="O7" s="4">
        <f t="shared" ca="1" si="1"/>
        <v>84421597.845115498</v>
      </c>
      <c r="P7" s="4">
        <f t="shared" ca="1" si="1"/>
        <v>88795822.967557847</v>
      </c>
      <c r="Q7" s="4">
        <f t="shared" ca="1" si="1"/>
        <v>93531321.410228834</v>
      </c>
      <c r="R7" s="4">
        <f t="shared" ca="1" si="1"/>
        <v>98660864.48733741</v>
      </c>
      <c r="S7" s="4">
        <f t="shared" ca="1" si="1"/>
        <v>103804935.31945404</v>
      </c>
      <c r="T7" s="4">
        <f t="shared" ca="1" si="1"/>
        <v>109350884.03588878</v>
      </c>
      <c r="U7" s="4">
        <f t="shared" ca="1" si="1"/>
        <v>115333154.32747826</v>
      </c>
      <c r="V7" s="4">
        <f t="shared" ca="1" si="1"/>
        <v>121788920.05461524</v>
      </c>
      <c r="W7" s="4">
        <f t="shared" ca="1" si="1"/>
        <v>128758283.85594791</v>
      </c>
      <c r="X7" s="4">
        <f t="shared" ca="1" si="1"/>
        <v>133502296.86782104</v>
      </c>
      <c r="Y7" s="4">
        <f t="shared" ca="1" si="1"/>
        <v>138441638.31949055</v>
      </c>
      <c r="Z7" s="4">
        <f t="shared" ca="1" si="1"/>
        <v>143586208.64136696</v>
      </c>
      <c r="AA7" s="4">
        <f t="shared" ca="1" si="1"/>
        <v>148946424.18182075</v>
      </c>
      <c r="AB7" s="4">
        <f t="shared" ca="1" si="1"/>
        <v>154533239.87205639</v>
      </c>
      <c r="AC7" s="4">
        <f t="shared" ca="1" si="1"/>
        <v>160358172.46303427</v>
      </c>
      <c r="AD7" s="4">
        <f t="shared" ca="1" si="1"/>
        <v>166433324.30691922</v>
      </c>
      <c r="AE7" s="4">
        <f t="shared" ca="1" si="1"/>
        <v>172771407.64960235</v>
      </c>
      <c r="AF7" s="4">
        <f t="shared" ca="1" si="1"/>
        <v>179385769.3942802</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61317027.201720707</v>
      </c>
      <c r="D10" s="9">
        <f>Investment!D25</f>
        <v>64469882.089476585</v>
      </c>
      <c r="E10" s="9">
        <f>Investment!E25</f>
        <v>67761731.054194272</v>
      </c>
      <c r="F10" s="9">
        <f>Investment!F25</f>
        <v>71198241.193394274</v>
      </c>
      <c r="G10" s="9">
        <f>Investment!G25</f>
        <v>74785299.968903586</v>
      </c>
      <c r="H10" s="9">
        <f>Investment!H25</f>
        <v>78529023.507063448</v>
      </c>
      <c r="I10" s="9">
        <f>Investment!I25</f>
        <v>82435765.204497367</v>
      </c>
      <c r="J10" s="9">
        <f>Investment!J25</f>
        <v>86512124.650495857</v>
      </c>
      <c r="K10" s="9">
        <f>Investment!K25</f>
        <v>90764956.877468839</v>
      </c>
      <c r="L10" s="9">
        <f>Investment!L25</f>
        <v>95201381.951325968</v>
      </c>
      <c r="M10" s="9">
        <f>Investment!M25</f>
        <v>99828794.914067417</v>
      </c>
      <c r="N10" s="9">
        <f>Investment!N25</f>
        <v>104654876.09130619</v>
      </c>
      <c r="O10" s="9">
        <f>Investment!O25</f>
        <v>109687601.77789624</v>
      </c>
      <c r="P10" s="9">
        <f>Investment!P25</f>
        <v>114935255.31531052</v>
      </c>
      <c r="Q10" s="9">
        <f>Investment!Q25</f>
        <v>120406438.57489876</v>
      </c>
      <c r="R10" s="9">
        <f>Investment!R25</f>
        <v>126110083.86165778</v>
      </c>
      <c r="S10" s="9">
        <f>Investment!S25</f>
        <v>132055466.2536687</v>
      </c>
      <c r="T10" s="9">
        <f>Investment!T25</f>
        <v>138252216.39289394</v>
      </c>
      <c r="U10" s="9">
        <f>Investment!U25</f>
        <v>144710333.74358585</v>
      </c>
      <c r="V10" s="9">
        <f>Investment!V25</f>
        <v>151440200.33513576</v>
      </c>
      <c r="W10" s="9">
        <f>Investment!W25</f>
        <v>158452595.00679138</v>
      </c>
      <c r="X10" s="9">
        <f>Investment!X25</f>
        <v>165758708.17228979</v>
      </c>
      <c r="Y10" s="9">
        <f>Investment!Y25</f>
        <v>173370157.12309316</v>
      </c>
      <c r="Z10" s="9">
        <f>Investment!Z25</f>
        <v>181299001.88957953</v>
      </c>
      <c r="AA10" s="9">
        <f>Investment!AA25</f>
        <v>189557761.68022701</v>
      </c>
      <c r="AB10" s="9">
        <f>Investment!AB25</f>
        <v>198159431.91954091</v>
      </c>
      <c r="AC10" s="9">
        <f>Investment!AC25</f>
        <v>207117501.90621036</v>
      </c>
      <c r="AD10" s="9">
        <f>Investment!AD25</f>
        <v>216445973.11374116</v>
      </c>
      <c r="AE10" s="9">
        <f>Investment!AE25</f>
        <v>226159378.15660191</v>
      </c>
      <c r="AF10" s="9">
        <f>Investment!AF25</f>
        <v>236272800.44573718</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-44011334.149373531</v>
      </c>
      <c r="D12" s="1">
        <f t="shared" ref="D12:AF12" ca="1" si="2">D7-D9-D10</f>
        <v>-41262831.130960181</v>
      </c>
      <c r="E12" s="1">
        <f ca="1">E7-E9-E10</f>
        <v>-36144231.86512354</v>
      </c>
      <c r="F12" s="1">
        <f t="shared" ca="1" si="2"/>
        <v>-33345667.61385861</v>
      </c>
      <c r="G12" s="1">
        <f ca="1">G7-G9-G10</f>
        <v>-29002481.854831964</v>
      </c>
      <c r="H12" s="1">
        <f t="shared" ca="1" si="2"/>
        <v>-24613179.751956195</v>
      </c>
      <c r="I12" s="1">
        <f t="shared" ca="1" si="2"/>
        <v>-22772247.551989481</v>
      </c>
      <c r="J12" s="1">
        <f t="shared" ca="1" si="2"/>
        <v>-21323588.27678483</v>
      </c>
      <c r="K12" s="1">
        <f t="shared" ca="1" si="2"/>
        <v>-21777069.171250477</v>
      </c>
      <c r="L12" s="1">
        <f t="shared" ca="1" si="2"/>
        <v>-22025762.832272902</v>
      </c>
      <c r="M12" s="1">
        <f t="shared" ca="1" si="2"/>
        <v>-23190481.279167637</v>
      </c>
      <c r="N12" s="1">
        <f t="shared" ca="1" si="2"/>
        <v>-24276479.360506102</v>
      </c>
      <c r="O12" s="1">
        <f t="shared" ca="1" si="2"/>
        <v>-25266003.932780743</v>
      </c>
      <c r="P12" s="1">
        <f t="shared" ca="1" si="2"/>
        <v>-26139432.347752675</v>
      </c>
      <c r="Q12" s="1">
        <f t="shared" ca="1" si="2"/>
        <v>-26875117.164669931</v>
      </c>
      <c r="R12" s="1">
        <f t="shared" ca="1" si="2"/>
        <v>-27449219.374320373</v>
      </c>
      <c r="S12" s="1">
        <f t="shared" ca="1" si="2"/>
        <v>-28250530.934214652</v>
      </c>
      <c r="T12" s="1">
        <f t="shared" ca="1" si="2"/>
        <v>-28901332.357005164</v>
      </c>
      <c r="U12" s="1">
        <f t="shared" ca="1" si="2"/>
        <v>-29377179.416107595</v>
      </c>
      <c r="V12" s="1">
        <f t="shared" ca="1" si="2"/>
        <v>-29651280.280520514</v>
      </c>
      <c r="W12" s="1">
        <f t="shared" ca="1" si="2"/>
        <v>-29694311.150843471</v>
      </c>
      <c r="X12" s="1">
        <f t="shared" ca="1" si="2"/>
        <v>-32256411.304468751</v>
      </c>
      <c r="Y12" s="1">
        <f t="shared" ca="1" si="2"/>
        <v>-34928518.803602606</v>
      </c>
      <c r="Z12" s="1">
        <f t="shared" ca="1" si="2"/>
        <v>-37712793.248212576</v>
      </c>
      <c r="AA12" s="1">
        <f t="shared" ca="1" si="2"/>
        <v>-40611337.498406261</v>
      </c>
      <c r="AB12" s="1">
        <f t="shared" ca="1" si="2"/>
        <v>-43626192.047484517</v>
      </c>
      <c r="AC12" s="1">
        <f t="shared" ca="1" si="2"/>
        <v>-46759329.443176091</v>
      </c>
      <c r="AD12" s="1">
        <f t="shared" ca="1" si="2"/>
        <v>-50012648.806821942</v>
      </c>
      <c r="AE12" s="1">
        <f t="shared" ca="1" si="2"/>
        <v>-53387970.506999552</v>
      </c>
      <c r="AF12" s="1">
        <f t="shared" ca="1" si="2"/>
        <v>-56887031.051456988</v>
      </c>
      <c r="AG12" s="1"/>
      <c r="AH12" s="1"/>
      <c r="AI12" s="1"/>
      <c r="AJ12" s="1"/>
      <c r="AK12" s="1"/>
      <c r="AL12" s="1"/>
      <c r="AM12" s="1"/>
      <c r="AN12" s="1"/>
      <c r="AO12" s="1"/>
      <c r="AP12" s="1"/>
    </row>
    <row r="13" spans="1:42" x14ac:dyDescent="0.35">
      <c r="A13" t="s">
        <v>19</v>
      </c>
      <c r="C13" s="1">
        <f ca="1">C12</f>
        <v>-44011334.149373531</v>
      </c>
      <c r="D13" s="1">
        <f ca="1">D12</f>
        <v>-41262831.130960181</v>
      </c>
      <c r="E13" s="1">
        <f ca="1">E12</f>
        <v>-36144231.86512354</v>
      </c>
      <c r="F13" s="1">
        <f t="shared" ref="F13:AF13" ca="1" si="3">F12</f>
        <v>-33345667.61385861</v>
      </c>
      <c r="G13" s="1">
        <f ca="1">G12</f>
        <v>-29002481.854831964</v>
      </c>
      <c r="H13" s="1">
        <f t="shared" ca="1" si="3"/>
        <v>-24613179.751956195</v>
      </c>
      <c r="I13" s="1">
        <f t="shared" ca="1" si="3"/>
        <v>-22772247.551989481</v>
      </c>
      <c r="J13" s="1">
        <f t="shared" ca="1" si="3"/>
        <v>-21323588.27678483</v>
      </c>
      <c r="K13" s="1">
        <f t="shared" ca="1" si="3"/>
        <v>-21777069.171250477</v>
      </c>
      <c r="L13" s="1">
        <f t="shared" ca="1" si="3"/>
        <v>-22025762.832272902</v>
      </c>
      <c r="M13" s="1">
        <f t="shared" ca="1" si="3"/>
        <v>-23190481.279167637</v>
      </c>
      <c r="N13" s="1">
        <f t="shared" ca="1" si="3"/>
        <v>-24276479.360506102</v>
      </c>
      <c r="O13" s="1">
        <f t="shared" ca="1" si="3"/>
        <v>-25266003.932780743</v>
      </c>
      <c r="P13" s="1">
        <f t="shared" ca="1" si="3"/>
        <v>-26139432.347752675</v>
      </c>
      <c r="Q13" s="1">
        <f t="shared" ca="1" si="3"/>
        <v>-26875117.164669931</v>
      </c>
      <c r="R13" s="1">
        <f t="shared" ca="1" si="3"/>
        <v>-27449219.374320373</v>
      </c>
      <c r="S13" s="1">
        <f t="shared" ca="1" si="3"/>
        <v>-28250530.934214652</v>
      </c>
      <c r="T13" s="1">
        <f t="shared" ca="1" si="3"/>
        <v>-28901332.357005164</v>
      </c>
      <c r="U13" s="1">
        <f t="shared" ca="1" si="3"/>
        <v>-29377179.416107595</v>
      </c>
      <c r="V13" s="1">
        <f t="shared" ca="1" si="3"/>
        <v>-29651280.280520514</v>
      </c>
      <c r="W13" s="1">
        <f t="shared" ca="1" si="3"/>
        <v>-29694311.150843471</v>
      </c>
      <c r="X13" s="1">
        <f t="shared" ca="1" si="3"/>
        <v>-32256411.304468751</v>
      </c>
      <c r="Y13" s="1">
        <f t="shared" ca="1" si="3"/>
        <v>-34928518.803602606</v>
      </c>
      <c r="Z13" s="1">
        <f t="shared" ca="1" si="3"/>
        <v>-37712793.248212576</v>
      </c>
      <c r="AA13" s="1">
        <f t="shared" ca="1" si="3"/>
        <v>-40611337.498406261</v>
      </c>
      <c r="AB13" s="1">
        <f t="shared" ca="1" si="3"/>
        <v>-43626192.047484517</v>
      </c>
      <c r="AC13" s="1">
        <f t="shared" ca="1" si="3"/>
        <v>-46759329.443176091</v>
      </c>
      <c r="AD13" s="1">
        <f t="shared" ca="1" si="3"/>
        <v>-50012648.806821942</v>
      </c>
      <c r="AE13" s="1">
        <f t="shared" ca="1" si="3"/>
        <v>-53387970.506999552</v>
      </c>
      <c r="AF13" s="1">
        <f t="shared" ca="1" si="3"/>
        <v>-56887031.051456988</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139</v>
      </c>
      <c r="C6" s="9">
        <f>Assumptions!C17</f>
        <v>799034500</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399517250</v>
      </c>
      <c r="D7" s="9">
        <f>C12</f>
        <v>412759744.84945917</v>
      </c>
      <c r="E7" s="9">
        <f>D12</f>
        <v>427616709.55140185</v>
      </c>
      <c r="F7" s="9">
        <f t="shared" ref="F7:H7" si="1">E12</f>
        <v>444177909.86166114</v>
      </c>
      <c r="G7" s="9">
        <f t="shared" si="1"/>
        <v>462537203.3273145</v>
      </c>
      <c r="H7" s="9">
        <f t="shared" si="1"/>
        <v>482792709.24118948</v>
      </c>
      <c r="I7" s="9">
        <f t="shared" ref="I7" si="2">H12</f>
        <v>505046985.28346342</v>
      </c>
      <c r="J7" s="9">
        <f t="shared" ref="J7" si="3">I12</f>
        <v>529407211.104298</v>
      </c>
      <c r="K7" s="9">
        <f t="shared" ref="K7" si="4">J12</f>
        <v>555985379.11085391</v>
      </c>
      <c r="L7" s="9">
        <f t="shared" ref="L7" si="5">K12</f>
        <v>584898492.73177671</v>
      </c>
      <c r="M7" s="9">
        <f t="shared" ref="M7" si="6">L12</f>
        <v>616268772.44234717</v>
      </c>
      <c r="N7" s="9">
        <f t="shared" ref="N7" si="7">M12</f>
        <v>650223869.8439548</v>
      </c>
      <c r="O7" s="9">
        <f t="shared" ref="O7" si="8">N12</f>
        <v>686897090.10240257</v>
      </c>
      <c r="P7" s="9">
        <f t="shared" ref="P7" si="9">O12</f>
        <v>726427623.06078887</v>
      </c>
      <c r="Q7" s="9">
        <f t="shared" ref="Q7" si="10">P12</f>
        <v>768960783.35436511</v>
      </c>
      <c r="R7" s="9">
        <f t="shared" ref="R7" si="11">Q12</f>
        <v>814648259.86683416</v>
      </c>
      <c r="S7" s="9">
        <f t="shared" ref="S7" si="12">R12</f>
        <v>863648374.88006437</v>
      </c>
      <c r="T7" s="9">
        <f t="shared" ref="T7" si="13">S12</f>
        <v>916126353.28215587</v>
      </c>
      <c r="U7" s="9">
        <f t="shared" ref="U7" si="14">T12</f>
        <v>972254602.21222222</v>
      </c>
      <c r="V7" s="9">
        <f t="shared" ref="V7" si="15">U12</f>
        <v>1032213001.5341699</v>
      </c>
      <c r="W7" s="9">
        <f t="shared" ref="W7" si="16">V12</f>
        <v>1096189205.5461752</v>
      </c>
      <c r="X7" s="9">
        <f t="shared" ref="X7" si="17">W12</f>
        <v>1164378956.347496</v>
      </c>
      <c r="Y7" s="9">
        <f t="shared" ref="Y7" si="18">X12</f>
        <v>1236986409.2997401</v>
      </c>
      <c r="Z7" s="9">
        <f t="shared" ref="Z7" si="19">Y12</f>
        <v>1314224471.0357461</v>
      </c>
      <c r="AA7" s="9">
        <f t="shared" ref="AA7" si="20">Z12</f>
        <v>1396315150.4858515</v>
      </c>
      <c r="AB7" s="9">
        <f t="shared" ref="AB7" si="21">AA12</f>
        <v>1483489923.4085412</v>
      </c>
      <c r="AC7" s="9">
        <f t="shared" ref="AC7" si="22">AB12</f>
        <v>1575990110.9303038</v>
      </c>
      <c r="AD7" s="9">
        <f t="shared" ref="AD7" si="23">AC12</f>
        <v>1674067272.6180067</v>
      </c>
      <c r="AE7" s="9">
        <f t="shared" ref="AE7" si="24">AD12</f>
        <v>1777983614.6262484</v>
      </c>
      <c r="AF7" s="9">
        <f t="shared" ref="AF7" si="25">AE12</f>
        <v>1888012413.4819748</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140</v>
      </c>
      <c r="C8" s="9">
        <f>Assumptions!D111*Assumptions!D11</f>
        <v>12088706.073004881</v>
      </c>
      <c r="D8" s="9">
        <f>Assumptions!E111*Assumptions!E11</f>
        <v>12475544.667341037</v>
      </c>
      <c r="E8" s="9">
        <f>Assumptions!F111*Assumptions!F11</f>
        <v>12874762.09669595</v>
      </c>
      <c r="F8" s="9">
        <f>Assumptions!G111*Assumptions!G11</f>
        <v>13286754.483790221</v>
      </c>
      <c r="G8" s="9">
        <f>Assumptions!H111*Assumptions!H11</f>
        <v>13711930.627271509</v>
      </c>
      <c r="H8" s="9">
        <f>Assumptions!I111*Assumptions!I11</f>
        <v>14150712.407344194</v>
      </c>
      <c r="I8" s="9">
        <f>Assumptions!J111*Assumptions!J11</f>
        <v>14603535.204379207</v>
      </c>
      <c r="J8" s="9">
        <f>Assumptions!K111*Assumptions!K11</f>
        <v>15070848.330919344</v>
      </c>
      <c r="K8" s="9">
        <f>Assumptions!L111*Assumptions!L11</f>
        <v>15553115.477508765</v>
      </c>
      <c r="L8" s="9">
        <f>Assumptions!M111*Assumptions!M11</f>
        <v>16050815.172789043</v>
      </c>
      <c r="M8" s="9">
        <f>Assumptions!N111*Assumptions!N11</f>
        <v>16564441.258318292</v>
      </c>
      <c r="N8" s="9">
        <f>Assumptions!O111*Assumptions!O11</f>
        <v>17094503.378584478</v>
      </c>
      <c r="O8" s="9">
        <f>Assumptions!P111*Assumptions!P11</f>
        <v>17641527.486699183</v>
      </c>
      <c r="P8" s="9">
        <f>Assumptions!Q111*Assumptions!Q11</f>
        <v>18206056.366273552</v>
      </c>
      <c r="Q8" s="9">
        <f>Assumptions!R111*Assumptions!R11</f>
        <v>18788650.169994302</v>
      </c>
      <c r="R8" s="9">
        <f>Assumptions!S111*Assumptions!S11</f>
        <v>19389886.975434124</v>
      </c>
      <c r="S8" s="9">
        <f>Assumptions!T111*Assumptions!T11</f>
        <v>20010363.358648021</v>
      </c>
      <c r="T8" s="9">
        <f>Assumptions!U111*Assumptions!U11</f>
        <v>20650694.986124754</v>
      </c>
      <c r="U8" s="9">
        <f>Assumptions!V111*Assumptions!V11</f>
        <v>21311517.225680742</v>
      </c>
      <c r="V8" s="9">
        <f>Assumptions!W111*Assumptions!W11</f>
        <v>21993485.77690253</v>
      </c>
      <c r="W8" s="9">
        <f>Assumptions!X111*Assumptions!X11</f>
        <v>22697277.321763415</v>
      </c>
      <c r="X8" s="9">
        <f>Assumptions!Y111*Assumptions!Y11</f>
        <v>23423590.196059838</v>
      </c>
      <c r="Y8" s="9">
        <f>Assumptions!Z111*Assumptions!Z11</f>
        <v>24173145.082333751</v>
      </c>
      <c r="Z8" s="9">
        <f>Assumptions!AA111*Assumptions!AA11</f>
        <v>24946685.724968433</v>
      </c>
      <c r="AA8" s="9">
        <f>Assumptions!AB111*Assumptions!AB11</f>
        <v>25744979.668167427</v>
      </c>
      <c r="AB8" s="9">
        <f>Assumptions!AC111*Assumptions!AC11</f>
        <v>26568819.017548781</v>
      </c>
      <c r="AC8" s="9">
        <f>Assumptions!AD111*Assumptions!AD11</f>
        <v>27419021.226110339</v>
      </c>
      <c r="AD8" s="9">
        <f>Assumptions!AE111*Assumptions!AE11</f>
        <v>28296429.905345876</v>
      </c>
      <c r="AE8" s="9">
        <f>Assumptions!AF111*Assumptions!AF11</f>
        <v>29201915.662316941</v>
      </c>
      <c r="AF8" s="9">
        <f>Assumptions!AG111*Assumptions!AG11</f>
        <v>30136376.96351108</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1153788.7764542771</v>
      </c>
      <c r="D9" s="9">
        <f>Assumptions!E120*Assumptions!E11</f>
        <v>2381420.0346016278</v>
      </c>
      <c r="E9" s="9">
        <f>Assumptions!F120*Assumptions!F11</f>
        <v>3686438.2135633202</v>
      </c>
      <c r="F9" s="9">
        <f>Assumptions!G120*Assumptions!G11</f>
        <v>5072538.981863128</v>
      </c>
      <c r="G9" s="9">
        <f>Assumptions!H120*Assumptions!H11</f>
        <v>6543575.2866034359</v>
      </c>
      <c r="H9" s="9">
        <f>Assumptions!I120*Assumptions!I11</f>
        <v>8103563.6349296952</v>
      </c>
      <c r="I9" s="9">
        <f>Assumptions!J120*Assumptions!J11</f>
        <v>9756690.6164553538</v>
      </c>
      <c r="J9" s="9">
        <f>Assumptions!K120*Assumptions!K11</f>
        <v>11507319.675636489</v>
      </c>
      <c r="K9" s="9">
        <f>Assumptions!L120*Assumptions!L11</f>
        <v>13359998.143413963</v>
      </c>
      <c r="L9" s="9">
        <f>Assumptions!M120*Assumptions!M11</f>
        <v>15319464.537781343</v>
      </c>
      <c r="M9" s="9">
        <f>Assumptions!N120*Assumptions!N11</f>
        <v>17390656.143289376</v>
      </c>
      <c r="N9" s="9">
        <f>Assumptions!O120*Assumptions!O11</f>
        <v>19578716.879863244</v>
      </c>
      <c r="O9" s="9">
        <f>Assumptions!P120*Assumptions!P11</f>
        <v>21889005.471687105</v>
      </c>
      <c r="P9" s="9">
        <f>Assumptions!Q120*Assumptions!Q11</f>
        <v>24327103.927302714</v>
      </c>
      <c r="Q9" s="9">
        <f>Assumptions!R120*Assumptions!R11</f>
        <v>26898826.34247471</v>
      </c>
      <c r="R9" s="9">
        <f>Assumptions!S120*Assumptions!S11</f>
        <v>29610228.037796158</v>
      </c>
      <c r="S9" s="9">
        <f>Assumptions!T120*Assumptions!T11</f>
        <v>32467615.04344349</v>
      </c>
      <c r="T9" s="9">
        <f>Assumptions!U120*Assumptions!U11</f>
        <v>35477553.943941541</v>
      </c>
      <c r="U9" s="9">
        <f>Assumptions!V120*Assumptions!V11</f>
        <v>38646882.096266985</v>
      </c>
      <c r="V9" s="9">
        <f>Assumptions!W120*Assumptions!W11</f>
        <v>41982718.235102661</v>
      </c>
      <c r="W9" s="9">
        <f>Assumptions!X120*Assumptions!X11</f>
        <v>45492473.479557239</v>
      </c>
      <c r="X9" s="9">
        <f>Assumptions!Y120*Assumptions!Y11</f>
        <v>49183862.756184168</v>
      </c>
      <c r="Y9" s="9">
        <f>Assumptions!Z120*Assumptions!Z11</f>
        <v>53064916.653672151</v>
      </c>
      <c r="Z9" s="9">
        <f>Assumptions!AA120*Assumptions!AA11</f>
        <v>57143993.72513704</v>
      </c>
      <c r="AA9" s="9">
        <f>Assumptions!AB120*Assumptions!AB11</f>
        <v>61429793.254522331</v>
      </c>
      <c r="AB9" s="9">
        <f>Assumptions!AC120*Assumptions!AC11</f>
        <v>65931368.504213728</v>
      </c>
      <c r="AC9" s="9">
        <f>Assumptions!AD120*Assumptions!AD11</f>
        <v>70658140.461592734</v>
      </c>
      <c r="AD9" s="9">
        <f>Assumptions!AE120*Assumptions!AE11</f>
        <v>75619912.102895722</v>
      </c>
      <c r="AE9" s="9">
        <f>Assumptions!AF120*Assumptions!AF11</f>
        <v>80826883.193409398</v>
      </c>
      <c r="AF9" s="9">
        <f>Assumptions!AG120*Assumptions!AG11</f>
        <v>86289665.643722579</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13242494.849459158</v>
      </c>
      <c r="D10" s="9">
        <f>SUM($C$8:D9)</f>
        <v>28099459.551401824</v>
      </c>
      <c r="E10" s="9">
        <f>SUM($C$8:E9)</f>
        <v>44660659.861661099</v>
      </c>
      <c r="F10" s="9">
        <f>SUM($C$8:F9)</f>
        <v>63019953.327314444</v>
      </c>
      <c r="G10" s="9">
        <f>SUM($C$8:G9)</f>
        <v>83275459.24118939</v>
      </c>
      <c r="H10" s="9">
        <f>SUM($C$8:H9)</f>
        <v>105529735.28346328</v>
      </c>
      <c r="I10" s="9">
        <f>SUM($C$8:I9)</f>
        <v>129889961.10429785</v>
      </c>
      <c r="J10" s="9">
        <f>SUM($C$8:J9)</f>
        <v>156468129.11085367</v>
      </c>
      <c r="K10" s="9">
        <f>SUM($C$8:K9)</f>
        <v>185381242.73177639</v>
      </c>
      <c r="L10" s="9">
        <f>SUM($C$8:L9)</f>
        <v>216751522.44234675</v>
      </c>
      <c r="M10" s="9">
        <f>SUM($C$8:M9)</f>
        <v>250706619.84395444</v>
      </c>
      <c r="N10" s="9">
        <f>SUM($C$8:N9)</f>
        <v>287379840.10240221</v>
      </c>
      <c r="O10" s="9">
        <f>SUM($C$8:O9)</f>
        <v>326910373.06078845</v>
      </c>
      <c r="P10" s="9">
        <f>SUM($C$8:P9)</f>
        <v>369443533.35436481</v>
      </c>
      <c r="Q10" s="9">
        <f>SUM($C$8:Q9)</f>
        <v>415131009.86683375</v>
      </c>
      <c r="R10" s="9">
        <f>SUM($C$8:R9)</f>
        <v>464131124.88006407</v>
      </c>
      <c r="S10" s="9">
        <f>SUM($C$8:S9)</f>
        <v>516609103.28215563</v>
      </c>
      <c r="T10" s="9">
        <f>SUM($C$8:T9)</f>
        <v>572737352.21222198</v>
      </c>
      <c r="U10" s="9">
        <f>SUM($C$8:U9)</f>
        <v>632695751.53416967</v>
      </c>
      <c r="V10" s="9">
        <f>SUM($C$8:V9)</f>
        <v>696671955.54617488</v>
      </c>
      <c r="W10" s="9">
        <f>SUM($C$8:W9)</f>
        <v>764861706.34749556</v>
      </c>
      <c r="X10" s="9">
        <f>SUM($C$8:X9)</f>
        <v>837469159.2997396</v>
      </c>
      <c r="Y10" s="9">
        <f>SUM($C$8:Y9)</f>
        <v>914707221.0357455</v>
      </c>
      <c r="Z10" s="9">
        <f>SUM($C$8:Z9)</f>
        <v>996797900.48585081</v>
      </c>
      <c r="AA10" s="9">
        <f>SUM($C$8:AA9)</f>
        <v>1083972673.4085407</v>
      </c>
      <c r="AB10" s="9">
        <f>SUM($C$8:AB9)</f>
        <v>1176472860.9303033</v>
      </c>
      <c r="AC10" s="9">
        <f>SUM($C$8:AC9)</f>
        <v>1274550022.6180062</v>
      </c>
      <c r="AD10" s="9">
        <f>SUM($C$8:AD9)</f>
        <v>1378466364.6262479</v>
      </c>
      <c r="AE10" s="9">
        <f>SUM($C$8:AE9)</f>
        <v>1488495163.4819741</v>
      </c>
      <c r="AF10" s="9">
        <f>SUM($C$8:AF9)</f>
        <v>1604921206.0892079</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412759744.84945917</v>
      </c>
      <c r="D12" s="9">
        <f>D7+D8+D9</f>
        <v>427616709.55140185</v>
      </c>
      <c r="E12" s="9">
        <f>E7+E8+E9</f>
        <v>444177909.86166114</v>
      </c>
      <c r="F12" s="9">
        <f t="shared" ref="F12:H12" si="26">F7+F8+F9</f>
        <v>462537203.3273145</v>
      </c>
      <c r="G12" s="9">
        <f t="shared" si="26"/>
        <v>482792709.24118948</v>
      </c>
      <c r="H12" s="9">
        <f t="shared" si="26"/>
        <v>505046985.28346342</v>
      </c>
      <c r="I12" s="9">
        <f t="shared" ref="I12:AF12" si="27">I7+I8+I9</f>
        <v>529407211.104298</v>
      </c>
      <c r="J12" s="9">
        <f t="shared" si="27"/>
        <v>555985379.11085391</v>
      </c>
      <c r="K12" s="9">
        <f t="shared" si="27"/>
        <v>584898492.73177671</v>
      </c>
      <c r="L12" s="9">
        <f t="shared" si="27"/>
        <v>616268772.44234717</v>
      </c>
      <c r="M12" s="9">
        <f t="shared" si="27"/>
        <v>650223869.8439548</v>
      </c>
      <c r="N12" s="9">
        <f t="shared" si="27"/>
        <v>686897090.10240257</v>
      </c>
      <c r="O12" s="9">
        <f t="shared" si="27"/>
        <v>726427623.06078887</v>
      </c>
      <c r="P12" s="9">
        <f t="shared" si="27"/>
        <v>768960783.35436511</v>
      </c>
      <c r="Q12" s="9">
        <f t="shared" si="27"/>
        <v>814648259.86683416</v>
      </c>
      <c r="R12" s="9">
        <f t="shared" si="27"/>
        <v>863648374.88006437</v>
      </c>
      <c r="S12" s="9">
        <f t="shared" si="27"/>
        <v>916126353.28215587</v>
      </c>
      <c r="T12" s="9">
        <f t="shared" si="27"/>
        <v>972254602.21222222</v>
      </c>
      <c r="U12" s="9">
        <f t="shared" si="27"/>
        <v>1032213001.5341699</v>
      </c>
      <c r="V12" s="9">
        <f t="shared" si="27"/>
        <v>1096189205.5461752</v>
      </c>
      <c r="W12" s="9">
        <f t="shared" si="27"/>
        <v>1164378956.347496</v>
      </c>
      <c r="X12" s="9">
        <f t="shared" si="27"/>
        <v>1236986409.2997401</v>
      </c>
      <c r="Y12" s="9">
        <f t="shared" si="27"/>
        <v>1314224471.0357461</v>
      </c>
      <c r="Z12" s="9">
        <f t="shared" si="27"/>
        <v>1396315150.4858515</v>
      </c>
      <c r="AA12" s="9">
        <f t="shared" si="27"/>
        <v>1483489923.4085412</v>
      </c>
      <c r="AB12" s="9">
        <f t="shared" si="27"/>
        <v>1575990110.9303038</v>
      </c>
      <c r="AC12" s="9">
        <f t="shared" si="27"/>
        <v>1674067272.6180067</v>
      </c>
      <c r="AD12" s="9">
        <f t="shared" si="27"/>
        <v>1777983614.6262484</v>
      </c>
      <c r="AE12" s="9">
        <f t="shared" si="27"/>
        <v>1888012413.4819748</v>
      </c>
      <c r="AF12" s="9">
        <f t="shared" si="27"/>
        <v>2004438456.0892084</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61317027.201720707</v>
      </c>
      <c r="D18" s="9">
        <f>Investment!D25</f>
        <v>64469882.089476585</v>
      </c>
      <c r="E18" s="9">
        <f>Investment!E25</f>
        <v>67761731.054194272</v>
      </c>
      <c r="F18" s="9">
        <f>Investment!F25</f>
        <v>71198241.193394274</v>
      </c>
      <c r="G18" s="9">
        <f>Investment!G25</f>
        <v>74785299.968903586</v>
      </c>
      <c r="H18" s="9">
        <f>Investment!H25</f>
        <v>78529023.507063448</v>
      </c>
      <c r="I18" s="9">
        <f>Investment!I25</f>
        <v>82435765.204497367</v>
      </c>
      <c r="J18" s="9">
        <f>Investment!J25</f>
        <v>86512124.650495857</v>
      </c>
      <c r="K18" s="9">
        <f>Investment!K25</f>
        <v>90764956.877468839</v>
      </c>
      <c r="L18" s="9">
        <f>Investment!L25</f>
        <v>95201381.951325968</v>
      </c>
      <c r="M18" s="9">
        <f>Investment!M25</f>
        <v>99828794.914067417</v>
      </c>
      <c r="N18" s="9">
        <f>Investment!N25</f>
        <v>104654876.09130619</v>
      </c>
      <c r="O18" s="9">
        <f>Investment!O25</f>
        <v>109687601.77789624</v>
      </c>
      <c r="P18" s="9">
        <f>Investment!P25</f>
        <v>114935255.31531052</v>
      </c>
      <c r="Q18" s="9">
        <f>Investment!Q25</f>
        <v>120406438.57489876</v>
      </c>
      <c r="R18" s="9">
        <f>Investment!R25</f>
        <v>126110083.86165778</v>
      </c>
      <c r="S18" s="9">
        <f>Investment!S25</f>
        <v>132055466.2536687</v>
      </c>
      <c r="T18" s="9">
        <f>Investment!T25</f>
        <v>138252216.39289394</v>
      </c>
      <c r="U18" s="9">
        <f>Investment!U25</f>
        <v>144710333.74358585</v>
      </c>
      <c r="V18" s="9">
        <f>Investment!V25</f>
        <v>151440200.33513576</v>
      </c>
      <c r="W18" s="9">
        <f>Investment!W25</f>
        <v>158452595.00679138</v>
      </c>
      <c r="X18" s="9">
        <f>Investment!X25</f>
        <v>165758708.17228979</v>
      </c>
      <c r="Y18" s="9">
        <f>Investment!Y25</f>
        <v>173370157.12309316</v>
      </c>
      <c r="Z18" s="9">
        <f>Investment!Z25</f>
        <v>181299001.88957953</v>
      </c>
      <c r="AA18" s="9">
        <f>Investment!AA25</f>
        <v>189557761.68022701</v>
      </c>
      <c r="AB18" s="9">
        <f>Investment!AB25</f>
        <v>198159431.91954091</v>
      </c>
      <c r="AC18" s="9">
        <f>Investment!AC25</f>
        <v>207117501.90621036</v>
      </c>
      <c r="AD18" s="9">
        <f>Investment!AD25</f>
        <v>216445973.11374116</v>
      </c>
      <c r="AE18" s="9">
        <f>Investment!AE25</f>
        <v>226159378.15660191</v>
      </c>
      <c r="AF18" s="9">
        <f>Investment!AF25</f>
        <v>236272800.44573718</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460834277.20172071</v>
      </c>
      <c r="D19" s="9">
        <f>D18+C20</f>
        <v>512061664.44173813</v>
      </c>
      <c r="E19" s="9">
        <f>E18+D20</f>
        <v>564966430.79398966</v>
      </c>
      <c r="F19" s="9">
        <f t="shared" ref="F19:AF19" si="28">F18+E20</f>
        <v>619603471.67712474</v>
      </c>
      <c r="G19" s="9">
        <f t="shared" si="28"/>
        <v>676029478.18037486</v>
      </c>
      <c r="H19" s="9">
        <f t="shared" si="28"/>
        <v>734302995.77356339</v>
      </c>
      <c r="I19" s="9">
        <f t="shared" si="28"/>
        <v>794484484.93578684</v>
      </c>
      <c r="J19" s="9">
        <f t="shared" si="28"/>
        <v>856636383.76544821</v>
      </c>
      <c r="K19" s="9">
        <f t="shared" si="28"/>
        <v>920823172.63636112</v>
      </c>
      <c r="L19" s="9">
        <f t="shared" si="28"/>
        <v>987111440.96676433</v>
      </c>
      <c r="M19" s="9">
        <f t="shared" si="28"/>
        <v>1055569956.1702613</v>
      </c>
      <c r="N19" s="9">
        <f t="shared" si="28"/>
        <v>1126269734.8599598</v>
      </c>
      <c r="O19" s="9">
        <f t="shared" si="28"/>
        <v>1199284116.3794084</v>
      </c>
      <c r="P19" s="9">
        <f t="shared" si="28"/>
        <v>1274688838.7363327</v>
      </c>
      <c r="Q19" s="9">
        <f t="shared" si="28"/>
        <v>1352562117.0176551</v>
      </c>
      <c r="R19" s="9">
        <f t="shared" si="28"/>
        <v>1432984724.3668439</v>
      </c>
      <c r="S19" s="9">
        <f t="shared" si="28"/>
        <v>1516040075.6072824</v>
      </c>
      <c r="T19" s="9">
        <f t="shared" si="28"/>
        <v>1601814313.5980849</v>
      </c>
      <c r="U19" s="9">
        <f t="shared" si="28"/>
        <v>1690396398.4116044</v>
      </c>
      <c r="V19" s="9">
        <f t="shared" si="28"/>
        <v>1781878199.4247923</v>
      </c>
      <c r="W19" s="9">
        <f t="shared" si="28"/>
        <v>1876354590.4195786</v>
      </c>
      <c r="X19" s="9">
        <f t="shared" si="28"/>
        <v>1973923547.7905476</v>
      </c>
      <c r="Y19" s="9">
        <f t="shared" si="28"/>
        <v>2074686251.9613967</v>
      </c>
      <c r="Z19" s="9">
        <f t="shared" si="28"/>
        <v>2178747192.1149702</v>
      </c>
      <c r="AA19" s="9">
        <f t="shared" si="28"/>
        <v>2286214274.3450918</v>
      </c>
      <c r="AB19" s="9">
        <f t="shared" si="28"/>
        <v>2397198933.3419428</v>
      </c>
      <c r="AC19" s="9">
        <f t="shared" si="28"/>
        <v>2511816247.7263908</v>
      </c>
      <c r="AD19" s="9">
        <f t="shared" si="28"/>
        <v>2630185059.1524286</v>
      </c>
      <c r="AE19" s="9">
        <f t="shared" si="28"/>
        <v>2752428095.3007889</v>
      </c>
      <c r="AF19" s="9">
        <f t="shared" si="28"/>
        <v>2878672096.8908</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447591782.35226154</v>
      </c>
      <c r="D20" s="9">
        <f>D19-D8-D9</f>
        <v>497204699.73979545</v>
      </c>
      <c r="E20" s="9">
        <f t="shared" ref="E20:AF20" si="29">E19-E8-E9</f>
        <v>548405230.48373044</v>
      </c>
      <c r="F20" s="9">
        <f t="shared" si="29"/>
        <v>601244178.21147132</v>
      </c>
      <c r="G20" s="9">
        <f t="shared" si="29"/>
        <v>655773972.26649988</v>
      </c>
      <c r="H20" s="9">
        <f t="shared" si="29"/>
        <v>712048719.73128951</v>
      </c>
      <c r="I20" s="9">
        <f t="shared" si="29"/>
        <v>770124259.11495233</v>
      </c>
      <c r="J20" s="9">
        <f t="shared" si="29"/>
        <v>830058215.7588923</v>
      </c>
      <c r="K20" s="9">
        <f t="shared" si="29"/>
        <v>891910059.01543832</v>
      </c>
      <c r="L20" s="9">
        <f t="shared" si="29"/>
        <v>955741161.25619388</v>
      </c>
      <c r="M20" s="9">
        <f t="shared" si="29"/>
        <v>1021614858.7686536</v>
      </c>
      <c r="N20" s="9">
        <f t="shared" si="29"/>
        <v>1089596514.6015122</v>
      </c>
      <c r="O20" s="9">
        <f t="shared" si="29"/>
        <v>1159753583.4210222</v>
      </c>
      <c r="P20" s="9">
        <f t="shared" si="29"/>
        <v>1232155678.4427564</v>
      </c>
      <c r="Q20" s="9">
        <f t="shared" si="29"/>
        <v>1306874640.5051861</v>
      </c>
      <c r="R20" s="9">
        <f t="shared" si="29"/>
        <v>1383984609.3536136</v>
      </c>
      <c r="S20" s="9">
        <f t="shared" si="29"/>
        <v>1463562097.2051909</v>
      </c>
      <c r="T20" s="9">
        <f t="shared" si="29"/>
        <v>1545686064.6680186</v>
      </c>
      <c r="U20" s="9">
        <f t="shared" si="29"/>
        <v>1630437999.0896566</v>
      </c>
      <c r="V20" s="9">
        <f t="shared" si="29"/>
        <v>1717901995.4127872</v>
      </c>
      <c r="W20" s="9">
        <f t="shared" si="29"/>
        <v>1808164839.6182578</v>
      </c>
      <c r="X20" s="9">
        <f t="shared" si="29"/>
        <v>1901316094.8383036</v>
      </c>
      <c r="Y20" s="9">
        <f t="shared" si="29"/>
        <v>1997448190.2253907</v>
      </c>
      <c r="Z20" s="9">
        <f t="shared" si="29"/>
        <v>2096656512.6648648</v>
      </c>
      <c r="AA20" s="9">
        <f t="shared" si="29"/>
        <v>2199039501.4224019</v>
      </c>
      <c r="AB20" s="9">
        <f t="shared" si="29"/>
        <v>2304698745.8201804</v>
      </c>
      <c r="AC20" s="9">
        <f t="shared" si="29"/>
        <v>2413739086.0386877</v>
      </c>
      <c r="AD20" s="9">
        <f t="shared" si="29"/>
        <v>2526268717.144187</v>
      </c>
      <c r="AE20" s="9">
        <f t="shared" si="29"/>
        <v>2642399296.4450626</v>
      </c>
      <c r="AF20" s="9">
        <f t="shared" si="29"/>
        <v>2762246054.2835665</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57536000</v>
      </c>
      <c r="D22" s="9">
        <f ca="1">'Balance Sheet'!C11</f>
        <v>101547334.14937353</v>
      </c>
      <c r="E22" s="9">
        <f ca="1">'Balance Sheet'!D11</f>
        <v>142810165.2803337</v>
      </c>
      <c r="F22" s="9">
        <f ca="1">'Balance Sheet'!E11</f>
        <v>178954397.14545724</v>
      </c>
      <c r="G22" s="9">
        <f ca="1">'Balance Sheet'!F11</f>
        <v>212300064.75931585</v>
      </c>
      <c r="H22" s="9">
        <f ca="1">'Balance Sheet'!G11</f>
        <v>241302546.61414781</v>
      </c>
      <c r="I22" s="9">
        <f ca="1">'Balance Sheet'!H11</f>
        <v>265915726.36610401</v>
      </c>
      <c r="J22" s="9">
        <f ca="1">'Balance Sheet'!I11</f>
        <v>288687973.9180935</v>
      </c>
      <c r="K22" s="9">
        <f ca="1">'Balance Sheet'!J11</f>
        <v>310011562.19487834</v>
      </c>
      <c r="L22" s="9">
        <f ca="1">'Balance Sheet'!K11</f>
        <v>331788631.3661288</v>
      </c>
      <c r="M22" s="9">
        <f ca="1">'Balance Sheet'!L11</f>
        <v>353814394.19840169</v>
      </c>
      <c r="N22" s="9">
        <f ca="1">'Balance Sheet'!M11</f>
        <v>377004875.47756934</v>
      </c>
      <c r="O22" s="9">
        <f ca="1">'Balance Sheet'!N11</f>
        <v>401281354.83807546</v>
      </c>
      <c r="P22" s="9">
        <f ca="1">'Balance Sheet'!O11</f>
        <v>426547358.7708562</v>
      </c>
      <c r="Q22" s="9">
        <f ca="1">'Balance Sheet'!P11</f>
        <v>452686791.11860889</v>
      </c>
      <c r="R22" s="9">
        <f ca="1">'Balance Sheet'!Q11</f>
        <v>479561908.28327882</v>
      </c>
      <c r="S22" s="9">
        <f ca="1">'Balance Sheet'!R11</f>
        <v>507011127.65759921</v>
      </c>
      <c r="T22" s="9">
        <f ca="1">'Balance Sheet'!S11</f>
        <v>535261658.59181386</v>
      </c>
      <c r="U22" s="9">
        <f ca="1">'Balance Sheet'!T11</f>
        <v>564162990.94881904</v>
      </c>
      <c r="V22" s="9">
        <f ca="1">'Balance Sheet'!U11</f>
        <v>593540170.36492658</v>
      </c>
      <c r="W22" s="9">
        <f ca="1">'Balance Sheet'!V11</f>
        <v>623191450.64544713</v>
      </c>
      <c r="X22" s="9">
        <f ca="1">'Balance Sheet'!W11</f>
        <v>652885761.79629064</v>
      </c>
      <c r="Y22" s="9">
        <f ca="1">'Balance Sheet'!X11</f>
        <v>685142173.10075939</v>
      </c>
      <c r="Z22" s="9">
        <f ca="1">'Balance Sheet'!Y11</f>
        <v>720070691.90436196</v>
      </c>
      <c r="AA22" s="9">
        <f ca="1">'Balance Sheet'!Z11</f>
        <v>757783485.15257454</v>
      </c>
      <c r="AB22" s="9">
        <f ca="1">'Balance Sheet'!AA11</f>
        <v>798394822.65098083</v>
      </c>
      <c r="AC22" s="9">
        <f ca="1">'Balance Sheet'!AB11</f>
        <v>842021014.69846535</v>
      </c>
      <c r="AD22" s="9">
        <f ca="1">'Balance Sheet'!AC11</f>
        <v>888780344.14164138</v>
      </c>
      <c r="AE22" s="9">
        <f ca="1">'Balance Sheet'!AD11</f>
        <v>938792992.94846332</v>
      </c>
      <c r="AF22" s="9">
        <f ca="1">'Balance Sheet'!AE11</f>
        <v>992180963.45546293</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390055782.35226154</v>
      </c>
      <c r="D23" s="9">
        <f t="shared" ref="D23:AF23" ca="1" si="30">D20-D22</f>
        <v>395657365.59042192</v>
      </c>
      <c r="E23" s="9">
        <f t="shared" ca="1" si="30"/>
        <v>405595065.20339674</v>
      </c>
      <c r="F23" s="9">
        <f t="shared" ca="1" si="30"/>
        <v>422289781.06601405</v>
      </c>
      <c r="G23" s="9">
        <f t="shared" ca="1" si="30"/>
        <v>443473907.50718403</v>
      </c>
      <c r="H23" s="9">
        <f t="shared" ca="1" si="30"/>
        <v>470746173.11714172</v>
      </c>
      <c r="I23" s="9">
        <f t="shared" ca="1" si="30"/>
        <v>504208532.74884832</v>
      </c>
      <c r="J23" s="9">
        <f ca="1">J20-J22</f>
        <v>541370241.84079885</v>
      </c>
      <c r="K23" s="9">
        <f t="shared" ca="1" si="30"/>
        <v>581898496.82055998</v>
      </c>
      <c r="L23" s="9">
        <f t="shared" ca="1" si="30"/>
        <v>623952529.89006507</v>
      </c>
      <c r="M23" s="9">
        <f t="shared" ca="1" si="30"/>
        <v>667800464.57025194</v>
      </c>
      <c r="N23" s="9">
        <f t="shared" ca="1" si="30"/>
        <v>712591639.12394285</v>
      </c>
      <c r="O23" s="9">
        <f t="shared" ca="1" si="30"/>
        <v>758472228.58294678</v>
      </c>
      <c r="P23" s="9">
        <f t="shared" ca="1" si="30"/>
        <v>805608319.67190027</v>
      </c>
      <c r="Q23" s="9">
        <f t="shared" ca="1" si="30"/>
        <v>854187849.38657713</v>
      </c>
      <c r="R23" s="9">
        <f t="shared" ca="1" si="30"/>
        <v>904422701.07033479</v>
      </c>
      <c r="S23" s="9">
        <f t="shared" ca="1" si="30"/>
        <v>956550969.54759169</v>
      </c>
      <c r="T23" s="9">
        <f t="shared" ca="1" si="30"/>
        <v>1010424406.0762048</v>
      </c>
      <c r="U23" s="9">
        <f t="shared" ca="1" si="30"/>
        <v>1066275008.1408376</v>
      </c>
      <c r="V23" s="9">
        <f t="shared" ca="1" si="30"/>
        <v>1124361825.0478606</v>
      </c>
      <c r="W23" s="9">
        <f t="shared" ca="1" si="30"/>
        <v>1184973388.9728107</v>
      </c>
      <c r="X23" s="9">
        <f t="shared" ca="1" si="30"/>
        <v>1248430333.0420129</v>
      </c>
      <c r="Y23" s="9">
        <f t="shared" ca="1" si="30"/>
        <v>1312306017.1246314</v>
      </c>
      <c r="Z23" s="9">
        <f t="shared" ca="1" si="30"/>
        <v>1376585820.7605028</v>
      </c>
      <c r="AA23" s="9">
        <f t="shared" ca="1" si="30"/>
        <v>1441256016.2698274</v>
      </c>
      <c r="AB23" s="9">
        <f t="shared" ca="1" si="30"/>
        <v>1506303923.1691995</v>
      </c>
      <c r="AC23" s="9">
        <f t="shared" ca="1" si="30"/>
        <v>1571718071.3402224</v>
      </c>
      <c r="AD23" s="9">
        <f t="shared" ca="1" si="30"/>
        <v>1637488373.0025456</v>
      </c>
      <c r="AE23" s="9">
        <f t="shared" ca="1" si="30"/>
        <v>1703606303.4965992</v>
      </c>
      <c r="AF23" s="9">
        <f t="shared" ca="1" si="30"/>
        <v>1770065090.8281035</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166</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57536000</v>
      </c>
      <c r="D5" s="1">
        <f ca="1">C5+C6</f>
        <v>101547334.14937353</v>
      </c>
      <c r="E5" s="1">
        <f t="shared" ref="E5:AF5" ca="1" si="1">D5+D6</f>
        <v>142810165.2803337</v>
      </c>
      <c r="F5" s="1">
        <f t="shared" ca="1" si="1"/>
        <v>178954397.14545724</v>
      </c>
      <c r="G5" s="1">
        <f t="shared" ca="1" si="1"/>
        <v>212300064.75931585</v>
      </c>
      <c r="H5" s="1">
        <f t="shared" ca="1" si="1"/>
        <v>241302546.61414781</v>
      </c>
      <c r="I5" s="1">
        <f t="shared" ca="1" si="1"/>
        <v>265915726.36610401</v>
      </c>
      <c r="J5" s="1">
        <f t="shared" ca="1" si="1"/>
        <v>288687973.9180935</v>
      </c>
      <c r="K5" s="1">
        <f t="shared" ca="1" si="1"/>
        <v>310011562.19487834</v>
      </c>
      <c r="L5" s="1">
        <f t="shared" ca="1" si="1"/>
        <v>331788631.3661288</v>
      </c>
      <c r="M5" s="1">
        <f t="shared" ca="1" si="1"/>
        <v>353814394.19840169</v>
      </c>
      <c r="N5" s="1">
        <f t="shared" ca="1" si="1"/>
        <v>377004875.47756934</v>
      </c>
      <c r="O5" s="1">
        <f t="shared" ca="1" si="1"/>
        <v>401281354.83807546</v>
      </c>
      <c r="P5" s="1">
        <f t="shared" ca="1" si="1"/>
        <v>426547358.7708562</v>
      </c>
      <c r="Q5" s="1">
        <f t="shared" ca="1" si="1"/>
        <v>452686791.11860889</v>
      </c>
      <c r="R5" s="1">
        <f t="shared" ca="1" si="1"/>
        <v>479561908.28327882</v>
      </c>
      <c r="S5" s="1">
        <f t="shared" ca="1" si="1"/>
        <v>507011127.65759921</v>
      </c>
      <c r="T5" s="1">
        <f t="shared" ca="1" si="1"/>
        <v>535261658.59181386</v>
      </c>
      <c r="U5" s="1">
        <f t="shared" ca="1" si="1"/>
        <v>564162990.94881904</v>
      </c>
      <c r="V5" s="1">
        <f t="shared" ca="1" si="1"/>
        <v>593540170.36492658</v>
      </c>
      <c r="W5" s="1">
        <f t="shared" ca="1" si="1"/>
        <v>623191450.64544713</v>
      </c>
      <c r="X5" s="1">
        <f t="shared" ca="1" si="1"/>
        <v>652885761.79629064</v>
      </c>
      <c r="Y5" s="1">
        <f t="shared" ca="1" si="1"/>
        <v>685142173.10075939</v>
      </c>
      <c r="Z5" s="1">
        <f t="shared" ca="1" si="1"/>
        <v>720070691.90436196</v>
      </c>
      <c r="AA5" s="1">
        <f t="shared" ca="1" si="1"/>
        <v>757783485.15257454</v>
      </c>
      <c r="AB5" s="1">
        <f t="shared" ca="1" si="1"/>
        <v>798394822.65098083</v>
      </c>
      <c r="AC5" s="1">
        <f t="shared" ca="1" si="1"/>
        <v>842021014.69846535</v>
      </c>
      <c r="AD5" s="1">
        <f t="shared" ca="1" si="1"/>
        <v>888780344.14164138</v>
      </c>
      <c r="AE5" s="1">
        <f t="shared" ca="1" si="1"/>
        <v>938792992.94846332</v>
      </c>
      <c r="AF5" s="1">
        <f t="shared" ca="1" si="1"/>
        <v>992180963.45546293</v>
      </c>
      <c r="AG5" s="1"/>
      <c r="AH5" s="1"/>
      <c r="AI5" s="1"/>
      <c r="AJ5" s="1"/>
      <c r="AK5" s="1"/>
      <c r="AL5" s="1"/>
      <c r="AM5" s="1"/>
      <c r="AN5" s="1"/>
      <c r="AO5" s="1"/>
      <c r="AP5" s="1"/>
    </row>
    <row r="6" spans="1:42" x14ac:dyDescent="0.35">
      <c r="A6" s="63" t="s">
        <v>3</v>
      </c>
      <c r="C6" s="1">
        <f ca="1">-'Cash Flow'!C13</f>
        <v>44011334.149373531</v>
      </c>
      <c r="D6" s="1">
        <f ca="1">-'Cash Flow'!D13</f>
        <v>41262831.130960181</v>
      </c>
      <c r="E6" s="1">
        <f ca="1">-'Cash Flow'!E13</f>
        <v>36144231.86512354</v>
      </c>
      <c r="F6" s="1">
        <f ca="1">-'Cash Flow'!F13</f>
        <v>33345667.61385861</v>
      </c>
      <c r="G6" s="1">
        <f ca="1">-'Cash Flow'!G13</f>
        <v>29002481.854831964</v>
      </c>
      <c r="H6" s="1">
        <f ca="1">-'Cash Flow'!H13</f>
        <v>24613179.751956195</v>
      </c>
      <c r="I6" s="1">
        <f ca="1">-'Cash Flow'!I13</f>
        <v>22772247.551989481</v>
      </c>
      <c r="J6" s="1">
        <f ca="1">-'Cash Flow'!J13</f>
        <v>21323588.27678483</v>
      </c>
      <c r="K6" s="1">
        <f ca="1">-'Cash Flow'!K13</f>
        <v>21777069.171250477</v>
      </c>
      <c r="L6" s="1">
        <f ca="1">-'Cash Flow'!L13</f>
        <v>22025762.832272902</v>
      </c>
      <c r="M6" s="1">
        <f ca="1">-'Cash Flow'!M13</f>
        <v>23190481.279167637</v>
      </c>
      <c r="N6" s="1">
        <f ca="1">-'Cash Flow'!N13</f>
        <v>24276479.360506102</v>
      </c>
      <c r="O6" s="1">
        <f ca="1">-'Cash Flow'!O13</f>
        <v>25266003.932780743</v>
      </c>
      <c r="P6" s="1">
        <f ca="1">-'Cash Flow'!P13</f>
        <v>26139432.347752675</v>
      </c>
      <c r="Q6" s="1">
        <f ca="1">-'Cash Flow'!Q13</f>
        <v>26875117.164669931</v>
      </c>
      <c r="R6" s="1">
        <f ca="1">-'Cash Flow'!R13</f>
        <v>27449219.374320373</v>
      </c>
      <c r="S6" s="1">
        <f ca="1">-'Cash Flow'!S13</f>
        <v>28250530.934214652</v>
      </c>
      <c r="T6" s="1">
        <f ca="1">-'Cash Flow'!T13</f>
        <v>28901332.357005164</v>
      </c>
      <c r="U6" s="1">
        <f ca="1">-'Cash Flow'!U13</f>
        <v>29377179.416107595</v>
      </c>
      <c r="V6" s="1">
        <f ca="1">-'Cash Flow'!V13</f>
        <v>29651280.280520514</v>
      </c>
      <c r="W6" s="1">
        <f ca="1">-'Cash Flow'!W13</f>
        <v>29694311.150843471</v>
      </c>
      <c r="X6" s="1">
        <f ca="1">-'Cash Flow'!X13</f>
        <v>32256411.304468751</v>
      </c>
      <c r="Y6" s="1">
        <f ca="1">-'Cash Flow'!Y13</f>
        <v>34928518.803602606</v>
      </c>
      <c r="Z6" s="1">
        <f ca="1">-'Cash Flow'!Z13</f>
        <v>37712793.248212576</v>
      </c>
      <c r="AA6" s="1">
        <f ca="1">-'Cash Flow'!AA13</f>
        <v>40611337.498406261</v>
      </c>
      <c r="AB6" s="1">
        <f ca="1">-'Cash Flow'!AB13</f>
        <v>43626192.047484517</v>
      </c>
      <c r="AC6" s="1">
        <f ca="1">-'Cash Flow'!AC13</f>
        <v>46759329.443176091</v>
      </c>
      <c r="AD6" s="1">
        <f ca="1">-'Cash Flow'!AD13</f>
        <v>50012648.806821942</v>
      </c>
      <c r="AE6" s="1">
        <f ca="1">-'Cash Flow'!AE13</f>
        <v>53387970.506999552</v>
      </c>
      <c r="AF6" s="1">
        <f ca="1">-'Cash Flow'!AF13</f>
        <v>56887031.051456988</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3554156.6952280737</v>
      </c>
      <c r="D8" s="1">
        <f ca="1">IF(SUM(D5:D6)&gt;0,Assumptions!$C$26*SUM(D5:D6),Assumptions!$C$27*(SUM(D5:D6)))</f>
        <v>4998355.7848116802</v>
      </c>
      <c r="E8" s="1">
        <f ca="1">IF(SUM(E5:E6)&gt;0,Assumptions!$C$26*SUM(E5:E6),Assumptions!$C$27*(SUM(E5:E6)))</f>
        <v>6263403.9000910036</v>
      </c>
      <c r="F8" s="1">
        <f ca="1">IF(SUM(F5:F6)&gt;0,Assumptions!$C$26*SUM(F5:F6),Assumptions!$C$27*(SUM(F5:F6)))</f>
        <v>7430502.2665760554</v>
      </c>
      <c r="G8" s="1">
        <f ca="1">IF(SUM(G5:G6)&gt;0,Assumptions!$C$26*SUM(G5:G6),Assumptions!$C$27*(SUM(G5:G6)))</f>
        <v>8445589.131495174</v>
      </c>
      <c r="H8" s="1">
        <f ca="1">IF(SUM(H5:H6)&gt;0,Assumptions!$C$26*SUM(H5:H6),Assumptions!$C$27*(SUM(H5:H6)))</f>
        <v>9307050.4228136409</v>
      </c>
      <c r="I8" s="1">
        <f ca="1">IF(SUM(I5:I6)&gt;0,Assumptions!$C$26*SUM(I5:I6),Assumptions!$C$27*(SUM(I5:I6)))</f>
        <v>10104079.087133273</v>
      </c>
      <c r="J8" s="1">
        <f ca="1">IF(SUM(J5:J6)&gt;0,Assumptions!$C$26*SUM(J5:J6),Assumptions!$C$27*(SUM(J5:J6)))</f>
        <v>10850404.676820744</v>
      </c>
      <c r="K8" s="1">
        <f ca="1">IF(SUM(K5:K6)&gt;0,Assumptions!$C$26*SUM(K5:K6),Assumptions!$C$27*(SUM(K5:K6)))</f>
        <v>11612602.09781451</v>
      </c>
      <c r="L8" s="1">
        <f ca="1">IF(SUM(L5:L6)&gt;0,Assumptions!$C$26*SUM(L5:L6),Assumptions!$C$27*(SUM(L5:L6)))</f>
        <v>12383503.796944059</v>
      </c>
      <c r="M8" s="1">
        <f ca="1">IF(SUM(M5:M6)&gt;0,Assumptions!$C$26*SUM(M5:M6),Assumptions!$C$27*(SUM(M5:M6)))</f>
        <v>13195170.641714929</v>
      </c>
      <c r="N8" s="1">
        <f ca="1">IF(SUM(N5:N6)&gt;0,Assumptions!$C$26*SUM(N5:N6),Assumptions!$C$27*(SUM(N5:N6)))</f>
        <v>14044847.419332642</v>
      </c>
      <c r="O8" s="1">
        <f ca="1">IF(SUM(O5:O6)&gt;0,Assumptions!$C$26*SUM(O5:O6),Assumptions!$C$27*(SUM(O5:O6)))</f>
        <v>14929157.556979969</v>
      </c>
      <c r="P8" s="1">
        <f ca="1">IF(SUM(P5:P6)&gt;0,Assumptions!$C$26*SUM(P5:P6),Assumptions!$C$27*(SUM(P5:P6)))</f>
        <v>15844037.689151313</v>
      </c>
      <c r="Q8" s="1">
        <f ca="1">IF(SUM(Q5:Q6)&gt;0,Assumptions!$C$26*SUM(Q5:Q6),Assumptions!$C$27*(SUM(Q5:Q6)))</f>
        <v>16784666.789914761</v>
      </c>
      <c r="R8" s="1">
        <f ca="1">IF(SUM(R5:R6)&gt;0,Assumptions!$C$26*SUM(R5:R6),Assumptions!$C$27*(SUM(R5:R6)))</f>
        <v>17745389.468015973</v>
      </c>
      <c r="S8" s="1">
        <f ca="1">IF(SUM(S5:S6)&gt;0,Assumptions!$C$26*SUM(S5:S6),Assumptions!$C$27*(SUM(S5:S6)))</f>
        <v>18734158.050713487</v>
      </c>
      <c r="T8" s="1">
        <f ca="1">IF(SUM(T5:T6)&gt;0,Assumptions!$C$26*SUM(T5:T6),Assumptions!$C$27*(SUM(T5:T6)))</f>
        <v>19745704.683208667</v>
      </c>
      <c r="U8" s="1">
        <f ca="1">IF(SUM(U5:U6)&gt;0,Assumptions!$C$26*SUM(U5:U6),Assumptions!$C$27*(SUM(U5:U6)))</f>
        <v>20773905.962772433</v>
      </c>
      <c r="V8" s="1">
        <f ca="1">IF(SUM(V5:V6)&gt;0,Assumptions!$C$26*SUM(V5:V6),Assumptions!$C$27*(SUM(V5:V6)))</f>
        <v>21811700.772590652</v>
      </c>
      <c r="W8" s="1">
        <f ca="1">IF(SUM(W5:W6)&gt;0,Assumptions!$C$26*SUM(W5:W6),Assumptions!$C$27*(SUM(W5:W6)))</f>
        <v>22851001.662870176</v>
      </c>
      <c r="X8" s="1">
        <f ca="1">IF(SUM(X5:X6)&gt;0,Assumptions!$C$26*SUM(X5:X6),Assumptions!$C$27*(SUM(X5:X6)))</f>
        <v>23979976.058526579</v>
      </c>
      <c r="Y8" s="1">
        <f ca="1">IF(SUM(Y5:Y6)&gt;0,Assumptions!$C$26*SUM(Y5:Y6),Assumptions!$C$27*(SUM(Y5:Y6)))</f>
        <v>25202474.216652673</v>
      </c>
      <c r="Z8" s="1">
        <f ca="1">IF(SUM(Z5:Z6)&gt;0,Assumptions!$C$26*SUM(Z5:Z6),Assumptions!$C$27*(SUM(Z5:Z6)))</f>
        <v>26522421.980340112</v>
      </c>
      <c r="AA8" s="1">
        <f ca="1">IF(SUM(AA5:AA6)&gt;0,Assumptions!$C$26*SUM(AA5:AA6),Assumptions!$C$27*(SUM(AA5:AA6)))</f>
        <v>27943818.792784333</v>
      </c>
      <c r="AB8" s="1">
        <f ca="1">IF(SUM(AB5:AB6)&gt;0,Assumptions!$C$26*SUM(AB5:AB6),Assumptions!$C$27*(SUM(AB5:AB6)))</f>
        <v>29470735.514446288</v>
      </c>
      <c r="AC8" s="1">
        <f ca="1">IF(SUM(AC5:AC6)&gt;0,Assumptions!$C$26*SUM(AC5:AC6),Assumptions!$C$27*(SUM(AC5:AC6)))</f>
        <v>31107312.044957452</v>
      </c>
      <c r="AD8" s="1">
        <f ca="1">IF(SUM(AD5:AD6)&gt;0,Assumptions!$C$26*SUM(AD5:AD6),Assumptions!$C$27*(SUM(AD5:AD6)))</f>
        <v>32857754.753196221</v>
      </c>
      <c r="AE8" s="1">
        <f ca="1">IF(SUM(AE5:AE6)&gt;0,Assumptions!$C$26*SUM(AE5:AE6),Assumptions!$C$27*(SUM(AE5:AE6)))</f>
        <v>34726333.720941208</v>
      </c>
      <c r="AF8" s="1">
        <f ca="1">IF(SUM(AF5:AF6)&gt;0,Assumptions!$C$26*SUM(AF5:AF6),Assumptions!$C$27*(SUM(AF5:AF6)))</f>
        <v>36717379.807742201</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52"/>
  <sheetViews>
    <sheetView zoomScale="50" zoomScaleNormal="50" workbookViewId="0">
      <selection sqref="A1:XFD1048576"/>
    </sheetView>
  </sheetViews>
  <sheetFormatPr defaultRowHeight="15.5" x14ac:dyDescent="0.35"/>
  <cols>
    <col min="1" max="1" width="107.9140625" style="63" customWidth="1"/>
    <col min="2" max="2" width="18.1640625" style="63" bestFit="1" customWidth="1"/>
    <col min="3" max="3" width="35.33203125" style="63" customWidth="1"/>
    <col min="4" max="16384" width="8.6640625" style="63"/>
  </cols>
  <sheetData>
    <row r="1" spans="1:3" ht="26" x14ac:dyDescent="0.6">
      <c r="A1" s="13" t="s">
        <v>185</v>
      </c>
    </row>
    <row r="2" spans="1:3" ht="26" x14ac:dyDescent="0.6">
      <c r="A2" s="13"/>
    </row>
    <row r="3" spans="1:3" ht="186" x14ac:dyDescent="0.35">
      <c r="A3" s="173" t="s">
        <v>188</v>
      </c>
    </row>
    <row r="4" spans="1:3" ht="26" x14ac:dyDescent="0.6">
      <c r="A4" s="13"/>
    </row>
    <row r="5" spans="1:3" ht="18.5" x14ac:dyDescent="0.45">
      <c r="A5" s="89" t="s">
        <v>177</v>
      </c>
      <c r="B5" s="180"/>
    </row>
    <row r="6" spans="1:3" ht="18.5" x14ac:dyDescent="0.45">
      <c r="A6" s="90"/>
      <c r="B6" s="180"/>
    </row>
    <row r="7" spans="1:3" ht="18.5" x14ac:dyDescent="0.45">
      <c r="A7" s="90" t="s">
        <v>96</v>
      </c>
      <c r="B7" s="181">
        <f>Assumptions!C24</f>
        <v>27638000</v>
      </c>
      <c r="C7" s="179" t="s">
        <v>199</v>
      </c>
    </row>
    <row r="8" spans="1:3" ht="34" x14ac:dyDescent="0.45">
      <c r="A8" s="90" t="s">
        <v>174</v>
      </c>
      <c r="B8" s="182">
        <f>Assumptions!$C$133</f>
        <v>0.7</v>
      </c>
      <c r="C8" s="179" t="s">
        <v>200</v>
      </c>
    </row>
    <row r="9" spans="1:3" ht="18.5" x14ac:dyDescent="0.45">
      <c r="A9" s="90"/>
      <c r="B9" s="183"/>
      <c r="C9" s="179"/>
    </row>
    <row r="10" spans="1:3" ht="102" x14ac:dyDescent="0.45">
      <c r="A10" s="94" t="s">
        <v>102</v>
      </c>
      <c r="B10" s="184">
        <f>Assumptions!C135</f>
        <v>14998.703703703703</v>
      </c>
      <c r="C10" s="179" t="s">
        <v>201</v>
      </c>
    </row>
    <row r="11" spans="1:3" ht="18.5" x14ac:dyDescent="0.45">
      <c r="A11" s="94"/>
      <c r="B11" s="185"/>
      <c r="C11" s="179"/>
    </row>
    <row r="12" spans="1:3" ht="18.5" x14ac:dyDescent="0.45">
      <c r="A12" s="94" t="s">
        <v>184</v>
      </c>
      <c r="B12" s="181">
        <f>(B7*B8)/B10</f>
        <v>1289.8848048596794</v>
      </c>
      <c r="C12" s="179"/>
    </row>
    <row r="13" spans="1:3" ht="18.5" x14ac:dyDescent="0.45">
      <c r="A13" s="96"/>
      <c r="B13" s="186"/>
      <c r="C13" s="179"/>
    </row>
    <row r="14" spans="1:3" ht="18.5" x14ac:dyDescent="0.45">
      <c r="A14" s="94" t="s">
        <v>103</v>
      </c>
      <c r="B14" s="103">
        <v>1</v>
      </c>
      <c r="C14" s="179"/>
    </row>
    <row r="15" spans="1:3" ht="18.5" x14ac:dyDescent="0.45">
      <c r="A15" s="96"/>
      <c r="B15" s="99"/>
      <c r="C15" s="179"/>
    </row>
    <row r="16" spans="1:3" ht="18.5" x14ac:dyDescent="0.45">
      <c r="A16" s="96" t="s">
        <v>179</v>
      </c>
      <c r="B16" s="187">
        <f>B12/B14</f>
        <v>1289.8848048596794</v>
      </c>
      <c r="C16" s="179"/>
    </row>
    <row r="17" spans="1:3" ht="18.5" x14ac:dyDescent="0.45">
      <c r="A17" s="94"/>
      <c r="B17" s="188"/>
      <c r="C17" s="179"/>
    </row>
    <row r="18" spans="1:3" ht="18.5" x14ac:dyDescent="0.45">
      <c r="A18" s="102" t="s">
        <v>178</v>
      </c>
      <c r="B18" s="188"/>
      <c r="C18" s="179"/>
    </row>
    <row r="19" spans="1:3" ht="18.5" x14ac:dyDescent="0.45">
      <c r="A19" s="94"/>
      <c r="B19" s="188"/>
      <c r="C19" s="179"/>
    </row>
    <row r="20" spans="1:3" ht="51" x14ac:dyDescent="0.45">
      <c r="A20" s="94" t="s">
        <v>65</v>
      </c>
      <c r="B20" s="181">
        <f>'Profit and Loss'!L5</f>
        <v>133883962.64762104</v>
      </c>
      <c r="C20" s="179" t="s">
        <v>202</v>
      </c>
    </row>
    <row r="21" spans="1:3" ht="34" x14ac:dyDescent="0.45">
      <c r="A21" s="94" t="str">
        <f>A8</f>
        <v>Assumed revenue from households</v>
      </c>
      <c r="B21" s="182">
        <f>B8</f>
        <v>0.7</v>
      </c>
      <c r="C21" s="179" t="s">
        <v>200</v>
      </c>
    </row>
    <row r="22" spans="1:3" ht="18.5" x14ac:dyDescent="0.45">
      <c r="A22" s="94"/>
      <c r="B22" s="185"/>
      <c r="C22" s="179"/>
    </row>
    <row r="23" spans="1:3" ht="51" x14ac:dyDescent="0.45">
      <c r="A23" s="94" t="s">
        <v>101</v>
      </c>
      <c r="B23" s="184">
        <f>Assumptions!M135</f>
        <v>22120.085396277096</v>
      </c>
      <c r="C23" s="179" t="s">
        <v>203</v>
      </c>
    </row>
    <row r="24" spans="1:3" ht="18.5" x14ac:dyDescent="0.45">
      <c r="A24" s="94"/>
      <c r="B24" s="185"/>
      <c r="C24" s="179"/>
    </row>
    <row r="25" spans="1:3" ht="18.5" x14ac:dyDescent="0.45">
      <c r="A25" s="94" t="s">
        <v>183</v>
      </c>
      <c r="B25" s="181">
        <f>(B20*B21)/B23</f>
        <v>4236.8179043787959</v>
      </c>
      <c r="C25" s="179"/>
    </row>
    <row r="26" spans="1:3" ht="18.5" x14ac:dyDescent="0.45">
      <c r="A26" s="94"/>
      <c r="B26" s="181"/>
      <c r="C26" s="179"/>
    </row>
    <row r="27" spans="1:3" ht="51" x14ac:dyDescent="0.45">
      <c r="A27" s="94" t="s">
        <v>103</v>
      </c>
      <c r="B27" s="103">
        <f>1.022^11</f>
        <v>1.2704566586717592</v>
      </c>
      <c r="C27" s="179" t="s">
        <v>204</v>
      </c>
    </row>
    <row r="28" spans="1:3" ht="18.5" x14ac:dyDescent="0.45">
      <c r="A28" s="96"/>
      <c r="B28" s="186"/>
      <c r="C28" s="179"/>
    </row>
    <row r="29" spans="1:3" ht="18.5" x14ac:dyDescent="0.45">
      <c r="A29" s="96" t="s">
        <v>180</v>
      </c>
      <c r="B29" s="181">
        <f>B25/B27</f>
        <v>3334.8779554654916</v>
      </c>
      <c r="C29" s="179"/>
    </row>
    <row r="30" spans="1:3" ht="18.5" x14ac:dyDescent="0.45">
      <c r="A30" s="96"/>
      <c r="B30" s="186"/>
      <c r="C30" s="179"/>
    </row>
    <row r="31" spans="1:3" ht="18.5" x14ac:dyDescent="0.45">
      <c r="A31" s="102" t="s">
        <v>186</v>
      </c>
      <c r="B31" s="189"/>
      <c r="C31" s="179"/>
    </row>
    <row r="32" spans="1:3" ht="18.5" x14ac:dyDescent="0.45">
      <c r="A32" s="94"/>
      <c r="B32" s="181"/>
      <c r="C32" s="179"/>
    </row>
    <row r="33" spans="1:3" ht="51" x14ac:dyDescent="0.45">
      <c r="A33" s="94" t="s">
        <v>66</v>
      </c>
      <c r="B33" s="181">
        <f>'Profit and Loss'!AF5</f>
        <v>400675975.09329903</v>
      </c>
      <c r="C33" s="179" t="s">
        <v>202</v>
      </c>
    </row>
    <row r="34" spans="1:3" ht="34" x14ac:dyDescent="0.45">
      <c r="A34" s="94" t="str">
        <f>A21</f>
        <v>Assumed revenue from households</v>
      </c>
      <c r="B34" s="182">
        <f>B21</f>
        <v>0.7</v>
      </c>
      <c r="C34" s="179" t="s">
        <v>200</v>
      </c>
    </row>
    <row r="35" spans="1:3" ht="18.5" x14ac:dyDescent="0.45">
      <c r="A35" s="94"/>
      <c r="B35" s="185"/>
      <c r="C35" s="179"/>
    </row>
    <row r="36" spans="1:3" ht="51" x14ac:dyDescent="0.45">
      <c r="A36" s="94" t="s">
        <v>100</v>
      </c>
      <c r="B36" s="184">
        <f>Assumptions!AG135</f>
        <v>48111.948531637972</v>
      </c>
      <c r="C36" s="179" t="s">
        <v>203</v>
      </c>
    </row>
    <row r="37" spans="1:3" ht="18.5" x14ac:dyDescent="0.45">
      <c r="A37" s="94"/>
      <c r="B37" s="185"/>
      <c r="C37" s="179"/>
    </row>
    <row r="38" spans="1:3" ht="18.5" x14ac:dyDescent="0.45">
      <c r="A38" s="94" t="s">
        <v>182</v>
      </c>
      <c r="B38" s="181">
        <f>(B33*B34)/B36</f>
        <v>5829.5951655517074</v>
      </c>
      <c r="C38" s="179"/>
    </row>
    <row r="39" spans="1:3" ht="18.5" x14ac:dyDescent="0.45">
      <c r="A39" s="94"/>
      <c r="B39" s="185"/>
      <c r="C39" s="179"/>
    </row>
    <row r="40" spans="1:3" ht="51" x14ac:dyDescent="0.45">
      <c r="A40" s="94" t="s">
        <v>103</v>
      </c>
      <c r="B40" s="103">
        <f>1.022^31</f>
        <v>1.9632597808456462</v>
      </c>
      <c r="C40" s="179" t="s">
        <v>204</v>
      </c>
    </row>
    <row r="41" spans="1:3" ht="18.5" x14ac:dyDescent="0.45">
      <c r="A41" s="96"/>
      <c r="B41" s="186"/>
    </row>
    <row r="42" spans="1:3" ht="18.5" x14ac:dyDescent="0.45">
      <c r="A42" s="96" t="s">
        <v>181</v>
      </c>
      <c r="B42" s="181">
        <f>B38/B40</f>
        <v>2969.3447716026108</v>
      </c>
    </row>
    <row r="43" spans="1:3" x14ac:dyDescent="0.35">
      <c r="B43" s="190"/>
    </row>
    <row r="44" spans="1:3" x14ac:dyDescent="0.35">
      <c r="B44" s="190"/>
    </row>
    <row r="45" spans="1:3" x14ac:dyDescent="0.35">
      <c r="B45" s="190"/>
    </row>
    <row r="46" spans="1:3" x14ac:dyDescent="0.35">
      <c r="B46" s="190"/>
    </row>
    <row r="47" spans="1:3" x14ac:dyDescent="0.35">
      <c r="B47" s="190"/>
    </row>
    <row r="48" spans="1:3" x14ac:dyDescent="0.35">
      <c r="B48" s="190"/>
    </row>
    <row r="49" spans="2:2" x14ac:dyDescent="0.35">
      <c r="B49" s="190"/>
    </row>
    <row r="50" spans="2:2" x14ac:dyDescent="0.35">
      <c r="B50" s="190"/>
    </row>
    <row r="51" spans="2:2" x14ac:dyDescent="0.35">
      <c r="B51" s="190"/>
    </row>
    <row r="52" spans="2:2" x14ac:dyDescent="0.35">
      <c r="B52" s="19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Normal="100" workbookViewId="0">
      <pane ySplit="4" topLeftCell="A5" activePane="bottomLeft" state="frozen"/>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161</v>
      </c>
    </row>
    <row r="2" spans="1:33" ht="26.5" thickBot="1" x14ac:dyDescent="0.4">
      <c r="A2" s="111"/>
      <c r="B2" s="111"/>
      <c r="D2" s="112"/>
    </row>
    <row r="3" spans="1:33" s="114" customFormat="1" ht="21.5" thickBot="1" x14ac:dyDescent="0.4">
      <c r="A3" s="84"/>
      <c r="B3" s="84"/>
      <c r="C3" s="113"/>
      <c r="D3" s="192" t="s">
        <v>27</v>
      </c>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row>
    <row r="4" spans="1:33" s="120" customFormat="1" ht="16" thickBot="1" x14ac:dyDescent="0.4">
      <c r="A4" s="115" t="s">
        <v>25</v>
      </c>
      <c r="B4" s="115" t="s">
        <v>196</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138</v>
      </c>
      <c r="C13" s="127">
        <v>3.9616843919784372E-2</v>
      </c>
      <c r="D13" s="128">
        <f t="shared" ref="D13:AG13" si="3">(1+$C$13)^D8</f>
        <v>1.0396168439197844</v>
      </c>
      <c r="E13" s="128">
        <f t="shared" si="3"/>
        <v>1.0808031821617332</v>
      </c>
      <c r="F13" s="128">
        <f t="shared" si="3"/>
        <v>1.1236211931374409</v>
      </c>
      <c r="G13" s="128">
        <f t="shared" si="3"/>
        <v>1.1681355185709286</v>
      </c>
      <c r="H13" s="128">
        <f t="shared" si="3"/>
        <v>1.2144133610873094</v>
      </c>
      <c r="I13" s="128">
        <f t="shared" si="3"/>
        <v>1.2625245856676059</v>
      </c>
      <c r="J13" s="128">
        <f t="shared" si="3"/>
        <v>1.31254182512289</v>
      </c>
      <c r="K13" s="128">
        <f t="shared" si="3"/>
        <v>1.3645405897469722</v>
      </c>
      <c r="L13" s="128">
        <f t="shared" si="3"/>
        <v>1.4185993813131885</v>
      </c>
      <c r="M13" s="128">
        <f t="shared" si="3"/>
        <v>1.4747998115873757</v>
      </c>
      <c r="N13" s="128">
        <f t="shared" si="3"/>
        <v>1.5332267255359602</v>
      </c>
      <c r="O13" s="128">
        <f t="shared" si="3"/>
        <v>1.5939683294151601</v>
      </c>
      <c r="P13" s="128">
        <f t="shared" si="3"/>
        <v>1.6571163239346798</v>
      </c>
      <c r="Q13" s="128">
        <f t="shared" si="3"/>
        <v>1.7227660426969267</v>
      </c>
      <c r="R13" s="128">
        <f t="shared" si="3"/>
        <v>1.7910165961207556</v>
      </c>
      <c r="S13" s="128">
        <f t="shared" si="3"/>
        <v>1.8619710210670148</v>
      </c>
      <c r="T13" s="128">
        <f t="shared" si="3"/>
        <v>1.9357364363917884</v>
      </c>
      <c r="U13" s="128">
        <f t="shared" si="3"/>
        <v>2.0124242046621612</v>
      </c>
      <c r="V13" s="128">
        <f t="shared" si="3"/>
        <v>2.0921501002786584</v>
      </c>
      <c r="W13" s="128">
        <f t="shared" si="3"/>
        <v>2.1750344842581586</v>
      </c>
      <c r="X13" s="128">
        <f t="shared" si="3"/>
        <v>2.2612024859411628</v>
      </c>
      <c r="Y13" s="128">
        <f t="shared" si="3"/>
        <v>2.3507841918977221</v>
      </c>
      <c r="Z13" s="128">
        <f t="shared" si="3"/>
        <v>2.4439148423172306</v>
      </c>
      <c r="AA13" s="128">
        <f t="shared" si="3"/>
        <v>2.5407350351785567</v>
      </c>
      <c r="AB13" s="128">
        <f t="shared" si="3"/>
        <v>2.6413909385087533</v>
      </c>
      <c r="AC13" s="128">
        <f t="shared" si="3"/>
        <v>2.7460345110507869</v>
      </c>
      <c r="AD13" s="128">
        <f t="shared" si="3"/>
        <v>2.8548237316734273</v>
      </c>
      <c r="AE13" s="128">
        <f t="shared" si="3"/>
        <v>2.9679228378696294</v>
      </c>
      <c r="AF13" s="128">
        <f t="shared" si="3"/>
        <v>3.085502573703474</v>
      </c>
      <c r="AG13" s="128">
        <f t="shared" si="3"/>
        <v>3.2077404475799769</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192</v>
      </c>
      <c r="B15" s="178" t="s">
        <v>193</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170</v>
      </c>
      <c r="C17" s="136">
        <f>AVERAGE(C49:C50)</f>
        <v>799034500</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399517250</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137</v>
      </c>
      <c r="C20" s="137">
        <v>57536000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159</v>
      </c>
      <c r="B22" s="178" t="s">
        <v>193</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198</v>
      </c>
      <c r="C24" s="136">
        <v>27638000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195</v>
      </c>
      <c r="C25" s="136">
        <v>16883000</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160</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135</v>
      </c>
      <c r="C49" s="71">
        <v>639226000</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136</v>
      </c>
      <c r="C50" s="71">
        <v>958843000.00000012</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171</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171</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1887982.0594225444</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4005244.3061852735</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2946613.1828039088</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5146112.1048348993</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10271124.230478432</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7708618.1676566657</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11713862.473841939</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x14ac:dyDescent="0.35">
      <c r="A77" s="69" t="s">
        <v>141</v>
      </c>
      <c r="B77" s="191" t="s">
        <v>176</v>
      </c>
      <c r="C77" s="87">
        <v>798780337.27121377</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142</v>
      </c>
      <c r="B79" s="69" t="s">
        <v>155</v>
      </c>
      <c r="C79" s="87">
        <v>593555735.45012045</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143</v>
      </c>
      <c r="B80" s="69" t="s">
        <v>155</v>
      </c>
      <c r="C80" s="87">
        <v>603914540.72033286</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144</v>
      </c>
      <c r="B82" s="69" t="s">
        <v>86</v>
      </c>
      <c r="C82" s="87">
        <f>C79+$C$77</f>
        <v>1392336072.7213342</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145</v>
      </c>
      <c r="B83" s="69" t="s">
        <v>86</v>
      </c>
      <c r="C83" s="87">
        <f>C80+$C$77</f>
        <v>1402694877.9915466</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150</v>
      </c>
      <c r="B85" s="69" t="s">
        <v>133</v>
      </c>
      <c r="C85" s="150">
        <v>41508</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151</v>
      </c>
      <c r="B86" s="69" t="s">
        <v>134</v>
      </c>
      <c r="C86" s="150">
        <v>39485</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40496.5</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146</v>
      </c>
      <c r="B89" s="69" t="s">
        <v>86</v>
      </c>
      <c r="C89" s="150">
        <f>C82/$C$87</f>
        <v>34381.63971507005</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146</v>
      </c>
      <c r="B90" s="69" t="s">
        <v>86</v>
      </c>
      <c r="C90" s="150">
        <f>C83/$C$87</f>
        <v>34637.434790452178</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147</v>
      </c>
      <c r="B92" s="69" t="s">
        <v>154</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148</v>
      </c>
      <c r="B94" s="69" t="s">
        <v>86</v>
      </c>
      <c r="C94" s="87">
        <f>IF(C89&lt;$C$92,C89*$C$87,$C$92*$C$87)</f>
        <v>1392336072.7213342</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149</v>
      </c>
      <c r="B95" s="69" t="s">
        <v>86</v>
      </c>
      <c r="C95" s="87">
        <f>IF(C90&lt;$C$92,C90*$C$87,$C$92*$C$87)</f>
        <v>1402694877.9915466</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153</v>
      </c>
      <c r="B96" s="69" t="s">
        <v>86</v>
      </c>
      <c r="C96" s="87">
        <f>AVERAGE(C94:C95)</f>
        <v>1397515475.3564405</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1397515475.3564405</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46583849.178548016</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169</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169</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11713862.473841939</v>
      </c>
      <c r="E111" s="149">
        <f t="shared" si="9"/>
        <v>11713862.473841939</v>
      </c>
      <c r="F111" s="149">
        <f t="shared" si="9"/>
        <v>11713862.473841939</v>
      </c>
      <c r="G111" s="149">
        <f t="shared" si="9"/>
        <v>11713862.473841939</v>
      </c>
      <c r="H111" s="149">
        <f t="shared" si="9"/>
        <v>11713862.473841939</v>
      </c>
      <c r="I111" s="149">
        <f t="shared" si="9"/>
        <v>11713862.473841939</v>
      </c>
      <c r="J111" s="149">
        <f t="shared" si="9"/>
        <v>11713862.473841939</v>
      </c>
      <c r="K111" s="149">
        <f t="shared" si="9"/>
        <v>11713862.473841939</v>
      </c>
      <c r="L111" s="149">
        <f t="shared" si="9"/>
        <v>11713862.473841939</v>
      </c>
      <c r="M111" s="149">
        <f t="shared" si="9"/>
        <v>11713862.473841939</v>
      </c>
      <c r="N111" s="149">
        <f t="shared" si="9"/>
        <v>11713862.473841939</v>
      </c>
      <c r="O111" s="149">
        <f t="shared" si="9"/>
        <v>11713862.473841939</v>
      </c>
      <c r="P111" s="149">
        <f t="shared" si="9"/>
        <v>11713862.473841939</v>
      </c>
      <c r="Q111" s="149">
        <f t="shared" si="9"/>
        <v>11713862.473841939</v>
      </c>
      <c r="R111" s="149">
        <f t="shared" si="9"/>
        <v>11713862.473841939</v>
      </c>
      <c r="S111" s="149">
        <f t="shared" si="9"/>
        <v>11713862.473841939</v>
      </c>
      <c r="T111" s="149">
        <f t="shared" si="9"/>
        <v>11713862.473841939</v>
      </c>
      <c r="U111" s="149">
        <f t="shared" si="9"/>
        <v>11713862.473841939</v>
      </c>
      <c r="V111" s="149">
        <f t="shared" si="9"/>
        <v>11713862.473841939</v>
      </c>
      <c r="W111" s="149">
        <f t="shared" si="9"/>
        <v>11713862.473841939</v>
      </c>
      <c r="X111" s="149">
        <f t="shared" si="9"/>
        <v>11713862.473841939</v>
      </c>
      <c r="Y111" s="149">
        <f t="shared" si="9"/>
        <v>11713862.473841939</v>
      </c>
      <c r="Z111" s="149">
        <f t="shared" si="9"/>
        <v>11713862.473841939</v>
      </c>
      <c r="AA111" s="149">
        <f t="shared" si="9"/>
        <v>11713862.473841939</v>
      </c>
      <c r="AB111" s="149">
        <f t="shared" si="9"/>
        <v>11713862.473841939</v>
      </c>
      <c r="AC111" s="149">
        <f t="shared" si="9"/>
        <v>11713862.473841939</v>
      </c>
      <c r="AD111" s="149">
        <f t="shared" si="9"/>
        <v>11713862.473841939</v>
      </c>
      <c r="AE111" s="149">
        <f t="shared" si="9"/>
        <v>11713862.473841939</v>
      </c>
      <c r="AF111" s="149">
        <f t="shared" si="9"/>
        <v>11713862.473841939</v>
      </c>
      <c r="AG111" s="149">
        <f t="shared" si="9"/>
        <v>11713862.473841939</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1397515475.3564408</v>
      </c>
      <c r="D113" s="149">
        <f t="shared" ref="D113:AG113" si="10">$C$102</f>
        <v>46583849.178548016</v>
      </c>
      <c r="E113" s="149">
        <f t="shared" si="10"/>
        <v>46583849.178548016</v>
      </c>
      <c r="F113" s="149">
        <f t="shared" si="10"/>
        <v>46583849.178548016</v>
      </c>
      <c r="G113" s="149">
        <f t="shared" si="10"/>
        <v>46583849.178548016</v>
      </c>
      <c r="H113" s="149">
        <f t="shared" si="10"/>
        <v>46583849.178548016</v>
      </c>
      <c r="I113" s="149">
        <f t="shared" si="10"/>
        <v>46583849.178548016</v>
      </c>
      <c r="J113" s="149">
        <f t="shared" si="10"/>
        <v>46583849.178548016</v>
      </c>
      <c r="K113" s="149">
        <f t="shared" si="10"/>
        <v>46583849.178548016</v>
      </c>
      <c r="L113" s="149">
        <f t="shared" si="10"/>
        <v>46583849.178548016</v>
      </c>
      <c r="M113" s="149">
        <f t="shared" si="10"/>
        <v>46583849.178548016</v>
      </c>
      <c r="N113" s="149">
        <f t="shared" si="10"/>
        <v>46583849.178548016</v>
      </c>
      <c r="O113" s="149">
        <f t="shared" si="10"/>
        <v>46583849.178548016</v>
      </c>
      <c r="P113" s="149">
        <f t="shared" si="10"/>
        <v>46583849.178548016</v>
      </c>
      <c r="Q113" s="149">
        <f t="shared" si="10"/>
        <v>46583849.178548016</v>
      </c>
      <c r="R113" s="149">
        <f t="shared" si="10"/>
        <v>46583849.178548016</v>
      </c>
      <c r="S113" s="149">
        <f t="shared" si="10"/>
        <v>46583849.178548016</v>
      </c>
      <c r="T113" s="149">
        <f t="shared" si="10"/>
        <v>46583849.178548016</v>
      </c>
      <c r="U113" s="149">
        <f t="shared" si="10"/>
        <v>46583849.178548016</v>
      </c>
      <c r="V113" s="149">
        <f t="shared" si="10"/>
        <v>46583849.178548016</v>
      </c>
      <c r="W113" s="149">
        <f t="shared" si="10"/>
        <v>46583849.178548016</v>
      </c>
      <c r="X113" s="149">
        <f t="shared" si="10"/>
        <v>46583849.178548016</v>
      </c>
      <c r="Y113" s="149">
        <f t="shared" si="10"/>
        <v>46583849.178548016</v>
      </c>
      <c r="Z113" s="149">
        <f t="shared" si="10"/>
        <v>46583849.178548016</v>
      </c>
      <c r="AA113" s="149">
        <f t="shared" si="10"/>
        <v>46583849.178548016</v>
      </c>
      <c r="AB113" s="149">
        <f t="shared" si="10"/>
        <v>46583849.178548016</v>
      </c>
      <c r="AC113" s="149">
        <f t="shared" si="10"/>
        <v>46583849.178548016</v>
      </c>
      <c r="AD113" s="149">
        <f t="shared" si="10"/>
        <v>46583849.178548016</v>
      </c>
      <c r="AE113" s="149">
        <f t="shared" si="10"/>
        <v>46583849.178548016</v>
      </c>
      <c r="AF113" s="149">
        <f t="shared" si="10"/>
        <v>46583849.178548016</v>
      </c>
      <c r="AG113" s="149">
        <f t="shared" si="10"/>
        <v>46583849.178548016</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46583849.178548016</v>
      </c>
      <c r="E118" s="149">
        <f t="shared" ref="E118:AG118" si="13">E113+E115+E116</f>
        <v>46583849.178548016</v>
      </c>
      <c r="F118" s="149">
        <f>F113+F115+F116</f>
        <v>46583849.178548016</v>
      </c>
      <c r="G118" s="149">
        <f t="shared" si="13"/>
        <v>46583849.178548016</v>
      </c>
      <c r="H118" s="149">
        <f t="shared" si="13"/>
        <v>46583849.178548016</v>
      </c>
      <c r="I118" s="149">
        <f t="shared" si="13"/>
        <v>46583849.178548016</v>
      </c>
      <c r="J118" s="149">
        <f t="shared" si="13"/>
        <v>46583849.178548016</v>
      </c>
      <c r="K118" s="149">
        <f t="shared" si="13"/>
        <v>46583849.178548016</v>
      </c>
      <c r="L118" s="149">
        <f t="shared" si="13"/>
        <v>46583849.178548016</v>
      </c>
      <c r="M118" s="149">
        <f t="shared" si="13"/>
        <v>46583849.178548016</v>
      </c>
      <c r="N118" s="149">
        <f t="shared" si="13"/>
        <v>46583849.178548016</v>
      </c>
      <c r="O118" s="149">
        <f t="shared" si="13"/>
        <v>46583849.178548016</v>
      </c>
      <c r="P118" s="149">
        <f t="shared" si="13"/>
        <v>46583849.178548016</v>
      </c>
      <c r="Q118" s="149">
        <f t="shared" si="13"/>
        <v>46583849.178548016</v>
      </c>
      <c r="R118" s="149">
        <f t="shared" si="13"/>
        <v>46583849.178548016</v>
      </c>
      <c r="S118" s="149">
        <f t="shared" si="13"/>
        <v>46583849.178548016</v>
      </c>
      <c r="T118" s="149">
        <f t="shared" si="13"/>
        <v>46583849.178548016</v>
      </c>
      <c r="U118" s="149">
        <f t="shared" si="13"/>
        <v>46583849.178548016</v>
      </c>
      <c r="V118" s="149">
        <f t="shared" si="13"/>
        <v>46583849.178548016</v>
      </c>
      <c r="W118" s="149">
        <f t="shared" si="13"/>
        <v>46583849.178548016</v>
      </c>
      <c r="X118" s="149">
        <f t="shared" si="13"/>
        <v>46583849.178548016</v>
      </c>
      <c r="Y118" s="149">
        <f t="shared" si="13"/>
        <v>46583849.178548016</v>
      </c>
      <c r="Z118" s="149">
        <f t="shared" si="13"/>
        <v>46583849.178548016</v>
      </c>
      <c r="AA118" s="149">
        <f t="shared" si="13"/>
        <v>46583849.178548016</v>
      </c>
      <c r="AB118" s="149">
        <f t="shared" si="13"/>
        <v>46583849.178548016</v>
      </c>
      <c r="AC118" s="149">
        <f t="shared" si="13"/>
        <v>46583849.178548016</v>
      </c>
      <c r="AD118" s="149">
        <f t="shared" si="13"/>
        <v>46583849.178548016</v>
      </c>
      <c r="AE118" s="149">
        <f t="shared" si="13"/>
        <v>46583849.178548016</v>
      </c>
      <c r="AF118" s="149">
        <f t="shared" si="13"/>
        <v>46583849.178548016</v>
      </c>
      <c r="AG118" s="149">
        <f t="shared" si="13"/>
        <v>46583849.178548016</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1118012.3802851522</v>
      </c>
      <c r="E120" s="149">
        <f>(SUM($D$118:E118)*$C$104/$C$106)+(SUM($D$118:E118)*$C$105/$C$107)</f>
        <v>2236024.7605703045</v>
      </c>
      <c r="F120" s="149">
        <f>(SUM($D$118:F118)*$C$104/$C$106)+(SUM($D$118:F118)*$C$105/$C$107)</f>
        <v>3354037.1408554572</v>
      </c>
      <c r="G120" s="149">
        <f>(SUM($D$118:G118)*$C$104/$C$106)+(SUM($D$118:G118)*$C$105/$C$107)</f>
        <v>4472049.5211406089</v>
      </c>
      <c r="H120" s="149">
        <f>(SUM($D$118:H118)*$C$104/$C$106)+(SUM($D$118:H118)*$C$105/$C$107)</f>
        <v>5590061.9014257612</v>
      </c>
      <c r="I120" s="149">
        <f>(SUM($D$118:I118)*$C$104/$C$106)+(SUM($D$118:I118)*$C$105/$C$107)</f>
        <v>6708074.2817109143</v>
      </c>
      <c r="J120" s="149">
        <f>(SUM($D$118:J118)*$C$104/$C$106)+(SUM($D$118:J118)*$C$105/$C$107)</f>
        <v>7826086.6619960684</v>
      </c>
      <c r="K120" s="149">
        <f>(SUM($D$118:K118)*$C$104/$C$106)+(SUM($D$118:K118)*$C$105/$C$107)</f>
        <v>8944099.0422812216</v>
      </c>
      <c r="L120" s="149">
        <f>(SUM($D$118:L118)*$C$104/$C$106)+(SUM($D$118:L118)*$C$105/$C$107)</f>
        <v>10062111.422566373</v>
      </c>
      <c r="M120" s="149">
        <f>(SUM($D$118:M118)*$C$104/$C$106)+(SUM($D$118:M118)*$C$105/$C$107)</f>
        <v>11180123.802851526</v>
      </c>
      <c r="N120" s="149">
        <f>(SUM($D$118:N118)*$C$104/$C$106)+(SUM($D$118:N118)*$C$105/$C$107)</f>
        <v>12298136.183136677</v>
      </c>
      <c r="O120" s="149">
        <f>(SUM($D$118:O118)*$C$104/$C$106)+(SUM($D$118:O118)*$C$105/$C$107)</f>
        <v>13416148.563421831</v>
      </c>
      <c r="P120" s="149">
        <f>(SUM($D$118:P118)*$C$104/$C$106)+(SUM($D$118:P118)*$C$105/$C$107)</f>
        <v>14534160.943706982</v>
      </c>
      <c r="Q120" s="149">
        <f>(SUM($D$118:Q118)*$C$104/$C$106)+(SUM($D$118:Q118)*$C$105/$C$107)</f>
        <v>15652173.323992137</v>
      </c>
      <c r="R120" s="149">
        <f>(SUM($D$118:R118)*$C$104/$C$106)+(SUM($D$118:R118)*$C$105/$C$107)</f>
        <v>16770185.704277288</v>
      </c>
      <c r="S120" s="149">
        <f>(SUM($D$118:S118)*$C$104/$C$106)+(SUM($D$118:S118)*$C$105/$C$107)</f>
        <v>17888198.084562436</v>
      </c>
      <c r="T120" s="149">
        <f>(SUM($D$118:T118)*$C$104/$C$106)+(SUM($D$118:T118)*$C$105/$C$107)</f>
        <v>19006210.464847587</v>
      </c>
      <c r="U120" s="149">
        <f>(SUM($D$118:U118)*$C$104/$C$106)+(SUM($D$118:U118)*$C$105/$C$107)</f>
        <v>20124222.845132738</v>
      </c>
      <c r="V120" s="149">
        <f>(SUM($D$118:V118)*$C$104/$C$106)+(SUM($D$118:V118)*$C$105/$C$107)</f>
        <v>21242235.225417893</v>
      </c>
      <c r="W120" s="149">
        <f>(SUM($D$118:W118)*$C$104/$C$106)+(SUM($D$118:W118)*$C$105/$C$107)</f>
        <v>22360247.605703045</v>
      </c>
      <c r="X120" s="149">
        <f>(SUM($D$118:X118)*$C$104/$C$106)+(SUM($D$118:X118)*$C$105/$C$107)</f>
        <v>23478259.985988192</v>
      </c>
      <c r="Y120" s="149">
        <f>(SUM($D$118:Y118)*$C$104/$C$106)+(SUM($D$118:Y118)*$C$105/$C$107)</f>
        <v>24596272.366273347</v>
      </c>
      <c r="Z120" s="149">
        <f>(SUM($D$118:Z118)*$C$104/$C$106)+(SUM($D$118:Z118)*$C$105/$C$107)</f>
        <v>25714284.746558499</v>
      </c>
      <c r="AA120" s="149">
        <f>(SUM($D$118:AA118)*$C$104/$C$106)+(SUM($D$118:AA118)*$C$105/$C$107)</f>
        <v>26832297.126843654</v>
      </c>
      <c r="AB120" s="149">
        <f>(SUM($D$118:AB118)*$C$104/$C$106)+(SUM($D$118:AB118)*$C$105/$C$107)</f>
        <v>27950309.507128805</v>
      </c>
      <c r="AC120" s="149">
        <f>(SUM($D$118:AC118)*$C$104/$C$106)+(SUM($D$118:AC118)*$C$105/$C$107)</f>
        <v>29068321.88741396</v>
      </c>
      <c r="AD120" s="149">
        <f>(SUM($D$118:AD118)*$C$104/$C$106)+(SUM($D$118:AD118)*$C$105/$C$107)</f>
        <v>30186334.267699115</v>
      </c>
      <c r="AE120" s="149">
        <f>(SUM($D$118:AE118)*$C$104/$C$106)+(SUM($D$118:AE118)*$C$105/$C$107)</f>
        <v>31304346.647984274</v>
      </c>
      <c r="AF120" s="149">
        <f>(SUM($D$118:AF118)*$C$104/$C$106)+(SUM($D$118:AF118)*$C$105/$C$107)</f>
        <v>32422359.028269425</v>
      </c>
      <c r="AG120" s="149">
        <f>(SUM($D$118:AG118)*$C$104/$C$106)+(SUM($D$118:AG118)*$C$105/$C$107)</f>
        <v>33540371.40855458</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1397515.4753564405</v>
      </c>
      <c r="E122" s="72">
        <f>(SUM($D$118:E118)*$C$109)</f>
        <v>2795030.9507128811</v>
      </c>
      <c r="F122" s="72">
        <f>(SUM($D$118:F118)*$C$109)</f>
        <v>4192546.4260693216</v>
      </c>
      <c r="G122" s="72">
        <f>(SUM($D$118:G118)*$C$109)</f>
        <v>5590061.9014257621</v>
      </c>
      <c r="H122" s="72">
        <f>(SUM($D$118:H118)*$C$109)</f>
        <v>6987577.3767822022</v>
      </c>
      <c r="I122" s="72">
        <f>(SUM($D$118:I118)*$C$109)</f>
        <v>8385092.8521386432</v>
      </c>
      <c r="J122" s="72">
        <f>(SUM($D$118:J118)*$C$109)</f>
        <v>9782608.3274950832</v>
      </c>
      <c r="K122" s="72">
        <f>(SUM($D$118:K118)*$C$109)</f>
        <v>11180123.802851524</v>
      </c>
      <c r="L122" s="72">
        <f>(SUM($D$118:L118)*$C$109)</f>
        <v>12577639.278207967</v>
      </c>
      <c r="M122" s="72">
        <f>(SUM($D$118:M118)*$C$109)</f>
        <v>13975154.753564408</v>
      </c>
      <c r="N122" s="72">
        <f>(SUM($D$118:N118)*$C$109)</f>
        <v>15372670.228920849</v>
      </c>
      <c r="O122" s="72">
        <f>(SUM($D$118:O118)*$C$109)</f>
        <v>16770185.70427729</v>
      </c>
      <c r="P122" s="72">
        <f>(SUM($D$118:P118)*$C$109)</f>
        <v>18167701.179633729</v>
      </c>
      <c r="Q122" s="72">
        <f>(SUM($D$118:Q118)*$C$109)</f>
        <v>19565216.654990166</v>
      </c>
      <c r="R122" s="72">
        <f>(SUM($D$118:R118)*$C$109)</f>
        <v>20962732.130346607</v>
      </c>
      <c r="S122" s="72">
        <f>(SUM($D$118:S118)*$C$109)</f>
        <v>22360247.605703048</v>
      </c>
      <c r="T122" s="72">
        <f>(SUM($D$118:T118)*$C$109)</f>
        <v>23757763.081059486</v>
      </c>
      <c r="U122" s="72">
        <f>(SUM($D$118:U118)*$C$109)</f>
        <v>25155278.556415927</v>
      </c>
      <c r="V122" s="72">
        <f>(SUM($D$118:V118)*$C$109)</f>
        <v>26552794.031772364</v>
      </c>
      <c r="W122" s="72">
        <f>(SUM($D$118:W118)*$C$109)</f>
        <v>27950309.507128805</v>
      </c>
      <c r="X122" s="72">
        <f>(SUM($D$118:X118)*$C$109)</f>
        <v>29347824.982485242</v>
      </c>
      <c r="Y122" s="72">
        <f>(SUM($D$118:Y118)*$C$109)</f>
        <v>30745340.457841683</v>
      </c>
      <c r="Z122" s="72">
        <f>(SUM($D$118:Z118)*$C$109)</f>
        <v>32142855.93319812</v>
      </c>
      <c r="AA122" s="72">
        <f>(SUM($D$118:AA118)*$C$109)</f>
        <v>33540371.408554565</v>
      </c>
      <c r="AB122" s="72">
        <f>(SUM($D$118:AB118)*$C$109)</f>
        <v>34937886.883911006</v>
      </c>
      <c r="AC122" s="72">
        <f>(SUM($D$118:AC118)*$C$109)</f>
        <v>36335402.359267451</v>
      </c>
      <c r="AD122" s="72">
        <f>(SUM($D$118:AD118)*$C$109)</f>
        <v>37732917.834623896</v>
      </c>
      <c r="AE122" s="72">
        <f>(SUM($D$118:AE118)*$C$109)</f>
        <v>39130433.309980333</v>
      </c>
      <c r="AF122" s="72">
        <f>(SUM($D$118:AF118)*$C$109)</f>
        <v>40527948.785336778</v>
      </c>
      <c r="AG122" s="72">
        <f>(SUM($D$118:AG118)*$C$109)</f>
        <v>41925464.260693222</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152</v>
      </c>
      <c r="B126" s="77" t="s">
        <v>133</v>
      </c>
      <c r="C126" s="126">
        <v>41508</v>
      </c>
      <c r="D126" s="140"/>
    </row>
    <row r="127" spans="1:33" x14ac:dyDescent="0.35">
      <c r="A127" s="77" t="s">
        <v>151</v>
      </c>
      <c r="B127" s="77" t="s">
        <v>134</v>
      </c>
      <c r="C127" s="126">
        <v>39485</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40496.5</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156</v>
      </c>
      <c r="B133" s="77" t="s">
        <v>157</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14998.703703703703</v>
      </c>
      <c r="D135" s="157">
        <f t="shared" ref="D135:AG135" si="14">$C$135*D13</f>
        <v>15592.905007332423</v>
      </c>
      <c r="E135" s="157">
        <f t="shared" si="14"/>
        <v>16210.646691263935</v>
      </c>
      <c r="F135" s="157">
        <f t="shared" si="14"/>
        <v>16852.861351070507</v>
      </c>
      <c r="G135" s="157">
        <f t="shared" si="14"/>
        <v>17520.518528817633</v>
      </c>
      <c r="H135" s="157">
        <f t="shared" si="14"/>
        <v>18214.626176767488</v>
      </c>
      <c r="I135" s="157">
        <f t="shared" si="14"/>
        <v>18936.232179069702</v>
      </c>
      <c r="J135" s="157">
        <f t="shared" si="14"/>
        <v>19686.425933736708</v>
      </c>
      <c r="K135" s="157">
        <f t="shared" si="14"/>
        <v>20466.339997291947</v>
      </c>
      <c r="L135" s="157">
        <f t="shared" si="14"/>
        <v>21277.151794573903</v>
      </c>
      <c r="M135" s="157">
        <f t="shared" si="14"/>
        <v>22120.085396277096</v>
      </c>
      <c r="N135" s="157">
        <f t="shared" si="14"/>
        <v>22996.413366913705</v>
      </c>
      <c r="O135" s="157">
        <f t="shared" si="14"/>
        <v>23907.458685985566</v>
      </c>
      <c r="P135" s="157">
        <f t="shared" si="14"/>
        <v>24854.596745266947</v>
      </c>
      <c r="Q135" s="157">
        <f t="shared" si="14"/>
        <v>25839.257425213364</v>
      </c>
      <c r="R135" s="157">
        <f t="shared" si="14"/>
        <v>26862.927253631176</v>
      </c>
      <c r="S135" s="157">
        <f t="shared" si="14"/>
        <v>27927.151649866799</v>
      </c>
      <c r="T135" s="157">
        <f t="shared" si="14"/>
        <v>29033.537257903725</v>
      </c>
      <c r="U135" s="157">
        <f t="shared" si="14"/>
        <v>30183.754371889336</v>
      </c>
      <c r="V135" s="157">
        <f t="shared" si="14"/>
        <v>31379.539457753588</v>
      </c>
      <c r="W135" s="157">
        <f t="shared" si="14"/>
        <v>32622.697774726115</v>
      </c>
      <c r="X135" s="157">
        <f t="shared" si="14"/>
        <v>33915.106100709738</v>
      </c>
      <c r="Y135" s="157">
        <f t="shared" si="14"/>
        <v>35258.715565624479</v>
      </c>
      <c r="Z135" s="157">
        <f t="shared" si="14"/>
        <v>36655.554596999893</v>
      </c>
      <c r="AA135" s="157">
        <f t="shared" si="14"/>
        <v>38107.731982262376</v>
      </c>
      <c r="AB135" s="157">
        <f t="shared" si="14"/>
        <v>39617.440052340637</v>
      </c>
      <c r="AC135" s="157">
        <f t="shared" si="14"/>
        <v>41186.957991395626</v>
      </c>
      <c r="AD135" s="157">
        <f t="shared" si="14"/>
        <v>42818.65527767146</v>
      </c>
      <c r="AE135" s="157">
        <f t="shared" si="14"/>
        <v>44514.995260662014</v>
      </c>
      <c r="AF135" s="157">
        <f t="shared" si="14"/>
        <v>46278.538879993604</v>
      </c>
      <c r="AG135" s="157">
        <f t="shared" si="14"/>
        <v>48111.948531637972</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0.4</v>
      </c>
      <c r="F4" s="65">
        <v>0.2</v>
      </c>
      <c r="G4" s="65">
        <v>0.2</v>
      </c>
      <c r="H4" s="65">
        <v>0.12</v>
      </c>
      <c r="I4" s="65">
        <v>0.12</v>
      </c>
      <c r="J4" s="65">
        <v>0.1</v>
      </c>
      <c r="K4" s="65">
        <v>0.06</v>
      </c>
      <c r="L4" s="65">
        <v>0.05</v>
      </c>
      <c r="M4" s="65">
        <v>0.03</v>
      </c>
      <c r="N4" s="65">
        <v>0.03</v>
      </c>
      <c r="O4" s="65">
        <v>2.1999999999999999E-2</v>
      </c>
      <c r="P4" s="65">
        <v>2.1999999999999999E-2</v>
      </c>
      <c r="Q4" s="65">
        <v>2.1999999999999999E-2</v>
      </c>
      <c r="R4" s="65">
        <v>2.1999999999999999E-2</v>
      </c>
      <c r="S4" s="65">
        <v>2.1999999999999999E-2</v>
      </c>
      <c r="T4" s="65">
        <v>2.1999999999999999E-2</v>
      </c>
      <c r="U4" s="65">
        <v>0.02</v>
      </c>
      <c r="V4" s="65">
        <v>0.02</v>
      </c>
      <c r="W4" s="65">
        <v>0.02</v>
      </c>
      <c r="X4" s="65">
        <v>0.02</v>
      </c>
      <c r="Y4" s="65">
        <v>0.02</v>
      </c>
      <c r="Z4" s="65">
        <v>0.01</v>
      </c>
      <c r="AA4" s="65">
        <v>0.01</v>
      </c>
      <c r="AB4" s="65">
        <v>0.01</v>
      </c>
      <c r="AC4" s="65">
        <v>0.01</v>
      </c>
      <c r="AD4" s="65">
        <v>0.01</v>
      </c>
      <c r="AE4" s="65">
        <v>0.01</v>
      </c>
      <c r="AF4" s="65">
        <v>0.01</v>
      </c>
      <c r="AG4" s="65">
        <v>0.01</v>
      </c>
      <c r="AH4" s="65">
        <v>0.01</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2.5012114280563722</v>
      </c>
      <c r="C6" s="25"/>
      <c r="D6" s="25"/>
      <c r="E6" s="27">
        <f>'Debt worksheet'!C5/'Profit and Loss'!C5</f>
        <v>1.4303150559971964</v>
      </c>
      <c r="F6" s="28">
        <f ca="1">'Debt worksheet'!D5/'Profit and Loss'!D5</f>
        <v>2.0235130880819598</v>
      </c>
      <c r="G6" s="28">
        <f ca="1">'Debt worksheet'!E5/'Profit and Loss'!E5</f>
        <v>2.2810881031111774</v>
      </c>
      <c r="H6" s="28">
        <f ca="1">'Debt worksheet'!F5/'Profit and Loss'!F5</f>
        <v>2.4549009939063557</v>
      </c>
      <c r="I6" s="28">
        <f ca="1">'Debt worksheet'!G5/'Profit and Loss'!G5</f>
        <v>2.5012114280563722</v>
      </c>
      <c r="J6" s="28">
        <f ca="1">'Debt worksheet'!H5/'Profit and Loss'!H5</f>
        <v>2.4859717577844118</v>
      </c>
      <c r="K6" s="28">
        <f ca="1">'Debt worksheet'!I5/'Profit and Loss'!I5</f>
        <v>2.4859886127892992</v>
      </c>
      <c r="L6" s="28">
        <f ca="1">'Debt worksheet'!J5/'Profit and Loss'!J5</f>
        <v>2.4724140260043828</v>
      </c>
      <c r="M6" s="28">
        <f ca="1">'Debt worksheet'!K5/'Profit and Loss'!K5</f>
        <v>2.4794757531746123</v>
      </c>
      <c r="N6" s="28">
        <f ca="1">'Debt worksheet'!L5/'Profit and Loss'!L5</f>
        <v>2.4781805438444295</v>
      </c>
      <c r="O6" s="28">
        <f ca="1">'Debt worksheet'!M5/'Profit and Loss'!M5</f>
        <v>2.4872688803426146</v>
      </c>
      <c r="P6" s="28">
        <f ca="1">'Debt worksheet'!N5/'Profit and Loss'!N5</f>
        <v>2.4944224258748258</v>
      </c>
      <c r="Q6" s="28">
        <f ca="1">'Debt worksheet'!O5/'Profit and Loss'!O5</f>
        <v>2.4988938817113042</v>
      </c>
      <c r="R6" s="28">
        <f ca="1">'Debt worksheet'!P5/'Profit and Loss'!P5</f>
        <v>2.5000108100326783</v>
      </c>
      <c r="S6" s="28">
        <f ca="1">'Debt worksheet'!Q5/'Profit and Loss'!Q5</f>
        <v>2.4971708046100973</v>
      </c>
      <c r="T6" s="28">
        <f ca="1">'Debt worksheet'!R5/'Profit and Loss'!R5</f>
        <v>2.4898369220966585</v>
      </c>
      <c r="U6" s="28">
        <f ca="1">'Debt worksheet'!S5/'Profit and Loss'!S5</f>
        <v>2.4823912696902046</v>
      </c>
      <c r="V6" s="28">
        <f ca="1">'Debt worksheet'!T5/'Profit and Loss'!T5</f>
        <v>2.4714134190918275</v>
      </c>
      <c r="W6" s="28">
        <f ca="1">'Debt worksheet'!U5/'Profit and Loss'!U5</f>
        <v>2.456463859055761</v>
      </c>
      <c r="X6" s="28">
        <f ca="1">'Debt worksheet'!V5/'Profit and Loss'!V5</f>
        <v>2.4371509209201299</v>
      </c>
      <c r="Y6" s="28">
        <f ca="1">'Debt worksheet'!W5/'Profit and Loss'!W5</f>
        <v>2.4131277528601727</v>
      </c>
      <c r="Z6" s="28">
        <f ca="1">'Debt worksheet'!X5/'Profit and Loss'!X5</f>
        <v>2.4076942970674899</v>
      </c>
      <c r="AA6" s="28">
        <f ca="1">'Debt worksheet'!Y5/'Profit and Loss'!Y5</f>
        <v>2.4063021893599501</v>
      </c>
      <c r="AB6" s="28">
        <f ca="1">'Debt worksheet'!Z5/'Profit and Loss'!Z5</f>
        <v>2.4085181256986581</v>
      </c>
      <c r="AC6" s="28">
        <f ca="1">'Debt worksheet'!AA5/'Profit and Loss'!AA5</f>
        <v>2.4139331526743617</v>
      </c>
      <c r="AD6" s="28">
        <f ca="1">'Debt worksheet'!AB5/'Profit and Loss'!AB5</f>
        <v>2.4221617076813158</v>
      </c>
      <c r="AE6" s="28">
        <f ca="1">'Debt worksheet'!AC5/'Profit and Loss'!AC5</f>
        <v>2.4328406927332917</v>
      </c>
      <c r="AF6" s="28">
        <f ca="1">'Debt worksheet'!AD5/'Profit and Loss'!AD5</f>
        <v>2.4456285808230764</v>
      </c>
      <c r="AG6" s="28">
        <f ca="1">'Debt worksheet'!AE5/'Profit and Loss'!AE5</f>
        <v>2.4602045537613928</v>
      </c>
      <c r="AH6" s="28">
        <f ca="1">'Debt worksheet'!AF5/'Profit and Loss'!AF5</f>
        <v>2.476267670464718</v>
      </c>
      <c r="AI6" s="31"/>
    </row>
    <row r="7" spans="1:35" ht="21" x14ac:dyDescent="0.5">
      <c r="A7" s="19" t="s">
        <v>38</v>
      </c>
      <c r="B7" s="26">
        <f ca="1">MIN('Price and Financial ratios'!E7:AH7)</f>
        <v>0.18079944687664073</v>
      </c>
      <c r="C7" s="26"/>
      <c r="D7" s="26"/>
      <c r="E7" s="56">
        <f ca="1">'Cash Flow'!C7/'Debt worksheet'!C5</f>
        <v>0.30078026022572263</v>
      </c>
      <c r="F7" s="32">
        <f ca="1">'Cash Flow'!D7/'Debt worksheet'!D5</f>
        <v>0.22853432000863194</v>
      </c>
      <c r="G7" s="32">
        <f ca="1">'Cash Flow'!E7/'Debt worksheet'!E5</f>
        <v>0.22139529862601984</v>
      </c>
      <c r="H7" s="32">
        <f ca="1">'Cash Flow'!F7/'Debt worksheet'!F5</f>
        <v>0.21152077950210094</v>
      </c>
      <c r="I7" s="32">
        <f ca="1">'Cash Flow'!G7/'Debt worksheet'!G5</f>
        <v>0.21565145618761591</v>
      </c>
      <c r="J7" s="32">
        <f ca="1">'Cash Flow'!H7/'Debt worksheet'!H5</f>
        <v>0.22343669601349375</v>
      </c>
      <c r="K7" s="32">
        <f ca="1">'Cash Flow'!I7/'Debt worksheet'!I5</f>
        <v>0.22437002304393658</v>
      </c>
      <c r="L7" s="32">
        <f ca="1">'Cash Flow'!J7/'Debt worksheet'!J5</f>
        <v>0.2258096708670182</v>
      </c>
      <c r="M7" s="17">
        <f ca="1">'Cash Flow'!K7/'Debt worksheet'!K5</f>
        <v>0.22253327333272638</v>
      </c>
      <c r="N7" s="17">
        <f ca="1">'Cash Flow'!L7/'Debt worksheet'!L5</f>
        <v>0.22054890433633864</v>
      </c>
      <c r="O7" s="17">
        <f ca="1">'Cash Flow'!M7/'Debt worksheet'!M5</f>
        <v>0.21660598011714804</v>
      </c>
      <c r="P7" s="17">
        <f ca="1">'Cash Flow'!N7/'Debt worksheet'!N5</f>
        <v>0.21320253916870729</v>
      </c>
      <c r="Q7" s="17">
        <f ca="1">'Cash Flow'!O7/'Debt worksheet'!O5</f>
        <v>0.21038006582484051</v>
      </c>
      <c r="R7" s="17">
        <f ca="1">'Cash Flow'!P7/'Debt worksheet'!P5</f>
        <v>0.20817342117281634</v>
      </c>
      <c r="S7" s="17">
        <f ca="1">'Cash Flow'!Q7/'Debt worksheet'!Q5</f>
        <v>0.20661376308133234</v>
      </c>
      <c r="T7" s="17">
        <f ca="1">'Cash Flow'!R7/'Debt worksheet'!R5</f>
        <v>0.20573123674588872</v>
      </c>
      <c r="U7" s="17">
        <f ca="1">'Cash Flow'!S7/'Debt worksheet'!S5</f>
        <v>0.20473896854894441</v>
      </c>
      <c r="V7" s="17">
        <f ca="1">'Cash Flow'!T7/'Debt worksheet'!T5</f>
        <v>0.20429425922935171</v>
      </c>
      <c r="W7" s="17">
        <f ca="1">'Cash Flow'!U7/'Debt worksheet'!U5</f>
        <v>0.20443232926978952</v>
      </c>
      <c r="X7" s="17">
        <f ca="1">'Cash Flow'!V7/'Debt worksheet'!V5</f>
        <v>0.20519069497812711</v>
      </c>
      <c r="Y7" s="17">
        <f ca="1">'Cash Flow'!W7/'Debt worksheet'!W5</f>
        <v>0.20661112042309207</v>
      </c>
      <c r="Z7" s="17">
        <f ca="1">'Cash Flow'!X7/'Debt worksheet'!X5</f>
        <v>0.20448033129182497</v>
      </c>
      <c r="AA7" s="17">
        <f ca="1">'Cash Flow'!Y7/'Debt worksheet'!Y5</f>
        <v>0.20206264298830551</v>
      </c>
      <c r="AB7" s="17">
        <f ca="1">'Cash Flow'!Z7/'Debt worksheet'!Z5</f>
        <v>0.19940571148872385</v>
      </c>
      <c r="AC7" s="17">
        <f ca="1">'Cash Flow'!AA7/'Debt worksheet'!AA5</f>
        <v>0.19655538435471631</v>
      </c>
      <c r="AD7" s="17">
        <f ca="1">'Cash Flow'!AB7/'Debt worksheet'!AB5</f>
        <v>0.19355491229132227</v>
      </c>
      <c r="AE7" s="17">
        <f ca="1">'Cash Flow'!AC7/'Debt worksheet'!AC5</f>
        <v>0.19044438281681111</v>
      </c>
      <c r="AF7" s="17">
        <f ca="1">'Cash Flow'!AD7/'Debt worksheet'!AD5</f>
        <v>0.18726035673938735</v>
      </c>
      <c r="AG7" s="17">
        <f ca="1">'Cash Flow'!AE7/'Debt worksheet'!AE5</f>
        <v>0.18403568086610861</v>
      </c>
      <c r="AH7" s="17">
        <f ca="1">'Cash Flow'!AF7/'Debt worksheet'!AF5</f>
        <v>0.18079944687664073</v>
      </c>
      <c r="AI7" s="29"/>
    </row>
    <row r="8" spans="1:35" ht="21" x14ac:dyDescent="0.5">
      <c r="A8" s="19" t="s">
        <v>33</v>
      </c>
      <c r="B8" s="26">
        <f ca="1">MAX('Price and Financial ratios'!E8:AH8)</f>
        <v>0.41311971744469855</v>
      </c>
      <c r="C8" s="26"/>
      <c r="D8" s="176"/>
      <c r="E8" s="17">
        <f>'Balance Sheet'!B11/'Balance Sheet'!B8</f>
        <v>0.14895097138195532</v>
      </c>
      <c r="F8" s="17">
        <f ca="1">'Balance Sheet'!C11/'Balance Sheet'!C8</f>
        <v>0.26123282605622816</v>
      </c>
      <c r="G8" s="17">
        <f ca="1">'Balance Sheet'!D11/'Balance Sheet'!D8</f>
        <v>0.32707202225630888</v>
      </c>
      <c r="H8" s="17">
        <f ca="1">'Balance Sheet'!E11/'Balance Sheet'!E8</f>
        <v>0.36819270909770935</v>
      </c>
      <c r="I8" s="17">
        <f ca="1">'Balance Sheet'!F11/'Balance Sheet'!F8</f>
        <v>0.39536131169229022</v>
      </c>
      <c r="J8" s="17">
        <f ca="1">'Balance Sheet'!G11/'Balance Sheet'!G8</f>
        <v>0.40932845424762365</v>
      </c>
      <c r="K8" s="17">
        <f ca="1">'Balance Sheet'!H11/'Balance Sheet'!H8</f>
        <v>0.41311971744469855</v>
      </c>
      <c r="L8" s="17">
        <f ca="1">'Balance Sheet'!I11/'Balance Sheet'!I8</f>
        <v>0.41268567579552623</v>
      </c>
      <c r="M8" s="17">
        <f ca="1">'Balance Sheet'!J11/'Balance Sheet'!J8</f>
        <v>0.4094541483976552</v>
      </c>
      <c r="N8" s="17">
        <f ca="1">'Balance Sheet'!K11/'Balance Sheet'!K8</f>
        <v>0.40634056698777377</v>
      </c>
      <c r="O8" s="17">
        <f ca="1">'Balance Sheet'!L11/'Balance Sheet'!L8</f>
        <v>0.40308108928725372</v>
      </c>
      <c r="P8" s="17">
        <f ca="1">'Balance Sheet'!M11/'Balance Sheet'!M8</f>
        <v>0.40067247672893935</v>
      </c>
      <c r="Q8" s="17">
        <f ca="1">'Balance Sheet'!N11/'Balance Sheet'!N8</f>
        <v>0.39886635963337924</v>
      </c>
      <c r="R8" s="17">
        <f ca="1">'Balance Sheet'!O11/'Balance Sheet'!O8</f>
        <v>0.39745037863686183</v>
      </c>
      <c r="S8" s="17">
        <f ca="1">'Balance Sheet'!P11/'Balance Sheet'!P8</f>
        <v>0.3962397215029213</v>
      </c>
      <c r="T8" s="17">
        <f ca="1">'Balance Sheet'!Q11/'Balance Sheet'!Q8</f>
        <v>0.39507080509860748</v>
      </c>
      <c r="U8" s="17">
        <f ca="1">'Balance Sheet'!R11/'Balance Sheet'!R8</f>
        <v>0.3937964891342921</v>
      </c>
      <c r="V8" s="17">
        <f ca="1">'Balance Sheet'!S11/'Balance Sheet'!S8</f>
        <v>0.39258678292769184</v>
      </c>
      <c r="W8" s="17">
        <f ca="1">'Balance Sheet'!T11/'Balance Sheet'!T8</f>
        <v>0.3913134496302304</v>
      </c>
      <c r="X8" s="17">
        <f ca="1">'Balance Sheet'!U11/'Balance Sheet'!U8</f>
        <v>0.38985844570800016</v>
      </c>
      <c r="Y8" s="17">
        <f ca="1">'Balance Sheet'!V11/'Balance Sheet'!V8</f>
        <v>0.38811178755955467</v>
      </c>
      <c r="Z8" s="17">
        <f ca="1">'Balance Sheet'!W11/'Balance Sheet'!W8</f>
        <v>0.38596984150974994</v>
      </c>
      <c r="AA8" s="17">
        <f ca="1">'Balance Sheet'!X11/'Balance Sheet'!X8</f>
        <v>0.38489691060665077</v>
      </c>
      <c r="AB8" s="17">
        <f ca="1">'Balance Sheet'!Y11/'Balance Sheet'!Y8</f>
        <v>0.38478754005988841</v>
      </c>
      <c r="AC8" s="17">
        <f ca="1">'Balance Sheet'!Z11/'Balance Sheet'!Z8</f>
        <v>0.38554815325444752</v>
      </c>
      <c r="AD8" s="17">
        <f ca="1">'Balance Sheet'!AA11/'Balance Sheet'!AA8</f>
        <v>0.38709526876200956</v>
      </c>
      <c r="AE8" s="17">
        <f ca="1">'Balance Sheet'!AB11/'Balance Sheet'!AB8</f>
        <v>0.3893540293286985</v>
      </c>
      <c r="AF8" s="17">
        <f ca="1">'Balance Sheet'!AC11/'Balance Sheet'!AC8</f>
        <v>0.39225698143531351</v>
      </c>
      <c r="AG8" s="17">
        <f ca="1">'Balance Sheet'!AD11/'Balance Sheet'!AD8</f>
        <v>0.39574305748835054</v>
      </c>
      <c r="AH8" s="17">
        <f ca="1">'Balance Sheet'!AE11/'Balance Sheet'!AE8</f>
        <v>0.39975672293151254</v>
      </c>
      <c r="AI8" s="29"/>
    </row>
    <row r="9" spans="1:35" ht="21.5" thickBot="1" x14ac:dyDescent="0.55000000000000004">
      <c r="A9" s="20" t="s">
        <v>32</v>
      </c>
      <c r="B9" s="21">
        <f ca="1">MIN('Price and Financial ratios'!E9:AH9)</f>
        <v>5.6429369892064942</v>
      </c>
      <c r="C9" s="21"/>
      <c r="D9" s="177"/>
      <c r="E9" s="21">
        <f ca="1">('Cash Flow'!C7+'Profit and Loss'!C8)/('Profit and Loss'!C8)</f>
        <v>5.8691418348499829</v>
      </c>
      <c r="F9" s="21">
        <f ca="1">('Cash Flow'!D7+'Profit and Loss'!D8)/('Profit and Loss'!D8)</f>
        <v>5.6429369892064942</v>
      </c>
      <c r="G9" s="21">
        <f ca="1">('Cash Flow'!E7+'Profit and Loss'!E8)/('Profit and Loss'!E8)</f>
        <v>6.0479738642771137</v>
      </c>
      <c r="H9" s="21">
        <f ca="1">('Cash Flow'!F7+'Profit and Loss'!F8)/('Profit and Loss'!F8)</f>
        <v>6.0942146602665623</v>
      </c>
      <c r="I9" s="21">
        <f ca="1">('Cash Flow'!G7+'Profit and Loss'!G8)/('Profit and Loss'!G8)</f>
        <v>6.4209146811723263</v>
      </c>
      <c r="J9" s="21">
        <f ca="1">('Cash Flow'!H7+'Profit and Loss'!H8)/('Profit and Loss'!H8)</f>
        <v>6.7930108149997324</v>
      </c>
      <c r="K9" s="21">
        <f ca="1">('Cash Flow'!I7+'Profit and Loss'!I8)/('Profit and Loss'!I8)</f>
        <v>6.9048941658111671</v>
      </c>
      <c r="L9" s="21">
        <f ca="1">('Cash Flow'!J7+'Profit and Loss'!J8)/('Profit and Loss'!J8)</f>
        <v>7.0079359540359372</v>
      </c>
      <c r="M9" s="21">
        <f ca="1">('Cash Flow'!K7+'Profit and Loss'!K8)/('Profit and Loss'!K8)</f>
        <v>6.9407777107253059</v>
      </c>
      <c r="N9" s="21">
        <f ca="1">('Cash Flow'!L7+'Profit and Loss'!L8)/('Profit and Loss'!L8)</f>
        <v>6.909120739891967</v>
      </c>
      <c r="O9" s="21">
        <f ca="1">('Cash Flow'!M7+'Profit and Loss'!M8)/('Profit and Loss'!M8)</f>
        <v>6.8080577899172496</v>
      </c>
      <c r="P9" s="21">
        <f ca="1">('Cash Flow'!N7+'Profit and Loss'!N8)/('Profit and Loss'!N8)</f>
        <v>6.7229811283075769</v>
      </c>
      <c r="Q9" s="21">
        <f ca="1">('Cash Flow'!O7+'Profit and Loss'!O8)/('Profit and Loss'!O8)</f>
        <v>6.6548132420000536</v>
      </c>
      <c r="R9" s="21">
        <f ca="1">('Cash Flow'!P7+'Profit and Loss'!P8)/('Profit and Loss'!P8)</f>
        <v>6.6043683251497116</v>
      </c>
      <c r="S9" s="21">
        <f ca="1">('Cash Flow'!Q7+'Profit and Loss'!Q8)/('Profit and Loss'!Q8)</f>
        <v>6.5724264640408636</v>
      </c>
      <c r="T9" s="21">
        <f ca="1">('Cash Flow'!R7+'Profit and Loss'!R8)/('Profit and Loss'!R8)</f>
        <v>6.5598027118628357</v>
      </c>
      <c r="U9" s="21">
        <f ca="1">('Cash Flow'!S7+'Profit and Loss'!S8)/('Profit and Loss'!S8)</f>
        <v>6.5409447832378378</v>
      </c>
      <c r="V9" s="21">
        <f ca="1">('Cash Flow'!T7+'Profit and Loss'!T8)/('Profit and Loss'!T8)</f>
        <v>6.5379580415217324</v>
      </c>
      <c r="W9" s="21">
        <f ca="1">('Cash Flow'!U7+'Profit and Loss'!U8)/('Profit and Loss'!U8)</f>
        <v>6.551828073842219</v>
      </c>
      <c r="X9" s="21">
        <f ca="1">('Cash Flow'!V7+'Profit and Loss'!V8)/('Profit and Loss'!V8)</f>
        <v>6.58365078103673</v>
      </c>
      <c r="Y9" s="21">
        <f ca="1">('Cash Flow'!W7+'Profit and Loss'!W8)/('Profit and Loss'!W8)</f>
        <v>6.6346888313943326</v>
      </c>
      <c r="Z9" s="21">
        <f ca="1">('Cash Flow'!X7+'Profit and Loss'!X8)/('Profit and Loss'!X8)</f>
        <v>6.5672406236765823</v>
      </c>
      <c r="AA9" s="21">
        <f ca="1">('Cash Flow'!Y7+'Profit and Loss'!Y8)/('Profit and Loss'!Y8)</f>
        <v>6.4931764686823676</v>
      </c>
      <c r="AB9" s="21">
        <f ca="1">('Cash Flow'!Z7+'Profit and Loss'!Z8)/('Profit and Loss'!Z8)</f>
        <v>6.4137668402908687</v>
      </c>
      <c r="AC9" s="21">
        <f ca="1">('Cash Flow'!AA7+'Profit and Loss'!AA8)/('Profit and Loss'!AA8)</f>
        <v>6.3302100649279103</v>
      </c>
      <c r="AD9" s="21">
        <f ca="1">('Cash Flow'!AB7+'Profit and Loss'!AB8)/('Profit and Loss'!AB8)</f>
        <v>6.2436166649558373</v>
      </c>
      <c r="AE9" s="21">
        <f ca="1">('Cash Flow'!AC7+'Profit and Loss'!AC8)/('Profit and Loss'!AC8)</f>
        <v>6.1549993207795852</v>
      </c>
      <c r="AF9" s="21">
        <f ca="1">('Cash Flow'!AD7+'Profit and Loss'!AD8)/('Profit and Loss'!AD8)</f>
        <v>6.065267714031175</v>
      </c>
      <c r="AG9" s="21">
        <f ca="1">('Cash Flow'!AE7+'Profit and Loss'!AE8)/('Profit and Loss'!AE8)</f>
        <v>5.9752274178432803</v>
      </c>
      <c r="AH9" s="21">
        <f ca="1">('Cash Flow'!AF7+'Profit and Loss'!AF8)/('Profit and Loss'!AF8)</f>
        <v>5.8855819868839072</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11713862.473841939</v>
      </c>
      <c r="D5" s="1">
        <f>Assumptions!E111</f>
        <v>11713862.473841939</v>
      </c>
      <c r="E5" s="1">
        <f>Assumptions!F111</f>
        <v>11713862.473841939</v>
      </c>
      <c r="F5" s="1">
        <f>Assumptions!G111</f>
        <v>11713862.473841939</v>
      </c>
      <c r="G5" s="1">
        <f>Assumptions!H111</f>
        <v>11713862.473841939</v>
      </c>
      <c r="H5" s="1">
        <f>Assumptions!I111</f>
        <v>11713862.473841939</v>
      </c>
      <c r="I5" s="1">
        <f>Assumptions!J111</f>
        <v>11713862.473841939</v>
      </c>
      <c r="J5" s="1">
        <f>Assumptions!K111</f>
        <v>11713862.473841939</v>
      </c>
      <c r="K5" s="1">
        <f>Assumptions!L111</f>
        <v>11713862.473841939</v>
      </c>
      <c r="L5" s="1">
        <f>Assumptions!M111</f>
        <v>11713862.473841939</v>
      </c>
      <c r="M5" s="1">
        <f>Assumptions!N111</f>
        <v>11713862.473841939</v>
      </c>
      <c r="N5" s="1">
        <f>Assumptions!O111</f>
        <v>11713862.473841939</v>
      </c>
      <c r="O5" s="1">
        <f>Assumptions!P111</f>
        <v>11713862.473841939</v>
      </c>
      <c r="P5" s="1">
        <f>Assumptions!Q111</f>
        <v>11713862.473841939</v>
      </c>
      <c r="Q5" s="1">
        <f>Assumptions!R111</f>
        <v>11713862.473841939</v>
      </c>
      <c r="R5" s="1">
        <f>Assumptions!S111</f>
        <v>11713862.473841939</v>
      </c>
      <c r="S5" s="1">
        <f>Assumptions!T111</f>
        <v>11713862.473841939</v>
      </c>
      <c r="T5" s="1">
        <f>Assumptions!U111</f>
        <v>11713862.473841939</v>
      </c>
      <c r="U5" s="1">
        <f>Assumptions!V111</f>
        <v>11713862.473841939</v>
      </c>
      <c r="V5" s="1">
        <f>Assumptions!W111</f>
        <v>11713862.473841939</v>
      </c>
      <c r="W5" s="1">
        <f>Assumptions!X111</f>
        <v>11713862.473841939</v>
      </c>
      <c r="X5" s="1">
        <f>Assumptions!Y111</f>
        <v>11713862.473841939</v>
      </c>
      <c r="Y5" s="1">
        <f>Assumptions!Z111</f>
        <v>11713862.473841939</v>
      </c>
      <c r="Z5" s="1">
        <f>Assumptions!AA111</f>
        <v>11713862.473841939</v>
      </c>
      <c r="AA5" s="1">
        <f>Assumptions!AB111</f>
        <v>11713862.473841939</v>
      </c>
      <c r="AB5" s="1">
        <f>Assumptions!AC111</f>
        <v>11713862.473841939</v>
      </c>
      <c r="AC5" s="1">
        <f>Assumptions!AD111</f>
        <v>11713862.473841939</v>
      </c>
      <c r="AD5" s="1">
        <f>Assumptions!AE111</f>
        <v>11713862.473841939</v>
      </c>
      <c r="AE5" s="1">
        <f>Assumptions!AF111</f>
        <v>11713862.473841939</v>
      </c>
      <c r="AF5" s="1">
        <f>Assumptions!AG111</f>
        <v>11713862.473841939</v>
      </c>
    </row>
    <row r="6" spans="1:32" x14ac:dyDescent="0.35">
      <c r="A6" t="s">
        <v>68</v>
      </c>
      <c r="C6" s="1">
        <f>Assumptions!D113</f>
        <v>46583849.178548016</v>
      </c>
      <c r="D6" s="1">
        <f>Assumptions!E113</f>
        <v>46583849.178548016</v>
      </c>
      <c r="E6" s="1">
        <f>Assumptions!F113</f>
        <v>46583849.178548016</v>
      </c>
      <c r="F6" s="1">
        <f>Assumptions!G113</f>
        <v>46583849.178548016</v>
      </c>
      <c r="G6" s="1">
        <f>Assumptions!H113</f>
        <v>46583849.178548016</v>
      </c>
      <c r="H6" s="1">
        <f>Assumptions!I113</f>
        <v>46583849.178548016</v>
      </c>
      <c r="I6" s="1">
        <f>Assumptions!J113</f>
        <v>46583849.178548016</v>
      </c>
      <c r="J6" s="1">
        <f>Assumptions!K113</f>
        <v>46583849.178548016</v>
      </c>
      <c r="K6" s="1">
        <f>Assumptions!L113</f>
        <v>46583849.178548016</v>
      </c>
      <c r="L6" s="1">
        <f>Assumptions!M113</f>
        <v>46583849.178548016</v>
      </c>
      <c r="M6" s="1">
        <f>Assumptions!N113</f>
        <v>46583849.178548016</v>
      </c>
      <c r="N6" s="1">
        <f>Assumptions!O113</f>
        <v>46583849.178548016</v>
      </c>
      <c r="O6" s="1">
        <f>Assumptions!P113</f>
        <v>46583849.178548016</v>
      </c>
      <c r="P6" s="1">
        <f>Assumptions!Q113</f>
        <v>46583849.178548016</v>
      </c>
      <c r="Q6" s="1">
        <f>Assumptions!R113</f>
        <v>46583849.178548016</v>
      </c>
      <c r="R6" s="1">
        <f>Assumptions!S113</f>
        <v>46583849.178548016</v>
      </c>
      <c r="S6" s="1">
        <f>Assumptions!T113</f>
        <v>46583849.178548016</v>
      </c>
      <c r="T6" s="1">
        <f>Assumptions!U113</f>
        <v>46583849.178548016</v>
      </c>
      <c r="U6" s="1">
        <f>Assumptions!V113</f>
        <v>46583849.178548016</v>
      </c>
      <c r="V6" s="1">
        <f>Assumptions!W113</f>
        <v>46583849.178548016</v>
      </c>
      <c r="W6" s="1">
        <f>Assumptions!X113</f>
        <v>46583849.178548016</v>
      </c>
      <c r="X6" s="1">
        <f>Assumptions!Y113</f>
        <v>46583849.178548016</v>
      </c>
      <c r="Y6" s="1">
        <f>Assumptions!Z113</f>
        <v>46583849.178548016</v>
      </c>
      <c r="Z6" s="1">
        <f>Assumptions!AA113</f>
        <v>46583849.178548016</v>
      </c>
      <c r="AA6" s="1">
        <f>Assumptions!AB113</f>
        <v>46583849.178548016</v>
      </c>
      <c r="AB6" s="1">
        <f>Assumptions!AC113</f>
        <v>46583849.178548016</v>
      </c>
      <c r="AC6" s="1">
        <f>Assumptions!AD113</f>
        <v>46583849.178548016</v>
      </c>
      <c r="AD6" s="1">
        <f>Assumptions!AE113</f>
        <v>46583849.178548016</v>
      </c>
      <c r="AE6" s="1">
        <f>Assumptions!AF113</f>
        <v>46583849.178548016</v>
      </c>
      <c r="AF6" s="1">
        <f>Assumptions!AG113</f>
        <v>46583849.178548016</v>
      </c>
    </row>
    <row r="7" spans="1:32" x14ac:dyDescent="0.35">
      <c r="A7" t="s">
        <v>73</v>
      </c>
      <c r="C7" s="1">
        <f>Assumptions!D120</f>
        <v>1118012.3802851522</v>
      </c>
      <c r="D7" s="1">
        <f>Assumptions!E120</f>
        <v>2236024.7605703045</v>
      </c>
      <c r="E7" s="1">
        <f>Assumptions!F120</f>
        <v>3354037.1408554572</v>
      </c>
      <c r="F7" s="1">
        <f>Assumptions!G120</f>
        <v>4472049.5211406089</v>
      </c>
      <c r="G7" s="1">
        <f>Assumptions!H120</f>
        <v>5590061.9014257612</v>
      </c>
      <c r="H7" s="1">
        <f>Assumptions!I120</f>
        <v>6708074.2817109143</v>
      </c>
      <c r="I7" s="1">
        <f>Assumptions!J120</f>
        <v>7826086.6619960684</v>
      </c>
      <c r="J7" s="1">
        <f>Assumptions!K120</f>
        <v>8944099.0422812216</v>
      </c>
      <c r="K7" s="1">
        <f>Assumptions!L120</f>
        <v>10062111.422566373</v>
      </c>
      <c r="L7" s="1">
        <f>Assumptions!M120</f>
        <v>11180123.802851526</v>
      </c>
      <c r="M7" s="1">
        <f>Assumptions!N120</f>
        <v>12298136.183136677</v>
      </c>
      <c r="N7" s="1">
        <f>Assumptions!O120</f>
        <v>13416148.563421831</v>
      </c>
      <c r="O7" s="1">
        <f>Assumptions!P120</f>
        <v>14534160.943706982</v>
      </c>
      <c r="P7" s="1">
        <f>Assumptions!Q120</f>
        <v>15652173.323992137</v>
      </c>
      <c r="Q7" s="1">
        <f>Assumptions!R120</f>
        <v>16770185.704277288</v>
      </c>
      <c r="R7" s="1">
        <f>Assumptions!S120</f>
        <v>17888198.084562436</v>
      </c>
      <c r="S7" s="1">
        <f>Assumptions!T120</f>
        <v>19006210.464847587</v>
      </c>
      <c r="T7" s="1">
        <f>Assumptions!U120</f>
        <v>20124222.845132738</v>
      </c>
      <c r="U7" s="1">
        <f>Assumptions!V120</f>
        <v>21242235.225417893</v>
      </c>
      <c r="V7" s="1">
        <f>Assumptions!W120</f>
        <v>22360247.605703045</v>
      </c>
      <c r="W7" s="1">
        <f>Assumptions!X120</f>
        <v>23478259.985988192</v>
      </c>
      <c r="X7" s="1">
        <f>Assumptions!Y120</f>
        <v>24596272.366273347</v>
      </c>
      <c r="Y7" s="1">
        <f>Assumptions!Z120</f>
        <v>25714284.746558499</v>
      </c>
      <c r="Z7" s="1">
        <f>Assumptions!AA120</f>
        <v>26832297.126843654</v>
      </c>
      <c r="AA7" s="1">
        <f>Assumptions!AB120</f>
        <v>27950309.507128805</v>
      </c>
      <c r="AB7" s="1">
        <f>Assumptions!AC120</f>
        <v>29068321.88741396</v>
      </c>
      <c r="AC7" s="1">
        <f>Assumptions!AD120</f>
        <v>30186334.267699115</v>
      </c>
      <c r="AD7" s="1">
        <f>Assumptions!AE120</f>
        <v>31304346.647984274</v>
      </c>
      <c r="AE7" s="1">
        <f>Assumptions!AF120</f>
        <v>32422359.028269425</v>
      </c>
      <c r="AF7" s="1">
        <f>Assumptions!AG120</f>
        <v>33540371.40855458</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12088706.073004881</v>
      </c>
      <c r="D11" s="1">
        <f>D5*D$9</f>
        <v>12475544.667341037</v>
      </c>
      <c r="E11" s="1">
        <f t="shared" ref="D11:AF13" si="1">E5*E$9</f>
        <v>12874762.09669595</v>
      </c>
      <c r="F11" s="1">
        <f t="shared" si="1"/>
        <v>13286754.483790221</v>
      </c>
      <c r="G11" s="1">
        <f t="shared" si="1"/>
        <v>13711930.627271509</v>
      </c>
      <c r="H11" s="1">
        <f t="shared" si="1"/>
        <v>14150712.407344194</v>
      </c>
      <c r="I11" s="1">
        <f t="shared" si="1"/>
        <v>14603535.204379207</v>
      </c>
      <c r="J11" s="1">
        <f t="shared" si="1"/>
        <v>15070848.330919344</v>
      </c>
      <c r="K11" s="1">
        <f t="shared" si="1"/>
        <v>15553115.477508765</v>
      </c>
      <c r="L11" s="1">
        <f t="shared" si="1"/>
        <v>16050815.172789043</v>
      </c>
      <c r="M11" s="1">
        <f t="shared" si="1"/>
        <v>16564441.258318292</v>
      </c>
      <c r="N11" s="1">
        <f t="shared" si="1"/>
        <v>17094503.378584478</v>
      </c>
      <c r="O11" s="1">
        <f t="shared" si="1"/>
        <v>17641527.486699183</v>
      </c>
      <c r="P11" s="1">
        <f t="shared" si="1"/>
        <v>18206056.366273552</v>
      </c>
      <c r="Q11" s="1">
        <f t="shared" si="1"/>
        <v>18788650.169994302</v>
      </c>
      <c r="R11" s="1">
        <f t="shared" si="1"/>
        <v>19389886.975434124</v>
      </c>
      <c r="S11" s="1">
        <f t="shared" si="1"/>
        <v>20010363.358648021</v>
      </c>
      <c r="T11" s="1">
        <f t="shared" si="1"/>
        <v>20650694.986124754</v>
      </c>
      <c r="U11" s="1">
        <f t="shared" si="1"/>
        <v>21311517.225680742</v>
      </c>
      <c r="V11" s="1">
        <f t="shared" si="1"/>
        <v>21993485.77690253</v>
      </c>
      <c r="W11" s="1">
        <f t="shared" si="1"/>
        <v>22697277.321763415</v>
      </c>
      <c r="X11" s="1">
        <f t="shared" si="1"/>
        <v>23423590.196059838</v>
      </c>
      <c r="Y11" s="1">
        <f t="shared" si="1"/>
        <v>24173145.082333751</v>
      </c>
      <c r="Z11" s="1">
        <f t="shared" si="1"/>
        <v>24946685.724968433</v>
      </c>
      <c r="AA11" s="1">
        <f t="shared" si="1"/>
        <v>25744979.668167427</v>
      </c>
      <c r="AB11" s="1">
        <f t="shared" si="1"/>
        <v>26568819.017548781</v>
      </c>
      <c r="AC11" s="1">
        <f t="shared" si="1"/>
        <v>27419021.226110339</v>
      </c>
      <c r="AD11" s="1">
        <f t="shared" si="1"/>
        <v>28296429.905345876</v>
      </c>
      <c r="AE11" s="1">
        <f t="shared" si="1"/>
        <v>29201915.662316941</v>
      </c>
      <c r="AF11" s="1">
        <f t="shared" si="1"/>
        <v>30136376.96351108</v>
      </c>
    </row>
    <row r="12" spans="1:32" x14ac:dyDescent="0.35">
      <c r="A12" t="s">
        <v>71</v>
      </c>
      <c r="C12" s="1">
        <f t="shared" ref="C12:R12" si="2">C6*C$9</f>
        <v>48074532.352261551</v>
      </c>
      <c r="D12" s="1">
        <f t="shared" si="2"/>
        <v>49612917.387533918</v>
      </c>
      <c r="E12" s="1">
        <f t="shared" si="2"/>
        <v>51200530.743935004</v>
      </c>
      <c r="F12" s="1">
        <f t="shared" si="2"/>
        <v>52838947.727740921</v>
      </c>
      <c r="G12" s="1">
        <f t="shared" si="2"/>
        <v>54529794.05502864</v>
      </c>
      <c r="H12" s="1">
        <f t="shared" si="2"/>
        <v>56274747.464789547</v>
      </c>
      <c r="I12" s="1">
        <f t="shared" si="2"/>
        <v>58075539.383662805</v>
      </c>
      <c r="J12" s="1">
        <f t="shared" si="2"/>
        <v>59933956.643940024</v>
      </c>
      <c r="K12" s="1">
        <f t="shared" si="2"/>
        <v>61851843.25654611</v>
      </c>
      <c r="L12" s="1">
        <f t="shared" si="2"/>
        <v>63831102.24075558</v>
      </c>
      <c r="M12" s="1">
        <f t="shared" si="2"/>
        <v>65873697.512459755</v>
      </c>
      <c r="N12" s="1">
        <f t="shared" si="2"/>
        <v>67981655.832858473</v>
      </c>
      <c r="O12" s="1">
        <f t="shared" si="2"/>
        <v>70157068.819509953</v>
      </c>
      <c r="P12" s="1">
        <f t="shared" si="2"/>
        <v>72402095.021734253</v>
      </c>
      <c r="Q12" s="1">
        <f t="shared" si="2"/>
        <v>74718962.062429741</v>
      </c>
      <c r="R12" s="1">
        <f t="shared" si="2"/>
        <v>77109968.848427504</v>
      </c>
      <c r="S12" s="1">
        <f t="shared" si="1"/>
        <v>79577487.851577193</v>
      </c>
      <c r="T12" s="1">
        <f t="shared" si="1"/>
        <v>82123967.462827653</v>
      </c>
      <c r="U12" s="1">
        <f t="shared" si="1"/>
        <v>84751934.421638131</v>
      </c>
      <c r="V12" s="1">
        <f t="shared" si="1"/>
        <v>87463996.323130563</v>
      </c>
      <c r="W12" s="1">
        <f t="shared" si="1"/>
        <v>90262844.205470741</v>
      </c>
      <c r="X12" s="1">
        <f t="shared" si="1"/>
        <v>93151255.22004579</v>
      </c>
      <c r="Y12" s="1">
        <f t="shared" si="1"/>
        <v>96132095.387087241</v>
      </c>
      <c r="Z12" s="1">
        <f t="shared" si="1"/>
        <v>99208322.439474046</v>
      </c>
      <c r="AA12" s="1">
        <f t="shared" si="1"/>
        <v>102382988.75753725</v>
      </c>
      <c r="AB12" s="1">
        <f t="shared" si="1"/>
        <v>105659244.39777841</v>
      </c>
      <c r="AC12" s="1">
        <f t="shared" si="1"/>
        <v>109040340.2185073</v>
      </c>
      <c r="AD12" s="1">
        <f t="shared" si="1"/>
        <v>112529631.10549957</v>
      </c>
      <c r="AE12" s="1">
        <f t="shared" si="1"/>
        <v>116130579.30087554</v>
      </c>
      <c r="AF12" s="1">
        <f t="shared" si="1"/>
        <v>119846757.83850354</v>
      </c>
    </row>
    <row r="13" spans="1:32" x14ac:dyDescent="0.35">
      <c r="A13" t="s">
        <v>74</v>
      </c>
      <c r="C13" s="1">
        <f>C7*C$9</f>
        <v>1153788.7764542771</v>
      </c>
      <c r="D13" s="1">
        <f t="shared" si="1"/>
        <v>2381420.0346016278</v>
      </c>
      <c r="E13" s="1">
        <f t="shared" si="1"/>
        <v>3686438.2135633202</v>
      </c>
      <c r="F13" s="1">
        <f t="shared" si="1"/>
        <v>5072538.981863128</v>
      </c>
      <c r="G13" s="1">
        <f t="shared" si="1"/>
        <v>6543575.2866034359</v>
      </c>
      <c r="H13" s="1">
        <f t="shared" si="1"/>
        <v>8103563.6349296952</v>
      </c>
      <c r="I13" s="1">
        <f t="shared" si="1"/>
        <v>9756690.6164553538</v>
      </c>
      <c r="J13" s="1">
        <f t="shared" si="1"/>
        <v>11507319.675636489</v>
      </c>
      <c r="K13" s="1">
        <f t="shared" si="1"/>
        <v>13359998.143413963</v>
      </c>
      <c r="L13" s="1">
        <f t="shared" si="1"/>
        <v>15319464.537781343</v>
      </c>
      <c r="M13" s="1">
        <f t="shared" si="1"/>
        <v>17390656.143289376</v>
      </c>
      <c r="N13" s="1">
        <f t="shared" si="1"/>
        <v>19578716.879863244</v>
      </c>
      <c r="O13" s="1">
        <f t="shared" si="1"/>
        <v>21889005.471687105</v>
      </c>
      <c r="P13" s="1">
        <f t="shared" si="1"/>
        <v>24327103.927302714</v>
      </c>
      <c r="Q13" s="1">
        <f t="shared" si="1"/>
        <v>26898826.34247471</v>
      </c>
      <c r="R13" s="1">
        <f t="shared" si="1"/>
        <v>29610228.037796158</v>
      </c>
      <c r="S13" s="1">
        <f t="shared" si="1"/>
        <v>32467615.04344349</v>
      </c>
      <c r="T13" s="1">
        <f t="shared" si="1"/>
        <v>35477553.943941541</v>
      </c>
      <c r="U13" s="1">
        <f t="shared" si="1"/>
        <v>38646882.096266985</v>
      </c>
      <c r="V13" s="1">
        <f t="shared" si="1"/>
        <v>41982718.235102661</v>
      </c>
      <c r="W13" s="1">
        <f t="shared" si="1"/>
        <v>45492473.479557239</v>
      </c>
      <c r="X13" s="1">
        <f t="shared" si="1"/>
        <v>49183862.756184168</v>
      </c>
      <c r="Y13" s="1">
        <f t="shared" si="1"/>
        <v>53064916.653672151</v>
      </c>
      <c r="Z13" s="1">
        <f t="shared" si="1"/>
        <v>57143993.72513704</v>
      </c>
      <c r="AA13" s="1">
        <f t="shared" si="1"/>
        <v>61429793.254522331</v>
      </c>
      <c r="AB13" s="1">
        <f t="shared" si="1"/>
        <v>65931368.504213728</v>
      </c>
      <c r="AC13" s="1">
        <f t="shared" si="1"/>
        <v>70658140.461592734</v>
      </c>
      <c r="AD13" s="1">
        <f t="shared" si="1"/>
        <v>75619912.102895722</v>
      </c>
      <c r="AE13" s="1">
        <f t="shared" si="1"/>
        <v>80826883.193409398</v>
      </c>
      <c r="AF13" s="1">
        <f t="shared" si="1"/>
        <v>86289665.643722579</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61317027.201720707</v>
      </c>
      <c r="D25" s="40">
        <f>SUM(D11:D13,D18:D23)</f>
        <v>64469882.089476585</v>
      </c>
      <c r="E25" s="40">
        <f t="shared" ref="E25:AF25" si="7">SUM(E11:E13,E18:E23)</f>
        <v>67761731.054194272</v>
      </c>
      <c r="F25" s="40">
        <f t="shared" si="7"/>
        <v>71198241.193394274</v>
      </c>
      <c r="G25" s="40">
        <f t="shared" si="7"/>
        <v>74785299.968903586</v>
      </c>
      <c r="H25" s="40">
        <f t="shared" si="7"/>
        <v>78529023.507063448</v>
      </c>
      <c r="I25" s="40">
        <f t="shared" si="7"/>
        <v>82435765.204497367</v>
      </c>
      <c r="J25" s="40">
        <f t="shared" si="7"/>
        <v>86512124.650495857</v>
      </c>
      <c r="K25" s="40">
        <f t="shared" si="7"/>
        <v>90764956.877468839</v>
      </c>
      <c r="L25" s="40">
        <f t="shared" si="7"/>
        <v>95201381.951325968</v>
      </c>
      <c r="M25" s="40">
        <f t="shared" si="7"/>
        <v>99828794.914067417</v>
      </c>
      <c r="N25" s="40">
        <f t="shared" si="7"/>
        <v>104654876.09130619</v>
      </c>
      <c r="O25" s="40">
        <f t="shared" si="7"/>
        <v>109687601.77789624</v>
      </c>
      <c r="P25" s="40">
        <f t="shared" si="7"/>
        <v>114935255.31531052</v>
      </c>
      <c r="Q25" s="40">
        <f t="shared" si="7"/>
        <v>120406438.57489876</v>
      </c>
      <c r="R25" s="40">
        <f t="shared" si="7"/>
        <v>126110083.86165778</v>
      </c>
      <c r="S25" s="40">
        <f t="shared" si="7"/>
        <v>132055466.2536687</v>
      </c>
      <c r="T25" s="40">
        <f t="shared" si="7"/>
        <v>138252216.39289394</v>
      </c>
      <c r="U25" s="40">
        <f t="shared" si="7"/>
        <v>144710333.74358585</v>
      </c>
      <c r="V25" s="40">
        <f t="shared" si="7"/>
        <v>151440200.33513576</v>
      </c>
      <c r="W25" s="40">
        <f t="shared" si="7"/>
        <v>158452595.00679138</v>
      </c>
      <c r="X25" s="40">
        <f t="shared" si="7"/>
        <v>165758708.17228979</v>
      </c>
      <c r="Y25" s="40">
        <f t="shared" si="7"/>
        <v>173370157.12309316</v>
      </c>
      <c r="Z25" s="40">
        <f t="shared" si="7"/>
        <v>181299001.88957953</v>
      </c>
      <c r="AA25" s="40">
        <f t="shared" si="7"/>
        <v>189557761.68022701</v>
      </c>
      <c r="AB25" s="40">
        <f t="shared" si="7"/>
        <v>198159431.91954091</v>
      </c>
      <c r="AC25" s="40">
        <f t="shared" si="7"/>
        <v>207117501.90621036</v>
      </c>
      <c r="AD25" s="40">
        <f t="shared" si="7"/>
        <v>216445973.11374116</v>
      </c>
      <c r="AE25" s="40">
        <f t="shared" si="7"/>
        <v>226159378.15660191</v>
      </c>
      <c r="AF25" s="40">
        <f t="shared" si="7"/>
        <v>236272800.44573718</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40226102.465157002</v>
      </c>
      <c r="D5" s="59">
        <f>C5*('Price and Financial ratios'!F4+1)*(1+Assumptions!$C$13)</f>
        <v>50183680.425624453</v>
      </c>
      <c r="E5" s="59">
        <f>D5*('Price and Financial ratios'!G4+1)*(1+Assumptions!$C$13)</f>
        <v>62606159.352440104</v>
      </c>
      <c r="F5" s="59">
        <f>E5*('Price and Financial ratios'!H4+1)*(1+Assumptions!$C$13)</f>
        <v>72896787.931433618</v>
      </c>
      <c r="G5" s="59">
        <f>F5*('Price and Financial ratios'!I4+1)*(1+Assumptions!$C$13)</f>
        <v>84878896.033306882</v>
      </c>
      <c r="H5" s="59">
        <f>G5*('Price and Financial ratios'!J4+1)*(1+Assumptions!$C$13)</f>
        <v>97065683.010496214</v>
      </c>
      <c r="I5" s="59">
        <f>H5*('Price and Financial ratios'!K4+1)*(1+Assumptions!$C$13)</f>
        <v>106965786.16574773</v>
      </c>
      <c r="J5" s="59">
        <f>I5*('Price and Financial ratios'!L4+1)*(1+Assumptions!$C$13)</f>
        <v>116763604.67208487</v>
      </c>
      <c r="K5" s="59">
        <f>J5*('Price and Financial ratios'!M4+1)*(1+Assumptions!$C$13)</f>
        <v>125031092.47910696</v>
      </c>
      <c r="L5" s="59">
        <f>K5*('Price and Financial ratios'!N4+1)*(1+Assumptions!$C$13)</f>
        <v>133883962.64762104</v>
      </c>
      <c r="M5" s="59">
        <f>L5*('Price and Financial ratios'!O4+1)*(1+Assumptions!$C$13)</f>
        <v>142250159.19857636</v>
      </c>
      <c r="N5" s="59">
        <f>M5*('Price and Financial ratios'!P4+1)*(1+Assumptions!$C$13)</f>
        <v>151139146.1072793</v>
      </c>
      <c r="O5" s="59">
        <f>N5*('Price and Financial ratios'!Q4+1)*(1+Assumptions!$C$13)</f>
        <v>160583591.71429405</v>
      </c>
      <c r="P5" s="59">
        <f>O5*('Price and Financial ratios'!R4+1)*(1+Assumptions!$C$13)</f>
        <v>170618205.7529906</v>
      </c>
      <c r="Q5" s="59">
        <f>P5*('Price and Financial ratios'!S4+1)*(1+Assumptions!$C$13)</f>
        <v>181279866.91294447</v>
      </c>
      <c r="R5" s="59">
        <f>Q5*('Price and Financial ratios'!T4+1)*(1+Assumptions!$C$13)</f>
        <v>192607758.37457103</v>
      </c>
      <c r="S5" s="59">
        <f>R5*('Price and Financial ratios'!U4+1)*(1+Assumptions!$C$13)</f>
        <v>204243035.27335268</v>
      </c>
      <c r="T5" s="59">
        <f>S5*('Price and Financial ratios'!V4+1)*(1+Assumptions!$C$13)</f>
        <v>216581189.71794972</v>
      </c>
      <c r="U5" s="59">
        <f>T5*('Price and Financial ratios'!W4+1)*(1+Assumptions!$C$13)</f>
        <v>229664681.96510628</v>
      </c>
      <c r="V5" s="59">
        <f>U5*('Price and Financial ratios'!X4+1)*(1+Assumptions!$C$13)</f>
        <v>243538537.26089293</v>
      </c>
      <c r="W5" s="59">
        <f>V5*('Price and Financial ratios'!Y4+1)*(1+Assumptions!$C$13)</f>
        <v>258250500.78961053</v>
      </c>
      <c r="X5" s="59">
        <f>W5*('Price and Financial ratios'!Z4+1)*(1+Assumptions!$C$13)</f>
        <v>271166386.27731466</v>
      </c>
      <c r="Y5" s="59">
        <f>X5*('Price and Financial ratios'!AA4+1)*(1+Assumptions!$C$13)</f>
        <v>284728234.10554254</v>
      </c>
      <c r="Z5" s="59">
        <f>Y5*('Price and Financial ratios'!AB4+1)*(1+Assumptions!$C$13)</f>
        <v>298968350.79681426</v>
      </c>
      <c r="AA5" s="59">
        <f>Z5*('Price and Financial ratios'!AC4+1)*(1+Assumptions!$C$13)</f>
        <v>313920658.62015986</v>
      </c>
      <c r="AB5" s="59">
        <f>AA5*('Price and Financial ratios'!AD4+1)*(1+Assumptions!$C$13)</f>
        <v>329620776.39946979</v>
      </c>
      <c r="AC5" s="59">
        <f>AB5*('Price and Financial ratios'!AE4+1)*(1+Assumptions!$C$13)</f>
        <v>346106104.36331379</v>
      </c>
      <c r="AD5" s="59">
        <f>AC5*('Price and Financial ratios'!AF4+1)*(1+Assumptions!$C$13)</f>
        <v>363415913.2383554</v>
      </c>
      <c r="AE5" s="59">
        <f>AD5*('Price and Financial ratios'!AG4+1)*(1+Assumptions!$C$13)</f>
        <v>381591437.79859608</v>
      </c>
      <c r="AF5" s="59">
        <f>AE5*('Price and Financial ratios'!AH4+1)*(1+Assumptions!$C$13)</f>
        <v>400675975.09329903</v>
      </c>
    </row>
    <row r="6" spans="1:32" s="11" customFormat="1" x14ac:dyDescent="0.35">
      <c r="A6" s="11" t="s">
        <v>20</v>
      </c>
      <c r="C6" s="59">
        <f>C27</f>
        <v>19366252.717581753</v>
      </c>
      <c r="D6" s="59">
        <f t="shared" ref="D6:AF6" si="1">D27</f>
        <v>21978273.682296365</v>
      </c>
      <c r="E6" s="59">
        <f>E27</f>
        <v>24725256.263278373</v>
      </c>
      <c r="F6" s="59">
        <f t="shared" si="1"/>
        <v>27613712.0853219</v>
      </c>
      <c r="G6" s="59">
        <f t="shared" si="1"/>
        <v>30650488.787740078</v>
      </c>
      <c r="H6" s="59">
        <f t="shared" si="1"/>
        <v>33842788.832575321</v>
      </c>
      <c r="I6" s="59">
        <f t="shared" si="1"/>
        <v>37198189.426106572</v>
      </c>
      <c r="J6" s="59">
        <f t="shared" si="1"/>
        <v>40724663.621553101</v>
      </c>
      <c r="K6" s="59">
        <f t="shared" si="1"/>
        <v>44430602.675074093</v>
      </c>
      <c r="L6" s="59">
        <f t="shared" si="1"/>
        <v>48324839.731623925</v>
      </c>
      <c r="M6" s="59">
        <f t="shared" si="1"/>
        <v>52416674.92196165</v>
      </c>
      <c r="N6" s="59">
        <f t="shared" si="1"/>
        <v>56715901.95714657</v>
      </c>
      <c r="O6" s="59">
        <f t="shared" si="1"/>
        <v>61232836.312198579</v>
      </c>
      <c r="P6" s="59">
        <f t="shared" si="1"/>
        <v>65978345.096281439</v>
      </c>
      <c r="Q6" s="59">
        <f t="shared" si="1"/>
        <v>70963878.712800875</v>
      </c>
      <c r="R6" s="59">
        <f t="shared" si="1"/>
        <v>76201504.419217646</v>
      </c>
      <c r="S6" s="59">
        <f t="shared" si="1"/>
        <v>81703941.903185159</v>
      </c>
      <c r="T6" s="59">
        <f t="shared" si="1"/>
        <v>87484600.998852268</v>
      </c>
      <c r="U6" s="59">
        <f t="shared" si="1"/>
        <v>93557621.67485559</v>
      </c>
      <c r="V6" s="59">
        <f t="shared" si="1"/>
        <v>99937916.433687031</v>
      </c>
      <c r="W6" s="59">
        <f t="shared" si="1"/>
        <v>106641215.27079244</v>
      </c>
      <c r="X6" s="59">
        <f t="shared" si="1"/>
        <v>113684113.35096705</v>
      </c>
      <c r="Y6" s="59">
        <f t="shared" si="1"/>
        <v>121084121.5693993</v>
      </c>
      <c r="Z6" s="59">
        <f t="shared" si="1"/>
        <v>128859720.17510717</v>
      </c>
      <c r="AA6" s="59">
        <f t="shared" si="1"/>
        <v>137030415.64555478</v>
      </c>
      <c r="AB6" s="59">
        <f t="shared" si="1"/>
        <v>145616801.01296711</v>
      </c>
      <c r="AC6" s="59">
        <f t="shared" si="1"/>
        <v>154640619.85532206</v>
      </c>
      <c r="AD6" s="59">
        <f t="shared" si="1"/>
        <v>164124834.17823997</v>
      </c>
      <c r="AE6" s="59">
        <f t="shared" si="1"/>
        <v>174093696.42805251</v>
      </c>
      <c r="AF6" s="59">
        <f t="shared" si="1"/>
        <v>184572825.89127663</v>
      </c>
    </row>
    <row r="7" spans="1:32" x14ac:dyDescent="0.35">
      <c r="A7" t="s">
        <v>21</v>
      </c>
      <c r="C7" s="4">
        <f>Depreciation!C8+Depreciation!C9</f>
        <v>13242494.849459158</v>
      </c>
      <c r="D7" s="4">
        <f>Depreciation!D8+Depreciation!D9</f>
        <v>14856964.701942664</v>
      </c>
      <c r="E7" s="4">
        <f>Depreciation!E8+Depreciation!E9</f>
        <v>16561200.310259271</v>
      </c>
      <c r="F7" s="4">
        <f>Depreciation!F8+Depreciation!F9</f>
        <v>18359293.465653349</v>
      </c>
      <c r="G7" s="4">
        <f>Depreciation!G8+Depreciation!G9</f>
        <v>20255505.913874947</v>
      </c>
      <c r="H7" s="4">
        <f>Depreciation!H8+Depreciation!H9</f>
        <v>22254276.04227389</v>
      </c>
      <c r="I7" s="4">
        <f>Depreciation!I8+Depreciation!I9</f>
        <v>24360225.820834562</v>
      </c>
      <c r="J7" s="4">
        <f>Depreciation!J8+Depreciation!J9</f>
        <v>26578168.006555833</v>
      </c>
      <c r="K7" s="4">
        <f>Depreciation!K8+Depreciation!K9</f>
        <v>28913113.620922729</v>
      </c>
      <c r="L7" s="4">
        <f>Depreciation!L8+Depreciation!L9</f>
        <v>31370279.710570388</v>
      </c>
      <c r="M7" s="4">
        <f>Depreciation!M8+Depreciation!M9</f>
        <v>33955097.40160767</v>
      </c>
      <c r="N7" s="4">
        <f>Depreciation!N8+Depreciation!N9</f>
        <v>36673220.258447722</v>
      </c>
      <c r="O7" s="4">
        <f>Depreciation!O8+Depreciation!O9</f>
        <v>39530532.958386287</v>
      </c>
      <c r="P7" s="4">
        <f>Depreciation!P8+Depreciation!P9</f>
        <v>42533160.29357627</v>
      </c>
      <c r="Q7" s="4">
        <f>Depreciation!Q8+Depreciation!Q9</f>
        <v>45687476.512469009</v>
      </c>
      <c r="R7" s="4">
        <f>Depreciation!R8+Depreciation!R9</f>
        <v>49000115.013230279</v>
      </c>
      <c r="S7" s="4">
        <f>Depreciation!S8+Depreciation!S9</f>
        <v>52477978.402091511</v>
      </c>
      <c r="T7" s="4">
        <f>Depreciation!T8+Depreciation!T9</f>
        <v>56128248.930066295</v>
      </c>
      <c r="U7" s="4">
        <f>Depreciation!U8+Depreciation!U9</f>
        <v>59958399.321947724</v>
      </c>
      <c r="V7" s="4">
        <f>Depreciation!V8+Depreciation!V9</f>
        <v>63976204.012005195</v>
      </c>
      <c r="W7" s="4">
        <f>Depreciation!W8+Depreciation!W9</f>
        <v>68189750.801320657</v>
      </c>
      <c r="X7" s="4">
        <f>Depreciation!X8+Depreciation!X9</f>
        <v>72607452.952244014</v>
      </c>
      <c r="Y7" s="4">
        <f>Depreciation!Y8+Depreciation!Y9</f>
        <v>77238061.736005902</v>
      </c>
      <c r="Z7" s="4">
        <f>Depreciation!Z8+Depreciation!Z9</f>
        <v>82090679.450105473</v>
      </c>
      <c r="AA7" s="4">
        <f>Depreciation!AA8+Depreciation!AA9</f>
        <v>87174772.922689766</v>
      </c>
      <c r="AB7" s="4">
        <f>Depreciation!AB8+Depreciation!AB9</f>
        <v>92500187.521762505</v>
      </c>
      <c r="AC7" s="4">
        <f>Depreciation!AC8+Depreciation!AC9</f>
        <v>98077161.687703073</v>
      </c>
      <c r="AD7" s="4">
        <f>Depreciation!AD8+Depreciation!AD9</f>
        <v>103916342.00824159</v>
      </c>
      <c r="AE7" s="4">
        <f>Depreciation!AE8+Depreciation!AE9</f>
        <v>110028798.85572633</v>
      </c>
      <c r="AF7" s="4">
        <f>Depreciation!AF8+Depreciation!AF9</f>
        <v>116426042.60723366</v>
      </c>
    </row>
    <row r="8" spans="1:32" x14ac:dyDescent="0.35">
      <c r="A8" t="s">
        <v>6</v>
      </c>
      <c r="C8" s="4">
        <f ca="1">'Debt worksheet'!C8</f>
        <v>3554156.6952280737</v>
      </c>
      <c r="D8" s="4">
        <f ca="1">'Debt worksheet'!D8</f>
        <v>4998355.7848116802</v>
      </c>
      <c r="E8" s="4">
        <f ca="1">'Debt worksheet'!E8</f>
        <v>6263403.9000910036</v>
      </c>
      <c r="F8" s="4">
        <f ca="1">'Debt worksheet'!F8</f>
        <v>7430502.2665760554</v>
      </c>
      <c r="G8" s="4">
        <f ca="1">'Debt worksheet'!G8</f>
        <v>8445589.131495174</v>
      </c>
      <c r="H8" s="4">
        <f ca="1">'Debt worksheet'!H8</f>
        <v>9307050.4228136409</v>
      </c>
      <c r="I8" s="4">
        <f ca="1">'Debt worksheet'!I8</f>
        <v>10104079.087133273</v>
      </c>
      <c r="J8" s="4">
        <f ca="1">'Debt worksheet'!J8</f>
        <v>10850404.676820744</v>
      </c>
      <c r="K8" s="4">
        <f ca="1">'Debt worksheet'!K8</f>
        <v>11612602.09781451</v>
      </c>
      <c r="L8" s="4">
        <f ca="1">'Debt worksheet'!L8</f>
        <v>12383503.796944059</v>
      </c>
      <c r="M8" s="4">
        <f ca="1">'Debt worksheet'!M8</f>
        <v>13195170.641714929</v>
      </c>
      <c r="N8" s="4">
        <f ca="1">'Debt worksheet'!N8</f>
        <v>14044847.419332642</v>
      </c>
      <c r="O8" s="4">
        <f ca="1">'Debt worksheet'!O8</f>
        <v>14929157.556979969</v>
      </c>
      <c r="P8" s="4">
        <f ca="1">'Debt worksheet'!P8</f>
        <v>15844037.689151313</v>
      </c>
      <c r="Q8" s="4">
        <f ca="1">'Debt worksheet'!Q8</f>
        <v>16784666.789914761</v>
      </c>
      <c r="R8" s="4">
        <f ca="1">'Debt worksheet'!R8</f>
        <v>17745389.468015973</v>
      </c>
      <c r="S8" s="4">
        <f ca="1">'Debt worksheet'!S8</f>
        <v>18734158.050713487</v>
      </c>
      <c r="T8" s="4">
        <f ca="1">'Debt worksheet'!T8</f>
        <v>19745704.683208667</v>
      </c>
      <c r="U8" s="4">
        <f ca="1">'Debt worksheet'!U8</f>
        <v>20773905.962772433</v>
      </c>
      <c r="V8" s="4">
        <f ca="1">'Debt worksheet'!V8</f>
        <v>21811700.772590652</v>
      </c>
      <c r="W8" s="4">
        <f ca="1">'Debt worksheet'!W8</f>
        <v>22851001.662870176</v>
      </c>
      <c r="X8" s="4">
        <f ca="1">'Debt worksheet'!X8</f>
        <v>23979976.058526579</v>
      </c>
      <c r="Y8" s="4">
        <f ca="1">'Debt worksheet'!Y8</f>
        <v>25202474.216652673</v>
      </c>
      <c r="Z8" s="4">
        <f ca="1">'Debt worksheet'!Z8</f>
        <v>26522421.980340112</v>
      </c>
      <c r="AA8" s="4">
        <f ca="1">'Debt worksheet'!AA8</f>
        <v>27943818.792784333</v>
      </c>
      <c r="AB8" s="4">
        <f ca="1">'Debt worksheet'!AB8</f>
        <v>29470735.514446288</v>
      </c>
      <c r="AC8" s="4">
        <f ca="1">'Debt worksheet'!AC8</f>
        <v>31107312.044957452</v>
      </c>
      <c r="AD8" s="4">
        <f ca="1">'Debt worksheet'!AD8</f>
        <v>32857754.753196221</v>
      </c>
      <c r="AE8" s="4">
        <f ca="1">'Debt worksheet'!AE8</f>
        <v>34726333.720941208</v>
      </c>
      <c r="AF8" s="4">
        <f ca="1">'Debt worksheet'!AF8</f>
        <v>36717379.807742201</v>
      </c>
    </row>
    <row r="9" spans="1:32" x14ac:dyDescent="0.35">
      <c r="A9" t="s">
        <v>22</v>
      </c>
      <c r="C9" s="4">
        <f ca="1">C5-C6-C7-C8</f>
        <v>4063198.2028880175</v>
      </c>
      <c r="D9" s="4">
        <f t="shared" ref="D9:AF9" ca="1" si="2">D5-D6-D7-D8</f>
        <v>8350086.2565737432</v>
      </c>
      <c r="E9" s="4">
        <f t="shared" ca="1" si="2"/>
        <v>15056298.878811456</v>
      </c>
      <c r="F9" s="4">
        <f t="shared" ca="1" si="2"/>
        <v>19493280.113882311</v>
      </c>
      <c r="G9" s="4">
        <f t="shared" ca="1" si="2"/>
        <v>25527312.20019668</v>
      </c>
      <c r="H9" s="4">
        <f t="shared" ca="1" si="2"/>
        <v>31661567.71283336</v>
      </c>
      <c r="I9" s="4">
        <f t="shared" ca="1" si="2"/>
        <v>35303291.831673324</v>
      </c>
      <c r="J9" s="4">
        <f t="shared" ca="1" si="2"/>
        <v>38610368.367155194</v>
      </c>
      <c r="K9" s="4">
        <f t="shared" ca="1" si="2"/>
        <v>40074774.085295625</v>
      </c>
      <c r="L9" s="4">
        <f t="shared" ca="1" si="2"/>
        <v>41805339.408482671</v>
      </c>
      <c r="M9" s="4">
        <f t="shared" ca="1" si="2"/>
        <v>42683216.23329211</v>
      </c>
      <c r="N9" s="4">
        <f t="shared" ca="1" si="2"/>
        <v>43705176.472352371</v>
      </c>
      <c r="O9" s="4">
        <f t="shared" ca="1" si="2"/>
        <v>44891064.886729211</v>
      </c>
      <c r="P9" s="4">
        <f t="shared" ca="1" si="2"/>
        <v>46262662.673981577</v>
      </c>
      <c r="Q9" s="4">
        <f t="shared" ca="1" si="2"/>
        <v>47843844.897759825</v>
      </c>
      <c r="R9" s="4">
        <f t="shared" ca="1" si="2"/>
        <v>49660749.474107131</v>
      </c>
      <c r="S9" s="4">
        <f t="shared" ca="1" si="2"/>
        <v>51326956.917362534</v>
      </c>
      <c r="T9" s="4">
        <f t="shared" ca="1" si="2"/>
        <v>53222635.105822481</v>
      </c>
      <c r="U9" s="4">
        <f t="shared" ca="1" si="2"/>
        <v>55374755.005530536</v>
      </c>
      <c r="V9" s="4">
        <f t="shared" ca="1" si="2"/>
        <v>57812716.042610049</v>
      </c>
      <c r="W9" s="4">
        <f t="shared" ca="1" si="2"/>
        <v>60568533.054627247</v>
      </c>
      <c r="X9" s="4">
        <f t="shared" ca="1" si="2"/>
        <v>60894843.915577024</v>
      </c>
      <c r="Y9" s="4">
        <f t="shared" ca="1" si="2"/>
        <v>61203576.583484665</v>
      </c>
      <c r="Z9" s="4">
        <f t="shared" ca="1" si="2"/>
        <v>61495529.1912615</v>
      </c>
      <c r="AA9" s="4">
        <f t="shared" ca="1" si="2"/>
        <v>61771651.259130985</v>
      </c>
      <c r="AB9" s="4">
        <f t="shared" ca="1" si="2"/>
        <v>62033052.35029389</v>
      </c>
      <c r="AC9" s="4">
        <f t="shared" ca="1" si="2"/>
        <v>62281010.775331207</v>
      </c>
      <c r="AD9" s="4">
        <f t="shared" ca="1" si="2"/>
        <v>62516982.298677608</v>
      </c>
      <c r="AE9" s="4">
        <f t="shared" ca="1" si="2"/>
        <v>62742608.79387603</v>
      </c>
      <c r="AF9" s="4">
        <f t="shared" ca="1" si="2"/>
        <v>62959726.787046544</v>
      </c>
    </row>
    <row r="12" spans="1:32" x14ac:dyDescent="0.35">
      <c r="A12" t="s">
        <v>79</v>
      </c>
      <c r="C12" s="2">
        <f>Assumptions!$C$25*Assumptions!D9*Assumptions!D13</f>
        <v>17937991.90176747</v>
      </c>
      <c r="D12" s="2">
        <f>Assumptions!$C$25*Assumptions!E9*Assumptions!E13</f>
        <v>19058908.574771974</v>
      </c>
      <c r="E12" s="2">
        <f>Assumptions!$C$25*Assumptions!F9*Assumptions!F13</f>
        <v>20249869.55344348</v>
      </c>
      <c r="F12" s="2">
        <f>Assumptions!$C$25*Assumptions!G9*Assumptions!G13</f>
        <v>21515251.795386884</v>
      </c>
      <c r="G12" s="2">
        <f>Assumptions!$C$25*Assumptions!H9*Assumptions!H13</f>
        <v>22859705.767348096</v>
      </c>
      <c r="H12" s="2">
        <f>Assumptions!$C$25*Assumptions!I9*Assumptions!I13</f>
        <v>24288172.536366597</v>
      </c>
      <c r="I12" s="2">
        <f>Assumptions!$C$25*Assumptions!J9*Assumptions!J13</f>
        <v>25805901.92892703</v>
      </c>
      <c r="J12" s="2">
        <f>Assumptions!$C$25*Assumptions!K9*Assumptions!K13</f>
        <v>27418471.824847396</v>
      </c>
      <c r="K12" s="2">
        <f>Assumptions!$C$25*Assumptions!L9*Assumptions!L13</f>
        <v>29131808.65681171</v>
      </c>
      <c r="L12" s="2">
        <f>Assumptions!$C$25*Assumptions!M9*Assumptions!M13</f>
        <v>30952209.190885972</v>
      </c>
      <c r="M12" s="2">
        <f>Assumptions!$C$25*Assumptions!N9*Assumptions!N13</f>
        <v>32886363.668064043</v>
      </c>
      <c r="N12" s="2">
        <f>Assumptions!$C$25*Assumptions!O9*Assumptions!O13</f>
        <v>34941380.391892001</v>
      </c>
      <c r="O12" s="2">
        <f>Assumptions!$C$25*Assumptions!P9*Assumptions!P13</f>
        <v>37124811.852534227</v>
      </c>
      <c r="P12" s="2">
        <f>Assumptions!$C$25*Assumptions!Q9*Assumptions!Q13</f>
        <v>39444682.483290866</v>
      </c>
      <c r="Q12" s="2">
        <f>Assumptions!$C$25*Assumptions!R9*Assumptions!R13</f>
        <v>41909518.151576199</v>
      </c>
      <c r="R12" s="2">
        <f>Assumptions!$C$25*Assumptions!S9*Assumptions!S13</f>
        <v>44528377.49274125</v>
      </c>
      <c r="S12" s="2">
        <f>Assumptions!$C$25*Assumptions!T9*Assumptions!T13</f>
        <v>47310885.201897614</v>
      </c>
      <c r="T12" s="2">
        <f>Assumptions!$C$25*Assumptions!U9*Assumptions!U13</f>
        <v>50267267.406094275</v>
      </c>
      <c r="U12" s="2">
        <f>Assumptions!$C$25*Assumptions!V9*Assumptions!V13</f>
        <v>53408389.246845886</v>
      </c>
      <c r="V12" s="2">
        <f>Assumptions!$C$25*Assumptions!W9*Assumptions!W13</f>
        <v>56745794.811133444</v>
      </c>
      <c r="W12" s="2">
        <f>Assumptions!$C$25*Assumptions!X9*Assumptions!X13</f>
        <v>60291749.557630181</v>
      </c>
      <c r="X12" s="2">
        <f>Assumptions!$C$25*Assumptions!Y9*Assumptions!Y13</f>
        <v>64059285.394074656</v>
      </c>
      <c r="Y12" s="2">
        <f>Assumptions!$C$25*Assumptions!Z9*Assumptions!Z13</f>
        <v>68062248.571457818</v>
      </c>
      <c r="Z12" s="2">
        <f>Assumptions!$C$25*Assumptions!AA9*Assumptions!AA13</f>
        <v>72315350.571041569</v>
      </c>
      <c r="AA12" s="2">
        <f>Assumptions!$C$25*Assumptions!AB9*Assumptions!AB13</f>
        <v>76834222.171226621</v>
      </c>
      <c r="AB12" s="2">
        <f>Assumptions!$C$25*Assumptions!AC9*Assumptions!AC13</f>
        <v>81635470.892973155</v>
      </c>
      <c r="AC12" s="2">
        <f>Assumptions!$C$25*Assumptions!AD9*Assumptions!AD13</f>
        <v>86736742.034894645</v>
      </c>
      <c r="AD12" s="2">
        <f>Assumptions!$C$25*Assumptions!AE9*Assumptions!AE13</f>
        <v>92156783.522338092</v>
      </c>
      <c r="AE12" s="2">
        <f>Assumptions!$C$25*Assumptions!AF9*Assumptions!AF13</f>
        <v>97915514.808780357</v>
      </c>
      <c r="AF12" s="2">
        <f>Assumptions!$C$25*Assumptions!AG9*Assumptions!AG13</f>
        <v>104034100.08276337</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1428260.8158142823</v>
      </c>
      <c r="D14" s="5">
        <f>Assumptions!E122*Assumptions!E9</f>
        <v>2919365.1075243927</v>
      </c>
      <c r="E14" s="5">
        <f>Assumptions!F122*Assumptions!F9</f>
        <v>4475386.7098348942</v>
      </c>
      <c r="F14" s="5">
        <f>Assumptions!G122*Assumptions!G9</f>
        <v>6098460.2899350161</v>
      </c>
      <c r="G14" s="5">
        <f>Assumptions!H122*Assumptions!H9</f>
        <v>7790783.020391982</v>
      </c>
      <c r="H14" s="5">
        <f>Assumptions!I122*Assumptions!I9</f>
        <v>9554616.2962087262</v>
      </c>
      <c r="I14" s="5">
        <f>Assumptions!J122*Assumptions!J9</f>
        <v>11392287.49717954</v>
      </c>
      <c r="J14" s="5">
        <f>Assumptions!K122*Assumptions!K9</f>
        <v>13306191.796705704</v>
      </c>
      <c r="K14" s="5">
        <f>Assumptions!L122*Assumptions!L9</f>
        <v>15298794.018262384</v>
      </c>
      <c r="L14" s="5">
        <f>Assumptions!M122*Assumptions!M9</f>
        <v>17372630.540737953</v>
      </c>
      <c r="M14" s="5">
        <f>Assumptions!N122*Assumptions!N9</f>
        <v>19530311.253897607</v>
      </c>
      <c r="N14" s="5">
        <f>Assumptions!O122*Assumptions!O9</f>
        <v>21774521.565254569</v>
      </c>
      <c r="O14" s="5">
        <f>Assumptions!P122*Assumptions!P9</f>
        <v>24108024.459664352</v>
      </c>
      <c r="P14" s="5">
        <f>Assumptions!Q122*Assumptions!Q9</f>
        <v>26533662.612990569</v>
      </c>
      <c r="Q14" s="5">
        <f>Assumptions!R122*Assumptions!R9</f>
        <v>29054360.56122468</v>
      </c>
      <c r="R14" s="5">
        <f>Assumptions!S122*Assumptions!S9</f>
        <v>31673126.926476397</v>
      </c>
      <c r="S14" s="5">
        <f>Assumptions!T122*Assumptions!T9</f>
        <v>34393056.701287553</v>
      </c>
      <c r="T14" s="5">
        <f>Assumptions!U122*Assumptions!U9</f>
        <v>37217333.592757992</v>
      </c>
      <c r="U14" s="5">
        <f>Assumptions!V122*Assumptions!V9</f>
        <v>40149232.428009704</v>
      </c>
      <c r="V14" s="5">
        <f>Assumptions!W122*Assumptions!W9</f>
        <v>43192121.622553594</v>
      </c>
      <c r="W14" s="5">
        <f>Assumptions!X122*Assumptions!X9</f>
        <v>46349465.713162258</v>
      </c>
      <c r="X14" s="5">
        <f>Assumptions!Y122*Assumptions!Y9</f>
        <v>49624827.956892394</v>
      </c>
      <c r="Y14" s="5">
        <f>Assumptions!Z122*Assumptions!Z9</f>
        <v>53021872.997941472</v>
      </c>
      <c r="Z14" s="5">
        <f>Assumptions!AA122*Assumptions!AA9</f>
        <v>56544369.604065597</v>
      </c>
      <c r="AA14" s="5">
        <f>Assumptions!AB122*Assumptions!AB9</f>
        <v>60196193.474328168</v>
      </c>
      <c r="AB14" s="5">
        <f>Assumptions!AC122*Assumptions!AC9</f>
        <v>63981330.11999394</v>
      </c>
      <c r="AC14" s="5">
        <f>Assumptions!AD122*Assumptions!AD9</f>
        <v>67903877.820427418</v>
      </c>
      <c r="AD14" s="5">
        <f>Assumptions!AE122*Assumptions!AE9</f>
        <v>71968050.655901879</v>
      </c>
      <c r="AE14" s="5">
        <f>Assumptions!AF122*Assumptions!AF9</f>
        <v>76178181.619272158</v>
      </c>
      <c r="AF14" s="5">
        <f>Assumptions!AG122*Assumptions!AG9</f>
        <v>80538725.808513254</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194</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19366252.717581753</v>
      </c>
      <c r="D27" s="2">
        <f t="shared" ref="D27:AF27" si="8">D12+D13+D14+D19+D20+D22+D24+D25</f>
        <v>21978273.682296365</v>
      </c>
      <c r="E27" s="2">
        <f t="shared" si="8"/>
        <v>24725256.263278373</v>
      </c>
      <c r="F27" s="2">
        <f t="shared" si="8"/>
        <v>27613712.0853219</v>
      </c>
      <c r="G27" s="2">
        <f t="shared" si="8"/>
        <v>30650488.787740078</v>
      </c>
      <c r="H27" s="2">
        <f t="shared" si="8"/>
        <v>33842788.832575321</v>
      </c>
      <c r="I27" s="2">
        <f t="shared" si="8"/>
        <v>37198189.426106572</v>
      </c>
      <c r="J27" s="2">
        <f t="shared" si="8"/>
        <v>40724663.621553101</v>
      </c>
      <c r="K27" s="2">
        <f t="shared" si="8"/>
        <v>44430602.675074093</v>
      </c>
      <c r="L27" s="2">
        <f t="shared" si="8"/>
        <v>48324839.731623925</v>
      </c>
      <c r="M27" s="2">
        <f t="shared" si="8"/>
        <v>52416674.92196165</v>
      </c>
      <c r="N27" s="2">
        <f t="shared" si="8"/>
        <v>56715901.95714657</v>
      </c>
      <c r="O27" s="2">
        <f t="shared" si="8"/>
        <v>61232836.312198579</v>
      </c>
      <c r="P27" s="2">
        <f t="shared" si="8"/>
        <v>65978345.096281439</v>
      </c>
      <c r="Q27" s="2">
        <f t="shared" si="8"/>
        <v>70963878.712800875</v>
      </c>
      <c r="R27" s="2">
        <f t="shared" si="8"/>
        <v>76201504.419217646</v>
      </c>
      <c r="S27" s="2">
        <f t="shared" si="8"/>
        <v>81703941.903185159</v>
      </c>
      <c r="T27" s="2">
        <f t="shared" si="8"/>
        <v>87484600.998852268</v>
      </c>
      <c r="U27" s="2">
        <f t="shared" si="8"/>
        <v>93557621.67485559</v>
      </c>
      <c r="V27" s="2">
        <f t="shared" si="8"/>
        <v>99937916.433687031</v>
      </c>
      <c r="W27" s="2">
        <f t="shared" si="8"/>
        <v>106641215.27079244</v>
      </c>
      <c r="X27" s="2">
        <f t="shared" si="8"/>
        <v>113684113.35096705</v>
      </c>
      <c r="Y27" s="2">
        <f t="shared" si="8"/>
        <v>121084121.5693993</v>
      </c>
      <c r="Z27" s="2">
        <f t="shared" si="8"/>
        <v>128859720.17510717</v>
      </c>
      <c r="AA27" s="2">
        <f t="shared" si="8"/>
        <v>137030415.64555478</v>
      </c>
      <c r="AB27" s="2">
        <f t="shared" si="8"/>
        <v>145616801.01296711</v>
      </c>
      <c r="AC27" s="2">
        <f t="shared" si="8"/>
        <v>154640619.85532206</v>
      </c>
      <c r="AD27" s="2">
        <f t="shared" si="8"/>
        <v>164124834.17823997</v>
      </c>
      <c r="AE27" s="2">
        <f t="shared" si="8"/>
        <v>174093696.42805251</v>
      </c>
      <c r="AF27" s="2">
        <f t="shared" si="8"/>
        <v>184572825.89127663</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3W2DU3RAJ5R2-1900874439-879</_dlc_DocId>
    <_dlc_DocIdUrl xmlns="f54e2983-00ce-40fc-8108-18f351fc47bf">
      <Url>https://dia.cohesion.net.nz/Sites/LGV/TWRP/CAE/_layouts/15/DocIdRedir.aspx?ID=3W2DU3RAJ5R2-1900874439-879</Url>
      <Description>3W2DU3RAJ5R2-1900874439-879</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4FD6C10-5841-47FA-B509-7875B7337D08}"/>
</file>

<file path=customXml/itemProps2.xml><?xml version="1.0" encoding="utf-8"?>
<ds:datastoreItem xmlns:ds="http://schemas.openxmlformats.org/officeDocument/2006/customXml" ds:itemID="{CBCC2D2A-763C-48F8-A3E5-6B0A81386C39}">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08a23fc5-e034-477c-ac83-93bc1440f322"/>
    <ds:schemaRef ds:uri="http://schemas.microsoft.com/office/2006/metadata/properties"/>
    <ds:schemaRef ds:uri="65b6d800-2dda-48d6-88d8-9e2b35e6f7ea"/>
    <ds:schemaRef ds:uri="http://www.w3.org/XML/1998/namespace"/>
    <ds:schemaRef ds:uri="http://purl.org/dc/dcmitype/"/>
  </ds:schemaRefs>
</ds:datastoreItem>
</file>

<file path=customXml/itemProps3.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4.xml><?xml version="1.0" encoding="utf-8"?>
<ds:datastoreItem xmlns:ds="http://schemas.openxmlformats.org/officeDocument/2006/customXml" ds:itemID="{782495E6-6B64-4716-B176-8902213C23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2021-07-05T14:51:48Z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a5cbd748-a599-4c95-846f-390994568015</vt:lpwstr>
  </property>
</Properties>
</file>