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 documentId="8_{E1A07B15-5B1B-402D-ACA8-4E2223959E11}" xr6:coauthVersionLast="47" xr6:coauthVersionMax="47" xr10:uidLastSave="{D5B268BB-2355-41DB-9B5D-F17592185F93}"/>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<sst xmlns="http://schemas.openxmlformats.org/spreadsheetml/2006/main" count="276" uniqueCount="204">
  <si>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</si>
  <si>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</si>
  <si>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</si>
  <si>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</si>
  <si>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</si>
  <si>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</si>
  <si>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</si>
  <si>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</si>
  <si>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</si>
  <si>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</si>
  <si>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</si>
  <si>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</si>
  <si>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</si>
  <si>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</si>
  <si>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</si>
  <si>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</si>
  <si>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</si>
  <si>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</si>
  <si>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</si>
  <si>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</si>
  <si>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</si>
  <si>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</si>
  <si>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</si>
  <si>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</si>
  <si>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</si>
  <si>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</si>
  <si>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</si>
  <si>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</si>
  <si>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</si>
  <si>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</si>
  <si>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</si>
  <si>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</si>
  <si>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</si>
  <si>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</si>
  <si>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</si>
  <si>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</si>
  <si>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</si>
  <si>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</si>
  <si>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</si>
  <si>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</si>
  <si>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</si>
  <si>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</si>
  <si>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</si>
  <si>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</si>
  <si>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</si>
  <si>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</si>
  <si>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</si>
  <si>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</si>
  <si>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</si>
  <si>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</si>
  <si>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</si>
  <si>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</si>
  <si>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</si>
  <si>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</si>
  <si>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</si>
  <si>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</si>
  <si>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</si>
  <si>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</si>
  <si>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</si>
  <si>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</si>
  <si>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</si>
  <si>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</si>
  <si>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</si>
  <si>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</si>
  <si>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</si>
  <si>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</si>
  <si>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</si>
  <si>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</si>
  <si>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</si>
  <si>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</si>
  <si>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</si>
  <si>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</si>
  <si>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</si>
  <si>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</si>
  <si>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</si>
  <si>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</si>
  <si>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</si>
  <si>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</si>
  <si>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</si>
  <si>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</si>
  <si>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</si>
  <si>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</si>
  <si>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</si>
  <si>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</si>
  <si>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</si>
  <si>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</si>
  <si>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</si>
  <si>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</si>
  <si>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</si>
  <si>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</si>
  <si>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</si>
  <si>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</si>
  <si>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</si>
  <si>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</si>
  <si>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</si>
  <si>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</si>
  <si>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</si>
  <si>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</si>
  <si>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</si>
  <si>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</si>
  <si>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</si>
  <si>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</si>
  <si>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</si>
  <si>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</si>
  <si>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</si>
  <si>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</si>
  <si>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</si>
  <si>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</si>
  <si>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</si>
  <si>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</si>
  <si>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</si>
  <si>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</si>
  <si>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</si>
  <si>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</si>
  <si>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</si>
  <si>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</si>
  <si>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</si>
  <si>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</si>
  <si>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</si>
  <si>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</si>
  <si>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</si>
  <si>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</si>
  <si>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</si>
  <si>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</si>
  <si>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</si>
  <si>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</si>
  <si>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</si>
  <si>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</si>
  <si>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</si>
  <si>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</si>
  <si>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</si>
  <si>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</si>
  <si>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</si>
  <si>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</si>
  <si>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</si>
  <si>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</si>
  <si>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</si>
  <si>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</si>
  <si>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</si>
  <si>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</si>
  <si>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</si>
  <si>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</si>
  <si>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</si>
  <si>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</si>
  <si>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</si>
  <si>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</si>
  <si>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</si>
  <si>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</si>
  <si>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</si>
  <si>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</si>
  <si>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</si>
  <si>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</si>
  <si>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</si>
  <si>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</si>
  <si>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</si>
  <si>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</si>
  <si>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</si>
  <si>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</si>
  <si>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</si>
  <si>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</si>
  <si>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</si>
  <si>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</si>
  <si>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</si>
  <si>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</si>
  <si>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</si>
  <si>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</si>
  <si>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</si>
  <si>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</si>
  <si>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</si>
  <si>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</si>
  <si>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</si>
  <si>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</si>
  <si>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</si>
  <si>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</si>
  <si>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</si>
  <si>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Tables G2, G3, G4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</si>
  <si>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</si>
  <si>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</si>
  <si>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</si>
  <si>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</si>
  <si>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</si>
  <si>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</si>
  <si>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</si>
  <si>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</si>
  <si>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</si>
  <si>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</si>
  <si>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</si>
  <si>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</si>
  <si>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</si>
  <si>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</si>
  <si>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</si>
  <si>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</si>
  <si>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</si>
  <si>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</si>
  <si>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</si>
  <si>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</si>
  <si>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</si>
  <si>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Waimate Stand-alone Council</t>
  </si>
  <si>
    <t>RFI Table F10; Line F10.62</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</si>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</sst>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 numFmtId="178" formatCode="_-[$$-409]* #,##0.000_ ;_-[$$-409]* \-#,##0.000\ ;_-[$$-409]* &quot;-&quot;??_ ;_-@_ "/>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43" fontId="0" fillId="0" borderId="0" xfId="0" applyNumberFormat="1" applyFill="1" applyBorder="1" applyAlignment="1">
      <alignment vertical="top"/>
    </xf>
    <xf numFmtId="178" fontId="0" fillId="0" borderId="0" xfId="0" applyNumberFormat="1" applyFill="1" applyBorder="1" applyAlignment="1">
      <alignment vertical="top"/>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68403852.400000006</v>
      </c>
      <c r="C6" s="12">
        <f ca="1">B6+Depreciation!C18+'Cash Flow'!C13</f>
        <v>69976315.330599427</v>
      </c>
      <c r="D6" s="1">
        <f ca="1">C6+Depreciation!D18</f>
        <v>83718562.550057948</v>
      </c>
      <c r="E6" s="1">
        <f ca="1">D6+Depreciation!E18</f>
        <v>98201017.35633868</v>
      </c>
      <c r="F6" s="1">
        <f ca="1">E6+Depreciation!F18</f>
        <v>113456980.97384554</v>
      </c>
      <c r="G6" s="1">
        <f ca="1">F6+Depreciation!G18</f>
        <v>129521127.93277536</v>
      </c>
      <c r="H6" s="1">
        <f ca="1">G6+Depreciation!H18</f>
        <v>146429559.86023489</v>
      </c>
      <c r="I6" s="1">
        <f ca="1">H6+Depreciation!I18</f>
        <v>164219861.30772406</v>
      </c>
      <c r="J6" s="1">
        <f ca="1">I6+Depreciation!J18</f>
        <v>182931157.69023108</v>
      </c>
      <c r="K6" s="1">
        <f ca="1">J6+Depreciation!K18</f>
        <v>202604175.41491488</v>
      </c>
      <c r="L6" s="1">
        <f ca="1">K6+Depreciation!L18</f>
        <v>223281304.28017902</v>
      </c>
      <c r="M6" s="1">
        <f ca="1">L6+Depreciation!M18</f>
        <v>245006662.22887063</v>
      </c>
      <c r="N6" s="1">
        <f ca="1">M6+Depreciation!N18</f>
        <v>267826162.542371</v>
      </c>
      <c r="O6" s="1">
        <f ca="1">N6+Depreciation!O18</f>
        <v>291787583.56548846</v>
      </c>
      <c r="P6" s="1">
        <f ca="1">O6+Depreciation!P18</f>
        <v>316940641.05531746</v>
      </c>
      <c r="Q6" s="1">
        <f ca="1">P6+Depreciation!Q18</f>
        <v>343337063.25059986</v>
      </c>
      <c r="R6" s="1">
        <f ca="1">Q6+Depreciation!R18</f>
        <v>371030668.7616151</v>
      </c>
      <c r="S6" s="1">
        <f ca="1">R6+Depreciation!S18</f>
        <v>400077447.38424212</v>
      </c>
      <c r="T6" s="1">
        <f ca="1">S6+Depreciation!T18</f>
        <v>430535643.94558078</v>
      </c>
      <c r="U6" s="1">
        <f ca="1">T6+Depreciation!U18</f>
        <v>462465845.29239905</v>
      </c>
      <c r="V6" s="1">
        <f ca="1">U6+Depreciation!V18</f>
        <v>495931070.53768885</v>
      </c>
      <c r="W6" s="1">
        <f ca="1">V6+Depreciation!W18</f>
        <v>530996864.68477321</v>
      </c>
      <c r="X6" s="1">
        <f ca="1">W6+Depreciation!X18</f>
        <v>567731395.75271583</v>
      </c>
      <c r="Y6" s="1">
        <f ca="1">X6+Depreciation!Y18</f>
        <v>606205555.53124487</v>
      </c>
      <c r="Z6" s="1">
        <f ca="1">Y6+Depreciation!Z18</f>
        <v>646493064.09802449</v>
      </c>
      <c r="AA6" s="1">
        <f ca="1">Z6+Depreciation!AA18</f>
        <v>688670578.23588943</v>
      </c>
      <c r="AB6" s="1">
        <f ca="1">AA6+Depreciation!AB18</f>
        <v>732817803.89261675</v>
      </c>
      <c r="AC6" s="1">
        <f ca="1">AB6+Depreciation!AC18</f>
        <v>779017612.83093643</v>
      </c>
      <c r="AD6" s="1">
        <f ca="1">AC6+Depreciation!AD18</f>
        <v>827356163.62179792</v>
      </c>
      <c r="AE6" s="1">
        <f ca="1">AD6+Depreciation!AE18</f>
        <v>877923027.13941109</v>
      </c>
      <c r="AF6" s="1"/>
      <c r="AG6" s="1"/>
      <c r="AH6" s="1"/>
      <c r="AI6" s="1"/>
      <c r="AJ6" s="1"/>
      <c r="AK6" s="1"/>
      <c r="AL6" s="1"/>
      <c r="AM6" s="1"/>
      <c r="AN6" s="1"/>
      <c r="AO6" s="1"/>
      <c r="AP6" s="1"/>
    </row>
    <row r="7" spans="1:42" x14ac:dyDescent="0.35">
      <c r="A7" t="s">
        <v>12</v>
      </c>
      <c r="B7" s="1">
        <f>Depreciation!C12</f>
        <v>35481293.578607097</v>
      </c>
      <c r="C7" s="1">
        <f>Depreciation!D12</f>
        <v>37092739.934065618</v>
      </c>
      <c r="D7" s="1">
        <f>Depreciation!E12</f>
        <v>39056208.248698354</v>
      </c>
      <c r="E7" s="1">
        <f>Depreciation!F12</f>
        <v>41392577.806824476</v>
      </c>
      <c r="F7" s="1">
        <f>Depreciation!G12</f>
        <v>44123703.696473382</v>
      </c>
      <c r="G7" s="1">
        <f>Depreciation!H12</f>
        <v>47272457.880435005</v>
      </c>
      <c r="H7" s="1">
        <f>Depreciation!I12</f>
        <v>50862771.896634355</v>
      </c>
      <c r="I7" s="1">
        <f>Depreciation!J12</f>
        <v>54919681.250050269</v>
      </c>
      <c r="J7" s="1">
        <f>Depreciation!K12</f>
        <v>59469371.560712017</v>
      </c>
      <c r="K7" s="1">
        <f>Depreciation!L12</f>
        <v>64539226.534705445</v>
      </c>
      <c r="L7" s="1">
        <f>Depreciation!M12</f>
        <v>70157877.82760565</v>
      </c>
      <c r="M7" s="1">
        <f>Depreciation!N12</f>
        <v>76355256.872329295</v>
      </c>
      <c r="N7" s="1">
        <f>Depreciation!O12</f>
        <v>83162648.746069163</v>
      </c>
      <c r="O7" s="1">
        <f>Depreciation!P12</f>
        <v>90612748.153740495</v>
      </c>
      <c r="P7" s="1">
        <f>Depreciation!Q12</f>
        <v>98739717.608236194</v>
      </c>
      <c r="Q7" s="1">
        <f>Depreciation!R12</f>
        <v>107579247.89075956</v>
      </c>
      <c r="R7" s="1">
        <f>Depreciation!S12</f>
        <v>117168620.87758295</v>
      </c>
      <c r="S7" s="1">
        <f>Depreciation!T12</f>
        <v>127546774.82277229</v>
      </c>
      <c r="T7" s="1">
        <f>Depreciation!U12</f>
        <v>138754372.18972448</v>
      </c>
      <c r="U7" s="1">
        <f>Depreciation!V12</f>
        <v>150833870.12779245</v>
      </c>
      <c r="V7" s="1">
        <f>Depreciation!W12</f>
        <v>163829593.69382387</v>
      </c>
      <c r="W7" s="1">
        <f>Depreciation!X12</f>
        <v>177787811.92211983</v>
      </c>
      <c r="X7" s="1">
        <f>Depreciation!Y12</f>
        <v>192756816.8501336</v>
      </c>
      <c r="Y7" s="1">
        <f>Depreciation!Z12</f>
        <v>208787005.61118138</v>
      </c>
      <c r="Z7" s="1">
        <f>Depreciation!AA12</f>
        <v>225930965.70953104</v>
      </c>
      <c r="AA7" s="1">
        <f>Depreciation!AB12</f>
        <v>244243563.5974786</v>
      </c>
      <c r="AB7" s="1">
        <f>Depreciation!AC12</f>
        <v>263782036.67841762</v>
      </c>
      <c r="AC7" s="1">
        <f>Depreciation!AD12</f>
        <v>284606088.86446232</v>
      </c>
      <c r="AD7" s="1">
        <f>Depreciation!AE12</f>
        <v>306777989.8219046</v>
      </c>
      <c r="AE7" s="1">
        <f>Depreciation!AF12</f>
        <v>330362678.04267526</v>
      </c>
      <c r="AF7" s="1"/>
      <c r="AG7" s="1"/>
      <c r="AH7" s="1"/>
      <c r="AI7" s="1"/>
      <c r="AJ7" s="1"/>
      <c r="AK7" s="1"/>
      <c r="AL7" s="1"/>
      <c r="AM7" s="1"/>
      <c r="AN7" s="1"/>
      <c r="AO7" s="1"/>
      <c r="AP7" s="1"/>
    </row>
    <row r="8" spans="1:42" x14ac:dyDescent="0.35">
      <c r="A8" t="s">
        <v>190</v>
      </c>
      <c r="B8" s="1">
        <f t="shared" ref="B8:AE8" si="1">B6-B7</f>
        <v>32922558.821392909</v>
      </c>
      <c r="C8" s="1">
        <f t="shared" ca="1" si="1"/>
        <v>32883575.39653381</v>
      </c>
      <c r="D8" s="1">
        <f ca="1">D6-D7</f>
        <v>44662354.301359594</v>
      </c>
      <c r="E8" s="1">
        <f t="shared" ca="1" si="1"/>
        <v>56808439.549514204</v>
      </c>
      <c r="F8" s="1">
        <f t="shared" ca="1" si="1"/>
        <v>69333277.277372152</v>
      </c>
      <c r="G8" s="1">
        <f t="shared" ca="1" si="1"/>
        <v>82248670.052340358</v>
      </c>
      <c r="H8" s="1">
        <f t="shared" ca="1" si="1"/>
        <v>95566787.963600531</v>
      </c>
      <c r="I8" s="1">
        <f t="shared" ca="1" si="1"/>
        <v>109300180.05767378</v>
      </c>
      <c r="J8" s="1">
        <f t="shared" ca="1" si="1"/>
        <v>123461786.12951908</v>
      </c>
      <c r="K8" s="1">
        <f t="shared" ca="1" si="1"/>
        <v>138064948.88020945</v>
      </c>
      <c r="L8" s="1">
        <f t="shared" ca="1" si="1"/>
        <v>153123426.45257336</v>
      </c>
      <c r="M8" s="1">
        <f t="shared" ca="1" si="1"/>
        <v>168651405.35654134</v>
      </c>
      <c r="N8" s="1">
        <f t="shared" ca="1" si="1"/>
        <v>184663513.79630184</v>
      </c>
      <c r="O8" s="1">
        <f t="shared" ca="1" si="1"/>
        <v>201174835.41174796</v>
      </c>
      <c r="P8" s="1">
        <f t="shared" ca="1" si="1"/>
        <v>218200923.44708127</v>
      </c>
      <c r="Q8" s="1">
        <f t="shared" ca="1" si="1"/>
        <v>235757815.3598403</v>
      </c>
      <c r="R8" s="1">
        <f t="shared" ca="1" si="1"/>
        <v>253862047.88403213</v>
      </c>
      <c r="S8" s="1">
        <f t="shared" ca="1" si="1"/>
        <v>272530672.56146979</v>
      </c>
      <c r="T8" s="1">
        <f t="shared" ca="1" si="1"/>
        <v>291781271.75585628</v>
      </c>
      <c r="U8" s="1">
        <f t="shared" ca="1" si="1"/>
        <v>311631975.16460657</v>
      </c>
      <c r="V8" s="1">
        <f t="shared" ca="1" si="1"/>
        <v>332101476.84386498</v>
      </c>
      <c r="W8" s="1">
        <f t="shared" ca="1" si="1"/>
        <v>353209052.76265335</v>
      </c>
      <c r="X8" s="1">
        <f t="shared" ca="1" si="1"/>
        <v>374974578.90258223</v>
      </c>
      <c r="Y8" s="1">
        <f t="shared" ca="1" si="1"/>
        <v>397418549.9200635</v>
      </c>
      <c r="Z8" s="1">
        <f t="shared" ca="1" si="1"/>
        <v>420562098.38849342</v>
      </c>
      <c r="AA8" s="1">
        <f t="shared" ca="1" si="1"/>
        <v>444427014.63841081</v>
      </c>
      <c r="AB8" s="1">
        <f t="shared" ca="1" si="1"/>
        <v>469035767.21419913</v>
      </c>
      <c r="AC8" s="1">
        <f t="shared" ca="1" si="1"/>
        <v>494411523.96647412</v>
      </c>
      <c r="AD8" s="1">
        <f t="shared" ca="1" si="1"/>
        <v>520578173.79989332</v>
      </c>
      <c r="AE8" s="1">
        <f t="shared" ca="1" si="1"/>
        <v>547560349.09673584</v>
      </c>
      <c r="AF8" s="1"/>
      <c r="AG8" s="1"/>
      <c r="AH8" s="1"/>
      <c r="AI8" s="1"/>
      <c r="AJ8" s="1"/>
      <c r="AK8" s="1"/>
      <c r="AL8" s="1"/>
      <c r="AM8" s="1"/>
      <c r="AN8" s="1"/>
      <c r="AO8" s="1"/>
      <c r="AP8" s="1"/>
    </row>
    <row r="10" spans="1:42" x14ac:dyDescent="0.35">
      <c r="A10" t="s">
        <v>17</v>
      </c>
      <c r="B10" s="1">
        <f>B8-B11</f>
        <v>28846558.821392909</v>
      </c>
      <c r="C10" s="1">
        <f ca="1">C8-C11</f>
        <v>17346018.948526144</v>
      </c>
      <c r="D10" s="1">
        <f ca="1">D8-D11</f>
        <v>18543159.793034073</v>
      </c>
      <c r="E10" s="1">
        <f t="shared" ref="E10:AE10" ca="1" si="2">E8-E11</f>
        <v>22232052.80677212</v>
      </c>
      <c r="F10" s="1">
        <f t="shared" ca="1" si="2"/>
        <v>28130132.802153997</v>
      </c>
      <c r="G10" s="1">
        <f ca="1">G8-G11</f>
        <v>35860222.482511327</v>
      </c>
      <c r="H10" s="1">
        <f t="shared" ca="1" si="2"/>
        <v>44296919.572619274</v>
      </c>
      <c r="I10" s="1">
        <f t="shared" ca="1" si="2"/>
        <v>53607888.32634145</v>
      </c>
      <c r="J10" s="1">
        <f t="shared" ca="1" si="2"/>
        <v>63553792.270577043</v>
      </c>
      <c r="K10" s="1">
        <f t="shared" ca="1" si="2"/>
        <v>74021252.843739808</v>
      </c>
      <c r="L10" s="1">
        <f t="shared" ca="1" si="2"/>
        <v>84847553.675957292</v>
      </c>
      <c r="M10" s="1">
        <f t="shared" ca="1" si="2"/>
        <v>96089260.092623711</v>
      </c>
      <c r="N10" s="1">
        <f t="shared" ca="1" si="2"/>
        <v>107810106.64868075</v>
      </c>
      <c r="O10" s="1">
        <f t="shared" ca="1" si="2"/>
        <v>119772938.6777246</v>
      </c>
      <c r="P10" s="1">
        <f t="shared" ca="1" si="2"/>
        <v>132008087.46332623</v>
      </c>
      <c r="Q10" s="1">
        <f t="shared" ca="1" si="2"/>
        <v>144549855.2574777</v>
      </c>
      <c r="R10" s="1">
        <f t="shared" ca="1" si="2"/>
        <v>157436889.79728395</v>
      </c>
      <c r="S10" s="1">
        <f t="shared" ca="1" si="2"/>
        <v>170712588.08018464</v>
      </c>
      <c r="T10" s="1">
        <f t="shared" ca="1" si="2"/>
        <v>184425531.44718254</v>
      </c>
      <c r="U10" s="1">
        <f t="shared" ca="1" si="2"/>
        <v>198629954.15780926</v>
      </c>
      <c r="V10" s="1">
        <f t="shared" ca="1" si="2"/>
        <v>213386247.78323972</v>
      </c>
      <c r="W10" s="1">
        <f t="shared" ca="1" si="2"/>
        <v>228761503.89558482</v>
      </c>
      <c r="X10" s="1">
        <f t="shared" ca="1" si="2"/>
        <v>244574556.00217468</v>
      </c>
      <c r="Y10" s="1">
        <f t="shared" ca="1" si="2"/>
        <v>260601298.33604589</v>
      </c>
      <c r="Z10" s="1">
        <f t="shared" ca="1" si="2"/>
        <v>276854822.85184348</v>
      </c>
      <c r="AA10" s="1">
        <f t="shared" ca="1" si="2"/>
        <v>293350188.57920241</v>
      </c>
      <c r="AB10" s="1">
        <f t="shared" ca="1" si="2"/>
        <v>310104614.52807683</v>
      </c>
      <c r="AC10" s="1">
        <f t="shared" ca="1" si="2"/>
        <v>327137687.24979281</v>
      </c>
      <c r="AD10" s="1">
        <f t="shared" ca="1" si="2"/>
        <v>344471584.01669317</v>
      </c>
      <c r="AE10" s="1">
        <f t="shared" ca="1" si="2"/>
        <v>362131312.64103442</v>
      </c>
      <c r="AF10" s="1"/>
      <c r="AG10" s="1"/>
      <c r="AH10" s="1"/>
      <c r="AI10" s="1"/>
      <c r="AJ10" s="1"/>
      <c r="AK10" s="1"/>
      <c r="AL10" s="1"/>
      <c r="AM10" s="1"/>
      <c r="AN10" s="1"/>
      <c r="AO10" s="1"/>
    </row>
    <row r="11" spans="1:42" x14ac:dyDescent="0.35">
      <c r="A11" t="s">
        <v>9</v>
      </c>
      <c r="B11" s="1">
        <f>Assumptions!$C$20</f>
        <v>4076000</v>
      </c>
      <c r="C11" s="1">
        <f ca="1">'Debt worksheet'!D5</f>
        <v>15537556.448007666</v>
      </c>
      <c r="D11" s="1">
        <f ca="1">'Debt worksheet'!E5</f>
        <v>26119194.508325521</v>
      </c>
      <c r="E11" s="1">
        <f ca="1">'Debt worksheet'!F5</f>
        <v>34576386.742742084</v>
      </c>
      <c r="F11" s="1">
        <f ca="1">'Debt worksheet'!G5</f>
        <v>41203144.475218154</v>
      </c>
      <c r="G11" s="1">
        <f ca="1">'Debt worksheet'!H5</f>
        <v>46388447.569829032</v>
      </c>
      <c r="H11" s="1">
        <f ca="1">'Debt worksheet'!I5</f>
        <v>51269868.390981257</v>
      </c>
      <c r="I11" s="1">
        <f ca="1">'Debt worksheet'!J5</f>
        <v>55692291.731332332</v>
      </c>
      <c r="J11" s="1">
        <f ca="1">'Debt worksheet'!K5</f>
        <v>59907993.858942032</v>
      </c>
      <c r="K11" s="1">
        <f ca="1">'Debt worksheet'!L5</f>
        <v>64043696.036469638</v>
      </c>
      <c r="L11" s="1">
        <f ca="1">'Debt worksheet'!M5</f>
        <v>68275872.776616067</v>
      </c>
      <c r="M11" s="1">
        <f ca="1">'Debt worksheet'!N5</f>
        <v>72562145.263917625</v>
      </c>
      <c r="N11" s="1">
        <f ca="1">'Debt worksheet'!O5</f>
        <v>76853407.147621095</v>
      </c>
      <c r="O11" s="1">
        <f ca="1">'Debt worksheet'!P5</f>
        <v>81401896.734023362</v>
      </c>
      <c r="P11" s="1">
        <f ca="1">'Debt worksheet'!Q5</f>
        <v>86192835.983755037</v>
      </c>
      <c r="Q11" s="1">
        <f ca="1">'Debt worksheet'!R5</f>
        <v>91207960.102362603</v>
      </c>
      <c r="R11" s="1">
        <f ca="1">'Debt worksheet'!S5</f>
        <v>96425158.086748183</v>
      </c>
      <c r="S11" s="1">
        <f ca="1">'Debt worksheet'!T5</f>
        <v>101818084.48128515</v>
      </c>
      <c r="T11" s="1">
        <f ca="1">'Debt worksheet'!U5</f>
        <v>107355740.30867372</v>
      </c>
      <c r="U11" s="1">
        <f ca="1">'Debt worksheet'!V5</f>
        <v>113002021.0067973</v>
      </c>
      <c r="V11" s="1">
        <f ca="1">'Debt worksheet'!W5</f>
        <v>118715229.06062524</v>
      </c>
      <c r="W11" s="1">
        <f ca="1">'Debt worksheet'!X5</f>
        <v>124447548.86706853</v>
      </c>
      <c r="X11" s="1">
        <f ca="1">'Debt worksheet'!Y5</f>
        <v>130400022.90040757</v>
      </c>
      <c r="Y11" s="1">
        <f ca="1">'Debt worksheet'!Z5</f>
        <v>136817251.5840176</v>
      </c>
      <c r="Z11" s="1">
        <f ca="1">'Debt worksheet'!AA5</f>
        <v>143707275.53664994</v>
      </c>
      <c r="AA11" s="1">
        <f ca="1">'Debt worksheet'!AB5</f>
        <v>151076826.05920842</v>
      </c>
      <c r="AB11" s="1">
        <f ca="1">'Debt worksheet'!AC5</f>
        <v>158931152.6861223</v>
      </c>
      <c r="AC11" s="1">
        <f ca="1">'Debt worksheet'!AD5</f>
        <v>167273836.71668133</v>
      </c>
      <c r="AD11" s="1">
        <f ca="1">'Debt worksheet'!AE5</f>
        <v>176106589.78320014</v>
      </c>
      <c r="AE11" s="1">
        <f ca="1">'Debt worksheet'!AF5</f>
        <v>185429036.45570141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293095.55199233489</v>
      </c>
      <c r="D5" s="4">
        <f ca="1">'Profit and Loss'!D9</f>
        <v>1549162.8036821429</v>
      </c>
      <c r="E5" s="4">
        <f ca="1">'Profit and Loss'!E9</f>
        <v>4061794.2572314348</v>
      </c>
      <c r="F5" s="4">
        <f ca="1">'Profit and Loss'!F9</f>
        <v>6292836.3269046657</v>
      </c>
      <c r="G5" s="4">
        <f ca="1">'Profit and Loss'!G9</f>
        <v>8147717.9746700367</v>
      </c>
      <c r="H5" s="4">
        <f ca="1">'Profit and Loss'!H9</f>
        <v>8878256.9223456811</v>
      </c>
      <c r="I5" s="4">
        <f ca="1">'Profit and Loss'!I9</f>
        <v>9777564.0909387656</v>
      </c>
      <c r="J5" s="4">
        <f ca="1">'Profit and Loss'!J9</f>
        <v>10438684.90148141</v>
      </c>
      <c r="K5" s="4">
        <f ca="1">'Profit and Loss'!K9</f>
        <v>10987625.236494429</v>
      </c>
      <c r="L5" s="4">
        <f ca="1">'Profit and Loss'!L9</f>
        <v>11375097.151124306</v>
      </c>
      <c r="M5" s="4">
        <f ca="1">'Profit and Loss'!M9</f>
        <v>11820434.168489847</v>
      </c>
      <c r="N5" s="4">
        <f ca="1">'Profit and Loss'!N9</f>
        <v>12330859.385073254</v>
      </c>
      <c r="O5" s="4">
        <f ca="1">'Profit and Loss'!O9</f>
        <v>12605539.562975312</v>
      </c>
      <c r="P5" s="4">
        <f ca="1">'Profit and Loss'!P9</f>
        <v>12912018.832425989</v>
      </c>
      <c r="Q5" s="4">
        <f ca="1">'Profit and Loss'!Q9</f>
        <v>13254328.622179141</v>
      </c>
      <c r="R5" s="4">
        <f ca="1">'Profit and Loss'!R9</f>
        <v>13636877.244106293</v>
      </c>
      <c r="S5" s="4">
        <f ca="1">'Profit and Loss'!S9</f>
        <v>14064479.241266657</v>
      </c>
      <c r="T5" s="4">
        <f ca="1">'Profit and Loss'!T9</f>
        <v>14542386.788760761</v>
      </c>
      <c r="U5" s="4">
        <f ca="1">'Profit and Loss'!U9</f>
        <v>15076323.281742534</v>
      </c>
      <c r="V5" s="4">
        <f ca="1">'Profit and Loss'!V9</f>
        <v>15672519.253393887</v>
      </c>
      <c r="W5" s="4">
        <f ca="1">'Profit and Loss'!W9</f>
        <v>16337750.77460964</v>
      </c>
      <c r="X5" s="4">
        <f ca="1">'Profit and Loss'!X9</f>
        <v>16823838.806307588</v>
      </c>
      <c r="Y5" s="4">
        <f ca="1">'Profit and Loss'!Y9</f>
        <v>17087926.16690528</v>
      </c>
      <c r="Z5" s="4">
        <f ca="1">'Profit and Loss'!Z9</f>
        <v>17367295.85309945</v>
      </c>
      <c r="AA5" s="4">
        <f ca="1">'Profit and Loss'!AA9</f>
        <v>17664003.516956754</v>
      </c>
      <c r="AB5" s="4">
        <f ca="1">'Profit and Loss'!AB9</f>
        <v>17980301.141865835</v>
      </c>
      <c r="AC5" s="4">
        <f ca="1">'Profit and Loss'!AC9</f>
        <v>18318651.826821625</v>
      </c>
      <c r="AD5" s="4">
        <f ca="1">'Profit and Loss'!AD9</f>
        <v>18681745.538298041</v>
      </c>
      <c r="AE5" s="4">
        <f ca="1">'Profit and Loss'!AE9</f>
        <v>19072515.887669716</v>
      </c>
      <c r="AF5" s="4">
        <f ca="1">'Profit and Loss'!AF9</f>
        <v>19121885.496379223</v>
      </c>
      <c r="AG5" s="4"/>
      <c r="AH5" s="4"/>
      <c r="AI5" s="4"/>
      <c r="AJ5" s="4"/>
      <c r="AK5" s="4"/>
      <c r="AL5" s="4"/>
      <c r="AM5" s="4"/>
      <c r="AN5" s="4"/>
      <c r="AO5" s="4"/>
      <c r="AP5" s="4"/>
    </row>
    <row r="6" spans="1:42" x14ac:dyDescent="0.35">
      <c r="A6" t="s">
        <v>21</v>
      </c>
      <c r="C6" s="4">
        <f>Depreciation!C8+Depreciation!C9</f>
        <v>1279367.3786070896</v>
      </c>
      <c r="D6" s="4">
        <f>Depreciation!D8+Depreciation!D9</f>
        <v>1611446.3554585166</v>
      </c>
      <c r="E6" s="4">
        <f>Depreciation!E8+Depreciation!E9</f>
        <v>1963468.3146327408</v>
      </c>
      <c r="F6" s="4">
        <f>Depreciation!F8+Depreciation!F9</f>
        <v>2336369.5581261264</v>
      </c>
      <c r="G6" s="4">
        <f>Depreciation!G8+Depreciation!G9</f>
        <v>2731125.8896489041</v>
      </c>
      <c r="H6" s="4">
        <f>Depreciation!H8+Depreciation!H9</f>
        <v>3148754.1839616192</v>
      </c>
      <c r="I6" s="4">
        <f>Depreciation!I8+Depreciation!I9</f>
        <v>3590314.0161993466</v>
      </c>
      <c r="J6" s="4">
        <f>Depreciation!J8+Depreciation!J9</f>
        <v>4056909.3534159139</v>
      </c>
      <c r="K6" s="4">
        <f>Depreciation!K8+Depreciation!K9</f>
        <v>4549690.3106617518</v>
      </c>
      <c r="L6" s="4">
        <f>Depreciation!L8+Depreciation!L9</f>
        <v>5069854.9739934262</v>
      </c>
      <c r="M6" s="4">
        <f>Depreciation!M8+Depreciation!M9</f>
        <v>5618651.2929002075</v>
      </c>
      <c r="N6" s="4">
        <f>Depreciation!N8+Depreciation!N9</f>
        <v>6197379.044723656</v>
      </c>
      <c r="O6" s="4">
        <f>Depreciation!O8+Depreciation!O9</f>
        <v>6807391.8737398759</v>
      </c>
      <c r="P6" s="4">
        <f>Depreciation!P8+Depreciation!P9</f>
        <v>7450099.4076713342</v>
      </c>
      <c r="Q6" s="4">
        <f>Depreciation!Q8+Depreciation!Q9</f>
        <v>8126969.4544956964</v>
      </c>
      <c r="R6" s="4">
        <f>Depreciation!R8+Depreciation!R9</f>
        <v>8839530.2825233657</v>
      </c>
      <c r="S6" s="4">
        <f>Depreciation!S8+Depreciation!S9</f>
        <v>9589372.9868234005</v>
      </c>
      <c r="T6" s="4">
        <f>Depreciation!T8+Depreciation!T9</f>
        <v>10378153.945189331</v>
      </c>
      <c r="U6" s="4">
        <f>Depreciation!U8+Depreciation!U9</f>
        <v>11207597.366952173</v>
      </c>
      <c r="V6" s="4">
        <f>Depreciation!V8+Depreciation!V9</f>
        <v>12079497.938067971</v>
      </c>
      <c r="W6" s="4">
        <f>Depreciation!W8+Depreciation!W9</f>
        <v>12995723.566031417</v>
      </c>
      <c r="X6" s="4">
        <f>Depreciation!X8+Depreciation!X9</f>
        <v>13958218.228295935</v>
      </c>
      <c r="Y6" s="4">
        <f>Depreciation!Y8+Depreciation!Y9</f>
        <v>14969004.928013772</v>
      </c>
      <c r="Z6" s="4">
        <f>Depreciation!Z8+Depreciation!Z9</f>
        <v>16030188.761047781</v>
      </c>
      <c r="AA6" s="4">
        <f>Depreciation!AA8+Depreciation!AA9</f>
        <v>17143960.098349676</v>
      </c>
      <c r="AB6" s="4">
        <f>Depreciation!AB8+Depreciation!AB9</f>
        <v>18312597.887947578</v>
      </c>
      <c r="AC6" s="4">
        <f>Depreciation!AC8+Depreciation!AC9</f>
        <v>19538473.080939036</v>
      </c>
      <c r="AD6" s="4">
        <f>Depreciation!AD8+Depreciation!AD9</f>
        <v>20824052.186044693</v>
      </c>
      <c r="AE6" s="4">
        <f>Depreciation!AE8+Depreciation!AE9</f>
        <v>22171900.957442231</v>
      </c>
      <c r="AF6" s="4">
        <f>Depreciation!AF8+Depreciation!AF9</f>
        <v>23584688.220770691</v>
      </c>
      <c r="AG6" s="4"/>
      <c r="AH6" s="4"/>
      <c r="AI6" s="4"/>
      <c r="AJ6" s="4"/>
      <c r="AK6" s="4"/>
      <c r="AL6" s="4"/>
      <c r="AM6" s="4"/>
      <c r="AN6" s="4"/>
      <c r="AO6" s="4"/>
      <c r="AP6" s="4"/>
    </row>
    <row r="7" spans="1:42" x14ac:dyDescent="0.35">
      <c r="A7" t="s">
        <v>23</v>
      </c>
      <c r="C7" s="4">
        <f ca="1">C6+C5</f>
        <v>1572462.9305994245</v>
      </c>
      <c r="D7" s="4">
        <f ca="1">D6+D5</f>
        <v>3160609.1591406595</v>
      </c>
      <c r="E7" s="4">
        <f t="shared" ref="E7:AF7" ca="1" si="1">E6+E5</f>
        <v>6025262.5718641756</v>
      </c>
      <c r="F7" s="4">
        <f t="shared" ca="1" si="1"/>
        <v>8629205.8850307912</v>
      </c>
      <c r="G7" s="4">
        <f ca="1">G6+G5</f>
        <v>10878843.864318941</v>
      </c>
      <c r="H7" s="4">
        <f t="shared" ca="1" si="1"/>
        <v>12027011.1063073</v>
      </c>
      <c r="I7" s="4">
        <f t="shared" ca="1" si="1"/>
        <v>13367878.107138112</v>
      </c>
      <c r="J7" s="4">
        <f t="shared" ca="1" si="1"/>
        <v>14495594.254897324</v>
      </c>
      <c r="K7" s="4">
        <f t="shared" ca="1" si="1"/>
        <v>15537315.547156181</v>
      </c>
      <c r="L7" s="4">
        <f t="shared" ca="1" si="1"/>
        <v>16444952.125117732</v>
      </c>
      <c r="M7" s="4">
        <f t="shared" ca="1" si="1"/>
        <v>17439085.461390056</v>
      </c>
      <c r="N7" s="4">
        <f t="shared" ca="1" si="1"/>
        <v>18528238.429796912</v>
      </c>
      <c r="O7" s="4">
        <f t="shared" ca="1" si="1"/>
        <v>19412931.436715186</v>
      </c>
      <c r="P7" s="4">
        <f t="shared" ca="1" si="1"/>
        <v>20362118.240097322</v>
      </c>
      <c r="Q7" s="4">
        <f t="shared" ca="1" si="1"/>
        <v>21381298.076674838</v>
      </c>
      <c r="R7" s="4">
        <f t="shared" ca="1" si="1"/>
        <v>22476407.526629657</v>
      </c>
      <c r="S7" s="4">
        <f t="shared" ca="1" si="1"/>
        <v>23653852.228090055</v>
      </c>
      <c r="T7" s="4">
        <f t="shared" ca="1" si="1"/>
        <v>24920540.733950093</v>
      </c>
      <c r="U7" s="4">
        <f t="shared" ca="1" si="1"/>
        <v>26283920.648694709</v>
      </c>
      <c r="V7" s="4">
        <f t="shared" ca="1" si="1"/>
        <v>27752017.191461857</v>
      </c>
      <c r="W7" s="4">
        <f t="shared" ca="1" si="1"/>
        <v>29333474.340641059</v>
      </c>
      <c r="X7" s="4">
        <f t="shared" ca="1" si="1"/>
        <v>30782057.034603521</v>
      </c>
      <c r="Y7" s="4">
        <f t="shared" ca="1" si="1"/>
        <v>32056931.094919052</v>
      </c>
      <c r="Z7" s="4">
        <f t="shared" ca="1" si="1"/>
        <v>33397484.614147231</v>
      </c>
      <c r="AA7" s="4">
        <f t="shared" ca="1" si="1"/>
        <v>34807963.61530643</v>
      </c>
      <c r="AB7" s="4">
        <f t="shared" ca="1" si="1"/>
        <v>36292899.029813409</v>
      </c>
      <c r="AC7" s="4">
        <f t="shared" ca="1" si="1"/>
        <v>37857124.907760665</v>
      </c>
      <c r="AD7" s="4">
        <f t="shared" ca="1" si="1"/>
        <v>39505797.724342734</v>
      </c>
      <c r="AE7" s="4">
        <f t="shared" ca="1" si="1"/>
        <v>41244416.845111951</v>
      </c>
      <c r="AF7" s="4">
        <f t="shared" ca="1" si="1"/>
        <v>42706573.717149913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13034019.378607091</v>
      </c>
      <c r="D10" s="9">
        <f>Investment!D25</f>
        <v>13742247.219458515</v>
      </c>
      <c r="E10" s="9">
        <f>Investment!E25</f>
        <v>14482454.806280738</v>
      </c>
      <c r="F10" s="9">
        <f>Investment!F25</f>
        <v>15255963.617506862</v>
      </c>
      <c r="G10" s="9">
        <f>Investment!G25</f>
        <v>16064146.958929822</v>
      </c>
      <c r="H10" s="9">
        <f>Investment!H25</f>
        <v>16908431.927459527</v>
      </c>
      <c r="I10" s="9">
        <f>Investment!I25</f>
        <v>17790301.447489187</v>
      </c>
      <c r="J10" s="9">
        <f>Investment!J25</f>
        <v>18711296.382507026</v>
      </c>
      <c r="K10" s="9">
        <f>Investment!K25</f>
        <v>19673017.724683784</v>
      </c>
      <c r="L10" s="9">
        <f>Investment!L25</f>
        <v>20677128.865264159</v>
      </c>
      <c r="M10" s="9">
        <f>Investment!M25</f>
        <v>21725357.948691607</v>
      </c>
      <c r="N10" s="9">
        <f>Investment!N25</f>
        <v>22819500.313500378</v>
      </c>
      <c r="O10" s="9">
        <f>Investment!O25</f>
        <v>23961421.023117457</v>
      </c>
      <c r="P10" s="9">
        <f>Investment!P25</f>
        <v>25153057.489828996</v>
      </c>
      <c r="Q10" s="9">
        <f>Investment!Q25</f>
        <v>26396422.195282396</v>
      </c>
      <c r="R10" s="9">
        <f>Investment!R25</f>
        <v>27693605.511015244</v>
      </c>
      <c r="S10" s="9">
        <f>Investment!S25</f>
        <v>29046778.62262702</v>
      </c>
      <c r="T10" s="9">
        <f>Investment!T25</f>
        <v>30458196.561338667</v>
      </c>
      <c r="U10" s="9">
        <f>Investment!U25</f>
        <v>31930201.346818283</v>
      </c>
      <c r="V10" s="9">
        <f>Investment!V25</f>
        <v>33465225.245289799</v>
      </c>
      <c r="W10" s="9">
        <f>Investment!W25</f>
        <v>35065794.147084348</v>
      </c>
      <c r="X10" s="9">
        <f>Investment!X25</f>
        <v>36734531.06794256</v>
      </c>
      <c r="Y10" s="9">
        <f>Investment!Y25</f>
        <v>38474159.778529085</v>
      </c>
      <c r="Z10" s="9">
        <f>Investment!Z25</f>
        <v>40287508.566779584</v>
      </c>
      <c r="AA10" s="9">
        <f>Investment!AA25</f>
        <v>42177514.137864903</v>
      </c>
      <c r="AB10" s="9">
        <f>Investment!AB25</f>
        <v>44147225.656727284</v>
      </c>
      <c r="AC10" s="9">
        <f>Investment!AC25</f>
        <v>46199808.938319691</v>
      </c>
      <c r="AD10" s="9">
        <f>Investment!AD25</f>
        <v>48338550.790861532</v>
      </c>
      <c r="AE10" s="9">
        <f>Investment!AE25</f>
        <v>50566863.51761321</v>
      </c>
      <c r="AF10" s="9">
        <f>Investment!AF25</f>
        <v>52888289.582867138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-11461556.448007666</v>
      </c>
      <c r="D12" s="1">
        <f t="shared" ref="D12:AF12" ca="1" si="2">D7-D9-D10</f>
        <v>-10581638.060317855</v>
      </c>
      <c r="E12" s="1">
        <f ca="1">E7-E9-E10</f>
        <v>-8457192.2344165631</v>
      </c>
      <c r="F12" s="1">
        <f t="shared" ca="1" si="2"/>
        <v>-6626757.7324760705</v>
      </c>
      <c r="G12" s="1">
        <f ca="1">G7-G9-G10</f>
        <v>-5185303.0946108811</v>
      </c>
      <c r="H12" s="1">
        <f t="shared" ca="1" si="2"/>
        <v>-4881420.821152227</v>
      </c>
      <c r="I12" s="1">
        <f t="shared" ca="1" si="2"/>
        <v>-4422423.3403510749</v>
      </c>
      <c r="J12" s="1">
        <f t="shared" ca="1" si="2"/>
        <v>-4215702.1276097018</v>
      </c>
      <c r="K12" s="1">
        <f t="shared" ca="1" si="2"/>
        <v>-4135702.1775276028</v>
      </c>
      <c r="L12" s="1">
        <f t="shared" ca="1" si="2"/>
        <v>-4232176.7401464265</v>
      </c>
      <c r="M12" s="1">
        <f t="shared" ca="1" si="2"/>
        <v>-4286272.4873015508</v>
      </c>
      <c r="N12" s="1">
        <f t="shared" ca="1" si="2"/>
        <v>-4291261.8837034665</v>
      </c>
      <c r="O12" s="1">
        <f t="shared" ca="1" si="2"/>
        <v>-4548489.5864022709</v>
      </c>
      <c r="P12" s="1">
        <f t="shared" ca="1" si="2"/>
        <v>-4790939.2497316748</v>
      </c>
      <c r="Q12" s="1">
        <f t="shared" ca="1" si="2"/>
        <v>-5015124.1186075583</v>
      </c>
      <c r="R12" s="1">
        <f t="shared" ca="1" si="2"/>
        <v>-5217197.9843855873</v>
      </c>
      <c r="S12" s="1">
        <f t="shared" ca="1" si="2"/>
        <v>-5392926.3945369646</v>
      </c>
      <c r="T12" s="1">
        <f t="shared" ca="1" si="2"/>
        <v>-5537655.8273885734</v>
      </c>
      <c r="U12" s="1">
        <f t="shared" ca="1" si="2"/>
        <v>-5646280.6981235743</v>
      </c>
      <c r="V12" s="1">
        <f t="shared" ca="1" si="2"/>
        <v>-5713208.0538279414</v>
      </c>
      <c r="W12" s="1">
        <f t="shared" ca="1" si="2"/>
        <v>-5732319.8064432889</v>
      </c>
      <c r="X12" s="1">
        <f t="shared" ca="1" si="2"/>
        <v>-5952474.0333390385</v>
      </c>
      <c r="Y12" s="1">
        <f t="shared" ca="1" si="2"/>
        <v>-6417228.6836100332</v>
      </c>
      <c r="Z12" s="1">
        <f t="shared" ca="1" si="2"/>
        <v>-6890023.9526323527</v>
      </c>
      <c r="AA12" s="1">
        <f t="shared" ca="1" si="2"/>
        <v>-7369550.5225584731</v>
      </c>
      <c r="AB12" s="1">
        <f t="shared" ca="1" si="2"/>
        <v>-7854326.6269138753</v>
      </c>
      <c r="AC12" s="1">
        <f t="shared" ca="1" si="2"/>
        <v>-8342684.0305590257</v>
      </c>
      <c r="AD12" s="1">
        <f t="shared" ca="1" si="2"/>
        <v>-8832753.0665187985</v>
      </c>
      <c r="AE12" s="1">
        <f t="shared" ca="1" si="2"/>
        <v>-9322446.6725012586</v>
      </c>
      <c r="AF12" s="1">
        <f t="shared" ca="1" si="2"/>
        <v>-10181715.865717225</v>
      </c>
      <c r="AG12" s="1"/>
      <c r="AH12" s="1"/>
      <c r="AI12" s="1"/>
      <c r="AJ12" s="1"/>
      <c r="AK12" s="1"/>
      <c r="AL12" s="1"/>
      <c r="AM12" s="1"/>
      <c r="AN12" s="1"/>
      <c r="AO12" s="1"/>
      <c r="AP12" s="1"/>
    </row>
    <row r="13" spans="1:42" x14ac:dyDescent="0.35">
      <c r="A13" t="s">
        <v>19</v>
      </c>
      <c r="C13" s="1">
        <f ca="1">C12</f>
        <v>-11461556.448007666</v>
      </c>
      <c r="D13" s="1">
        <f ca="1">D12</f>
        <v>-10581638.060317855</v>
      </c>
      <c r="E13" s="1">
        <f ca="1">E12</f>
        <v>-8457192.2344165631</v>
      </c>
      <c r="F13" s="1">
        <f t="shared" ref="F13:AF13" ca="1" si="3">F12</f>
        <v>-6626757.7324760705</v>
      </c>
      <c r="G13" s="1">
        <f ca="1">G12</f>
        <v>-5185303.0946108811</v>
      </c>
      <c r="H13" s="1">
        <f t="shared" ca="1" si="3"/>
        <v>-4881420.821152227</v>
      </c>
      <c r="I13" s="1">
        <f t="shared" ca="1" si="3"/>
        <v>-4422423.3403510749</v>
      </c>
      <c r="J13" s="1">
        <f t="shared" ca="1" si="3"/>
        <v>-4215702.1276097018</v>
      </c>
      <c r="K13" s="1">
        <f t="shared" ca="1" si="3"/>
        <v>-4135702.1775276028</v>
      </c>
      <c r="L13" s="1">
        <f t="shared" ca="1" si="3"/>
        <v>-4232176.7401464265</v>
      </c>
      <c r="M13" s="1">
        <f t="shared" ca="1" si="3"/>
        <v>-4286272.4873015508</v>
      </c>
      <c r="N13" s="1">
        <f t="shared" ca="1" si="3"/>
        <v>-4291261.8837034665</v>
      </c>
      <c r="O13" s="1">
        <f t="shared" ca="1" si="3"/>
        <v>-4548489.5864022709</v>
      </c>
      <c r="P13" s="1">
        <f t="shared" ca="1" si="3"/>
        <v>-4790939.2497316748</v>
      </c>
      <c r="Q13" s="1">
        <f t="shared" ca="1" si="3"/>
        <v>-5015124.1186075583</v>
      </c>
      <c r="R13" s="1">
        <f t="shared" ca="1" si="3"/>
        <v>-5217197.9843855873</v>
      </c>
      <c r="S13" s="1">
        <f t="shared" ca="1" si="3"/>
        <v>-5392926.3945369646</v>
      </c>
      <c r="T13" s="1">
        <f t="shared" ca="1" si="3"/>
        <v>-5537655.8273885734</v>
      </c>
      <c r="U13" s="1">
        <f t="shared" ca="1" si="3"/>
        <v>-5646280.6981235743</v>
      </c>
      <c r="V13" s="1">
        <f t="shared" ca="1" si="3"/>
        <v>-5713208.0538279414</v>
      </c>
      <c r="W13" s="1">
        <f t="shared" ca="1" si="3"/>
        <v>-5732319.8064432889</v>
      </c>
      <c r="X13" s="1">
        <f t="shared" ca="1" si="3"/>
        <v>-5952474.0333390385</v>
      </c>
      <c r="Y13" s="1">
        <f t="shared" ca="1" si="3"/>
        <v>-6417228.6836100332</v>
      </c>
      <c r="Z13" s="1">
        <f t="shared" ca="1" si="3"/>
        <v>-6890023.9526323527</v>
      </c>
      <c r="AA13" s="1">
        <f t="shared" ca="1" si="3"/>
        <v>-7369550.5225584731</v>
      </c>
      <c r="AB13" s="1">
        <f t="shared" ca="1" si="3"/>
        <v>-7854326.6269138753</v>
      </c>
      <c r="AC13" s="1">
        <f t="shared" ca="1" si="3"/>
        <v>-8342684.0305590257</v>
      </c>
      <c r="AD13" s="1">
        <f t="shared" ca="1" si="3"/>
        <v>-8832753.0665187985</v>
      </c>
      <c r="AE13" s="1">
        <f t="shared" ca="1" si="3"/>
        <v>-9322446.6725012586</v>
      </c>
      <c r="AF13" s="1">
        <f t="shared" ca="1" si="3"/>
        <v>-10181715.865717225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68403852.400000006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34201926.200000003</v>
      </c>
      <c r="D7" s="9">
        <f>C12</f>
        <v>35481293.578607097</v>
      </c>
      <c r="E7" s="9">
        <f>D12</f>
        <v>37092739.934065618</v>
      </c>
      <c r="F7" s="9">
        <f t="shared" ref="F7:H7" si="1">E12</f>
        <v>39056208.248698354</v>
      </c>
      <c r="G7" s="9">
        <f t="shared" si="1"/>
        <v>41392577.806824476</v>
      </c>
      <c r="H7" s="9">
        <f t="shared" si="1"/>
        <v>44123703.696473382</v>
      </c>
      <c r="I7" s="9">
        <f t="shared" ref="I7" si="2">H12</f>
        <v>47272457.880435005</v>
      </c>
      <c r="J7" s="9">
        <f t="shared" ref="J7" si="3">I12</f>
        <v>50862771.896634355</v>
      </c>
      <c r="K7" s="9">
        <f t="shared" ref="K7" si="4">J12</f>
        <v>54919681.250050269</v>
      </c>
      <c r="L7" s="9">
        <f t="shared" ref="L7" si="5">K12</f>
        <v>59469371.560712017</v>
      </c>
      <c r="M7" s="9">
        <f t="shared" ref="M7" si="6">L12</f>
        <v>64539226.534705445</v>
      </c>
      <c r="N7" s="9">
        <f t="shared" ref="N7" si="7">M12</f>
        <v>70157877.82760565</v>
      </c>
      <c r="O7" s="9">
        <f t="shared" ref="O7" si="8">N12</f>
        <v>76355256.872329295</v>
      </c>
      <c r="P7" s="9">
        <f t="shared" ref="P7" si="9">O12</f>
        <v>83162648.746069163</v>
      </c>
      <c r="Q7" s="9">
        <f t="shared" ref="Q7" si="10">P12</f>
        <v>90612748.153740495</v>
      </c>
      <c r="R7" s="9">
        <f t="shared" ref="R7" si="11">Q12</f>
        <v>98739717.608236194</v>
      </c>
      <c r="S7" s="9">
        <f t="shared" ref="S7" si="12">R12</f>
        <v>107579247.89075956</v>
      </c>
      <c r="T7" s="9">
        <f t="shared" ref="T7" si="13">S12</f>
        <v>117168620.87758295</v>
      </c>
      <c r="U7" s="9">
        <f t="shared" ref="U7" si="14">T12</f>
        <v>127546774.82277229</v>
      </c>
      <c r="V7" s="9">
        <f t="shared" ref="V7" si="15">U12</f>
        <v>138754372.18972448</v>
      </c>
      <c r="W7" s="9">
        <f t="shared" ref="W7" si="16">V12</f>
        <v>150833870.12779245</v>
      </c>
      <c r="X7" s="9">
        <f t="shared" ref="X7" si="17">W12</f>
        <v>163829593.69382387</v>
      </c>
      <c r="Y7" s="9">
        <f t="shared" ref="Y7" si="18">X12</f>
        <v>177787811.92211983</v>
      </c>
      <c r="Z7" s="9">
        <f t="shared" ref="Z7" si="19">Y12</f>
        <v>192756816.8501336</v>
      </c>
      <c r="AA7" s="9">
        <f t="shared" ref="AA7" si="20">Z12</f>
        <v>208787005.61118138</v>
      </c>
      <c r="AB7" s="9">
        <f t="shared" ref="AB7" si="21">AA12</f>
        <v>225930965.70953104</v>
      </c>
      <c r="AC7" s="9">
        <f t="shared" ref="AC7" si="22">AB12</f>
        <v>244243563.5974786</v>
      </c>
      <c r="AD7" s="9">
        <f t="shared" ref="AD7" si="23">AC12</f>
        <v>263782036.67841762</v>
      </c>
      <c r="AE7" s="9">
        <f t="shared" ref="AE7" si="24">AD12</f>
        <v>284606088.86446232</v>
      </c>
      <c r="AF7" s="9">
        <f t="shared" ref="AF7" si="25">AE12</f>
        <v>306777989.8219046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997255.7306070897</v>
      </c>
      <c r="D8" s="9">
        <f>Assumptions!E111*Assumptions!E11</f>
        <v>1029167.9139865165</v>
      </c>
      <c r="E8" s="9">
        <f>Assumptions!F111*Assumptions!F11</f>
        <v>1062101.2872340849</v>
      </c>
      <c r="F8" s="9">
        <f>Assumptions!G111*Assumptions!G11</f>
        <v>1096088.5284255757</v>
      </c>
      <c r="G8" s="9">
        <f>Assumptions!H111*Assumptions!H11</f>
        <v>1131163.3613351942</v>
      </c>
      <c r="H8" s="9">
        <f>Assumptions!I111*Assumptions!I11</f>
        <v>1167360.5888979204</v>
      </c>
      <c r="I8" s="9">
        <f>Assumptions!J111*Assumptions!J11</f>
        <v>1204716.1277426537</v>
      </c>
      <c r="J8" s="9">
        <f>Assumptions!K111*Assumptions!K11</f>
        <v>1243267.0438304187</v>
      </c>
      <c r="K8" s="9">
        <f>Assumptions!L111*Assumptions!L11</f>
        <v>1283051.5892329921</v>
      </c>
      <c r="L8" s="9">
        <f>Assumptions!M111*Assumptions!M11</f>
        <v>1324109.2400884479</v>
      </c>
      <c r="M8" s="9">
        <f>Assumptions!N111*Assumptions!N11</f>
        <v>1366480.7357712782</v>
      </c>
      <c r="N8" s="9">
        <f>Assumptions!O111*Assumptions!O11</f>
        <v>1410208.119315959</v>
      </c>
      <c r="O8" s="9">
        <f>Assumptions!P111*Assumptions!P11</f>
        <v>1455334.7791340698</v>
      </c>
      <c r="P8" s="9">
        <f>Assumptions!Q111*Assumptions!Q11</f>
        <v>1501905.4920663598</v>
      </c>
      <c r="Q8" s="9">
        <f>Assumptions!R111*Assumptions!R11</f>
        <v>1549966.4678124832</v>
      </c>
      <c r="R8" s="9">
        <f>Assumptions!S111*Assumptions!S11</f>
        <v>1599565.3947824829</v>
      </c>
      <c r="S8" s="9">
        <f>Assumptions!T111*Assumptions!T11</f>
        <v>1650751.4874155226</v>
      </c>
      <c r="T8" s="9">
        <f>Assumptions!U111*Assumptions!U11</f>
        <v>1703575.5350128191</v>
      </c>
      <c r="U8" s="9">
        <f>Assumptions!V111*Assumptions!V11</f>
        <v>1758089.952133229</v>
      </c>
      <c r="V8" s="9">
        <f>Assumptions!W111*Assumptions!W11</f>
        <v>1814348.8306014927</v>
      </c>
      <c r="W8" s="9">
        <f>Assumptions!X111*Assumptions!X11</f>
        <v>1872407.9931807406</v>
      </c>
      <c r="X8" s="9">
        <f>Assumptions!Y111*Assumptions!Y11</f>
        <v>1932325.0489625239</v>
      </c>
      <c r="Y8" s="9">
        <f>Assumptions!Z111*Assumptions!Z11</f>
        <v>1994159.4505293246</v>
      </c>
      <c r="Z8" s="9">
        <f>Assumptions!AA111*Assumptions!AA11</f>
        <v>2057972.552946263</v>
      </c>
      <c r="AA8" s="9">
        <f>Assumptions!AB111*Assumptions!AB11</f>
        <v>2123827.6746405438</v>
      </c>
      <c r="AB8" s="9">
        <f>Assumptions!AC111*Assumptions!AC11</f>
        <v>2191790.1602290408</v>
      </c>
      <c r="AC8" s="9">
        <f>Assumptions!AD111*Assumptions!AD11</f>
        <v>2261927.4453563699</v>
      </c>
      <c r="AD8" s="9">
        <f>Assumptions!AE111*Assumptions!AE11</f>
        <v>2334309.1236077743</v>
      </c>
      <c r="AE8" s="9">
        <f>Assumptions!AF111*Assumptions!AF11</f>
        <v>2409007.015563223</v>
      </c>
      <c r="AF8" s="9">
        <f>Assumptions!AG111*Assumptions!AG11</f>
        <v>2486095.2400612459</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282111.64799999999</v>
      </c>
      <c r="D9" s="9">
        <f>Assumptions!E120*Assumptions!E11</f>
        <v>582278.44147199998</v>
      </c>
      <c r="E9" s="9">
        <f>Assumptions!F120*Assumptions!F11</f>
        <v>901367.02739865589</v>
      </c>
      <c r="F9" s="9">
        <f>Assumptions!G120*Assumptions!G11</f>
        <v>1240281.0297005505</v>
      </c>
      <c r="G9" s="9">
        <f>Assumptions!H120*Assumptions!H11</f>
        <v>1599962.5283137101</v>
      </c>
      <c r="H9" s="9">
        <f>Assumptions!I120*Assumptions!I11</f>
        <v>1981393.5950636987</v>
      </c>
      <c r="I9" s="9">
        <f>Assumptions!J120*Assumptions!J11</f>
        <v>2385597.8884566929</v>
      </c>
      <c r="J9" s="9">
        <f>Assumptions!K120*Assumptions!K11</f>
        <v>2813642.3095854949</v>
      </c>
      <c r="K9" s="9">
        <f>Assumptions!L120*Assumptions!L11</f>
        <v>3266638.7214287599</v>
      </c>
      <c r="L9" s="9">
        <f>Assumptions!M120*Assumptions!M11</f>
        <v>3745745.7339049778</v>
      </c>
      <c r="M9" s="9">
        <f>Assumptions!N120*Assumptions!N11</f>
        <v>4252170.5571289295</v>
      </c>
      <c r="N9" s="9">
        <f>Assumptions!O120*Assumptions!O11</f>
        <v>4787170.9254076974</v>
      </c>
      <c r="O9" s="9">
        <f>Assumptions!P120*Assumptions!P11</f>
        <v>5352057.0946058063</v>
      </c>
      <c r="P9" s="9">
        <f>Assumptions!Q120*Assumptions!Q11</f>
        <v>5948193.9156049741</v>
      </c>
      <c r="Q9" s="9">
        <f>Assumptions!R120*Assumptions!R11</f>
        <v>6577002.9866832132</v>
      </c>
      <c r="R9" s="9">
        <f>Assumptions!S120*Assumptions!S11</f>
        <v>7239964.8877408821</v>
      </c>
      <c r="S9" s="9">
        <f>Assumptions!T120*Assumptions!T11</f>
        <v>7938621.4994078772</v>
      </c>
      <c r="T9" s="9">
        <f>Assumptions!U120*Assumptions!U11</f>
        <v>8674578.4101765119</v>
      </c>
      <c r="U9" s="9">
        <f>Assumptions!V120*Assumptions!V11</f>
        <v>9449507.4148189444</v>
      </c>
      <c r="V9" s="9">
        <f>Assumptions!W120*Assumptions!W11</f>
        <v>10265149.107466478</v>
      </c>
      <c r="W9" s="9">
        <f>Assumptions!X120*Assumptions!X11</f>
        <v>11123315.572850676</v>
      </c>
      <c r="X9" s="9">
        <f>Assumptions!Y120*Assumptions!Y11</f>
        <v>12025893.179333411</v>
      </c>
      <c r="Y9" s="9">
        <f>Assumptions!Z120*Assumptions!Z11</f>
        <v>12974845.477484448</v>
      </c>
      <c r="Z9" s="9">
        <f>Assumptions!AA120*Assumptions!AA11</f>
        <v>13972216.208101517</v>
      </c>
      <c r="AA9" s="9">
        <f>Assumptions!AB120*Assumptions!AB11</f>
        <v>15020132.423709132</v>
      </c>
      <c r="AB9" s="9">
        <f>Assumptions!AC120*Assumptions!AC11</f>
        <v>16120807.727718536</v>
      </c>
      <c r="AC9" s="9">
        <f>Assumptions!AD120*Assumptions!AD11</f>
        <v>17276545.635582667</v>
      </c>
      <c r="AD9" s="9">
        <f>Assumptions!AE120*Assumptions!AE11</f>
        <v>18489743.06243692</v>
      </c>
      <c r="AE9" s="9">
        <f>Assumptions!AF120*Assumptions!AF11</f>
        <v>19762893.941879008</v>
      </c>
      <c r="AF9" s="9">
        <f>Assumptions!AG120*Assumptions!AG11</f>
        <v>21098592.980709445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1279367.3786070896</v>
      </c>
      <c r="D10" s="9">
        <f>SUM($C$8:D9)</f>
        <v>2890813.7340656063</v>
      </c>
      <c r="E10" s="9">
        <f>SUM($C$8:E9)</f>
        <v>4854282.0486983471</v>
      </c>
      <c r="F10" s="9">
        <f>SUM($C$8:F9)</f>
        <v>7190651.6068244725</v>
      </c>
      <c r="G10" s="9">
        <f>SUM($C$8:G9)</f>
        <v>9921777.4964733776</v>
      </c>
      <c r="H10" s="9">
        <f>SUM($C$8:H9)</f>
        <v>13070531.680434996</v>
      </c>
      <c r="I10" s="9">
        <f>SUM($C$8:I9)</f>
        <v>16660845.696634343</v>
      </c>
      <c r="J10" s="9">
        <f>SUM($C$8:J9)</f>
        <v>20717755.050050259</v>
      </c>
      <c r="K10" s="9">
        <f>SUM($C$8:K9)</f>
        <v>25267445.360712007</v>
      </c>
      <c r="L10" s="9">
        <f>SUM($C$8:L9)</f>
        <v>30337300.334705431</v>
      </c>
      <c r="M10" s="9">
        <f>SUM($C$8:M9)</f>
        <v>35955951.627605647</v>
      </c>
      <c r="N10" s="9">
        <f>SUM($C$8:N9)</f>
        <v>42153330.672329307</v>
      </c>
      <c r="O10" s="9">
        <f>SUM($C$8:O9)</f>
        <v>48960722.546069182</v>
      </c>
      <c r="P10" s="9">
        <f>SUM($C$8:P9)</f>
        <v>56410821.953740515</v>
      </c>
      <c r="Q10" s="9">
        <f>SUM($C$8:Q9)</f>
        <v>64537791.408236206</v>
      </c>
      <c r="R10" s="9">
        <f>SUM($C$8:R9)</f>
        <v>73377321.690759569</v>
      </c>
      <c r="S10" s="9">
        <f>SUM($C$8:S9)</f>
        <v>82966694.677582964</v>
      </c>
      <c r="T10" s="9">
        <f>SUM($C$8:T9)</f>
        <v>93344848.622772306</v>
      </c>
      <c r="U10" s="9">
        <f>SUM($C$8:U9)</f>
        <v>104552445.98972447</v>
      </c>
      <c r="V10" s="9">
        <f>SUM($C$8:V9)</f>
        <v>116631943.92779244</v>
      </c>
      <c r="W10" s="9">
        <f>SUM($C$8:W9)</f>
        <v>129627667.49382387</v>
      </c>
      <c r="X10" s="9">
        <f>SUM($C$8:X9)</f>
        <v>143585885.72211981</v>
      </c>
      <c r="Y10" s="9">
        <f>SUM($C$8:Y9)</f>
        <v>158554890.65013355</v>
      </c>
      <c r="Z10" s="9">
        <f>SUM($C$8:Z9)</f>
        <v>174585079.41118136</v>
      </c>
      <c r="AA10" s="9">
        <f>SUM($C$8:AA9)</f>
        <v>191729039.50953102</v>
      </c>
      <c r="AB10" s="9">
        <f>SUM($C$8:AB9)</f>
        <v>210041637.39747858</v>
      </c>
      <c r="AC10" s="9">
        <f>SUM($C$8:AC9)</f>
        <v>229580110.47841761</v>
      </c>
      <c r="AD10" s="9">
        <f>SUM($C$8:AD9)</f>
        <v>250404162.6644623</v>
      </c>
      <c r="AE10" s="9">
        <f>SUM($C$8:AE9)</f>
        <v>272576063.62190455</v>
      </c>
      <c r="AF10" s="9">
        <f>SUM($C$8:AF9)</f>
        <v>296160751.84267521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35481293.578607097</v>
      </c>
      <c r="D12" s="9">
        <f>D7+D8+D9</f>
        <v>37092739.934065618</v>
      </c>
      <c r="E12" s="9">
        <f>E7+E8+E9</f>
        <v>39056208.248698354</v>
      </c>
      <c r="F12" s="9">
        <f t="shared" ref="F12:H12" si="26">F7+F8+F9</f>
        <v>41392577.806824476</v>
      </c>
      <c r="G12" s="9">
        <f t="shared" si="26"/>
        <v>44123703.696473382</v>
      </c>
      <c r="H12" s="9">
        <f t="shared" si="26"/>
        <v>47272457.880435005</v>
      </c>
      <c r="I12" s="9">
        <f t="shared" ref="I12:AF12" si="27">I7+I8+I9</f>
        <v>50862771.896634355</v>
      </c>
      <c r="J12" s="9">
        <f t="shared" si="27"/>
        <v>54919681.250050269</v>
      </c>
      <c r="K12" s="9">
        <f t="shared" si="27"/>
        <v>59469371.560712017</v>
      </c>
      <c r="L12" s="9">
        <f t="shared" si="27"/>
        <v>64539226.534705445</v>
      </c>
      <c r="M12" s="9">
        <f t="shared" si="27"/>
        <v>70157877.82760565</v>
      </c>
      <c r="N12" s="9">
        <f t="shared" si="27"/>
        <v>76355256.872329295</v>
      </c>
      <c r="O12" s="9">
        <f t="shared" si="27"/>
        <v>83162648.746069163</v>
      </c>
      <c r="P12" s="9">
        <f t="shared" si="27"/>
        <v>90612748.153740495</v>
      </c>
      <c r="Q12" s="9">
        <f t="shared" si="27"/>
        <v>98739717.608236194</v>
      </c>
      <c r="R12" s="9">
        <f t="shared" si="27"/>
        <v>107579247.89075956</v>
      </c>
      <c r="S12" s="9">
        <f t="shared" si="27"/>
        <v>117168620.87758295</v>
      </c>
      <c r="T12" s="9">
        <f t="shared" si="27"/>
        <v>127546774.82277229</v>
      </c>
      <c r="U12" s="9">
        <f t="shared" si="27"/>
        <v>138754372.18972448</v>
      </c>
      <c r="V12" s="9">
        <f t="shared" si="27"/>
        <v>150833870.12779245</v>
      </c>
      <c r="W12" s="9">
        <f t="shared" si="27"/>
        <v>163829593.69382387</v>
      </c>
      <c r="X12" s="9">
        <f t="shared" si="27"/>
        <v>177787811.92211983</v>
      </c>
      <c r="Y12" s="9">
        <f t="shared" si="27"/>
        <v>192756816.8501336</v>
      </c>
      <c r="Z12" s="9">
        <f t="shared" si="27"/>
        <v>208787005.61118138</v>
      </c>
      <c r="AA12" s="9">
        <f t="shared" si="27"/>
        <v>225930965.70953104</v>
      </c>
      <c r="AB12" s="9">
        <f t="shared" si="27"/>
        <v>244243563.5974786</v>
      </c>
      <c r="AC12" s="9">
        <f t="shared" si="27"/>
        <v>263782036.67841762</v>
      </c>
      <c r="AD12" s="9">
        <f t="shared" si="27"/>
        <v>284606088.86446232</v>
      </c>
      <c r="AE12" s="9">
        <f t="shared" si="27"/>
        <v>306777989.8219046</v>
      </c>
      <c r="AF12" s="9">
        <f t="shared" si="27"/>
        <v>330362678.04267526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13034019.378607091</v>
      </c>
      <c r="D18" s="9">
        <f>Investment!D25</f>
        <v>13742247.219458515</v>
      </c>
      <c r="E18" s="9">
        <f>Investment!E25</f>
        <v>14482454.806280738</v>
      </c>
      <c r="F18" s="9">
        <f>Investment!F25</f>
        <v>15255963.617506862</v>
      </c>
      <c r="G18" s="9">
        <f>Investment!G25</f>
        <v>16064146.958929822</v>
      </c>
      <c r="H18" s="9">
        <f>Investment!H25</f>
        <v>16908431.927459527</v>
      </c>
      <c r="I18" s="9">
        <f>Investment!I25</f>
        <v>17790301.447489187</v>
      </c>
      <c r="J18" s="9">
        <f>Investment!J25</f>
        <v>18711296.382507026</v>
      </c>
      <c r="K18" s="9">
        <f>Investment!K25</f>
        <v>19673017.724683784</v>
      </c>
      <c r="L18" s="9">
        <f>Investment!L25</f>
        <v>20677128.865264159</v>
      </c>
      <c r="M18" s="9">
        <f>Investment!M25</f>
        <v>21725357.948691607</v>
      </c>
      <c r="N18" s="9">
        <f>Investment!N25</f>
        <v>22819500.313500378</v>
      </c>
      <c r="O18" s="9">
        <f>Investment!O25</f>
        <v>23961421.023117457</v>
      </c>
      <c r="P18" s="9">
        <f>Investment!P25</f>
        <v>25153057.489828996</v>
      </c>
      <c r="Q18" s="9">
        <f>Investment!Q25</f>
        <v>26396422.195282396</v>
      </c>
      <c r="R18" s="9">
        <f>Investment!R25</f>
        <v>27693605.511015244</v>
      </c>
      <c r="S18" s="9">
        <f>Investment!S25</f>
        <v>29046778.62262702</v>
      </c>
      <c r="T18" s="9">
        <f>Investment!T25</f>
        <v>30458196.561338667</v>
      </c>
      <c r="U18" s="9">
        <f>Investment!U25</f>
        <v>31930201.346818283</v>
      </c>
      <c r="V18" s="9">
        <f>Investment!V25</f>
        <v>33465225.245289799</v>
      </c>
      <c r="W18" s="9">
        <f>Investment!W25</f>
        <v>35065794.147084348</v>
      </c>
      <c r="X18" s="9">
        <f>Investment!X25</f>
        <v>36734531.06794256</v>
      </c>
      <c r="Y18" s="9">
        <f>Investment!Y25</f>
        <v>38474159.778529085</v>
      </c>
      <c r="Z18" s="9">
        <f>Investment!Z25</f>
        <v>40287508.566779584</v>
      </c>
      <c r="AA18" s="9">
        <f>Investment!AA25</f>
        <v>42177514.137864903</v>
      </c>
      <c r="AB18" s="9">
        <f>Investment!AB25</f>
        <v>44147225.656727284</v>
      </c>
      <c r="AC18" s="9">
        <f>Investment!AC25</f>
        <v>46199808.938319691</v>
      </c>
      <c r="AD18" s="9">
        <f>Investment!AD25</f>
        <v>48338550.790861532</v>
      </c>
      <c r="AE18" s="9">
        <f>Investment!AE25</f>
        <v>50566863.51761321</v>
      </c>
      <c r="AF18" s="9">
        <f>Investment!AF25</f>
        <v>52888289.582867138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47235945.578607097</v>
      </c>
      <c r="D19" s="9">
        <f>D18+C20</f>
        <v>59698825.419458516</v>
      </c>
      <c r="E19" s="9">
        <f>E18+D20</f>
        <v>72569833.870280728</v>
      </c>
      <c r="F19" s="9">
        <f t="shared" ref="F19:AF19" si="28">F18+E20</f>
        <v>85862329.173154846</v>
      </c>
      <c r="G19" s="9">
        <f t="shared" si="28"/>
        <v>99590106.573958546</v>
      </c>
      <c r="H19" s="9">
        <f t="shared" si="28"/>
        <v>113767412.61176917</v>
      </c>
      <c r="I19" s="9">
        <f t="shared" si="28"/>
        <v>128408959.87529674</v>
      </c>
      <c r="J19" s="9">
        <f t="shared" si="28"/>
        <v>143529942.24160445</v>
      </c>
      <c r="K19" s="9">
        <f t="shared" si="28"/>
        <v>159146050.61287233</v>
      </c>
      <c r="L19" s="9">
        <f t="shared" si="28"/>
        <v>175273489.16747475</v>
      </c>
      <c r="M19" s="9">
        <f t="shared" si="28"/>
        <v>191928992.1421729</v>
      </c>
      <c r="N19" s="9">
        <f t="shared" si="28"/>
        <v>209129841.16277307</v>
      </c>
      <c r="O19" s="9">
        <f t="shared" si="28"/>
        <v>226893883.14116687</v>
      </c>
      <c r="P19" s="9">
        <f t="shared" si="28"/>
        <v>245239548.757256</v>
      </c>
      <c r="Q19" s="9">
        <f t="shared" si="28"/>
        <v>264185871.54486707</v>
      </c>
      <c r="R19" s="9">
        <f t="shared" si="28"/>
        <v>283752507.60138661</v>
      </c>
      <c r="S19" s="9">
        <f t="shared" si="28"/>
        <v>303959755.94149023</v>
      </c>
      <c r="T19" s="9">
        <f t="shared" si="28"/>
        <v>324828579.51600546</v>
      </c>
      <c r="U19" s="9">
        <f t="shared" si="28"/>
        <v>346380626.91763437</v>
      </c>
      <c r="V19" s="9">
        <f t="shared" si="28"/>
        <v>368638254.79597199</v>
      </c>
      <c r="W19" s="9">
        <f t="shared" si="28"/>
        <v>391624551.00498837</v>
      </c>
      <c r="X19" s="9">
        <f t="shared" si="28"/>
        <v>415363358.50689948</v>
      </c>
      <c r="Y19" s="9">
        <f t="shared" si="28"/>
        <v>439879300.05713266</v>
      </c>
      <c r="Z19" s="9">
        <f t="shared" si="28"/>
        <v>465197803.69589841</v>
      </c>
      <c r="AA19" s="9">
        <f t="shared" si="28"/>
        <v>491345129.07271552</v>
      </c>
      <c r="AB19" s="9">
        <f t="shared" si="28"/>
        <v>518348394.63109314</v>
      </c>
      <c r="AC19" s="9">
        <f t="shared" si="28"/>
        <v>546235605.68146527</v>
      </c>
      <c r="AD19" s="9">
        <f t="shared" si="28"/>
        <v>575035683.3913877</v>
      </c>
      <c r="AE19" s="9">
        <f t="shared" si="28"/>
        <v>604778494.72295618</v>
      </c>
      <c r="AF19" s="9">
        <f t="shared" si="28"/>
        <v>635494883.34838104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45956578.200000003</v>
      </c>
      <c r="D20" s="9">
        <f>D19-D8-D9</f>
        <v>58087379.063999996</v>
      </c>
      <c r="E20" s="9">
        <f t="shared" ref="E20:AF20" si="29">E19-E8-E9</f>
        <v>70606365.555647984</v>
      </c>
      <c r="F20" s="9">
        <f t="shared" si="29"/>
        <v>83525959.615028724</v>
      </c>
      <c r="G20" s="9">
        <f t="shared" si="29"/>
        <v>96858980.684309646</v>
      </c>
      <c r="H20" s="9">
        <f t="shared" si="29"/>
        <v>110618658.42780755</v>
      </c>
      <c r="I20" s="9">
        <f t="shared" si="29"/>
        <v>124818645.85909741</v>
      </c>
      <c r="J20" s="9">
        <f t="shared" si="29"/>
        <v>139473032.88818854</v>
      </c>
      <c r="K20" s="9">
        <f t="shared" si="29"/>
        <v>154596360.3022106</v>
      </c>
      <c r="L20" s="9">
        <f t="shared" si="29"/>
        <v>170203634.1934813</v>
      </c>
      <c r="M20" s="9">
        <f t="shared" si="29"/>
        <v>186310340.8492727</v>
      </c>
      <c r="N20" s="9">
        <f t="shared" si="29"/>
        <v>202932462.11804941</v>
      </c>
      <c r="O20" s="9">
        <f t="shared" si="29"/>
        <v>220086491.267427</v>
      </c>
      <c r="P20" s="9">
        <f t="shared" si="29"/>
        <v>237789449.34958467</v>
      </c>
      <c r="Q20" s="9">
        <f t="shared" si="29"/>
        <v>256058902.09037137</v>
      </c>
      <c r="R20" s="9">
        <f t="shared" si="29"/>
        <v>274912977.31886321</v>
      </c>
      <c r="S20" s="9">
        <f t="shared" si="29"/>
        <v>294370382.95466679</v>
      </c>
      <c r="T20" s="9">
        <f t="shared" si="29"/>
        <v>314450425.5708161</v>
      </c>
      <c r="U20" s="9">
        <f t="shared" si="29"/>
        <v>335173029.55068219</v>
      </c>
      <c r="V20" s="9">
        <f t="shared" si="29"/>
        <v>356558756.85790402</v>
      </c>
      <c r="W20" s="9">
        <f t="shared" si="29"/>
        <v>378628827.43895692</v>
      </c>
      <c r="X20" s="9">
        <f t="shared" si="29"/>
        <v>401405140.27860355</v>
      </c>
      <c r="Y20" s="9">
        <f t="shared" si="29"/>
        <v>424910295.12911886</v>
      </c>
      <c r="Z20" s="9">
        <f t="shared" si="29"/>
        <v>449167614.93485063</v>
      </c>
      <c r="AA20" s="9">
        <f t="shared" si="29"/>
        <v>474201168.97436583</v>
      </c>
      <c r="AB20" s="9">
        <f t="shared" si="29"/>
        <v>500035796.74314559</v>
      </c>
      <c r="AC20" s="9">
        <f t="shared" si="29"/>
        <v>526697132.60052621</v>
      </c>
      <c r="AD20" s="9">
        <f t="shared" si="29"/>
        <v>554211631.20534301</v>
      </c>
      <c r="AE20" s="9">
        <f t="shared" si="29"/>
        <v>582606593.7655139</v>
      </c>
      <c r="AF20" s="9">
        <f t="shared" si="29"/>
        <v>611910195.12761033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4076000</v>
      </c>
      <c r="D22" s="9">
        <f ca="1">'Balance Sheet'!C11</f>
        <v>15537556.448007666</v>
      </c>
      <c r="E22" s="9">
        <f ca="1">'Balance Sheet'!D11</f>
        <v>26119194.508325521</v>
      </c>
      <c r="F22" s="9">
        <f ca="1">'Balance Sheet'!E11</f>
        <v>34576386.742742084</v>
      </c>
      <c r="G22" s="9">
        <f ca="1">'Balance Sheet'!F11</f>
        <v>41203144.475218154</v>
      </c>
      <c r="H22" s="9">
        <f ca="1">'Balance Sheet'!G11</f>
        <v>46388447.569829032</v>
      </c>
      <c r="I22" s="9">
        <f ca="1">'Balance Sheet'!H11</f>
        <v>51269868.390981257</v>
      </c>
      <c r="J22" s="9">
        <f ca="1">'Balance Sheet'!I11</f>
        <v>55692291.731332332</v>
      </c>
      <c r="K22" s="9">
        <f ca="1">'Balance Sheet'!J11</f>
        <v>59907993.858942032</v>
      </c>
      <c r="L22" s="9">
        <f ca="1">'Balance Sheet'!K11</f>
        <v>64043696.036469638</v>
      </c>
      <c r="M22" s="9">
        <f ca="1">'Balance Sheet'!L11</f>
        <v>68275872.776616067</v>
      </c>
      <c r="N22" s="9">
        <f ca="1">'Balance Sheet'!M11</f>
        <v>72562145.263917625</v>
      </c>
      <c r="O22" s="9">
        <f ca="1">'Balance Sheet'!N11</f>
        <v>76853407.147621095</v>
      </c>
      <c r="P22" s="9">
        <f ca="1">'Balance Sheet'!O11</f>
        <v>81401896.734023362</v>
      </c>
      <c r="Q22" s="9">
        <f ca="1">'Balance Sheet'!P11</f>
        <v>86192835.983755037</v>
      </c>
      <c r="R22" s="9">
        <f ca="1">'Balance Sheet'!Q11</f>
        <v>91207960.102362603</v>
      </c>
      <c r="S22" s="9">
        <f ca="1">'Balance Sheet'!R11</f>
        <v>96425158.086748183</v>
      </c>
      <c r="T22" s="9">
        <f ca="1">'Balance Sheet'!S11</f>
        <v>101818084.48128515</v>
      </c>
      <c r="U22" s="9">
        <f ca="1">'Balance Sheet'!T11</f>
        <v>107355740.30867372</v>
      </c>
      <c r="V22" s="9">
        <f ca="1">'Balance Sheet'!U11</f>
        <v>113002021.0067973</v>
      </c>
      <c r="W22" s="9">
        <f ca="1">'Balance Sheet'!V11</f>
        <v>118715229.06062524</v>
      </c>
      <c r="X22" s="9">
        <f ca="1">'Balance Sheet'!W11</f>
        <v>124447548.86706853</v>
      </c>
      <c r="Y22" s="9">
        <f ca="1">'Balance Sheet'!X11</f>
        <v>130400022.90040757</v>
      </c>
      <c r="Z22" s="9">
        <f ca="1">'Balance Sheet'!Y11</f>
        <v>136817251.5840176</v>
      </c>
      <c r="AA22" s="9">
        <f ca="1">'Balance Sheet'!Z11</f>
        <v>143707275.53664994</v>
      </c>
      <c r="AB22" s="9">
        <f ca="1">'Balance Sheet'!AA11</f>
        <v>151076826.05920842</v>
      </c>
      <c r="AC22" s="9">
        <f ca="1">'Balance Sheet'!AB11</f>
        <v>158931152.6861223</v>
      </c>
      <c r="AD22" s="9">
        <f ca="1">'Balance Sheet'!AC11</f>
        <v>167273836.71668133</v>
      </c>
      <c r="AE22" s="9">
        <f ca="1">'Balance Sheet'!AD11</f>
        <v>176106589.78320014</v>
      </c>
      <c r="AF22" s="9">
        <f ca="1">'Balance Sheet'!AE11</f>
        <v>185429036.45570141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41880578.200000003</v>
      </c>
      <c r="D23" s="9">
        <f t="shared" ref="D23:AF23" ca="1" si="30">D20-D22</f>
        <v>42549822.61599233</v>
      </c>
      <c r="E23" s="9">
        <f t="shared" ca="1" si="30"/>
        <v>44487171.047322467</v>
      </c>
      <c r="F23" s="9">
        <f t="shared" ca="1" si="30"/>
        <v>48949572.87228664</v>
      </c>
      <c r="G23" s="9">
        <f t="shared" ca="1" si="30"/>
        <v>55655836.209091492</v>
      </c>
      <c r="H23" s="9">
        <f t="shared" ca="1" si="30"/>
        <v>64230210.857978523</v>
      </c>
      <c r="I23" s="9">
        <f t="shared" ca="1" si="30"/>
        <v>73548777.468116149</v>
      </c>
      <c r="J23" s="9">
        <f ca="1">J20-J22</f>
        <v>83780741.156856209</v>
      </c>
      <c r="K23" s="9">
        <f t="shared" ca="1" si="30"/>
        <v>94688366.443268567</v>
      </c>
      <c r="L23" s="9">
        <f t="shared" ca="1" si="30"/>
        <v>106159938.15701166</v>
      </c>
      <c r="M23" s="9">
        <f t="shared" ca="1" si="30"/>
        <v>118034468.07265663</v>
      </c>
      <c r="N23" s="9">
        <f t="shared" ca="1" si="30"/>
        <v>130370316.85413179</v>
      </c>
      <c r="O23" s="9">
        <f t="shared" ca="1" si="30"/>
        <v>143233084.1198059</v>
      </c>
      <c r="P23" s="9">
        <f t="shared" ca="1" si="30"/>
        <v>156387552.61556131</v>
      </c>
      <c r="Q23" s="9">
        <f t="shared" ca="1" si="30"/>
        <v>169866066.10661632</v>
      </c>
      <c r="R23" s="9">
        <f t="shared" ca="1" si="30"/>
        <v>183705017.21650061</v>
      </c>
      <c r="S23" s="9">
        <f t="shared" ca="1" si="30"/>
        <v>197945224.86791861</v>
      </c>
      <c r="T23" s="9">
        <f t="shared" ca="1" si="30"/>
        <v>212632341.08953094</v>
      </c>
      <c r="U23" s="9">
        <f t="shared" ca="1" si="30"/>
        <v>227817289.24200845</v>
      </c>
      <c r="V23" s="9">
        <f t="shared" ca="1" si="30"/>
        <v>243556735.8511067</v>
      </c>
      <c r="W23" s="9">
        <f t="shared" ca="1" si="30"/>
        <v>259913598.37833166</v>
      </c>
      <c r="X23" s="9">
        <f t="shared" ca="1" si="30"/>
        <v>276957591.41153502</v>
      </c>
      <c r="Y23" s="9">
        <f t="shared" ca="1" si="30"/>
        <v>294510272.22871131</v>
      </c>
      <c r="Z23" s="9">
        <f t="shared" ca="1" si="30"/>
        <v>312350363.35083306</v>
      </c>
      <c r="AA23" s="9">
        <f t="shared" ca="1" si="30"/>
        <v>330493893.43771589</v>
      </c>
      <c r="AB23" s="9">
        <f t="shared" ca="1" si="30"/>
        <v>348958970.68393719</v>
      </c>
      <c r="AC23" s="9">
        <f t="shared" ca="1" si="30"/>
        <v>367765979.91440392</v>
      </c>
      <c r="AD23" s="9">
        <f t="shared" ca="1" si="30"/>
        <v>386937794.48866165</v>
      </c>
      <c r="AE23" s="9">
        <f t="shared" ca="1" si="30"/>
        <v>406500003.98231375</v>
      </c>
      <c r="AF23" s="9">
        <f t="shared" ca="1" si="30"/>
        <v>426481158.67190892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4076000</v>
      </c>
      <c r="D5" s="1">
        <f ca="1">C5+C6</f>
        <v>15537556.448007666</v>
      </c>
      <c r="E5" s="1">
        <f t="shared" ref="E5:AF5" ca="1" si="1">D5+D6</f>
        <v>26119194.508325521</v>
      </c>
      <c r="F5" s="1">
        <f t="shared" ca="1" si="1"/>
        <v>34576386.742742084</v>
      </c>
      <c r="G5" s="1">
        <f t="shared" ca="1" si="1"/>
        <v>41203144.475218154</v>
      </c>
      <c r="H5" s="1">
        <f t="shared" ca="1" si="1"/>
        <v>46388447.569829032</v>
      </c>
      <c r="I5" s="1">
        <f t="shared" ca="1" si="1"/>
        <v>51269868.390981257</v>
      </c>
      <c r="J5" s="1">
        <f t="shared" ca="1" si="1"/>
        <v>55692291.731332332</v>
      </c>
      <c r="K5" s="1">
        <f t="shared" ca="1" si="1"/>
        <v>59907993.858942032</v>
      </c>
      <c r="L5" s="1">
        <f t="shared" ca="1" si="1"/>
        <v>64043696.036469638</v>
      </c>
      <c r="M5" s="1">
        <f t="shared" ca="1" si="1"/>
        <v>68275872.776616067</v>
      </c>
      <c r="N5" s="1">
        <f t="shared" ca="1" si="1"/>
        <v>72562145.263917625</v>
      </c>
      <c r="O5" s="1">
        <f t="shared" ca="1" si="1"/>
        <v>76853407.147621095</v>
      </c>
      <c r="P5" s="1">
        <f t="shared" ca="1" si="1"/>
        <v>81401896.734023362</v>
      </c>
      <c r="Q5" s="1">
        <f t="shared" ca="1" si="1"/>
        <v>86192835.983755037</v>
      </c>
      <c r="R5" s="1">
        <f t="shared" ca="1" si="1"/>
        <v>91207960.102362603</v>
      </c>
      <c r="S5" s="1">
        <f t="shared" ca="1" si="1"/>
        <v>96425158.086748183</v>
      </c>
      <c r="T5" s="1">
        <f t="shared" ca="1" si="1"/>
        <v>101818084.48128515</v>
      </c>
      <c r="U5" s="1">
        <f t="shared" ca="1" si="1"/>
        <v>107355740.30867372</v>
      </c>
      <c r="V5" s="1">
        <f t="shared" ca="1" si="1"/>
        <v>113002021.0067973</v>
      </c>
      <c r="W5" s="1">
        <f t="shared" ca="1" si="1"/>
        <v>118715229.06062524</v>
      </c>
      <c r="X5" s="1">
        <f t="shared" ca="1" si="1"/>
        <v>124447548.86706853</v>
      </c>
      <c r="Y5" s="1">
        <f t="shared" ca="1" si="1"/>
        <v>130400022.90040757</v>
      </c>
      <c r="Z5" s="1">
        <f t="shared" ca="1" si="1"/>
        <v>136817251.5840176</v>
      </c>
      <c r="AA5" s="1">
        <f t="shared" ca="1" si="1"/>
        <v>143707275.53664994</v>
      </c>
      <c r="AB5" s="1">
        <f t="shared" ca="1" si="1"/>
        <v>151076826.05920842</v>
      </c>
      <c r="AC5" s="1">
        <f t="shared" ca="1" si="1"/>
        <v>158931152.6861223</v>
      </c>
      <c r="AD5" s="1">
        <f t="shared" ca="1" si="1"/>
        <v>167273836.71668133</v>
      </c>
      <c r="AE5" s="1">
        <f t="shared" ca="1" si="1"/>
        <v>176106589.78320014</v>
      </c>
      <c r="AF5" s="1">
        <f t="shared" ca="1" si="1"/>
        <v>185429036.45570141</v>
      </c>
      <c r="AG5" s="1"/>
      <c r="AH5" s="1"/>
      <c r="AI5" s="1"/>
      <c r="AJ5" s="1"/>
      <c r="AK5" s="1"/>
      <c r="AL5" s="1"/>
      <c r="AM5" s="1"/>
      <c r="AN5" s="1"/>
      <c r="AO5" s="1"/>
      <c r="AP5" s="1"/>
    </row>
    <row r="6" spans="1:42" x14ac:dyDescent="0.35">
      <c r="A6" s="63" t="s">
        <v>3</v>
      </c>
      <c r="C6" s="1">
        <f ca="1">-'Cash Flow'!C13</f>
        <v>11461556.448007666</v>
      </c>
      <c r="D6" s="1">
        <f ca="1">-'Cash Flow'!D13</f>
        <v>10581638.060317855</v>
      </c>
      <c r="E6" s="1">
        <f ca="1">-'Cash Flow'!E13</f>
        <v>8457192.2344165631</v>
      </c>
      <c r="F6" s="1">
        <f ca="1">-'Cash Flow'!F13</f>
        <v>6626757.7324760705</v>
      </c>
      <c r="G6" s="1">
        <f ca="1">-'Cash Flow'!G13</f>
        <v>5185303.0946108811</v>
      </c>
      <c r="H6" s="1">
        <f ca="1">-'Cash Flow'!H13</f>
        <v>4881420.821152227</v>
      </c>
      <c r="I6" s="1">
        <f ca="1">-'Cash Flow'!I13</f>
        <v>4422423.3403510749</v>
      </c>
      <c r="J6" s="1">
        <f ca="1">-'Cash Flow'!J13</f>
        <v>4215702.1276097018</v>
      </c>
      <c r="K6" s="1">
        <f ca="1">-'Cash Flow'!K13</f>
        <v>4135702.1775276028</v>
      </c>
      <c r="L6" s="1">
        <f ca="1">-'Cash Flow'!L13</f>
        <v>4232176.7401464265</v>
      </c>
      <c r="M6" s="1">
        <f ca="1">-'Cash Flow'!M13</f>
        <v>4286272.4873015508</v>
      </c>
      <c r="N6" s="1">
        <f ca="1">-'Cash Flow'!N13</f>
        <v>4291261.8837034665</v>
      </c>
      <c r="O6" s="1">
        <f ca="1">-'Cash Flow'!O13</f>
        <v>4548489.5864022709</v>
      </c>
      <c r="P6" s="1">
        <f ca="1">-'Cash Flow'!P13</f>
        <v>4790939.2497316748</v>
      </c>
      <c r="Q6" s="1">
        <f ca="1">-'Cash Flow'!Q13</f>
        <v>5015124.1186075583</v>
      </c>
      <c r="R6" s="1">
        <f ca="1">-'Cash Flow'!R13</f>
        <v>5217197.9843855873</v>
      </c>
      <c r="S6" s="1">
        <f ca="1">-'Cash Flow'!S13</f>
        <v>5392926.3945369646</v>
      </c>
      <c r="T6" s="1">
        <f ca="1">-'Cash Flow'!T13</f>
        <v>5537655.8273885734</v>
      </c>
      <c r="U6" s="1">
        <f ca="1">-'Cash Flow'!U13</f>
        <v>5646280.6981235743</v>
      </c>
      <c r="V6" s="1">
        <f ca="1">-'Cash Flow'!V13</f>
        <v>5713208.0538279414</v>
      </c>
      <c r="W6" s="1">
        <f ca="1">-'Cash Flow'!W13</f>
        <v>5732319.8064432889</v>
      </c>
      <c r="X6" s="1">
        <f ca="1">-'Cash Flow'!X13</f>
        <v>5952474.0333390385</v>
      </c>
      <c r="Y6" s="1">
        <f ca="1">-'Cash Flow'!Y13</f>
        <v>6417228.6836100332</v>
      </c>
      <c r="Z6" s="1">
        <f ca="1">-'Cash Flow'!Z13</f>
        <v>6890023.9526323527</v>
      </c>
      <c r="AA6" s="1">
        <f ca="1">-'Cash Flow'!AA13</f>
        <v>7369550.5225584731</v>
      </c>
      <c r="AB6" s="1">
        <f ca="1">-'Cash Flow'!AB13</f>
        <v>7854326.6269138753</v>
      </c>
      <c r="AC6" s="1">
        <f ca="1">-'Cash Flow'!AC13</f>
        <v>8342684.0305590257</v>
      </c>
      <c r="AD6" s="1">
        <f ca="1">-'Cash Flow'!AD13</f>
        <v>8832753.0665187985</v>
      </c>
      <c r="AE6" s="1">
        <f ca="1">-'Cash Flow'!AE13</f>
        <v>9322446.6725012586</v>
      </c>
      <c r="AF6" s="1">
        <f ca="1">-'Cash Flow'!AF13</f>
        <v>10181715.865717225</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543814.47568026837</v>
      </c>
      <c r="D8" s="1">
        <f ca="1">IF(SUM(D5:D6)&gt;0,Assumptions!$C$26*SUM(D5:D6),Assumptions!$C$27*(SUM(D5:D6)))</f>
        <v>914171.80779139337</v>
      </c>
      <c r="E8" s="1">
        <f ca="1">IF(SUM(E5:E6)&gt;0,Assumptions!$C$26*SUM(E5:E6),Assumptions!$C$27*(SUM(E5:E6)))</f>
        <v>1210173.535995973</v>
      </c>
      <c r="F8" s="1">
        <f ca="1">IF(SUM(F5:F6)&gt;0,Assumptions!$C$26*SUM(F5:F6),Assumptions!$C$27*(SUM(F5:F6)))</f>
        <v>1442110.0566326356</v>
      </c>
      <c r="G8" s="1">
        <f ca="1">IF(SUM(G5:G6)&gt;0,Assumptions!$C$26*SUM(G5:G6),Assumptions!$C$27*(SUM(G5:G6)))</f>
        <v>1623595.6649440164</v>
      </c>
      <c r="H8" s="1">
        <f ca="1">IF(SUM(H5:H6)&gt;0,Assumptions!$C$26*SUM(H5:H6),Assumptions!$C$27*(SUM(H5:H6)))</f>
        <v>1794445.3936843441</v>
      </c>
      <c r="I8" s="1">
        <f ca="1">IF(SUM(I5:I6)&gt;0,Assumptions!$C$26*SUM(I5:I6),Assumptions!$C$27*(SUM(I5:I6)))</f>
        <v>1949230.2105966317</v>
      </c>
      <c r="J8" s="1">
        <f ca="1">IF(SUM(J5:J6)&gt;0,Assumptions!$C$26*SUM(J5:J6),Assumptions!$C$27*(SUM(J5:J6)))</f>
        <v>2096779.7850629713</v>
      </c>
      <c r="K8" s="1">
        <f ca="1">IF(SUM(K5:K6)&gt;0,Assumptions!$C$26*SUM(K5:K6),Assumptions!$C$27*(SUM(K5:K6)))</f>
        <v>2241529.3612764375</v>
      </c>
      <c r="L8" s="1">
        <f ca="1">IF(SUM(L5:L6)&gt;0,Assumptions!$C$26*SUM(L5:L6),Assumptions!$C$27*(SUM(L5:L6)))</f>
        <v>2389655.5471815625</v>
      </c>
      <c r="M8" s="1">
        <f ca="1">IF(SUM(M5:M6)&gt;0,Assumptions!$C$26*SUM(M5:M6),Assumptions!$C$27*(SUM(M5:M6)))</f>
        <v>2539675.0842371173</v>
      </c>
      <c r="N8" s="1">
        <f ca="1">IF(SUM(N5:N6)&gt;0,Assumptions!$C$26*SUM(N5:N6),Assumptions!$C$27*(SUM(N5:N6)))</f>
        <v>2689869.2501667384</v>
      </c>
      <c r="O8" s="1">
        <f ca="1">IF(SUM(O5:O6)&gt;0,Assumptions!$C$26*SUM(O5:O6),Assumptions!$C$27*(SUM(O5:O6)))</f>
        <v>2849066.3856908181</v>
      </c>
      <c r="P8" s="1">
        <f ca="1">IF(SUM(P5:P6)&gt;0,Assumptions!$C$26*SUM(P5:P6),Assumptions!$C$27*(SUM(P5:P6)))</f>
        <v>3016749.2594314264</v>
      </c>
      <c r="Q8" s="1">
        <f ca="1">IF(SUM(Q5:Q6)&gt;0,Assumptions!$C$26*SUM(Q5:Q6),Assumptions!$C$27*(SUM(Q5:Q6)))</f>
        <v>3192278.6035826914</v>
      </c>
      <c r="R8" s="1">
        <f ca="1">IF(SUM(R5:R6)&gt;0,Assumptions!$C$26*SUM(R5:R6),Assumptions!$C$27*(SUM(R5:R6)))</f>
        <v>3374880.5330361868</v>
      </c>
      <c r="S8" s="1">
        <f ca="1">IF(SUM(S5:S6)&gt;0,Assumptions!$C$26*SUM(S5:S6),Assumptions!$C$27*(SUM(S5:S6)))</f>
        <v>3563632.9568449808</v>
      </c>
      <c r="T8" s="1">
        <f ca="1">IF(SUM(T5:T6)&gt;0,Assumptions!$C$26*SUM(T5:T6),Assumptions!$C$27*(SUM(T5:T6)))</f>
        <v>3757450.9108035807</v>
      </c>
      <c r="U8" s="1">
        <f ca="1">IF(SUM(U5:U6)&gt;0,Assumptions!$C$26*SUM(U5:U6),Assumptions!$C$27*(SUM(U5:U6)))</f>
        <v>3955070.7352379058</v>
      </c>
      <c r="V8" s="1">
        <f ca="1">IF(SUM(V5:V6)&gt;0,Assumptions!$C$26*SUM(V5:V6),Assumptions!$C$27*(SUM(V5:V6)))</f>
        <v>4155033.0171218836</v>
      </c>
      <c r="W8" s="1">
        <f ca="1">IF(SUM(W5:W6)&gt;0,Assumptions!$C$26*SUM(W5:W6),Assumptions!$C$27*(SUM(W5:W6)))</f>
        <v>4355664.2103473991</v>
      </c>
      <c r="X8" s="1">
        <f ca="1">IF(SUM(X5:X6)&gt;0,Assumptions!$C$26*SUM(X5:X6),Assumptions!$C$27*(SUM(X5:X6)))</f>
        <v>4564000.8015142651</v>
      </c>
      <c r="Y8" s="1">
        <f ca="1">IF(SUM(Y5:Y6)&gt;0,Assumptions!$C$26*SUM(Y5:Y6),Assumptions!$C$27*(SUM(Y5:Y6)))</f>
        <v>4788603.8054406168</v>
      </c>
      <c r="Z8" s="1">
        <f ca="1">IF(SUM(Z5:Z6)&gt;0,Assumptions!$C$26*SUM(Z5:Z6),Assumptions!$C$27*(SUM(Z5:Z6)))</f>
        <v>5029754.6437827488</v>
      </c>
      <c r="AA8" s="1">
        <f ca="1">IF(SUM(AA5:AA6)&gt;0,Assumptions!$C$26*SUM(AA5:AA6),Assumptions!$C$27*(SUM(AA5:AA6)))</f>
        <v>5287688.9120722953</v>
      </c>
      <c r="AB8" s="1">
        <f ca="1">IF(SUM(AB5:AB6)&gt;0,Assumptions!$C$26*SUM(AB5:AB6),Assumptions!$C$27*(SUM(AB5:AB6)))</f>
        <v>5562590.3440142814</v>
      </c>
      <c r="AC8" s="1">
        <f ca="1">IF(SUM(AC5:AC6)&gt;0,Assumptions!$C$26*SUM(AC5:AC6),Assumptions!$C$27*(SUM(AC5:AC6)))</f>
        <v>5854584.2850838471</v>
      </c>
      <c r="AD8" s="1">
        <f ca="1">IF(SUM(AD5:AD6)&gt;0,Assumptions!$C$26*SUM(AD5:AD6),Assumptions!$C$27*(SUM(AD5:AD6)))</f>
        <v>6163730.6424120059</v>
      </c>
      <c r="AE8" s="1">
        <f ca="1">IF(SUM(AE5:AE6)&gt;0,Assumptions!$C$26*SUM(AE5:AE6),Assumptions!$C$27*(SUM(AE5:AE6)))</f>
        <v>6490016.2759495499</v>
      </c>
      <c r="AF8" s="1">
        <f ca="1">IF(SUM(AF5:AF6)&gt;0,Assumptions!$C$26*SUM(AF5:AF6),Assumptions!$C$27*(SUM(AF5:AF6)))</f>
        <v>6846376.3312496534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7"/>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52"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2"/>
    </row>
    <row r="6" spans="1:3" ht="18.5" x14ac:dyDescent="0.45">
      <c r="A6" s="90"/>
      <c r="B6" s="182"/>
    </row>
    <row r="7" spans="1:3" ht="18.5" x14ac:dyDescent="0.45">
      <c r="A7" s="90" t="s">
        <v>96</v>
      </c>
      <c r="B7" s="183">
        <f>Assumptions!C24</f>
        <v>3094000</v>
      </c>
      <c r="C7" s="181" t="str">
        <f>Assumptions!B24</f>
        <v>RFI Table F10; Line F10.62</v>
      </c>
    </row>
    <row r="8" spans="1:3" ht="34" x14ac:dyDescent="0.45">
      <c r="A8" s="90" t="s">
        <v>173</v>
      </c>
      <c r="B8" s="184">
        <f>Assumptions!$C$133</f>
        <v>0.7</v>
      </c>
      <c r="C8" s="181" t="s">
        <v>199</v>
      </c>
    </row>
    <row r="9" spans="1:3" ht="18.5" x14ac:dyDescent="0.45">
      <c r="A9" s="90"/>
      <c r="B9" s="185"/>
      <c r="C9" s="181"/>
    </row>
    <row r="10" spans="1:3" ht="68" x14ac:dyDescent="0.45">
      <c r="A10" s="94" t="s">
        <v>102</v>
      </c>
      <c r="B10" s="186">
        <f>Assumptions!C135</f>
        <v>1807.9629629629628</v>
      </c>
      <c r="C10" s="181" t="s">
        <v>200</v>
      </c>
    </row>
    <row r="11" spans="1:3" ht="18.5" x14ac:dyDescent="0.45">
      <c r="A11" s="94"/>
      <c r="B11" s="187"/>
      <c r="C11" s="181"/>
    </row>
    <row r="12" spans="1:3" ht="18.5" x14ac:dyDescent="0.45">
      <c r="A12" s="94" t="s">
        <v>183</v>
      </c>
      <c r="B12" s="183">
        <f>(B7*B8)/B10</f>
        <v>1197.9227696404794</v>
      </c>
      <c r="C12" s="181"/>
    </row>
    <row r="13" spans="1:3" ht="18.5" x14ac:dyDescent="0.45">
      <c r="A13" s="96"/>
      <c r="B13" s="188"/>
      <c r="C13" s="181"/>
    </row>
    <row r="14" spans="1:3" ht="18.5" x14ac:dyDescent="0.45">
      <c r="A14" s="94" t="s">
        <v>103</v>
      </c>
      <c r="B14" s="103">
        <v>1</v>
      </c>
      <c r="C14" s="181"/>
    </row>
    <row r="15" spans="1:3" ht="18.5" x14ac:dyDescent="0.45">
      <c r="A15" s="96"/>
      <c r="B15" s="99"/>
      <c r="C15" s="181"/>
    </row>
    <row r="16" spans="1:3" ht="18.5" x14ac:dyDescent="0.45">
      <c r="A16" s="96" t="s">
        <v>178</v>
      </c>
      <c r="B16" s="189">
        <f>B12/B14</f>
        <v>1197.9227696404794</v>
      </c>
      <c r="C16" s="181"/>
    </row>
    <row r="17" spans="1:3" ht="18.5" x14ac:dyDescent="0.45">
      <c r="A17" s="94"/>
      <c r="B17" s="190"/>
      <c r="C17" s="181"/>
    </row>
    <row r="18" spans="1:3" ht="18.5" x14ac:dyDescent="0.45">
      <c r="A18" s="102" t="s">
        <v>177</v>
      </c>
      <c r="B18" s="190"/>
      <c r="C18" s="181"/>
    </row>
    <row r="19" spans="1:3" ht="18.5" x14ac:dyDescent="0.45">
      <c r="A19" s="94"/>
      <c r="B19" s="190"/>
      <c r="C19" s="181"/>
    </row>
    <row r="20" spans="1:3" ht="34" x14ac:dyDescent="0.45">
      <c r="A20" s="94" t="s">
        <v>65</v>
      </c>
      <c r="B20" s="183">
        <f>'Profit and Loss'!L5</f>
        <v>25949521.922178436</v>
      </c>
      <c r="C20" s="181" t="s">
        <v>201</v>
      </c>
    </row>
    <row r="21" spans="1:3" ht="34" x14ac:dyDescent="0.45">
      <c r="A21" s="94" t="str">
        <f>A8</f>
        <v>Assumed revenue from households</v>
      </c>
      <c r="B21" s="184">
        <f>B8</f>
        <v>0.7</v>
      </c>
      <c r="C21" s="181" t="s">
        <v>199</v>
      </c>
    </row>
    <row r="22" spans="1:3" ht="18.5" x14ac:dyDescent="0.45">
      <c r="A22" s="94"/>
      <c r="B22" s="187"/>
      <c r="C22" s="181"/>
    </row>
    <row r="23" spans="1:3" ht="34" x14ac:dyDescent="0.45">
      <c r="A23" s="94" t="s">
        <v>101</v>
      </c>
      <c r="B23" s="186">
        <f>Assumptions!M135</f>
        <v>1943.1281209873021</v>
      </c>
      <c r="C23" s="181" t="s">
        <v>202</v>
      </c>
    </row>
    <row r="24" spans="1:3" ht="18.5" x14ac:dyDescent="0.45">
      <c r="A24" s="94"/>
      <c r="B24" s="187"/>
      <c r="C24" s="181"/>
    </row>
    <row r="25" spans="1:3" ht="18.5" x14ac:dyDescent="0.45">
      <c r="A25" s="94" t="s">
        <v>182</v>
      </c>
      <c r="B25" s="183">
        <f>(B20*B21)/B23</f>
        <v>9348.1562792140794</v>
      </c>
      <c r="C25" s="181"/>
    </row>
    <row r="26" spans="1:3" ht="18.5" x14ac:dyDescent="0.45">
      <c r="A26" s="94"/>
      <c r="B26" s="183"/>
      <c r="C26" s="181"/>
    </row>
    <row r="27" spans="1:3" ht="34" x14ac:dyDescent="0.45">
      <c r="A27" s="94" t="s">
        <v>103</v>
      </c>
      <c r="B27" s="103">
        <f>1.022^11</f>
        <v>1.2704566586717592</v>
      </c>
      <c r="C27" s="181" t="s">
        <v>203</v>
      </c>
    </row>
    <row r="28" spans="1:3" ht="18.5" x14ac:dyDescent="0.45">
      <c r="A28" s="96"/>
      <c r="B28" s="188"/>
      <c r="C28" s="181"/>
    </row>
    <row r="29" spans="1:3" ht="18.5" x14ac:dyDescent="0.45">
      <c r="A29" s="96" t="s">
        <v>179</v>
      </c>
      <c r="B29" s="183">
        <f>B25/B27</f>
        <v>7358.1071935090004</v>
      </c>
      <c r="C29" s="181"/>
    </row>
    <row r="30" spans="1:3" ht="18.5" x14ac:dyDescent="0.45">
      <c r="A30" s="96"/>
      <c r="B30" s="188"/>
      <c r="C30" s="181"/>
    </row>
    <row r="31" spans="1:3" ht="18.5" x14ac:dyDescent="0.45">
      <c r="A31" s="102" t="s">
        <v>185</v>
      </c>
      <c r="B31" s="191"/>
      <c r="C31" s="181"/>
    </row>
    <row r="32" spans="1:3" ht="18.5" x14ac:dyDescent="0.45">
      <c r="A32" s="94"/>
      <c r="B32" s="183"/>
      <c r="C32" s="181"/>
    </row>
    <row r="33" spans="1:3" ht="34" x14ac:dyDescent="0.45">
      <c r="A33" s="94" t="s">
        <v>66</v>
      </c>
      <c r="B33" s="183">
        <f>'Profit and Loss'!AF5</f>
        <v>74363293.044700027</v>
      </c>
      <c r="C33" s="181" t="s">
        <v>201</v>
      </c>
    </row>
    <row r="34" spans="1:3" ht="34" x14ac:dyDescent="0.45">
      <c r="A34" s="94" t="str">
        <f>A21</f>
        <v>Assumed revenue from households</v>
      </c>
      <c r="B34" s="184">
        <f>B21</f>
        <v>0.7</v>
      </c>
      <c r="C34" s="181" t="s">
        <v>199</v>
      </c>
    </row>
    <row r="35" spans="1:3" ht="18.5" x14ac:dyDescent="0.45">
      <c r="A35" s="94"/>
      <c r="B35" s="187"/>
      <c r="C35" s="181"/>
    </row>
    <row r="36" spans="1:3" ht="34" x14ac:dyDescent="0.45">
      <c r="A36" s="94" t="s">
        <v>100</v>
      </c>
      <c r="B36" s="186">
        <f>Assumptions!AG135</f>
        <v>2244.5291594081809</v>
      </c>
      <c r="C36" s="181" t="s">
        <v>202</v>
      </c>
    </row>
    <row r="37" spans="1:3" ht="18.5" x14ac:dyDescent="0.45">
      <c r="A37" s="94"/>
      <c r="B37" s="187"/>
      <c r="C37" s="181"/>
    </row>
    <row r="38" spans="1:3" ht="18.5" x14ac:dyDescent="0.45">
      <c r="A38" s="94" t="s">
        <v>181</v>
      </c>
      <c r="B38" s="183">
        <f>(B33*B34)/B36</f>
        <v>23191.636835324192</v>
      </c>
      <c r="C38" s="181"/>
    </row>
    <row r="39" spans="1:3" ht="18.5" x14ac:dyDescent="0.45">
      <c r="A39" s="94"/>
      <c r="B39" s="187"/>
      <c r="C39" s="181"/>
    </row>
    <row r="40" spans="1:3" ht="34" x14ac:dyDescent="0.45">
      <c r="A40" s="94" t="s">
        <v>103</v>
      </c>
      <c r="B40" s="103">
        <f>1.022^31</f>
        <v>1.9632597808456462</v>
      </c>
      <c r="C40" s="181" t="s">
        <v>203</v>
      </c>
    </row>
    <row r="41" spans="1:3" ht="18.5" x14ac:dyDescent="0.45">
      <c r="A41" s="96"/>
      <c r="B41" s="188"/>
    </row>
    <row r="42" spans="1:3" ht="18.5" x14ac:dyDescent="0.45">
      <c r="A42" s="96" t="s">
        <v>180</v>
      </c>
      <c r="B42" s="183">
        <f>B38/B40</f>
        <v>11812.821238223871</v>
      </c>
    </row>
    <row r="43" spans="1:3" x14ac:dyDescent="0.35">
      <c r="B43" s="192"/>
    </row>
    <row r="44" spans="1:3" x14ac:dyDescent="0.35">
      <c r="B44" s="192"/>
    </row>
    <row r="45" spans="1:3" x14ac:dyDescent="0.35">
      <c r="B45" s="192"/>
    </row>
    <row r="46" spans="1:3" x14ac:dyDescent="0.35">
      <c r="B46" s="192"/>
    </row>
    <row r="47" spans="1:3" x14ac:dyDescent="0.35">
      <c r="B47" s="19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7.2358865554094098E-3</v>
      </c>
      <c r="D13" s="128">
        <f t="shared" ref="D13:AG13" si="3">(1+$C$13)^D8</f>
        <v>1.0072358865554094</v>
      </c>
      <c r="E13" s="128">
        <f t="shared" si="3"/>
        <v>1.0145241311650617</v>
      </c>
      <c r="F13" s="128">
        <f t="shared" si="3"/>
        <v>1.0218651126858973</v>
      </c>
      <c r="G13" s="128">
        <f t="shared" si="3"/>
        <v>1.0292592127162232</v>
      </c>
      <c r="H13" s="128">
        <f t="shared" si="3"/>
        <v>1.0367068156155479</v>
      </c>
      <c r="I13" s="128">
        <f t="shared" si="3"/>
        <v>1.0442083085245617</v>
      </c>
      <c r="J13" s="128">
        <f t="shared" si="3"/>
        <v>1.0517640813852613</v>
      </c>
      <c r="K13" s="128">
        <f t="shared" si="3"/>
        <v>1.0593745269612196</v>
      </c>
      <c r="L13" s="128">
        <f t="shared" si="3"/>
        <v>1.0670400408580014</v>
      </c>
      <c r="M13" s="128">
        <f t="shared" si="3"/>
        <v>1.0747610215437295</v>
      </c>
      <c r="N13" s="128">
        <f t="shared" si="3"/>
        <v>1.0825378703697959</v>
      </c>
      <c r="O13" s="128">
        <f t="shared" si="3"/>
        <v>1.0903709915917263</v>
      </c>
      <c r="P13" s="128">
        <f t="shared" si="3"/>
        <v>1.0982607923901933</v>
      </c>
      <c r="Q13" s="128">
        <f t="shared" si="3"/>
        <v>1.1062076828921827</v>
      </c>
      <c r="R13" s="128">
        <f t="shared" si="3"/>
        <v>1.1142120761923129</v>
      </c>
      <c r="S13" s="128">
        <f t="shared" si="3"/>
        <v>1.1222743883743078</v>
      </c>
      <c r="T13" s="128">
        <f t="shared" si="3"/>
        <v>1.1303950385326258</v>
      </c>
      <c r="U13" s="128">
        <f t="shared" si="3"/>
        <v>1.1385744487942457</v>
      </c>
      <c r="V13" s="128">
        <f t="shared" si="3"/>
        <v>1.1468130443406086</v>
      </c>
      <c r="W13" s="128">
        <f t="shared" si="3"/>
        <v>1.155111253429721</v>
      </c>
      <c r="X13" s="128">
        <f t="shared" si="3"/>
        <v>1.1634695074184154</v>
      </c>
      <c r="Y13" s="128">
        <f t="shared" si="3"/>
        <v>1.171888240784773</v>
      </c>
      <c r="Z13" s="128">
        <f t="shared" si="3"/>
        <v>1.1803678911507098</v>
      </c>
      <c r="AA13" s="128">
        <f t="shared" si="3"/>
        <v>1.1889088993047243</v>
      </c>
      <c r="AB13" s="128">
        <f t="shared" si="3"/>
        <v>1.19751170922481</v>
      </c>
      <c r="AC13" s="128">
        <f t="shared" si="3"/>
        <v>1.2061767681015354</v>
      </c>
      <c r="AD13" s="128">
        <f t="shared" si="3"/>
        <v>1.2149045263612883</v>
      </c>
      <c r="AE13" s="128">
        <f t="shared" si="3"/>
        <v>1.2236954376896922</v>
      </c>
      <c r="AF13" s="128">
        <f t="shared" si="3"/>
        <v>1.2325499590551867</v>
      </c>
      <c r="AG13" s="128">
        <f t="shared" si="3"/>
        <v>1.2414685507327847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68403852.400000006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34201926.200000003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4076000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3094000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2146000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61344137.999999985</v>
      </c>
      <c r="D49" s="140"/>
      <c r="E49" s="74"/>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75463566.800000027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181182.60520495215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315223.68234437978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248203.14377466595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493853.20860300184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808365.5712956218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651109.38994931185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966333.07229369157</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74"/>
      <c r="G76" s="179"/>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175</v>
      </c>
      <c r="C77" s="87">
        <v>2358083.1819180488</v>
      </c>
      <c r="D77" s="172"/>
      <c r="E77" s="169"/>
      <c r="F77" s="74"/>
      <c r="G77" s="179"/>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697001720.20964813</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798834890.74346542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699359803.39156616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801192973.92538345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6569</v>
      </c>
      <c r="D85" s="180"/>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3194</v>
      </c>
      <c r="D86" s="180"/>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4881.5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143267.39801117816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164128.43878426374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341705000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341705000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341705000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341705000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11390166.666666666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966333.07229369157</v>
      </c>
      <c r="E111" s="149">
        <f t="shared" si="9"/>
        <v>966333.07229369157</v>
      </c>
      <c r="F111" s="149">
        <f t="shared" si="9"/>
        <v>966333.07229369157</v>
      </c>
      <c r="G111" s="149">
        <f t="shared" si="9"/>
        <v>966333.07229369157</v>
      </c>
      <c r="H111" s="149">
        <f t="shared" si="9"/>
        <v>966333.07229369157</v>
      </c>
      <c r="I111" s="149">
        <f t="shared" si="9"/>
        <v>966333.07229369157</v>
      </c>
      <c r="J111" s="149">
        <f t="shared" si="9"/>
        <v>966333.07229369157</v>
      </c>
      <c r="K111" s="149">
        <f t="shared" si="9"/>
        <v>966333.07229369157</v>
      </c>
      <c r="L111" s="149">
        <f t="shared" si="9"/>
        <v>966333.07229369157</v>
      </c>
      <c r="M111" s="149">
        <f t="shared" si="9"/>
        <v>966333.07229369157</v>
      </c>
      <c r="N111" s="149">
        <f t="shared" si="9"/>
        <v>966333.07229369157</v>
      </c>
      <c r="O111" s="149">
        <f t="shared" si="9"/>
        <v>966333.07229369157</v>
      </c>
      <c r="P111" s="149">
        <f t="shared" si="9"/>
        <v>966333.07229369157</v>
      </c>
      <c r="Q111" s="149">
        <f t="shared" si="9"/>
        <v>966333.07229369157</v>
      </c>
      <c r="R111" s="149">
        <f t="shared" si="9"/>
        <v>966333.07229369157</v>
      </c>
      <c r="S111" s="149">
        <f t="shared" si="9"/>
        <v>966333.07229369157</v>
      </c>
      <c r="T111" s="149">
        <f t="shared" si="9"/>
        <v>966333.07229369157</v>
      </c>
      <c r="U111" s="149">
        <f t="shared" si="9"/>
        <v>966333.07229369157</v>
      </c>
      <c r="V111" s="149">
        <f t="shared" si="9"/>
        <v>966333.07229369157</v>
      </c>
      <c r="W111" s="149">
        <f t="shared" si="9"/>
        <v>966333.07229369157</v>
      </c>
      <c r="X111" s="149">
        <f t="shared" si="9"/>
        <v>966333.07229369157</v>
      </c>
      <c r="Y111" s="149">
        <f t="shared" si="9"/>
        <v>966333.07229369157</v>
      </c>
      <c r="Z111" s="149">
        <f t="shared" si="9"/>
        <v>966333.07229369157</v>
      </c>
      <c r="AA111" s="149">
        <f t="shared" si="9"/>
        <v>966333.07229369157</v>
      </c>
      <c r="AB111" s="149">
        <f t="shared" si="9"/>
        <v>966333.07229369157</v>
      </c>
      <c r="AC111" s="149">
        <f t="shared" si="9"/>
        <v>966333.07229369157</v>
      </c>
      <c r="AD111" s="149">
        <f t="shared" si="9"/>
        <v>966333.07229369157</v>
      </c>
      <c r="AE111" s="149">
        <f t="shared" si="9"/>
        <v>966333.07229369157</v>
      </c>
      <c r="AF111" s="149">
        <f t="shared" si="9"/>
        <v>966333.07229369157</v>
      </c>
      <c r="AG111" s="149">
        <f t="shared" si="9"/>
        <v>966333.07229369157</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341705000.00000006</v>
      </c>
      <c r="D113" s="149">
        <f t="shared" ref="D113:AG113" si="10">$C$102</f>
        <v>11390166.666666666</v>
      </c>
      <c r="E113" s="149">
        <f t="shared" si="10"/>
        <v>11390166.666666666</v>
      </c>
      <c r="F113" s="149">
        <f t="shared" si="10"/>
        <v>11390166.666666666</v>
      </c>
      <c r="G113" s="149">
        <f t="shared" si="10"/>
        <v>11390166.666666666</v>
      </c>
      <c r="H113" s="149">
        <f t="shared" si="10"/>
        <v>11390166.666666666</v>
      </c>
      <c r="I113" s="149">
        <f t="shared" si="10"/>
        <v>11390166.666666666</v>
      </c>
      <c r="J113" s="149">
        <f t="shared" si="10"/>
        <v>11390166.666666666</v>
      </c>
      <c r="K113" s="149">
        <f t="shared" si="10"/>
        <v>11390166.666666666</v>
      </c>
      <c r="L113" s="149">
        <f t="shared" si="10"/>
        <v>11390166.666666666</v>
      </c>
      <c r="M113" s="149">
        <f t="shared" si="10"/>
        <v>11390166.666666666</v>
      </c>
      <c r="N113" s="149">
        <f t="shared" si="10"/>
        <v>11390166.666666666</v>
      </c>
      <c r="O113" s="149">
        <f t="shared" si="10"/>
        <v>11390166.666666666</v>
      </c>
      <c r="P113" s="149">
        <f t="shared" si="10"/>
        <v>11390166.666666666</v>
      </c>
      <c r="Q113" s="149">
        <f t="shared" si="10"/>
        <v>11390166.666666666</v>
      </c>
      <c r="R113" s="149">
        <f t="shared" si="10"/>
        <v>11390166.666666666</v>
      </c>
      <c r="S113" s="149">
        <f t="shared" si="10"/>
        <v>11390166.666666666</v>
      </c>
      <c r="T113" s="149">
        <f t="shared" si="10"/>
        <v>11390166.666666666</v>
      </c>
      <c r="U113" s="149">
        <f t="shared" si="10"/>
        <v>11390166.666666666</v>
      </c>
      <c r="V113" s="149">
        <f t="shared" si="10"/>
        <v>11390166.666666666</v>
      </c>
      <c r="W113" s="149">
        <f t="shared" si="10"/>
        <v>11390166.666666666</v>
      </c>
      <c r="X113" s="149">
        <f t="shared" si="10"/>
        <v>11390166.666666666</v>
      </c>
      <c r="Y113" s="149">
        <f t="shared" si="10"/>
        <v>11390166.666666666</v>
      </c>
      <c r="Z113" s="149">
        <f t="shared" si="10"/>
        <v>11390166.666666666</v>
      </c>
      <c r="AA113" s="149">
        <f t="shared" si="10"/>
        <v>11390166.666666666</v>
      </c>
      <c r="AB113" s="149">
        <f t="shared" si="10"/>
        <v>11390166.666666666</v>
      </c>
      <c r="AC113" s="149">
        <f t="shared" si="10"/>
        <v>11390166.666666666</v>
      </c>
      <c r="AD113" s="149">
        <f t="shared" si="10"/>
        <v>11390166.666666666</v>
      </c>
      <c r="AE113" s="149">
        <f t="shared" si="10"/>
        <v>11390166.666666666</v>
      </c>
      <c r="AF113" s="149">
        <f t="shared" si="10"/>
        <v>11390166.666666666</v>
      </c>
      <c r="AG113" s="149">
        <f t="shared" si="10"/>
        <v>11390166.666666666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11390166.666666666</v>
      </c>
      <c r="E118" s="149">
        <f t="shared" ref="E118:AG118" si="13">E113+E115+E116</f>
        <v>11390166.666666666</v>
      </c>
      <c r="F118" s="149">
        <f>F113+F115+F116</f>
        <v>11390166.666666666</v>
      </c>
      <c r="G118" s="149">
        <f t="shared" si="13"/>
        <v>11390166.666666666</v>
      </c>
      <c r="H118" s="149">
        <f t="shared" si="13"/>
        <v>11390166.666666666</v>
      </c>
      <c r="I118" s="149">
        <f t="shared" si="13"/>
        <v>11390166.666666666</v>
      </c>
      <c r="J118" s="149">
        <f t="shared" si="13"/>
        <v>11390166.666666666</v>
      </c>
      <c r="K118" s="149">
        <f t="shared" si="13"/>
        <v>11390166.666666666</v>
      </c>
      <c r="L118" s="149">
        <f t="shared" si="13"/>
        <v>11390166.666666666</v>
      </c>
      <c r="M118" s="149">
        <f t="shared" si="13"/>
        <v>11390166.666666666</v>
      </c>
      <c r="N118" s="149">
        <f t="shared" si="13"/>
        <v>11390166.666666666</v>
      </c>
      <c r="O118" s="149">
        <f t="shared" si="13"/>
        <v>11390166.666666666</v>
      </c>
      <c r="P118" s="149">
        <f t="shared" si="13"/>
        <v>11390166.666666666</v>
      </c>
      <c r="Q118" s="149">
        <f t="shared" si="13"/>
        <v>11390166.666666666</v>
      </c>
      <c r="R118" s="149">
        <f t="shared" si="13"/>
        <v>11390166.666666666</v>
      </c>
      <c r="S118" s="149">
        <f t="shared" si="13"/>
        <v>11390166.666666666</v>
      </c>
      <c r="T118" s="149">
        <f t="shared" si="13"/>
        <v>11390166.666666666</v>
      </c>
      <c r="U118" s="149">
        <f t="shared" si="13"/>
        <v>11390166.666666666</v>
      </c>
      <c r="V118" s="149">
        <f t="shared" si="13"/>
        <v>11390166.666666666</v>
      </c>
      <c r="W118" s="149">
        <f t="shared" si="13"/>
        <v>11390166.666666666</v>
      </c>
      <c r="X118" s="149">
        <f t="shared" si="13"/>
        <v>11390166.666666666</v>
      </c>
      <c r="Y118" s="149">
        <f t="shared" si="13"/>
        <v>11390166.666666666</v>
      </c>
      <c r="Z118" s="149">
        <f t="shared" si="13"/>
        <v>11390166.666666666</v>
      </c>
      <c r="AA118" s="149">
        <f t="shared" si="13"/>
        <v>11390166.666666666</v>
      </c>
      <c r="AB118" s="149">
        <f t="shared" si="13"/>
        <v>11390166.666666666</v>
      </c>
      <c r="AC118" s="149">
        <f t="shared" si="13"/>
        <v>11390166.666666666</v>
      </c>
      <c r="AD118" s="149">
        <f t="shared" si="13"/>
        <v>11390166.666666666</v>
      </c>
      <c r="AE118" s="149">
        <f t="shared" si="13"/>
        <v>11390166.666666666</v>
      </c>
      <c r="AF118" s="149">
        <f t="shared" si="13"/>
        <v>11390166.666666666</v>
      </c>
      <c r="AG118" s="149">
        <f t="shared" si="13"/>
        <v>11390166.666666666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273364</v>
      </c>
      <c r="E120" s="149">
        <f>(SUM($D$118:E118)*$C$104/$C$106)+(SUM($D$118:E118)*$C$105/$C$107)</f>
        <v>546728</v>
      </c>
      <c r="F120" s="149">
        <f>(SUM($D$118:F118)*$C$104/$C$106)+(SUM($D$118:F118)*$C$105/$C$107)</f>
        <v>820092</v>
      </c>
      <c r="G120" s="149">
        <f>(SUM($D$118:G118)*$C$104/$C$106)+(SUM($D$118:G118)*$C$105/$C$107)</f>
        <v>1093456</v>
      </c>
      <c r="H120" s="149">
        <f>(SUM($D$118:H118)*$C$104/$C$106)+(SUM($D$118:H118)*$C$105/$C$107)</f>
        <v>1366819.9999999998</v>
      </c>
      <c r="I120" s="149">
        <f>(SUM($D$118:I118)*$C$104/$C$106)+(SUM($D$118:I118)*$C$105/$C$107)</f>
        <v>1640184</v>
      </c>
      <c r="J120" s="149">
        <f>(SUM($D$118:J118)*$C$104/$C$106)+(SUM($D$118:J118)*$C$105/$C$107)</f>
        <v>1913548</v>
      </c>
      <c r="K120" s="149">
        <f>(SUM($D$118:K118)*$C$104/$C$106)+(SUM($D$118:K118)*$C$105/$C$107)</f>
        <v>2186912.0000000005</v>
      </c>
      <c r="L120" s="149">
        <f>(SUM($D$118:L118)*$C$104/$C$106)+(SUM($D$118:L118)*$C$105/$C$107)</f>
        <v>2460276.0000000005</v>
      </c>
      <c r="M120" s="149">
        <f>(SUM($D$118:M118)*$C$104/$C$106)+(SUM($D$118:M118)*$C$105/$C$107)</f>
        <v>2733640.0000000009</v>
      </c>
      <c r="N120" s="149">
        <f>(SUM($D$118:N118)*$C$104/$C$106)+(SUM($D$118:N118)*$C$105/$C$107)</f>
        <v>3007004.0000000005</v>
      </c>
      <c r="O120" s="149">
        <f>(SUM($D$118:O118)*$C$104/$C$106)+(SUM($D$118:O118)*$C$105/$C$107)</f>
        <v>3280368.0000000005</v>
      </c>
      <c r="P120" s="149">
        <f>(SUM($D$118:P118)*$C$104/$C$106)+(SUM($D$118:P118)*$C$105/$C$107)</f>
        <v>3553732.0000000009</v>
      </c>
      <c r="Q120" s="149">
        <f>(SUM($D$118:Q118)*$C$104/$C$106)+(SUM($D$118:Q118)*$C$105/$C$107)</f>
        <v>3827096</v>
      </c>
      <c r="R120" s="149">
        <f>(SUM($D$118:R118)*$C$104/$C$106)+(SUM($D$118:R118)*$C$105/$C$107)</f>
        <v>4100460</v>
      </c>
      <c r="S120" s="149">
        <f>(SUM($D$118:S118)*$C$104/$C$106)+(SUM($D$118:S118)*$C$105/$C$107)</f>
        <v>4373824</v>
      </c>
      <c r="T120" s="149">
        <f>(SUM($D$118:T118)*$C$104/$C$106)+(SUM($D$118:T118)*$C$105/$C$107)</f>
        <v>4647187.9999999991</v>
      </c>
      <c r="U120" s="149">
        <f>(SUM($D$118:U118)*$C$104/$C$106)+(SUM($D$118:U118)*$C$105/$C$107)</f>
        <v>4920551.9999999991</v>
      </c>
      <c r="V120" s="149">
        <f>(SUM($D$118:V118)*$C$104/$C$106)+(SUM($D$118:V118)*$C$105/$C$107)</f>
        <v>5193915.9999999981</v>
      </c>
      <c r="W120" s="149">
        <f>(SUM($D$118:W118)*$C$104/$C$106)+(SUM($D$118:W118)*$C$105/$C$107)</f>
        <v>5467279.9999999991</v>
      </c>
      <c r="X120" s="149">
        <f>(SUM($D$118:X118)*$C$104/$C$106)+(SUM($D$118:X118)*$C$105/$C$107)</f>
        <v>5740643.9999999991</v>
      </c>
      <c r="Y120" s="149">
        <f>(SUM($D$118:Y118)*$C$104/$C$106)+(SUM($D$118:Y118)*$C$105/$C$107)</f>
        <v>6014007.9999999972</v>
      </c>
      <c r="Z120" s="149">
        <f>(SUM($D$118:Z118)*$C$104/$C$106)+(SUM($D$118:Z118)*$C$105/$C$107)</f>
        <v>6287371.9999999981</v>
      </c>
      <c r="AA120" s="149">
        <f>(SUM($D$118:AA118)*$C$104/$C$106)+(SUM($D$118:AA118)*$C$105/$C$107)</f>
        <v>6560735.9999999991</v>
      </c>
      <c r="AB120" s="149">
        <f>(SUM($D$118:AB118)*$C$104/$C$106)+(SUM($D$118:AB118)*$C$105/$C$107)</f>
        <v>6834099.9999999981</v>
      </c>
      <c r="AC120" s="149">
        <f>(SUM($D$118:AC118)*$C$104/$C$106)+(SUM($D$118:AC118)*$C$105/$C$107)</f>
        <v>7107463.9999999991</v>
      </c>
      <c r="AD120" s="149">
        <f>(SUM($D$118:AD118)*$C$104/$C$106)+(SUM($D$118:AD118)*$C$105/$C$107)</f>
        <v>7380828</v>
      </c>
      <c r="AE120" s="149">
        <f>(SUM($D$118:AE118)*$C$104/$C$106)+(SUM($D$118:AE118)*$C$105/$C$107)</f>
        <v>7654192</v>
      </c>
      <c r="AF120" s="149">
        <f>(SUM($D$118:AF118)*$C$104/$C$106)+(SUM($D$118:AF118)*$C$105/$C$107)</f>
        <v>7927556.0000000019</v>
      </c>
      <c r="AG120" s="149">
        <f>(SUM($D$118:AG118)*$C$104/$C$106)+(SUM($D$118:AG118)*$C$105/$C$107)</f>
        <v>8200920.0000000009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341704.99999999994</v>
      </c>
      <c r="E122" s="72">
        <f>(SUM($D$118:E118)*$C$109)</f>
        <v>683409.99999999988</v>
      </c>
      <c r="F122" s="72">
        <f>(SUM($D$118:F118)*$C$109)</f>
        <v>1025115</v>
      </c>
      <c r="G122" s="72">
        <f>(SUM($D$118:G118)*$C$109)</f>
        <v>1366819.9999999998</v>
      </c>
      <c r="H122" s="72">
        <f>(SUM($D$118:H118)*$C$109)</f>
        <v>1708524.9999999998</v>
      </c>
      <c r="I122" s="72">
        <f>(SUM($D$118:I118)*$C$109)</f>
        <v>2050230</v>
      </c>
      <c r="J122" s="72">
        <f>(SUM($D$118:J118)*$C$109)</f>
        <v>2391935</v>
      </c>
      <c r="K122" s="72">
        <f>(SUM($D$118:K118)*$C$109)</f>
        <v>2733640</v>
      </c>
      <c r="L122" s="72">
        <f>(SUM($D$118:L118)*$C$109)</f>
        <v>3075345.0000000005</v>
      </c>
      <c r="M122" s="72">
        <f>(SUM($D$118:M118)*$C$109)</f>
        <v>3417050.0000000005</v>
      </c>
      <c r="N122" s="72">
        <f>(SUM($D$118:N118)*$C$109)</f>
        <v>3758755.0000000005</v>
      </c>
      <c r="O122" s="72">
        <f>(SUM($D$118:O118)*$C$109)</f>
        <v>4100460.0000000009</v>
      </c>
      <c r="P122" s="72">
        <f>(SUM($D$118:P118)*$C$109)</f>
        <v>4442165</v>
      </c>
      <c r="Q122" s="72">
        <f>(SUM($D$118:Q118)*$C$109)</f>
        <v>4783870</v>
      </c>
      <c r="R122" s="72">
        <f>(SUM($D$118:R118)*$C$109)</f>
        <v>5125575</v>
      </c>
      <c r="S122" s="72">
        <f>(SUM($D$118:S118)*$C$109)</f>
        <v>5467279.9999999991</v>
      </c>
      <c r="T122" s="72">
        <f>(SUM($D$118:T118)*$C$109)</f>
        <v>5808984.9999999991</v>
      </c>
      <c r="U122" s="72">
        <f>(SUM($D$118:U118)*$C$109)</f>
        <v>6150689.9999999991</v>
      </c>
      <c r="V122" s="72">
        <f>(SUM($D$118:V118)*$C$109)</f>
        <v>6492394.9999999981</v>
      </c>
      <c r="W122" s="72">
        <f>(SUM($D$118:W118)*$C$109)</f>
        <v>6834099.9999999981</v>
      </c>
      <c r="X122" s="72">
        <f>(SUM($D$118:X118)*$C$109)</f>
        <v>7175804.9999999981</v>
      </c>
      <c r="Y122" s="72">
        <f>(SUM($D$118:Y118)*$C$109)</f>
        <v>7517509.9999999972</v>
      </c>
      <c r="Z122" s="72">
        <f>(SUM($D$118:Z118)*$C$109)</f>
        <v>7859214.9999999972</v>
      </c>
      <c r="AA122" s="72">
        <f>(SUM($D$118:AA118)*$C$109)</f>
        <v>8200919.9999999981</v>
      </c>
      <c r="AB122" s="72">
        <f>(SUM($D$118:AB118)*$C$109)</f>
        <v>8542624.9999999981</v>
      </c>
      <c r="AC122" s="72">
        <f>(SUM($D$118:AC118)*$C$109)</f>
        <v>8884330</v>
      </c>
      <c r="AD122" s="72">
        <f>(SUM($D$118:AD118)*$C$109)</f>
        <v>9226035</v>
      </c>
      <c r="AE122" s="72">
        <f>(SUM($D$118:AE118)*$C$109)</f>
        <v>9567740</v>
      </c>
      <c r="AF122" s="72">
        <f>(SUM($D$118:AF118)*$C$109)</f>
        <v>9909445</v>
      </c>
      <c r="AG122" s="72">
        <f>(SUM($D$118:AG118)*$C$109)</f>
        <v>10251150.000000002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6569</v>
      </c>
      <c r="D126" s="140"/>
    </row>
    <row r="127" spans="1:33" x14ac:dyDescent="0.35">
      <c r="A127" s="77" t="s">
        <v>150</v>
      </c>
      <c r="B127" s="77" t="s">
        <v>133</v>
      </c>
      <c r="C127" s="126">
        <v>3194</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4881.5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1807.9629629629628</v>
      </c>
      <c r="D135" s="157">
        <f t="shared" ref="D135:AG135" si="14">$C$135*D13</f>
        <v>1821.0451778593447</v>
      </c>
      <c r="E135" s="157">
        <f t="shared" si="14"/>
        <v>1834.2220541786105</v>
      </c>
      <c r="F135" s="157">
        <f t="shared" si="14"/>
        <v>1847.4942768800768</v>
      </c>
      <c r="G135" s="157">
        <f t="shared" si="14"/>
        <v>1860.8625358793493</v>
      </c>
      <c r="H135" s="157">
        <f t="shared" si="14"/>
        <v>1874.327526084184</v>
      </c>
      <c r="I135" s="157">
        <f t="shared" si="14"/>
        <v>1887.8899474306102</v>
      </c>
      <c r="J135" s="157">
        <f t="shared" si="14"/>
        <v>1901.5505049193159</v>
      </c>
      <c r="K135" s="157">
        <f t="shared" si="14"/>
        <v>1915.3099086522936</v>
      </c>
      <c r="L135" s="157">
        <f t="shared" si="14"/>
        <v>1929.168873869753</v>
      </c>
      <c r="M135" s="157">
        <f t="shared" si="14"/>
        <v>1943.1281209873021</v>
      </c>
      <c r="N135" s="157">
        <f t="shared" si="14"/>
        <v>1957.1883756333918</v>
      </c>
      <c r="O135" s="157">
        <f t="shared" si="14"/>
        <v>1971.3503686870413</v>
      </c>
      <c r="P135" s="157">
        <f t="shared" si="14"/>
        <v>1985.6148363158252</v>
      </c>
      <c r="Q135" s="157">
        <f t="shared" si="14"/>
        <v>1999.9825200141443</v>
      </c>
      <c r="R135" s="157">
        <f t="shared" si="14"/>
        <v>2014.4541666417686</v>
      </c>
      <c r="S135" s="157">
        <f t="shared" si="14"/>
        <v>2029.0305284626604</v>
      </c>
      <c r="T135" s="157">
        <f t="shared" si="14"/>
        <v>2043.7123631840786</v>
      </c>
      <c r="U135" s="157">
        <f t="shared" si="14"/>
        <v>2058.5004339959669</v>
      </c>
      <c r="V135" s="157">
        <f t="shared" si="14"/>
        <v>2073.3955096106224</v>
      </c>
      <c r="W135" s="157">
        <f t="shared" si="14"/>
        <v>2088.3983643026604</v>
      </c>
      <c r="X135" s="157">
        <f t="shared" si="14"/>
        <v>2103.5097779492571</v>
      </c>
      <c r="Y135" s="157">
        <f t="shared" si="14"/>
        <v>2118.7305360706923</v>
      </c>
      <c r="Z135" s="157">
        <f t="shared" si="14"/>
        <v>2134.0614298711812</v>
      </c>
      <c r="AA135" s="157">
        <f t="shared" si="14"/>
        <v>2149.5032562800043</v>
      </c>
      <c r="AB135" s="157">
        <f t="shared" si="14"/>
        <v>2165.0568179929296</v>
      </c>
      <c r="AC135" s="157">
        <f t="shared" si="14"/>
        <v>2180.7229235139425</v>
      </c>
      <c r="AD135" s="157">
        <f t="shared" si="14"/>
        <v>2196.5023871972699</v>
      </c>
      <c r="AE135" s="157">
        <f t="shared" si="14"/>
        <v>2212.3960292897154</v>
      </c>
      <c r="AF135" s="157">
        <f t="shared" si="14"/>
        <v>2228.4046759732937</v>
      </c>
      <c r="AG135" s="157">
        <f t="shared" si="14"/>
        <v>2244.5291594081809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0.5</v>
      </c>
      <c r="G4" s="65">
        <v>0.5</v>
      </c>
      <c r="H4" s="65">
        <v>0.3</v>
      </c>
      <c r="I4" s="65">
        <v>0.2</v>
      </c>
      <c r="J4" s="65">
        <v>0.1</v>
      </c>
      <c r="K4" s="65">
        <v>0.1</v>
      </c>
      <c r="L4" s="65">
        <v>0.08</v>
      </c>
      <c r="M4" s="65">
        <v>7.0000000000000007E-2</v>
      </c>
      <c r="N4" s="65">
        <v>0.06</v>
      </c>
      <c r="O4" s="65">
        <v>0.06</v>
      </c>
      <c r="P4" s="65">
        <v>0.06</v>
      </c>
      <c r="Q4" s="65">
        <v>0.05</v>
      </c>
      <c r="R4" s="65">
        <v>0.05</v>
      </c>
      <c r="S4" s="65">
        <v>0.05</v>
      </c>
      <c r="T4" s="65">
        <v>0.05</v>
      </c>
      <c r="U4" s="65">
        <v>0.05</v>
      </c>
      <c r="V4" s="65">
        <v>0.05</v>
      </c>
      <c r="W4" s="65">
        <v>0.05</v>
      </c>
      <c r="X4" s="65">
        <v>0.05</v>
      </c>
      <c r="Y4" s="65">
        <v>0.05</v>
      </c>
      <c r="Z4" s="65">
        <v>4.4999999999999998E-2</v>
      </c>
      <c r="AA4" s="65">
        <v>0.04</v>
      </c>
      <c r="AB4" s="65">
        <v>0.04</v>
      </c>
      <c r="AC4" s="65">
        <v>0.04</v>
      </c>
      <c r="AD4" s="65">
        <v>0.04</v>
      </c>
      <c r="AE4" s="65">
        <v>0.04</v>
      </c>
      <c r="AF4" s="65">
        <v>0.04</v>
      </c>
      <c r="AG4" s="65">
        <v>0.04</v>
      </c>
      <c r="AH4" s="65">
        <v>3.5000000000000003E-2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2.4935560121609917</v>
      </c>
      <c r="C6" s="25"/>
      <c r="D6" s="25"/>
      <c r="E6" s="27">
        <f>'Debt worksheet'!C5/'Profit and Loss'!C5</f>
        <v>0.87194966703337418</v>
      </c>
      <c r="F6" s="28">
        <f ca="1">'Debt worksheet'!D5/'Profit and Loss'!D5</f>
        <v>2.1999738088282608</v>
      </c>
      <c r="G6" s="28">
        <f ca="1">'Debt worksheet'!E5/'Profit and Loss'!E5</f>
        <v>2.4477785279299349</v>
      </c>
      <c r="H6" s="28">
        <f ca="1">'Debt worksheet'!F5/'Profit and Loss'!F5</f>
        <v>2.4746706377864163</v>
      </c>
      <c r="I6" s="28">
        <f ca="1">'Debt worksheet'!G5/'Profit and Loss'!G5</f>
        <v>2.4398084015270616</v>
      </c>
      <c r="J6" s="28">
        <f ca="1">'Debt worksheet'!H5/'Profit and Loss'!H5</f>
        <v>2.4791986354906257</v>
      </c>
      <c r="K6" s="28">
        <f ca="1">'Debt worksheet'!I5/'Profit and Loss'!I5</f>
        <v>2.4730893783098522</v>
      </c>
      <c r="L6" s="28">
        <f ca="1">'Debt worksheet'!J5/'Profit and Loss'!J5</f>
        <v>2.4695495974214312</v>
      </c>
      <c r="M6" s="28">
        <f ca="1">'Debt worksheet'!K5/'Profit and Loss'!K5</f>
        <v>2.464861216960486</v>
      </c>
      <c r="N6" s="28">
        <f ca="1">'Debt worksheet'!L5/'Profit and Loss'!L5</f>
        <v>2.4680106334341758</v>
      </c>
      <c r="O6" s="28">
        <f ca="1">'Debt worksheet'!M5/'Profit and Loss'!M5</f>
        <v>2.4643412314436413</v>
      </c>
      <c r="P6" s="28">
        <f ca="1">'Debt worksheet'!N5/'Profit and Loss'!N5</f>
        <v>2.4530513579069053</v>
      </c>
      <c r="Q6" s="28">
        <f ca="1">'Debt worksheet'!O5/'Profit and Loss'!O5</f>
        <v>2.4566266731622544</v>
      </c>
      <c r="R6" s="28">
        <f ca="1">'Debt worksheet'!P5/'Profit and Loss'!P5</f>
        <v>2.4603113589551442</v>
      </c>
      <c r="S6" s="28">
        <f ca="1">'Debt worksheet'!Q5/'Profit and Loss'!Q5</f>
        <v>2.463237161413292</v>
      </c>
      <c r="T6" s="28">
        <f ca="1">'Debt worksheet'!R5/'Profit and Loss'!R5</f>
        <v>2.4646049155215946</v>
      </c>
      <c r="U6" s="28">
        <f ca="1">'Debt worksheet'!S5/'Profit and Loss'!S5</f>
        <v>2.4636807909316483</v>
      </c>
      <c r="V6" s="28">
        <f ca="1">'Debt worksheet'!T5/'Profit and Loss'!T5</f>
        <v>2.4597927114934488</v>
      </c>
      <c r="W6" s="28">
        <f ca="1">'Debt worksheet'!U5/'Profit and Loss'!U5</f>
        <v>2.4523269411265498</v>
      </c>
      <c r="X6" s="28">
        <f ca="1">'Debt worksheet'!V5/'Profit and Loss'!V5</f>
        <v>2.4407248289463035</v>
      </c>
      <c r="Y6" s="28">
        <f ca="1">'Debt worksheet'!W5/'Profit and Loss'!W5</f>
        <v>2.4244797068474297</v>
      </c>
      <c r="Z6" s="28">
        <f ca="1">'Debt worksheet'!X5/'Profit and Loss'!X5</f>
        <v>2.4146321815059384</v>
      </c>
      <c r="AA6" s="28">
        <f ca="1">'Debt worksheet'!Y5/'Profit and Loss'!Y5</f>
        <v>2.4153372264522699</v>
      </c>
      <c r="AB6" s="28">
        <f ca="1">'Debt worksheet'!Z5/'Profit and Loss'!Z5</f>
        <v>2.419225988512383</v>
      </c>
      <c r="AC6" s="28">
        <f ca="1">'Debt worksheet'!AA5/'Profit and Loss'!AA5</f>
        <v>2.4257710189166972</v>
      </c>
      <c r="AD6" s="28">
        <f ca="1">'Debt worksheet'!AB5/'Profit and Loss'!AB5</f>
        <v>2.4344696768107763</v>
      </c>
      <c r="AE6" s="28">
        <f ca="1">'Debt worksheet'!AC5/'Profit and Loss'!AC5</f>
        <v>2.4448432534658249</v>
      </c>
      <c r="AF6" s="28">
        <f ca="1">'Debt worksheet'!AD5/'Profit and Loss'!AD5</f>
        <v>2.4564361239740129</v>
      </c>
      <c r="AG6" s="28">
        <f ca="1">'Debt worksheet'!AE5/'Profit and Loss'!AE5</f>
        <v>2.4688149256148981</v>
      </c>
      <c r="AH6" s="28">
        <f ca="1">'Debt worksheet'!AF5/'Profit and Loss'!AF5</f>
        <v>2.4935560121609917</v>
      </c>
      <c r="AI6" s="31"/>
    </row>
    <row r="7" spans="1:35" ht="21" x14ac:dyDescent="0.5">
      <c r="A7" s="19" t="s">
        <v>38</v>
      </c>
      <c r="B7" s="26">
        <f ca="1">MIN('Price and Financial ratios'!E7:AH7)</f>
        <v>0.20341738868121281</v>
      </c>
      <c r="C7" s="26"/>
      <c r="D7" s="26"/>
      <c r="E7" s="56">
        <f ca="1">'Cash Flow'!C7/'Debt worksheet'!C5</f>
        <v>0.38578580240417676</v>
      </c>
      <c r="F7" s="32">
        <f ca="1">'Cash Flow'!D7/'Debt worksheet'!D5</f>
        <v>0.20341738868121281</v>
      </c>
      <c r="G7" s="32">
        <f ca="1">'Cash Flow'!E7/'Debt worksheet'!E5</f>
        <v>0.23068332256355059</v>
      </c>
      <c r="H7" s="32">
        <f ca="1">'Cash Flow'!F7/'Debt worksheet'!F5</f>
        <v>0.24956933612625515</v>
      </c>
      <c r="I7" s="32">
        <f ca="1">'Cash Flow'!G7/'Debt worksheet'!G5</f>
        <v>0.2640294570445243</v>
      </c>
      <c r="J7" s="32">
        <f ca="1">'Cash Flow'!H7/'Debt worksheet'!H5</f>
        <v>0.25926737660713717</v>
      </c>
      <c r="K7" s="32">
        <f ca="1">'Cash Flow'!I7/'Debt worksheet'!I5</f>
        <v>0.26073556509245144</v>
      </c>
      <c r="L7" s="32">
        <f ca="1">'Cash Flow'!J7/'Debt worksheet'!J5</f>
        <v>0.26028008193353164</v>
      </c>
      <c r="M7" s="17">
        <f ca="1">'Cash Flow'!K7/'Debt worksheet'!K5</f>
        <v>0.25935296020327409</v>
      </c>
      <c r="N7" s="17">
        <f ca="1">'Cash Flow'!L7/'Debt worksheet'!L5</f>
        <v>0.2567770622693788</v>
      </c>
      <c r="O7" s="17">
        <f ca="1">'Cash Flow'!M7/'Debt worksheet'!M5</f>
        <v>0.25542090861946187</v>
      </c>
      <c r="P7" s="17">
        <f ca="1">'Cash Flow'!N7/'Debt worksheet'!N5</f>
        <v>0.25534303544096421</v>
      </c>
      <c r="Q7" s="17">
        <f ca="1">'Cash Flow'!O7/'Debt worksheet'!O5</f>
        <v>0.25259688746689601</v>
      </c>
      <c r="R7" s="17">
        <f ca="1">'Cash Flow'!P7/'Debt worksheet'!P5</f>
        <v>0.25014304404514709</v>
      </c>
      <c r="S7" s="17">
        <f ca="1">'Cash Flow'!Q7/'Debt worksheet'!Q5</f>
        <v>0.24806351749122885</v>
      </c>
      <c r="T7" s="17">
        <f ca="1">'Cash Flow'!R7/'Debt worksheet'!R5</f>
        <v>0.24643032802624251</v>
      </c>
      <c r="U7" s="17">
        <f ca="1">'Cash Flow'!S7/'Debt worksheet'!S5</f>
        <v>0.24530789160656644</v>
      </c>
      <c r="V7" s="17">
        <f ca="1">'Cash Flow'!T7/'Debt worksheet'!T5</f>
        <v>0.24475554476307845</v>
      </c>
      <c r="W7" s="17">
        <f ca="1">'Cash Flow'!U7/'Debt worksheet'!U5</f>
        <v>0.2448301373836376</v>
      </c>
      <c r="X7" s="17">
        <f ca="1">'Cash Flow'!V7/'Debt worksheet'!V5</f>
        <v>0.24558868013336255</v>
      </c>
      <c r="Y7" s="17">
        <f ca="1">'Cash Flow'!W7/'Debt worksheet'!W5</f>
        <v>0.24709108151289591</v>
      </c>
      <c r="Z7" s="17">
        <f ca="1">'Cash Flow'!X7/'Debt worksheet'!X5</f>
        <v>0.24734964500975487</v>
      </c>
      <c r="AA7" s="17">
        <f ca="1">'Cash Flow'!Y7/'Debt worksheet'!Y5</f>
        <v>0.24583531798458647</v>
      </c>
      <c r="AB7" s="17">
        <f ca="1">'Cash Flow'!Z7/'Debt worksheet'!Z5</f>
        <v>0.24410287611747772</v>
      </c>
      <c r="AC7" s="17">
        <f ca="1">'Cash Flow'!AA7/'Debt worksheet'!AA5</f>
        <v>0.24221434499625796</v>
      </c>
      <c r="AD7" s="17">
        <f ca="1">'Cash Flow'!AB7/'Debt worksheet'!AB5</f>
        <v>0.24022810100332584</v>
      </c>
      <c r="AE7" s="17">
        <f ca="1">'Cash Flow'!AC7/'Debt worksheet'!AC5</f>
        <v>0.23819826552523526</v>
      </c>
      <c r="AF7" s="17">
        <f ca="1">'Cash Flow'!AD7/'Debt worksheet'!AD5</f>
        <v>0.23617439821898359</v>
      </c>
      <c r="AG7" s="17">
        <f ca="1">'Cash Flow'!AE7/'Debt worksheet'!AE5</f>
        <v>0.23420143957069858</v>
      </c>
      <c r="AH7" s="17">
        <f ca="1">'Cash Flow'!AF7/'Debt worksheet'!AF5</f>
        <v>0.23031222365949369</v>
      </c>
      <c r="AI7" s="29"/>
    </row>
    <row r="8" spans="1:35" ht="21" x14ac:dyDescent="0.5">
      <c r="A8" s="19" t="s">
        <v>33</v>
      </c>
      <c r="B8" s="26">
        <f ca="1">MAX('Price and Financial ratios'!E8:AH8)</f>
        <v>0.60864876798112588</v>
      </c>
      <c r="C8" s="26"/>
      <c r="D8" s="176"/>
      <c r="E8" s="17">
        <f>'Balance Sheet'!B11/'Balance Sheet'!B8</f>
        <v>0.1238056866148398</v>
      </c>
      <c r="F8" s="17">
        <f ca="1">'Balance Sheet'!C11/'Balance Sheet'!C8</f>
        <v>0.47250203971571314</v>
      </c>
      <c r="G8" s="17">
        <f ca="1">'Balance Sheet'!D11/'Balance Sheet'!D8</f>
        <v>0.5848145472154479</v>
      </c>
      <c r="H8" s="17">
        <f ca="1">'Balance Sheet'!E11/'Balance Sheet'!E8</f>
        <v>0.60864876798112588</v>
      </c>
      <c r="I8" s="17">
        <f ca="1">'Balance Sheet'!F11/'Balance Sheet'!F8</f>
        <v>0.594276602711024</v>
      </c>
      <c r="J8" s="17">
        <f ca="1">'Balance Sheet'!G11/'Balance Sheet'!G8</f>
        <v>0.56400240320371064</v>
      </c>
      <c r="K8" s="17">
        <f ca="1">'Balance Sheet'!H11/'Balance Sheet'!H8</f>
        <v>0.5364820716848715</v>
      </c>
      <c r="L8" s="17">
        <f ca="1">'Balance Sheet'!I11/'Balance Sheet'!I8</f>
        <v>0.50953522402200535</v>
      </c>
      <c r="M8" s="17">
        <f ca="1">'Balance Sheet'!J11/'Balance Sheet'!J8</f>
        <v>0.48523511393310664</v>
      </c>
      <c r="N8" s="17">
        <f ca="1">'Balance Sheet'!K11/'Balance Sheet'!K8</f>
        <v>0.4638664379040654</v>
      </c>
      <c r="O8" s="17">
        <f ca="1">'Balance Sheet'!L11/'Balance Sheet'!L8</f>
        <v>0.44588783283113786</v>
      </c>
      <c r="P8" s="17">
        <f ca="1">'Balance Sheet'!M11/'Balance Sheet'!M8</f>
        <v>0.43024927726226753</v>
      </c>
      <c r="Q8" s="17">
        <f ca="1">'Balance Sheet'!N11/'Balance Sheet'!N8</f>
        <v>0.41618079049658047</v>
      </c>
      <c r="R8" s="17">
        <f ca="1">'Balance Sheet'!O11/'Balance Sheet'!O8</f>
        <v>0.40463260013319613</v>
      </c>
      <c r="S8" s="17">
        <f ca="1">'Balance Sheet'!P11/'Balance Sheet'!P8</f>
        <v>0.39501590837519429</v>
      </c>
      <c r="T8" s="17">
        <f ca="1">'Balance Sheet'!Q11/'Balance Sheet'!Q8</f>
        <v>0.38687141702238237</v>
      </c>
      <c r="U8" s="17">
        <f ca="1">'Balance Sheet'!R11/'Balance Sheet'!R8</f>
        <v>0.37983290094152472</v>
      </c>
      <c r="V8" s="17">
        <f ca="1">'Balance Sheet'!S11/'Balance Sheet'!S8</f>
        <v>0.37360229409891432</v>
      </c>
      <c r="W8" s="17">
        <f ca="1">'Balance Sheet'!T11/'Balance Sheet'!T8</f>
        <v>0.36793225165768034</v>
      </c>
      <c r="X8" s="17">
        <f ca="1">'Balance Sheet'!U11/'Balance Sheet'!U8</f>
        <v>0.36261369183027098</v>
      </c>
      <c r="Y8" s="17">
        <f ca="1">'Balance Sheet'!V11/'Balance Sheet'!V8</f>
        <v>0.35746673031640364</v>
      </c>
      <c r="Z8" s="17">
        <f ca="1">'Balance Sheet'!W11/'Balance Sheet'!W8</f>
        <v>0.35233397302161962</v>
      </c>
      <c r="AA8" s="17">
        <f ca="1">'Balance Sheet'!X11/'Balance Sheet'!X8</f>
        <v>0.3477569687044979</v>
      </c>
      <c r="AB8" s="17">
        <f ca="1">'Balance Sheet'!Y11/'Balance Sheet'!Y8</f>
        <v>0.34426488550053069</v>
      </c>
      <c r="AC8" s="17">
        <f ca="1">'Balance Sheet'!Z11/'Balance Sheet'!Z8</f>
        <v>0.34170286882081474</v>
      </c>
      <c r="AD8" s="17">
        <f ca="1">'Balance Sheet'!AA11/'Balance Sheet'!AA8</f>
        <v>0.33993618993239122</v>
      </c>
      <c r="AE8" s="17">
        <f ca="1">'Balance Sheet'!AB11/'Balance Sheet'!AB8</f>
        <v>0.33884655242836026</v>
      </c>
      <c r="AF8" s="17">
        <f ca="1">'Balance Sheet'!AC11/'Balance Sheet'!AC8</f>
        <v>0.33832916226286042</v>
      </c>
      <c r="AG8" s="17">
        <f ca="1">'Balance Sheet'!AD11/'Balance Sheet'!AD8</f>
        <v>0.33829038297501562</v>
      </c>
      <c r="AH8" s="17">
        <f ca="1">'Balance Sheet'!AE11/'Balance Sheet'!AE8</f>
        <v>0.33864584380806256</v>
      </c>
      <c r="AI8" s="29"/>
    </row>
    <row r="9" spans="1:35" ht="21.5" thickBot="1" x14ac:dyDescent="0.55000000000000004">
      <c r="A9" s="20" t="s">
        <v>32</v>
      </c>
      <c r="B9" s="21">
        <f ca="1">MIN('Price and Financial ratios'!E9:AH9)</f>
        <v>3.8915429818825609</v>
      </c>
      <c r="C9" s="21"/>
      <c r="D9" s="177"/>
      <c r="E9" s="21">
        <f ca="1">('Cash Flow'!C7+'Profit and Loss'!C8)/('Profit and Loss'!C8)</f>
        <v>3.8915429818825609</v>
      </c>
      <c r="F9" s="21">
        <f ca="1">('Cash Flow'!D7+'Profit and Loss'!D8)/('Profit and Loss'!D8)</f>
        <v>4.4573470021752026</v>
      </c>
      <c r="G9" s="21">
        <f ca="1">('Cash Flow'!E7+'Profit and Loss'!E8)/('Profit and Loss'!E8)</f>
        <v>5.9788417880956084</v>
      </c>
      <c r="H9" s="21">
        <f ca="1">('Cash Flow'!F7+'Profit and Loss'!F8)/('Profit and Loss'!F8)</f>
        <v>6.9837360160847997</v>
      </c>
      <c r="I9" s="21">
        <f ca="1">('Cash Flow'!G7+'Profit and Loss'!G8)/('Profit and Loss'!G8)</f>
        <v>7.700463729492685</v>
      </c>
      <c r="J9" s="21">
        <f ca="1">('Cash Flow'!H7+'Profit and Loss'!H8)/('Profit and Loss'!H8)</f>
        <v>7.7023555849830103</v>
      </c>
      <c r="K9" s="21">
        <f ca="1">('Cash Flow'!I7+'Profit and Loss'!I8)/('Profit and Loss'!I8)</f>
        <v>7.8580294079509443</v>
      </c>
      <c r="L9" s="21">
        <f ca="1">('Cash Flow'!J7+'Profit and Loss'!J8)/('Profit and Loss'!J8)</f>
        <v>7.9132649781159481</v>
      </c>
      <c r="M9" s="21">
        <f ca="1">('Cash Flow'!K7+'Profit and Loss'!K8)/('Profit and Loss'!K8)</f>
        <v>7.9315690508325378</v>
      </c>
      <c r="N9" s="21">
        <f ca="1">('Cash Flow'!L7+'Profit and Loss'!L8)/('Profit and Loss'!L8)</f>
        <v>7.8817249182684277</v>
      </c>
      <c r="O9" s="21">
        <f ca="1">('Cash Flow'!M7+'Profit and Loss'!M8)/('Profit and Loss'!M8)</f>
        <v>7.8666600580634949</v>
      </c>
      <c r="P9" s="21">
        <f ca="1">('Cash Flow'!N7+'Profit and Loss'!N8)/('Profit and Loss'!N8)</f>
        <v>7.8881557825341844</v>
      </c>
      <c r="Q9" s="21">
        <f ca="1">('Cash Flow'!O7+'Profit and Loss'!O8)/('Profit and Loss'!O8)</f>
        <v>7.8137869774515973</v>
      </c>
      <c r="R9" s="21">
        <f ca="1">('Cash Flow'!P7+'Profit and Loss'!P8)/('Profit and Loss'!P8)</f>
        <v>7.7496886512653074</v>
      </c>
      <c r="S9" s="21">
        <f ca="1">('Cash Flow'!Q7+'Profit and Loss'!Q8)/('Profit and Loss'!Q8)</f>
        <v>7.6978170554031928</v>
      </c>
      <c r="T9" s="21">
        <f ca="1">('Cash Flow'!R7+'Profit and Loss'!R8)/('Profit and Loss'!R8)</f>
        <v>7.659912049215241</v>
      </c>
      <c r="U9" s="21">
        <f ca="1">('Cash Flow'!S7+'Profit and Loss'!S8)/('Profit and Loss'!S8)</f>
        <v>7.6375669196391387</v>
      </c>
      <c r="V9" s="21">
        <f ca="1">('Cash Flow'!T7+'Profit and Loss'!T8)/('Profit and Loss'!T8)</f>
        <v>7.6322997493586691</v>
      </c>
      <c r="W9" s="21">
        <f ca="1">('Cash Flow'!U7+'Profit and Loss'!U8)/('Profit and Loss'!U8)</f>
        <v>7.6456259339477208</v>
      </c>
      <c r="X9" s="21">
        <f ca="1">('Cash Flow'!V7+'Profit and Loss'!V8)/('Profit and Loss'!V8)</f>
        <v>7.6791327715333493</v>
      </c>
      <c r="Y9" s="21">
        <f ca="1">('Cash Flow'!W7+'Profit and Loss'!W8)/('Profit and Loss'!W8)</f>
        <v>7.7345582496823093</v>
      </c>
      <c r="Z9" s="21">
        <f ca="1">('Cash Flow'!X7+'Profit and Loss'!X8)/('Profit and Loss'!X8)</f>
        <v>7.7445336609911442</v>
      </c>
      <c r="AA9" s="21">
        <f ca="1">('Cash Flow'!Y7+'Profit and Loss'!Y8)/('Profit and Loss'!Y8)</f>
        <v>7.694421254583073</v>
      </c>
      <c r="AB9" s="21">
        <f ca="1">('Cash Flow'!Z7+'Profit and Loss'!Z8)/('Profit and Loss'!Z8)</f>
        <v>7.6399828578973876</v>
      </c>
      <c r="AC9" s="21">
        <f ca="1">('Cash Flow'!AA7+'Profit and Loss'!AA8)/('Profit and Loss'!AA8)</f>
        <v>7.5828312130535034</v>
      </c>
      <c r="AD9" s="21">
        <f ca="1">('Cash Flow'!AB7+'Profit and Loss'!AB8)/('Profit and Loss'!AB8)</f>
        <v>7.5244601499132484</v>
      </c>
      <c r="AE9" s="21">
        <f ca="1">('Cash Flow'!AC7+'Profit and Loss'!AC8)/('Profit and Loss'!AC8)</f>
        <v>7.4662362115465708</v>
      </c>
      <c r="AF9" s="21">
        <f ca="1">('Cash Flow'!AD7+'Profit and Loss'!AD8)/('Profit and Loss'!AD8)</f>
        <v>7.4093971680896216</v>
      </c>
      <c r="AG9" s="21">
        <f ca="1">('Cash Flow'!AE7+'Profit and Loss'!AE8)/('Profit and Loss'!AE8)</f>
        <v>7.3550559954608916</v>
      </c>
      <c r="AH9" s="21">
        <f ca="1">('Cash Flow'!AF7+'Profit and Loss'!AF8)/('Profit and Loss'!AF8)</f>
        <v>7.2378361414665005</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966333.07229369157</v>
      </c>
      <c r="D5" s="1">
        <f>Assumptions!E111</f>
        <v>966333.07229369157</v>
      </c>
      <c r="E5" s="1">
        <f>Assumptions!F111</f>
        <v>966333.07229369157</v>
      </c>
      <c r="F5" s="1">
        <f>Assumptions!G111</f>
        <v>966333.07229369157</v>
      </c>
      <c r="G5" s="1">
        <f>Assumptions!H111</f>
        <v>966333.07229369157</v>
      </c>
      <c r="H5" s="1">
        <f>Assumptions!I111</f>
        <v>966333.07229369157</v>
      </c>
      <c r="I5" s="1">
        <f>Assumptions!J111</f>
        <v>966333.07229369157</v>
      </c>
      <c r="J5" s="1">
        <f>Assumptions!K111</f>
        <v>966333.07229369157</v>
      </c>
      <c r="K5" s="1">
        <f>Assumptions!L111</f>
        <v>966333.07229369157</v>
      </c>
      <c r="L5" s="1">
        <f>Assumptions!M111</f>
        <v>966333.07229369157</v>
      </c>
      <c r="M5" s="1">
        <f>Assumptions!N111</f>
        <v>966333.07229369157</v>
      </c>
      <c r="N5" s="1">
        <f>Assumptions!O111</f>
        <v>966333.07229369157</v>
      </c>
      <c r="O5" s="1">
        <f>Assumptions!P111</f>
        <v>966333.07229369157</v>
      </c>
      <c r="P5" s="1">
        <f>Assumptions!Q111</f>
        <v>966333.07229369157</v>
      </c>
      <c r="Q5" s="1">
        <f>Assumptions!R111</f>
        <v>966333.07229369157</v>
      </c>
      <c r="R5" s="1">
        <f>Assumptions!S111</f>
        <v>966333.07229369157</v>
      </c>
      <c r="S5" s="1">
        <f>Assumptions!T111</f>
        <v>966333.07229369157</v>
      </c>
      <c r="T5" s="1">
        <f>Assumptions!U111</f>
        <v>966333.07229369157</v>
      </c>
      <c r="U5" s="1">
        <f>Assumptions!V111</f>
        <v>966333.07229369157</v>
      </c>
      <c r="V5" s="1">
        <f>Assumptions!W111</f>
        <v>966333.07229369157</v>
      </c>
      <c r="W5" s="1">
        <f>Assumptions!X111</f>
        <v>966333.07229369157</v>
      </c>
      <c r="X5" s="1">
        <f>Assumptions!Y111</f>
        <v>966333.07229369157</v>
      </c>
      <c r="Y5" s="1">
        <f>Assumptions!Z111</f>
        <v>966333.07229369157</v>
      </c>
      <c r="Z5" s="1">
        <f>Assumptions!AA111</f>
        <v>966333.07229369157</v>
      </c>
      <c r="AA5" s="1">
        <f>Assumptions!AB111</f>
        <v>966333.07229369157</v>
      </c>
      <c r="AB5" s="1">
        <f>Assumptions!AC111</f>
        <v>966333.07229369157</v>
      </c>
      <c r="AC5" s="1">
        <f>Assumptions!AD111</f>
        <v>966333.07229369157</v>
      </c>
      <c r="AD5" s="1">
        <f>Assumptions!AE111</f>
        <v>966333.07229369157</v>
      </c>
      <c r="AE5" s="1">
        <f>Assumptions!AF111</f>
        <v>966333.07229369157</v>
      </c>
      <c r="AF5" s="1">
        <f>Assumptions!AG111</f>
        <v>966333.07229369157</v>
      </c>
    </row>
    <row r="6" spans="1:32" x14ac:dyDescent="0.35">
      <c r="A6" t="s">
        <v>68</v>
      </c>
      <c r="C6" s="1">
        <f>Assumptions!D113</f>
        <v>11390166.666666666</v>
      </c>
      <c r="D6" s="1">
        <f>Assumptions!E113</f>
        <v>11390166.666666666</v>
      </c>
      <c r="E6" s="1">
        <f>Assumptions!F113</f>
        <v>11390166.666666666</v>
      </c>
      <c r="F6" s="1">
        <f>Assumptions!G113</f>
        <v>11390166.666666666</v>
      </c>
      <c r="G6" s="1">
        <f>Assumptions!H113</f>
        <v>11390166.666666666</v>
      </c>
      <c r="H6" s="1">
        <f>Assumptions!I113</f>
        <v>11390166.666666666</v>
      </c>
      <c r="I6" s="1">
        <f>Assumptions!J113</f>
        <v>11390166.666666666</v>
      </c>
      <c r="J6" s="1">
        <f>Assumptions!K113</f>
        <v>11390166.666666666</v>
      </c>
      <c r="K6" s="1">
        <f>Assumptions!L113</f>
        <v>11390166.666666666</v>
      </c>
      <c r="L6" s="1">
        <f>Assumptions!M113</f>
        <v>11390166.666666666</v>
      </c>
      <c r="M6" s="1">
        <f>Assumptions!N113</f>
        <v>11390166.666666666</v>
      </c>
      <c r="N6" s="1">
        <f>Assumptions!O113</f>
        <v>11390166.666666666</v>
      </c>
      <c r="O6" s="1">
        <f>Assumptions!P113</f>
        <v>11390166.666666666</v>
      </c>
      <c r="P6" s="1">
        <f>Assumptions!Q113</f>
        <v>11390166.666666666</v>
      </c>
      <c r="Q6" s="1">
        <f>Assumptions!R113</f>
        <v>11390166.666666666</v>
      </c>
      <c r="R6" s="1">
        <f>Assumptions!S113</f>
        <v>11390166.666666666</v>
      </c>
      <c r="S6" s="1">
        <f>Assumptions!T113</f>
        <v>11390166.666666666</v>
      </c>
      <c r="T6" s="1">
        <f>Assumptions!U113</f>
        <v>11390166.666666666</v>
      </c>
      <c r="U6" s="1">
        <f>Assumptions!V113</f>
        <v>11390166.666666666</v>
      </c>
      <c r="V6" s="1">
        <f>Assumptions!W113</f>
        <v>11390166.666666666</v>
      </c>
      <c r="W6" s="1">
        <f>Assumptions!X113</f>
        <v>11390166.666666666</v>
      </c>
      <c r="X6" s="1">
        <f>Assumptions!Y113</f>
        <v>11390166.666666666</v>
      </c>
      <c r="Y6" s="1">
        <f>Assumptions!Z113</f>
        <v>11390166.666666666</v>
      </c>
      <c r="Z6" s="1">
        <f>Assumptions!AA113</f>
        <v>11390166.666666666</v>
      </c>
      <c r="AA6" s="1">
        <f>Assumptions!AB113</f>
        <v>11390166.666666666</v>
      </c>
      <c r="AB6" s="1">
        <f>Assumptions!AC113</f>
        <v>11390166.666666666</v>
      </c>
      <c r="AC6" s="1">
        <f>Assumptions!AD113</f>
        <v>11390166.666666666</v>
      </c>
      <c r="AD6" s="1">
        <f>Assumptions!AE113</f>
        <v>11390166.666666666</v>
      </c>
      <c r="AE6" s="1">
        <f>Assumptions!AF113</f>
        <v>11390166.666666666</v>
      </c>
      <c r="AF6" s="1">
        <f>Assumptions!AG113</f>
        <v>11390166.666666666</v>
      </c>
    </row>
    <row r="7" spans="1:32" x14ac:dyDescent="0.35">
      <c r="A7" t="s">
        <v>73</v>
      </c>
      <c r="C7" s="1">
        <f>Assumptions!D120</f>
        <v>273364</v>
      </c>
      <c r="D7" s="1">
        <f>Assumptions!E120</f>
        <v>546728</v>
      </c>
      <c r="E7" s="1">
        <f>Assumptions!F120</f>
        <v>820092</v>
      </c>
      <c r="F7" s="1">
        <f>Assumptions!G120</f>
        <v>1093456</v>
      </c>
      <c r="G7" s="1">
        <f>Assumptions!H120</f>
        <v>1366819.9999999998</v>
      </c>
      <c r="H7" s="1">
        <f>Assumptions!I120</f>
        <v>1640184</v>
      </c>
      <c r="I7" s="1">
        <f>Assumptions!J120</f>
        <v>1913548</v>
      </c>
      <c r="J7" s="1">
        <f>Assumptions!K120</f>
        <v>2186912.0000000005</v>
      </c>
      <c r="K7" s="1">
        <f>Assumptions!L120</f>
        <v>2460276.0000000005</v>
      </c>
      <c r="L7" s="1">
        <f>Assumptions!M120</f>
        <v>2733640.0000000009</v>
      </c>
      <c r="M7" s="1">
        <f>Assumptions!N120</f>
        <v>3007004.0000000005</v>
      </c>
      <c r="N7" s="1">
        <f>Assumptions!O120</f>
        <v>3280368.0000000005</v>
      </c>
      <c r="O7" s="1">
        <f>Assumptions!P120</f>
        <v>3553732.0000000009</v>
      </c>
      <c r="P7" s="1">
        <f>Assumptions!Q120</f>
        <v>3827096</v>
      </c>
      <c r="Q7" s="1">
        <f>Assumptions!R120</f>
        <v>4100460</v>
      </c>
      <c r="R7" s="1">
        <f>Assumptions!S120</f>
        <v>4373824</v>
      </c>
      <c r="S7" s="1">
        <f>Assumptions!T120</f>
        <v>4647187.9999999991</v>
      </c>
      <c r="T7" s="1">
        <f>Assumptions!U120</f>
        <v>4920551.9999999991</v>
      </c>
      <c r="U7" s="1">
        <f>Assumptions!V120</f>
        <v>5193915.9999999981</v>
      </c>
      <c r="V7" s="1">
        <f>Assumptions!W120</f>
        <v>5467279.9999999991</v>
      </c>
      <c r="W7" s="1">
        <f>Assumptions!X120</f>
        <v>5740643.9999999991</v>
      </c>
      <c r="X7" s="1">
        <f>Assumptions!Y120</f>
        <v>6014007.9999999972</v>
      </c>
      <c r="Y7" s="1">
        <f>Assumptions!Z120</f>
        <v>6287371.9999999981</v>
      </c>
      <c r="Z7" s="1">
        <f>Assumptions!AA120</f>
        <v>6560735.9999999991</v>
      </c>
      <c r="AA7" s="1">
        <f>Assumptions!AB120</f>
        <v>6834099.9999999981</v>
      </c>
      <c r="AB7" s="1">
        <f>Assumptions!AC120</f>
        <v>7107463.9999999991</v>
      </c>
      <c r="AC7" s="1">
        <f>Assumptions!AD120</f>
        <v>7380828</v>
      </c>
      <c r="AD7" s="1">
        <f>Assumptions!AE120</f>
        <v>7654192</v>
      </c>
      <c r="AE7" s="1">
        <f>Assumptions!AF120</f>
        <v>7927556.0000000019</v>
      </c>
      <c r="AF7" s="1">
        <f>Assumptions!AG120</f>
        <v>8200920.0000000009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997255.7306070897</v>
      </c>
      <c r="D11" s="1">
        <f>D5*D$9</f>
        <v>1029167.9139865165</v>
      </c>
      <c r="E11" s="1">
        <f t="shared" ref="D11:AF13" si="1">E5*E$9</f>
        <v>1062101.2872340849</v>
      </c>
      <c r="F11" s="1">
        <f t="shared" si="1"/>
        <v>1096088.5284255757</v>
      </c>
      <c r="G11" s="1">
        <f t="shared" si="1"/>
        <v>1131163.3613351942</v>
      </c>
      <c r="H11" s="1">
        <f t="shared" si="1"/>
        <v>1167360.5888979204</v>
      </c>
      <c r="I11" s="1">
        <f t="shared" si="1"/>
        <v>1204716.1277426537</v>
      </c>
      <c r="J11" s="1">
        <f t="shared" si="1"/>
        <v>1243267.0438304187</v>
      </c>
      <c r="K11" s="1">
        <f t="shared" si="1"/>
        <v>1283051.5892329921</v>
      </c>
      <c r="L11" s="1">
        <f t="shared" si="1"/>
        <v>1324109.2400884479</v>
      </c>
      <c r="M11" s="1">
        <f t="shared" si="1"/>
        <v>1366480.7357712782</v>
      </c>
      <c r="N11" s="1">
        <f t="shared" si="1"/>
        <v>1410208.119315959</v>
      </c>
      <c r="O11" s="1">
        <f t="shared" si="1"/>
        <v>1455334.7791340698</v>
      </c>
      <c r="P11" s="1">
        <f t="shared" si="1"/>
        <v>1501905.4920663598</v>
      </c>
      <c r="Q11" s="1">
        <f t="shared" si="1"/>
        <v>1549966.4678124832</v>
      </c>
      <c r="R11" s="1">
        <f t="shared" si="1"/>
        <v>1599565.3947824829</v>
      </c>
      <c r="S11" s="1">
        <f t="shared" si="1"/>
        <v>1650751.4874155226</v>
      </c>
      <c r="T11" s="1">
        <f t="shared" si="1"/>
        <v>1703575.5350128191</v>
      </c>
      <c r="U11" s="1">
        <f t="shared" si="1"/>
        <v>1758089.952133229</v>
      </c>
      <c r="V11" s="1">
        <f t="shared" si="1"/>
        <v>1814348.8306014927</v>
      </c>
      <c r="W11" s="1">
        <f t="shared" si="1"/>
        <v>1872407.9931807406</v>
      </c>
      <c r="X11" s="1">
        <f t="shared" si="1"/>
        <v>1932325.0489625239</v>
      </c>
      <c r="Y11" s="1">
        <f t="shared" si="1"/>
        <v>1994159.4505293246</v>
      </c>
      <c r="Z11" s="1">
        <f t="shared" si="1"/>
        <v>2057972.552946263</v>
      </c>
      <c r="AA11" s="1">
        <f t="shared" si="1"/>
        <v>2123827.6746405438</v>
      </c>
      <c r="AB11" s="1">
        <f t="shared" si="1"/>
        <v>2191790.1602290408</v>
      </c>
      <c r="AC11" s="1">
        <f t="shared" si="1"/>
        <v>2261927.4453563699</v>
      </c>
      <c r="AD11" s="1">
        <f t="shared" si="1"/>
        <v>2334309.1236077743</v>
      </c>
      <c r="AE11" s="1">
        <f t="shared" si="1"/>
        <v>2409007.015563223</v>
      </c>
      <c r="AF11" s="1">
        <f t="shared" si="1"/>
        <v>2486095.2400612459</v>
      </c>
    </row>
    <row r="12" spans="1:32" x14ac:dyDescent="0.35">
      <c r="A12" t="s">
        <v>71</v>
      </c>
      <c r="C12" s="1">
        <f t="shared" ref="C12:R12" si="2">C6*C$9</f>
        <v>11754652</v>
      </c>
      <c r="D12" s="1">
        <f t="shared" si="2"/>
        <v>12130800.863999998</v>
      </c>
      <c r="E12" s="1">
        <f t="shared" si="2"/>
        <v>12518986.491647998</v>
      </c>
      <c r="F12" s="1">
        <f t="shared" si="2"/>
        <v>12919594.059380734</v>
      </c>
      <c r="G12" s="1">
        <f t="shared" si="2"/>
        <v>13333021.069280919</v>
      </c>
      <c r="H12" s="1">
        <f t="shared" si="2"/>
        <v>13759677.743497906</v>
      </c>
      <c r="I12" s="1">
        <f t="shared" si="2"/>
        <v>14199987.431289839</v>
      </c>
      <c r="J12" s="1">
        <f t="shared" si="2"/>
        <v>14654387.029091114</v>
      </c>
      <c r="K12" s="1">
        <f t="shared" si="2"/>
        <v>15123327.414022032</v>
      </c>
      <c r="L12" s="1">
        <f t="shared" si="2"/>
        <v>15607273.891270734</v>
      </c>
      <c r="M12" s="1">
        <f t="shared" si="2"/>
        <v>16106706.655791398</v>
      </c>
      <c r="N12" s="1">
        <f t="shared" si="2"/>
        <v>16622121.268776724</v>
      </c>
      <c r="O12" s="1">
        <f t="shared" si="2"/>
        <v>17154029.149377581</v>
      </c>
      <c r="P12" s="1">
        <f t="shared" si="2"/>
        <v>17702958.08215766</v>
      </c>
      <c r="Q12" s="1">
        <f t="shared" si="2"/>
        <v>18269452.740786701</v>
      </c>
      <c r="R12" s="1">
        <f t="shared" si="2"/>
        <v>18854075.22849188</v>
      </c>
      <c r="S12" s="1">
        <f t="shared" si="1"/>
        <v>19457405.635803621</v>
      </c>
      <c r="T12" s="1">
        <f t="shared" si="1"/>
        <v>20080042.616149336</v>
      </c>
      <c r="U12" s="1">
        <f t="shared" si="1"/>
        <v>20722603.979866114</v>
      </c>
      <c r="V12" s="1">
        <f t="shared" si="1"/>
        <v>21385727.30722183</v>
      </c>
      <c r="W12" s="1">
        <f t="shared" si="1"/>
        <v>22070070.581052933</v>
      </c>
      <c r="X12" s="1">
        <f t="shared" si="1"/>
        <v>22776312.839646623</v>
      </c>
      <c r="Y12" s="1">
        <f t="shared" si="1"/>
        <v>23505154.85051531</v>
      </c>
      <c r="Z12" s="1">
        <f t="shared" si="1"/>
        <v>24257319.805731803</v>
      </c>
      <c r="AA12" s="1">
        <f t="shared" si="1"/>
        <v>25033554.039515227</v>
      </c>
      <c r="AB12" s="1">
        <f t="shared" si="1"/>
        <v>25834627.768779706</v>
      </c>
      <c r="AC12" s="1">
        <f t="shared" si="1"/>
        <v>26661335.857380655</v>
      </c>
      <c r="AD12" s="1">
        <f t="shared" si="1"/>
        <v>27514498.604816843</v>
      </c>
      <c r="AE12" s="1">
        <f t="shared" si="1"/>
        <v>28394962.560170978</v>
      </c>
      <c r="AF12" s="1">
        <f t="shared" si="1"/>
        <v>29303601.362096447</v>
      </c>
    </row>
    <row r="13" spans="1:32" x14ac:dyDescent="0.35">
      <c r="A13" t="s">
        <v>74</v>
      </c>
      <c r="C13" s="1">
        <f>C7*C$9</f>
        <v>282111.64799999999</v>
      </c>
      <c r="D13" s="1">
        <f t="shared" si="1"/>
        <v>582278.44147199998</v>
      </c>
      <c r="E13" s="1">
        <f t="shared" si="1"/>
        <v>901367.02739865589</v>
      </c>
      <c r="F13" s="1">
        <f t="shared" si="1"/>
        <v>1240281.0297005505</v>
      </c>
      <c r="G13" s="1">
        <f t="shared" si="1"/>
        <v>1599962.5283137101</v>
      </c>
      <c r="H13" s="1">
        <f t="shared" si="1"/>
        <v>1981393.5950636987</v>
      </c>
      <c r="I13" s="1">
        <f t="shared" si="1"/>
        <v>2385597.8884566929</v>
      </c>
      <c r="J13" s="1">
        <f t="shared" si="1"/>
        <v>2813642.3095854949</v>
      </c>
      <c r="K13" s="1">
        <f t="shared" si="1"/>
        <v>3266638.7214287599</v>
      </c>
      <c r="L13" s="1">
        <f t="shared" si="1"/>
        <v>3745745.7339049778</v>
      </c>
      <c r="M13" s="1">
        <f t="shared" si="1"/>
        <v>4252170.5571289295</v>
      </c>
      <c r="N13" s="1">
        <f t="shared" si="1"/>
        <v>4787170.9254076974</v>
      </c>
      <c r="O13" s="1">
        <f t="shared" si="1"/>
        <v>5352057.0946058063</v>
      </c>
      <c r="P13" s="1">
        <f t="shared" si="1"/>
        <v>5948193.9156049741</v>
      </c>
      <c r="Q13" s="1">
        <f t="shared" si="1"/>
        <v>6577002.9866832132</v>
      </c>
      <c r="R13" s="1">
        <f t="shared" si="1"/>
        <v>7239964.8877408821</v>
      </c>
      <c r="S13" s="1">
        <f t="shared" si="1"/>
        <v>7938621.4994078772</v>
      </c>
      <c r="T13" s="1">
        <f t="shared" si="1"/>
        <v>8674578.4101765119</v>
      </c>
      <c r="U13" s="1">
        <f t="shared" si="1"/>
        <v>9449507.4148189444</v>
      </c>
      <c r="V13" s="1">
        <f t="shared" si="1"/>
        <v>10265149.107466478</v>
      </c>
      <c r="W13" s="1">
        <f t="shared" si="1"/>
        <v>11123315.572850676</v>
      </c>
      <c r="X13" s="1">
        <f t="shared" si="1"/>
        <v>12025893.179333411</v>
      </c>
      <c r="Y13" s="1">
        <f t="shared" si="1"/>
        <v>12974845.477484448</v>
      </c>
      <c r="Z13" s="1">
        <f t="shared" si="1"/>
        <v>13972216.208101517</v>
      </c>
      <c r="AA13" s="1">
        <f t="shared" si="1"/>
        <v>15020132.423709132</v>
      </c>
      <c r="AB13" s="1">
        <f t="shared" si="1"/>
        <v>16120807.727718536</v>
      </c>
      <c r="AC13" s="1">
        <f t="shared" si="1"/>
        <v>17276545.635582667</v>
      </c>
      <c r="AD13" s="1">
        <f t="shared" si="1"/>
        <v>18489743.06243692</v>
      </c>
      <c r="AE13" s="1">
        <f t="shared" si="1"/>
        <v>19762893.941879008</v>
      </c>
      <c r="AF13" s="1">
        <f t="shared" si="1"/>
        <v>21098592.980709445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13034019.378607091</v>
      </c>
      <c r="D25" s="40">
        <f>SUM(D11:D13,D18:D23)</f>
        <v>13742247.219458515</v>
      </c>
      <c r="E25" s="40">
        <f t="shared" ref="E25:AF25" si="7">SUM(E11:E13,E18:E23)</f>
        <v>14482454.806280738</v>
      </c>
      <c r="F25" s="40">
        <f t="shared" si="7"/>
        <v>15255963.617506862</v>
      </c>
      <c r="G25" s="40">
        <f t="shared" si="7"/>
        <v>16064146.958929822</v>
      </c>
      <c r="H25" s="40">
        <f t="shared" si="7"/>
        <v>16908431.927459527</v>
      </c>
      <c r="I25" s="40">
        <f t="shared" si="7"/>
        <v>17790301.447489187</v>
      </c>
      <c r="J25" s="40">
        <f t="shared" si="7"/>
        <v>18711296.382507026</v>
      </c>
      <c r="K25" s="40">
        <f t="shared" si="7"/>
        <v>19673017.724683784</v>
      </c>
      <c r="L25" s="40">
        <f t="shared" si="7"/>
        <v>20677128.865264159</v>
      </c>
      <c r="M25" s="40">
        <f t="shared" si="7"/>
        <v>21725357.948691607</v>
      </c>
      <c r="N25" s="40">
        <f t="shared" si="7"/>
        <v>22819500.313500378</v>
      </c>
      <c r="O25" s="40">
        <f t="shared" si="7"/>
        <v>23961421.023117457</v>
      </c>
      <c r="P25" s="40">
        <f t="shared" si="7"/>
        <v>25153057.489828996</v>
      </c>
      <c r="Q25" s="40">
        <f t="shared" si="7"/>
        <v>26396422.195282396</v>
      </c>
      <c r="R25" s="40">
        <f t="shared" si="7"/>
        <v>27693605.511015244</v>
      </c>
      <c r="S25" s="40">
        <f t="shared" si="7"/>
        <v>29046778.62262702</v>
      </c>
      <c r="T25" s="40">
        <f t="shared" si="7"/>
        <v>30458196.561338667</v>
      </c>
      <c r="U25" s="40">
        <f t="shared" si="7"/>
        <v>31930201.346818283</v>
      </c>
      <c r="V25" s="40">
        <f t="shared" si="7"/>
        <v>33465225.245289799</v>
      </c>
      <c r="W25" s="40">
        <f t="shared" si="7"/>
        <v>35065794.147084348</v>
      </c>
      <c r="X25" s="40">
        <f t="shared" si="7"/>
        <v>36734531.06794256</v>
      </c>
      <c r="Y25" s="40">
        <f t="shared" si="7"/>
        <v>38474159.778529085</v>
      </c>
      <c r="Z25" s="40">
        <f t="shared" si="7"/>
        <v>40287508.566779584</v>
      </c>
      <c r="AA25" s="40">
        <f t="shared" si="7"/>
        <v>42177514.137864903</v>
      </c>
      <c r="AB25" s="40">
        <f t="shared" si="7"/>
        <v>44147225.656727284</v>
      </c>
      <c r="AC25" s="40">
        <f t="shared" si="7"/>
        <v>46199808.938319691</v>
      </c>
      <c r="AD25" s="40">
        <f t="shared" si="7"/>
        <v>48338550.790861532</v>
      </c>
      <c r="AE25" s="40">
        <f t="shared" si="7"/>
        <v>50566863.51761321</v>
      </c>
      <c r="AF25" s="40">
        <f t="shared" si="7"/>
        <v>52888289.582867138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4674581.7495036554</v>
      </c>
      <c r="D5" s="59">
        <f>C5*('Price and Financial ratios'!F4+1)*(1+Assumptions!$C$13)</f>
        <v>7062609.7391055766</v>
      </c>
      <c r="E5" s="59">
        <f>D5*('Price and Financial ratios'!G4+1)*(1+Assumptions!$C$13)</f>
        <v>10670570.972944312</v>
      </c>
      <c r="F5" s="59">
        <f>E5*('Price and Financial ratios'!H4+1)*(1+Assumptions!$C$13)</f>
        <v>13972116.618181776</v>
      </c>
      <c r="G5" s="59">
        <f>F5*('Price and Financial ratios'!I4+1)*(1+Assumptions!$C$13)</f>
        <v>16887860.722763866</v>
      </c>
      <c r="H5" s="59">
        <f>G5*('Price and Financial ratios'!J4+1)*(1+Assumptions!$C$13)</f>
        <v>18711065.303829074</v>
      </c>
      <c r="I5" s="59">
        <f>H5*('Price and Financial ratios'!K4+1)*(1+Assumptions!$C$13)</f>
        <v>20731102.094668284</v>
      </c>
      <c r="J5" s="59">
        <f>I5*('Price and Financial ratios'!L4+1)*(1+Assumptions!$C$13)</f>
        <v>22551598.797401428</v>
      </c>
      <c r="K5" s="59">
        <f>J5*('Price and Financial ratios'!M4+1)*(1+Assumptions!$C$13)</f>
        <v>24304814.180498511</v>
      </c>
      <c r="L5" s="59">
        <f>K5*('Price and Financial ratios'!N4+1)*(1+Assumptions!$C$13)</f>
        <v>25949521.922178436</v>
      </c>
      <c r="M5" s="59">
        <f>L5*('Price and Financial ratios'!O4+1)*(1+Assumptions!$C$13)</f>
        <v>27705527.102112893</v>
      </c>
      <c r="N5" s="59">
        <f>M5*('Price and Financial ratios'!P4+1)*(1+Assumptions!$C$13)</f>
        <v>29580361.222372498</v>
      </c>
      <c r="O5" s="59">
        <f>N5*('Price and Financial ratios'!Q4+1)*(1+Assumptions!$C$13)</f>
        <v>31284121.4284679</v>
      </c>
      <c r="P5" s="59">
        <f>O5*('Price and Financial ratios'!R4+1)*(1+Assumptions!$C$13)</f>
        <v>33086014.271215446</v>
      </c>
      <c r="Q5" s="59">
        <f>P5*('Price and Financial ratios'!S4+1)*(1+Assumptions!$C$13)</f>
        <v>34991691.96290525</v>
      </c>
      <c r="R5" s="59">
        <f>Q5*('Price and Financial ratios'!T4+1)*(1+Assumptions!$C$13)</f>
        <v>37007132.270147197</v>
      </c>
      <c r="S5" s="59">
        <f>R5*('Price and Financial ratios'!U4+1)*(1+Assumptions!$C$13)</f>
        <v>39138657.265044764</v>
      </c>
      <c r="T5" s="59">
        <f>S5*('Price and Financial ratios'!V4+1)*(1+Assumptions!$C$13)</f>
        <v>41392953.156392962</v>
      </c>
      <c r="U5" s="59">
        <f>T5*('Price and Financial ratios'!W4+1)*(1+Assumptions!$C$13)</f>
        <v>43777091.2631073</v>
      </c>
      <c r="V5" s="59">
        <f>U5*('Price and Financial ratios'!X4+1)*(1+Assumptions!$C$13)</f>
        <v>46298550.1956736</v>
      </c>
      <c r="W5" s="59">
        <f>V5*('Price and Financial ratios'!Y4+1)*(1+Assumptions!$C$13)</f>
        <v>48965239.3151979</v>
      </c>
      <c r="X5" s="59">
        <f>W5*('Price and Financial ratios'!Z4+1)*(1+Assumptions!$C$13)</f>
        <v>51538925.812482998</v>
      </c>
      <c r="Y5" s="59">
        <f>X5*('Price and Financial ratios'!AA4+1)*(1+Assumptions!$C$13)</f>
        <v>53988329.858163781</v>
      </c>
      <c r="Z5" s="59">
        <f>Y5*('Price and Financial ratios'!AB4+1)*(1+Assumptions!$C$13)</f>
        <v>56554142.619866818</v>
      </c>
      <c r="AA5" s="59">
        <f>Z5*('Price and Financial ratios'!AC4+1)*(1+Assumptions!$C$13)</f>
        <v>59241896.459306724</v>
      </c>
      <c r="AB5" s="59">
        <f>AA5*('Price and Financial ratios'!AD4+1)*(1+Assumptions!$C$13)</f>
        <v>62057386.665470123</v>
      </c>
      <c r="AC5" s="59">
        <f>AB5*('Price and Financial ratios'!AE4+1)*(1+Assumptions!$C$13)</f>
        <v>65006683.95031891</v>
      </c>
      <c r="AD5" s="59">
        <f>AC5*('Price and Financial ratios'!AF4+1)*(1+Assumptions!$C$13)</f>
        <v>68096147.538355842</v>
      </c>
      <c r="AE5" s="59">
        <f>AD5*('Price and Financial ratios'!AG4+1)*(1+Assumptions!$C$13)</f>
        <v>71332438.878275961</v>
      </c>
      <c r="AF5" s="59">
        <f>AE5*('Price and Financial ratios'!AH4+1)*(1+Assumptions!$C$13)</f>
        <v>74363293.044700027</v>
      </c>
    </row>
    <row r="6" spans="1:32" s="11" customFormat="1" x14ac:dyDescent="0.35">
      <c r="A6" s="11" t="s">
        <v>20</v>
      </c>
      <c r="C6" s="59">
        <f>C27</f>
        <v>2558304.3432239625</v>
      </c>
      <c r="D6" s="59">
        <f t="shared" ref="D6:AF6" si="1">D27</f>
        <v>2987828.7721735239</v>
      </c>
      <c r="E6" s="59">
        <f>E27</f>
        <v>3435134.8650841629</v>
      </c>
      <c r="F6" s="59">
        <f t="shared" si="1"/>
        <v>3900800.6765183485</v>
      </c>
      <c r="G6" s="59">
        <f t="shared" si="1"/>
        <v>4385421.19350091</v>
      </c>
      <c r="H6" s="59">
        <f t="shared" si="1"/>
        <v>4889608.8038374297</v>
      </c>
      <c r="I6" s="59">
        <f t="shared" si="1"/>
        <v>5413993.7769335387</v>
      </c>
      <c r="J6" s="59">
        <f t="shared" si="1"/>
        <v>5959224.7574411323</v>
      </c>
      <c r="K6" s="59">
        <f t="shared" si="1"/>
        <v>6525969.2720658947</v>
      </c>
      <c r="L6" s="59">
        <f t="shared" si="1"/>
        <v>7114914.2498791404</v>
      </c>
      <c r="M6" s="59">
        <f t="shared" si="1"/>
        <v>7726766.55648572</v>
      </c>
      <c r="N6" s="59">
        <f t="shared" si="1"/>
        <v>8362253.54240885</v>
      </c>
      <c r="O6" s="59">
        <f t="shared" si="1"/>
        <v>9022123.6060618944</v>
      </c>
      <c r="P6" s="59">
        <f t="shared" si="1"/>
        <v>9707146.7716866937</v>
      </c>
      <c r="Q6" s="59">
        <f t="shared" si="1"/>
        <v>10418115.282647723</v>
      </c>
      <c r="R6" s="59">
        <f t="shared" si="1"/>
        <v>11155844.210481349</v>
      </c>
      <c r="S6" s="59">
        <f t="shared" si="1"/>
        <v>11921172.080109723</v>
      </c>
      <c r="T6" s="59">
        <f t="shared" si="1"/>
        <v>12714961.51163929</v>
      </c>
      <c r="U6" s="59">
        <f t="shared" si="1"/>
        <v>13538099.879174687</v>
      </c>
      <c r="V6" s="59">
        <f t="shared" si="1"/>
        <v>14391499.987089861</v>
      </c>
      <c r="W6" s="59">
        <f t="shared" si="1"/>
        <v>15276100.764209444</v>
      </c>
      <c r="X6" s="59">
        <f t="shared" si="1"/>
        <v>16192867.976365205</v>
      </c>
      <c r="Y6" s="59">
        <f t="shared" si="1"/>
        <v>17142794.957804114</v>
      </c>
      <c r="Z6" s="59">
        <f t="shared" si="1"/>
        <v>18126903.361936834</v>
      </c>
      <c r="AA6" s="59">
        <f t="shared" si="1"/>
        <v>19146243.931928005</v>
      </c>
      <c r="AB6" s="59">
        <f t="shared" si="1"/>
        <v>20201897.291642427</v>
      </c>
      <c r="AC6" s="59">
        <f t="shared" si="1"/>
        <v>21294974.7574744</v>
      </c>
      <c r="AD6" s="59">
        <f t="shared" si="1"/>
        <v>22426619.171601102</v>
      </c>
      <c r="AE6" s="59">
        <f t="shared" si="1"/>
        <v>23598005.757214464</v>
      </c>
      <c r="AF6" s="59">
        <f t="shared" si="1"/>
        <v>24810342.996300463</v>
      </c>
    </row>
    <row r="7" spans="1:32" x14ac:dyDescent="0.35">
      <c r="A7" t="s">
        <v>21</v>
      </c>
      <c r="C7" s="4">
        <f>Depreciation!C8+Depreciation!C9</f>
        <v>1279367.3786070896</v>
      </c>
      <c r="D7" s="4">
        <f>Depreciation!D8+Depreciation!D9</f>
        <v>1611446.3554585166</v>
      </c>
      <c r="E7" s="4">
        <f>Depreciation!E8+Depreciation!E9</f>
        <v>1963468.3146327408</v>
      </c>
      <c r="F7" s="4">
        <f>Depreciation!F8+Depreciation!F9</f>
        <v>2336369.5581261264</v>
      </c>
      <c r="G7" s="4">
        <f>Depreciation!G8+Depreciation!G9</f>
        <v>2731125.8896489041</v>
      </c>
      <c r="H7" s="4">
        <f>Depreciation!H8+Depreciation!H9</f>
        <v>3148754.1839616192</v>
      </c>
      <c r="I7" s="4">
        <f>Depreciation!I8+Depreciation!I9</f>
        <v>3590314.0161993466</v>
      </c>
      <c r="J7" s="4">
        <f>Depreciation!J8+Depreciation!J9</f>
        <v>4056909.3534159139</v>
      </c>
      <c r="K7" s="4">
        <f>Depreciation!K8+Depreciation!K9</f>
        <v>4549690.3106617518</v>
      </c>
      <c r="L7" s="4">
        <f>Depreciation!L8+Depreciation!L9</f>
        <v>5069854.9739934262</v>
      </c>
      <c r="M7" s="4">
        <f>Depreciation!M8+Depreciation!M9</f>
        <v>5618651.2929002075</v>
      </c>
      <c r="N7" s="4">
        <f>Depreciation!N8+Depreciation!N9</f>
        <v>6197379.044723656</v>
      </c>
      <c r="O7" s="4">
        <f>Depreciation!O8+Depreciation!O9</f>
        <v>6807391.8737398759</v>
      </c>
      <c r="P7" s="4">
        <f>Depreciation!P8+Depreciation!P9</f>
        <v>7450099.4076713342</v>
      </c>
      <c r="Q7" s="4">
        <f>Depreciation!Q8+Depreciation!Q9</f>
        <v>8126969.4544956964</v>
      </c>
      <c r="R7" s="4">
        <f>Depreciation!R8+Depreciation!R9</f>
        <v>8839530.2825233657</v>
      </c>
      <c r="S7" s="4">
        <f>Depreciation!S8+Depreciation!S9</f>
        <v>9589372.9868234005</v>
      </c>
      <c r="T7" s="4">
        <f>Depreciation!T8+Depreciation!T9</f>
        <v>10378153.945189331</v>
      </c>
      <c r="U7" s="4">
        <f>Depreciation!U8+Depreciation!U9</f>
        <v>11207597.366952173</v>
      </c>
      <c r="V7" s="4">
        <f>Depreciation!V8+Depreciation!V9</f>
        <v>12079497.938067971</v>
      </c>
      <c r="W7" s="4">
        <f>Depreciation!W8+Depreciation!W9</f>
        <v>12995723.566031417</v>
      </c>
      <c r="X7" s="4">
        <f>Depreciation!X8+Depreciation!X9</f>
        <v>13958218.228295935</v>
      </c>
      <c r="Y7" s="4">
        <f>Depreciation!Y8+Depreciation!Y9</f>
        <v>14969004.928013772</v>
      </c>
      <c r="Z7" s="4">
        <f>Depreciation!Z8+Depreciation!Z9</f>
        <v>16030188.761047781</v>
      </c>
      <c r="AA7" s="4">
        <f>Depreciation!AA8+Depreciation!AA9</f>
        <v>17143960.098349676</v>
      </c>
      <c r="AB7" s="4">
        <f>Depreciation!AB8+Depreciation!AB9</f>
        <v>18312597.887947578</v>
      </c>
      <c r="AC7" s="4">
        <f>Depreciation!AC8+Depreciation!AC9</f>
        <v>19538473.080939036</v>
      </c>
      <c r="AD7" s="4">
        <f>Depreciation!AD8+Depreciation!AD9</f>
        <v>20824052.186044693</v>
      </c>
      <c r="AE7" s="4">
        <f>Depreciation!AE8+Depreciation!AE9</f>
        <v>22171900.957442231</v>
      </c>
      <c r="AF7" s="4">
        <f>Depreciation!AF8+Depreciation!AF9</f>
        <v>23584688.220770691</v>
      </c>
    </row>
    <row r="8" spans="1:32" x14ac:dyDescent="0.35">
      <c r="A8" t="s">
        <v>6</v>
      </c>
      <c r="C8" s="4">
        <f ca="1">'Debt worksheet'!C8</f>
        <v>543814.47568026837</v>
      </c>
      <c r="D8" s="4">
        <f ca="1">'Debt worksheet'!D8</f>
        <v>914171.80779139337</v>
      </c>
      <c r="E8" s="4">
        <f ca="1">'Debt worksheet'!E8</f>
        <v>1210173.535995973</v>
      </c>
      <c r="F8" s="4">
        <f ca="1">'Debt worksheet'!F8</f>
        <v>1442110.0566326356</v>
      </c>
      <c r="G8" s="4">
        <f ca="1">'Debt worksheet'!G8</f>
        <v>1623595.6649440164</v>
      </c>
      <c r="H8" s="4">
        <f ca="1">'Debt worksheet'!H8</f>
        <v>1794445.3936843441</v>
      </c>
      <c r="I8" s="4">
        <f ca="1">'Debt worksheet'!I8</f>
        <v>1949230.2105966317</v>
      </c>
      <c r="J8" s="4">
        <f ca="1">'Debt worksheet'!J8</f>
        <v>2096779.7850629713</v>
      </c>
      <c r="K8" s="4">
        <f ca="1">'Debt worksheet'!K8</f>
        <v>2241529.3612764375</v>
      </c>
      <c r="L8" s="4">
        <f ca="1">'Debt worksheet'!L8</f>
        <v>2389655.5471815625</v>
      </c>
      <c r="M8" s="4">
        <f ca="1">'Debt worksheet'!M8</f>
        <v>2539675.0842371173</v>
      </c>
      <c r="N8" s="4">
        <f ca="1">'Debt worksheet'!N8</f>
        <v>2689869.2501667384</v>
      </c>
      <c r="O8" s="4">
        <f ca="1">'Debt worksheet'!O8</f>
        <v>2849066.3856908181</v>
      </c>
      <c r="P8" s="4">
        <f ca="1">'Debt worksheet'!P8</f>
        <v>3016749.2594314264</v>
      </c>
      <c r="Q8" s="4">
        <f ca="1">'Debt worksheet'!Q8</f>
        <v>3192278.6035826914</v>
      </c>
      <c r="R8" s="4">
        <f ca="1">'Debt worksheet'!R8</f>
        <v>3374880.5330361868</v>
      </c>
      <c r="S8" s="4">
        <f ca="1">'Debt worksheet'!S8</f>
        <v>3563632.9568449808</v>
      </c>
      <c r="T8" s="4">
        <f ca="1">'Debt worksheet'!T8</f>
        <v>3757450.9108035807</v>
      </c>
      <c r="U8" s="4">
        <f ca="1">'Debt worksheet'!U8</f>
        <v>3955070.7352379058</v>
      </c>
      <c r="V8" s="4">
        <f ca="1">'Debt worksheet'!V8</f>
        <v>4155033.0171218836</v>
      </c>
      <c r="W8" s="4">
        <f ca="1">'Debt worksheet'!W8</f>
        <v>4355664.2103473991</v>
      </c>
      <c r="X8" s="4">
        <f ca="1">'Debt worksheet'!X8</f>
        <v>4564000.8015142651</v>
      </c>
      <c r="Y8" s="4">
        <f ca="1">'Debt worksheet'!Y8</f>
        <v>4788603.8054406168</v>
      </c>
      <c r="Z8" s="4">
        <f ca="1">'Debt worksheet'!Z8</f>
        <v>5029754.6437827488</v>
      </c>
      <c r="AA8" s="4">
        <f ca="1">'Debt worksheet'!AA8</f>
        <v>5287688.9120722953</v>
      </c>
      <c r="AB8" s="4">
        <f ca="1">'Debt worksheet'!AB8</f>
        <v>5562590.3440142814</v>
      </c>
      <c r="AC8" s="4">
        <f ca="1">'Debt worksheet'!AC8</f>
        <v>5854584.2850838471</v>
      </c>
      <c r="AD8" s="4">
        <f ca="1">'Debt worksheet'!AD8</f>
        <v>6163730.6424120059</v>
      </c>
      <c r="AE8" s="4">
        <f ca="1">'Debt worksheet'!AE8</f>
        <v>6490016.2759495499</v>
      </c>
      <c r="AF8" s="4">
        <f ca="1">'Debt worksheet'!AF8</f>
        <v>6846376.3312496534</v>
      </c>
    </row>
    <row r="9" spans="1:32" x14ac:dyDescent="0.35">
      <c r="A9" t="s">
        <v>22</v>
      </c>
      <c r="C9" s="4">
        <f ca="1">C5-C6-C7-C8</f>
        <v>293095.55199233489</v>
      </c>
      <c r="D9" s="4">
        <f t="shared" ref="D9:AF9" ca="1" si="2">D5-D6-D7-D8</f>
        <v>1549162.8036821429</v>
      </c>
      <c r="E9" s="4">
        <f t="shared" ca="1" si="2"/>
        <v>4061794.2572314348</v>
      </c>
      <c r="F9" s="4">
        <f t="shared" ca="1" si="2"/>
        <v>6292836.3269046657</v>
      </c>
      <c r="G9" s="4">
        <f t="shared" ca="1" si="2"/>
        <v>8147717.9746700367</v>
      </c>
      <c r="H9" s="4">
        <f t="shared" ca="1" si="2"/>
        <v>8878256.9223456811</v>
      </c>
      <c r="I9" s="4">
        <f t="shared" ca="1" si="2"/>
        <v>9777564.0909387656</v>
      </c>
      <c r="J9" s="4">
        <f t="shared" ca="1" si="2"/>
        <v>10438684.90148141</v>
      </c>
      <c r="K9" s="4">
        <f t="shared" ca="1" si="2"/>
        <v>10987625.236494429</v>
      </c>
      <c r="L9" s="4">
        <f t="shared" ca="1" si="2"/>
        <v>11375097.151124306</v>
      </c>
      <c r="M9" s="4">
        <f t="shared" ca="1" si="2"/>
        <v>11820434.168489847</v>
      </c>
      <c r="N9" s="4">
        <f t="shared" ca="1" si="2"/>
        <v>12330859.385073254</v>
      </c>
      <c r="O9" s="4">
        <f t="shared" ca="1" si="2"/>
        <v>12605539.562975312</v>
      </c>
      <c r="P9" s="4">
        <f t="shared" ca="1" si="2"/>
        <v>12912018.832425989</v>
      </c>
      <c r="Q9" s="4">
        <f t="shared" ca="1" si="2"/>
        <v>13254328.622179141</v>
      </c>
      <c r="R9" s="4">
        <f t="shared" ca="1" si="2"/>
        <v>13636877.244106293</v>
      </c>
      <c r="S9" s="4">
        <f t="shared" ca="1" si="2"/>
        <v>14064479.241266657</v>
      </c>
      <c r="T9" s="4">
        <f t="shared" ca="1" si="2"/>
        <v>14542386.788760761</v>
      </c>
      <c r="U9" s="4">
        <f t="shared" ca="1" si="2"/>
        <v>15076323.281742534</v>
      </c>
      <c r="V9" s="4">
        <f t="shared" ca="1" si="2"/>
        <v>15672519.253393887</v>
      </c>
      <c r="W9" s="4">
        <f t="shared" ca="1" si="2"/>
        <v>16337750.77460964</v>
      </c>
      <c r="X9" s="4">
        <f t="shared" ca="1" si="2"/>
        <v>16823838.806307588</v>
      </c>
      <c r="Y9" s="4">
        <f t="shared" ca="1" si="2"/>
        <v>17087926.16690528</v>
      </c>
      <c r="Z9" s="4">
        <f t="shared" ca="1" si="2"/>
        <v>17367295.85309945</v>
      </c>
      <c r="AA9" s="4">
        <f t="shared" ca="1" si="2"/>
        <v>17664003.516956754</v>
      </c>
      <c r="AB9" s="4">
        <f t="shared" ca="1" si="2"/>
        <v>17980301.141865835</v>
      </c>
      <c r="AC9" s="4">
        <f t="shared" ca="1" si="2"/>
        <v>18318651.826821625</v>
      </c>
      <c r="AD9" s="4">
        <f t="shared" ca="1" si="2"/>
        <v>18681745.538298041</v>
      </c>
      <c r="AE9" s="4">
        <f t="shared" ca="1" si="2"/>
        <v>19072515.887669716</v>
      </c>
      <c r="AF9" s="4">
        <f t="shared" ca="1" si="2"/>
        <v>19121885.496379223</v>
      </c>
    </row>
    <row r="12" spans="1:32" x14ac:dyDescent="0.35">
      <c r="A12" t="s">
        <v>79</v>
      </c>
      <c r="C12" s="2">
        <f>Assumptions!$C$25*Assumptions!D9*Assumptions!D13</f>
        <v>2209081.8332239627</v>
      </c>
      <c r="D12" s="2">
        <f>Assumptions!$C$25*Assumptions!E9*Assumptions!E13</f>
        <v>2274017.9617335242</v>
      </c>
      <c r="E12" s="2">
        <f>Assumptions!$C$25*Assumptions!F9*Assumptions!F13</f>
        <v>2340862.8926796429</v>
      </c>
      <c r="F12" s="2">
        <f>Assumptions!$C$25*Assumptions!G9*Assumptions!G13</f>
        <v>2409672.7354551228</v>
      </c>
      <c r="G12" s="2">
        <f>Assumptions!$C$25*Assumptions!H9*Assumptions!H13</f>
        <v>2480505.248792639</v>
      </c>
      <c r="H12" s="2">
        <f>Assumptions!$C$25*Assumptions!I9*Assumptions!I13</f>
        <v>2553419.889247206</v>
      </c>
      <c r="I12" s="2">
        <f>Assumptions!$C$25*Assumptions!J9*Assumptions!J13</f>
        <v>2628477.8611037955</v>
      </c>
      <c r="J12" s="2">
        <f>Assumptions!$C$25*Assumptions!K9*Assumptions!K13</f>
        <v>2705742.1677519917</v>
      </c>
      <c r="K12" s="2">
        <f>Assumptions!$C$25*Assumptions!L9*Assumptions!L13</f>
        <v>2785277.6645708052</v>
      </c>
      <c r="L12" s="2">
        <f>Assumptions!$C$25*Assumptions!M9*Assumptions!M13</f>
        <v>2867151.1133680488</v>
      </c>
      <c r="M12" s="2">
        <f>Assumptions!$C$25*Assumptions!N9*Assumptions!N13</f>
        <v>2951431.2384199509</v>
      </c>
      <c r="N12" s="2">
        <f>Assumptions!$C$25*Assumptions!O9*Assumptions!O13</f>
        <v>3038188.7841580692</v>
      </c>
      <c r="O12" s="2">
        <f>Assumptions!$C$25*Assumptions!P9*Assumptions!P13</f>
        <v>3127496.5745519055</v>
      </c>
      <c r="P12" s="2">
        <f>Assumptions!$C$25*Assumptions!Q9*Assumptions!Q13</f>
        <v>3219429.5742370854</v>
      </c>
      <c r="Q12" s="2">
        <f>Assumptions!$C$25*Assumptions!R9*Assumptions!R13</f>
        <v>3314064.9514404018</v>
      </c>
      <c r="R12" s="2">
        <f>Assumptions!$C$25*Assumptions!S9*Assumptions!S13</f>
        <v>3411482.1427545417</v>
      </c>
      <c r="S12" s="2">
        <f>Assumptions!$C$25*Assumptions!T9*Assumptions!T13</f>
        <v>3511762.9198168758</v>
      </c>
      <c r="T12" s="2">
        <f>Assumptions!$C$25*Assumptions!U9*Assumptions!U13</f>
        <v>3614991.4579482763</v>
      </c>
      <c r="U12" s="2">
        <f>Assumptions!$C$25*Assumptions!V9*Assumptions!V13</f>
        <v>3721254.4068095726</v>
      </c>
      <c r="V12" s="2">
        <f>Assumptions!$C$25*Assumptions!W9*Assumptions!W13</f>
        <v>3830640.9631349677</v>
      </c>
      <c r="W12" s="2">
        <f>Assumptions!$C$25*Assumptions!X9*Assumptions!X13</f>
        <v>3943242.9456034494</v>
      </c>
      <c r="X12" s="2">
        <f>Assumptions!$C$25*Assumptions!Y9*Assumptions!Y13</f>
        <v>4059154.8719110554</v>
      </c>
      <c r="Y12" s="2">
        <f>Assumptions!$C$25*Assumptions!Z9*Assumptions!Z13</f>
        <v>4178474.0381086916</v>
      </c>
      <c r="Z12" s="2">
        <f>Assumptions!$C$25*Assumptions!AA9*Assumptions!AA13</f>
        <v>4301300.6002720799</v>
      </c>
      <c r="AA12" s="2">
        <f>Assumptions!$C$25*Assumptions!AB9*Assumptions!AB13</f>
        <v>4427737.6585724028</v>
      </c>
      <c r="AB12" s="2">
        <f>Assumptions!$C$25*Assumptions!AC9*Assumptions!AC13</f>
        <v>4557891.3438182212</v>
      </c>
      <c r="AC12" s="2">
        <f>Assumptions!$C$25*Assumptions!AD9*Assumptions!AD13</f>
        <v>4691870.9065412786</v>
      </c>
      <c r="AD12" s="2">
        <f>Assumptions!$C$25*Assumptions!AE9*Assumptions!AE13</f>
        <v>4829788.8087010188</v>
      </c>
      <c r="AE12" s="2">
        <f>Assumptions!$C$25*Assumptions!AF9*Assumptions!AF13</f>
        <v>4971760.8180847261</v>
      </c>
      <c r="AF12" s="2">
        <f>Assumptions!$C$25*Assumptions!AG9*Assumptions!AG13</f>
        <v>5117906.1054826081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349222.50999999995</v>
      </c>
      <c r="D14" s="5">
        <f>Assumptions!E122*Assumptions!E9</f>
        <v>713810.81043999991</v>
      </c>
      <c r="E14" s="5">
        <f>Assumptions!F122*Assumptions!F9</f>
        <v>1094271.97240452</v>
      </c>
      <c r="F14" s="5">
        <f>Assumptions!G122*Assumptions!G9</f>
        <v>1491127.9410632257</v>
      </c>
      <c r="G14" s="5">
        <f>Assumptions!H122*Assumptions!H9</f>
        <v>1904915.944708271</v>
      </c>
      <c r="H14" s="5">
        <f>Assumptions!I122*Assumptions!I9</f>
        <v>2336188.9145902237</v>
      </c>
      <c r="I14" s="5">
        <f>Assumptions!J122*Assumptions!J9</f>
        <v>2785515.9158297433</v>
      </c>
      <c r="J14" s="5">
        <f>Assumptions!K122*Assumptions!K9</f>
        <v>3253482.5896891407</v>
      </c>
      <c r="K14" s="5">
        <f>Assumptions!L122*Assumptions!L9</f>
        <v>3740691.60749509</v>
      </c>
      <c r="L14" s="5">
        <f>Assumptions!M122*Assumptions!M9</f>
        <v>4247763.1365110911</v>
      </c>
      <c r="M14" s="5">
        <f>Assumptions!N122*Assumptions!N9</f>
        <v>4775335.318065769</v>
      </c>
      <c r="N14" s="5">
        <f>Assumptions!O122*Assumptions!O9</f>
        <v>5324064.7582507813</v>
      </c>
      <c r="O14" s="5">
        <f>Assumptions!P122*Assumptions!P9</f>
        <v>5894627.0315099889</v>
      </c>
      <c r="P14" s="5">
        <f>Assumptions!Q122*Assumptions!Q9</f>
        <v>6487717.1974496078</v>
      </c>
      <c r="Q14" s="5">
        <f>Assumptions!R122*Assumptions!R9</f>
        <v>7104050.331207322</v>
      </c>
      <c r="R14" s="5">
        <f>Assumptions!S122*Assumptions!S9</f>
        <v>7744362.0677268077</v>
      </c>
      <c r="S14" s="5">
        <f>Assumptions!T122*Assumptions!T9</f>
        <v>8409409.1602928471</v>
      </c>
      <c r="T14" s="5">
        <f>Assumptions!U122*Assumptions!U9</f>
        <v>9099970.0536910128</v>
      </c>
      <c r="U14" s="5">
        <f>Assumptions!V122*Assumptions!V9</f>
        <v>9816845.4723651148</v>
      </c>
      <c r="V14" s="5">
        <f>Assumptions!W122*Assumptions!W9</f>
        <v>10560859.023954893</v>
      </c>
      <c r="W14" s="5">
        <f>Assumptions!X122*Assumptions!X9</f>
        <v>11332857.818605995</v>
      </c>
      <c r="X14" s="5">
        <f>Assumptions!Y122*Assumptions!Y9</f>
        <v>12133713.10445415</v>
      </c>
      <c r="Y14" s="5">
        <f>Assumptions!Z122*Assumptions!Z9</f>
        <v>12964320.91969542</v>
      </c>
      <c r="Z14" s="5">
        <f>Assumptions!AA122*Assumptions!AA9</f>
        <v>13825602.761664754</v>
      </c>
      <c r="AA14" s="5">
        <f>Assumptions!AB122*Assumptions!AB9</f>
        <v>14718506.273355601</v>
      </c>
      <c r="AB14" s="5">
        <f>Assumptions!AC122*Assumptions!AC9</f>
        <v>15644005.947824208</v>
      </c>
      <c r="AC14" s="5">
        <f>Assumptions!AD122*Assumptions!AD9</f>
        <v>16603103.850933122</v>
      </c>
      <c r="AD14" s="5">
        <f>Assumptions!AE122*Assumptions!AE9</f>
        <v>17596830.362900082</v>
      </c>
      <c r="AE14" s="5">
        <f>Assumptions!AF122*Assumptions!AF9</f>
        <v>18626244.939129736</v>
      </c>
      <c r="AF14" s="5">
        <f>Assumptions!AG122*Assumptions!AG9</f>
        <v>19692436.890817855</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2558304.3432239625</v>
      </c>
      <c r="D27" s="2">
        <f t="shared" ref="D27:AF27" si="8">D12+D13+D14+D19+D20+D22+D24+D25</f>
        <v>2987828.7721735239</v>
      </c>
      <c r="E27" s="2">
        <f t="shared" si="8"/>
        <v>3435134.8650841629</v>
      </c>
      <c r="F27" s="2">
        <f t="shared" si="8"/>
        <v>3900800.6765183485</v>
      </c>
      <c r="G27" s="2">
        <f t="shared" si="8"/>
        <v>4385421.19350091</v>
      </c>
      <c r="H27" s="2">
        <f t="shared" si="8"/>
        <v>4889608.8038374297</v>
      </c>
      <c r="I27" s="2">
        <f t="shared" si="8"/>
        <v>5413993.7769335387</v>
      </c>
      <c r="J27" s="2">
        <f t="shared" si="8"/>
        <v>5959224.7574411323</v>
      </c>
      <c r="K27" s="2">
        <f t="shared" si="8"/>
        <v>6525969.2720658947</v>
      </c>
      <c r="L27" s="2">
        <f t="shared" si="8"/>
        <v>7114914.2498791404</v>
      </c>
      <c r="M27" s="2">
        <f t="shared" si="8"/>
        <v>7726766.55648572</v>
      </c>
      <c r="N27" s="2">
        <f t="shared" si="8"/>
        <v>8362253.54240885</v>
      </c>
      <c r="O27" s="2">
        <f t="shared" si="8"/>
        <v>9022123.6060618944</v>
      </c>
      <c r="P27" s="2">
        <f t="shared" si="8"/>
        <v>9707146.7716866937</v>
      </c>
      <c r="Q27" s="2">
        <f t="shared" si="8"/>
        <v>10418115.282647723</v>
      </c>
      <c r="R27" s="2">
        <f t="shared" si="8"/>
        <v>11155844.210481349</v>
      </c>
      <c r="S27" s="2">
        <f t="shared" si="8"/>
        <v>11921172.080109723</v>
      </c>
      <c r="T27" s="2">
        <f t="shared" si="8"/>
        <v>12714961.51163929</v>
      </c>
      <c r="U27" s="2">
        <f t="shared" si="8"/>
        <v>13538099.879174687</v>
      </c>
      <c r="V27" s="2">
        <f t="shared" si="8"/>
        <v>14391499.987089861</v>
      </c>
      <c r="W27" s="2">
        <f t="shared" si="8"/>
        <v>15276100.764209444</v>
      </c>
      <c r="X27" s="2">
        <f t="shared" si="8"/>
        <v>16192867.976365205</v>
      </c>
      <c r="Y27" s="2">
        <f t="shared" si="8"/>
        <v>17142794.957804114</v>
      </c>
      <c r="Z27" s="2">
        <f t="shared" si="8"/>
        <v>18126903.361936834</v>
      </c>
      <c r="AA27" s="2">
        <f t="shared" si="8"/>
        <v>19146243.931928005</v>
      </c>
      <c r="AB27" s="2">
        <f t="shared" si="8"/>
        <v>20201897.291642427</v>
      </c>
      <c r="AC27" s="2">
        <f t="shared" si="8"/>
        <v>21294974.7574744</v>
      </c>
      <c r="AD27" s="2">
        <f t="shared" si="8"/>
        <v>22426619.171601102</v>
      </c>
      <c r="AE27" s="2">
        <f t="shared" si="8"/>
        <v>23598005.757214464</v>
      </c>
      <c r="AF27" s="2">
        <f t="shared" si="8"/>
        <v>24810342.996300463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3W2DU3RAJ5R2-1900874439-877</_dlc_DocId>
    <_dlc_DocIdUrl xmlns="f54e2983-00ce-40fc-8108-18f351fc47bf">
      <Url>https://dia.cohesion.net.nz/Sites/LGV/TWRP/CAE/_layouts/15/DocIdRedir.aspx?ID=3W2DU3RAJ5R2-1900874439-877</Url>
      <Description>3W2DU3RAJ5R2-1900874439-877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3399584-0AAA-41DE-9BC3-254BCF1D5645}"/>
</file>

<file path=customXml/itemProps2.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BAD1502F-B6C5-4779-93BC-4A47B2725C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2021-07-01T15:13:39Z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8df7567a-ced8-4e3f-a61d-968bc928fa33</vt:lpwstr>
  </property>
</Properties>
</file>