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205" documentId="8_{6581B318-52F9-4443-9D3D-65956D4C0911}" xr6:coauthVersionLast="47" xr6:coauthVersionMax="47" xr10:uidLastSave="{417378DF-AB6E-4880-A239-3DA23E590441}"/>
  <bookViews>
    <workbookView xWindow="2070" yWindow="228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5" i="9"/>
  <c r="C11" i="9"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<sst xmlns="http://schemas.openxmlformats.org/spreadsheetml/2006/main" count="278" uniqueCount="205">
  <si>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</si>
  <si>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</si>
  <si>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</si>
  <si>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</si>
  <si>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</si>
  <si>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</si>
  <si>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</si>
  <si>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</si>
  <si>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</si>
  <si>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</si>
  <si>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</si>
  <si>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</si>
  <si>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</si>
  <si>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</si>
  <si>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</si>
  <si>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</si>
  <si>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</si>
  <si>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</si>
  <si>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</si>
  <si>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</si>
  <si>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</si>
  <si>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</si>
  <si>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</si>
  <si>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</si>
  <si>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</si>
  <si>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</si>
  <si>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</si>
  <si>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</si>
  <si>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</si>
  <si>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</si>
  <si>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</si>
  <si>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</si>
  <si>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</si>
  <si>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</si>
  <si>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</si>
  <si>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</si>
  <si>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</si>
  <si>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</si>
  <si>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</si>
  <si>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</si>
  <si>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</si>
  <si>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</si>
  <si>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</si>
  <si>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</si>
  <si>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</si>
  <si>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</si>
  <si>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</si>
  <si>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</si>
  <si>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</si>
  <si>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</si>
  <si>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</si>
  <si>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</si>
  <si>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</si>
  <si>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</si>
  <si>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</si>
  <si>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</si>
  <si>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</si>
  <si>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</si>
  <si>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</si>
  <si>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</si>
  <si>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</si>
  <si>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</si>
  <si>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</si>
  <si>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</si>
  <si>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</si>
  <si>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</si>
  <si>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</si>
  <si>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</si>
  <si>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</si>
  <si>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</si>
  <si>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</si>
  <si>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</si>
  <si>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</si>
  <si>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</si>
  <si>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</si>
  <si>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</si>
  <si>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</si>
  <si>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</si>
  <si>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</si>
  <si>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</si>
  <si>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</si>
  <si>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</si>
  <si>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</si>
  <si>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</si>
  <si>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</si>
  <si>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</si>
  <si>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</si>
  <si>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</si>
  <si>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</si>
  <si>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</si>
  <si>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</si>
  <si>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</si>
  <si>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</si>
  <si>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</si>
  <si>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</si>
  <si>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</si>
  <si>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</si>
  <si>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</si>
  <si>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</si>
  <si>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</si>
  <si>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</si>
  <si>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</si>
  <si>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</si>
  <si>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</si>
  <si>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</si>
  <si>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</si>
  <si>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</si>
  <si>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</si>
  <si>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</si>
  <si>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</si>
  <si>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</si>
  <si>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</si>
  <si>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</si>
  <si>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</si>
  <si>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</si>
  <si>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</si>
  <si>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</si>
  <si>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</si>
  <si>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</si>
  <si>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</si>
  <si>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</si>
  <si>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</si>
  <si>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</si>
  <si>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</si>
  <si>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</si>
  <si>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</si>
  <si>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</si>
  <si>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</si>
  <si>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</si>
  <si>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</si>
  <si>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</si>
  <si>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</si>
  <si>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</si>
  <si>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</si>
  <si>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</si>
  <si>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</si>
  <si>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</si>
  <si>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</si>
  <si>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</si>
  <si>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</si>
  <si>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</si>
  <si>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</si>
  <si>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</si>
  <si>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</si>
  <si>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</si>
  <si>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</si>
  <si>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</si>
  <si>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</si>
  <si>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</si>
  <si>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</si>
  <si>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</si>
  <si>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</si>
  <si>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</si>
  <si>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</si>
  <si>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</si>
  <si>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</si>
  <si>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</si>
  <si>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</si>
  <si>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</si>
  <si>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</si>
  <si>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</si>
  <si>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</si>
  <si>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</si>
  <si>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</si>
  <si>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</si>
  <si>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</si>
  <si>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</si>
  <si>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</si>
  <si>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</si>
  <si>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</si>
  <si>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</si>
  <si>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</si>
  <si>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</si>
  <si>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</si>
  <si>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</si>
  <si>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</si>
  <si>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</si>
  <si>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</si>
  <si>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</si>
  <si>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</si>
  <si>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</si>
  <si>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</si>
  <si>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</si>
  <si>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</si>
  <si>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</si>
  <si>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</si>
  <si>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</si>
  <si>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</si>
  <si>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</si>
  <si>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</si>
  <si>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</si>
  <si>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</si>
  <si>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</si>
  <si>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</si>
  <si>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</si>
  <si>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</si>
  <si>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</si>
  <si>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Waimakariri Stand-alone Council</t>
  </si>
  <si>
    <t>RFI Table F10; Lines F10.62 + F10.70 - F10.61</t>
  </si>
  <si>
    <t>For water: The Funding Impact Statement from the Council Annual Report 2019/20. The Annual Report was used given that the operating expenditure in E1.22 did not reconcile to the Annual Report. 
For wastewater and stormwater: RFI Table E2 and E2b; Lines E2.21 + E2b.21</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</si>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</sst>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5">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3" fillId="0" borderId="5" xfId="0" applyFont="1" applyBorder="1" applyAlignment="1">
      <alignment vertical="top"/>
    </xf>
    <xf numFmtId="166" fontId="10" fillId="0" borderId="0" xfId="0" applyNumberFormat="1" applyFont="1" applyFill="1" applyAlignment="1">
      <alignment vertical="top" wrapText="1"/>
    </xf>
    <xf numFmtId="0" fontId="18" fillId="0" borderId="0" xfId="0" applyFont="1" applyAlignment="1">
      <alignment horizontal="left" vertical="center" wrapText="1"/>
    </xf>
    <xf numFmtId="0" fontId="16" fillId="0" borderId="0" xfId="0" applyFont="1" applyFill="1" applyBorder="1" applyAlignment="1">
      <alignment vertical="top"/>
    </xf>
    <xf numFmtId="166" fontId="16" fillId="0" borderId="0" xfId="2" applyNumberFormat="1" applyFont="1" applyFill="1" applyBorder="1" applyAlignment="1">
      <alignment horizontal="center"/>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11.75" style="63"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197</v>
      </c>
      <c r="C2" s="170"/>
      <c r="D2" s="60"/>
      <c r="E2" s="14"/>
      <c r="F2" s="60"/>
    </row>
    <row r="3" spans="1:6" x14ac:dyDescent="0.35">
      <c r="C3" s="14"/>
      <c r="D3" s="14"/>
    </row>
    <row r="4" spans="1:6" x14ac:dyDescent="0.35">
      <c r="A4" s="14" t="s">
        <v>159</v>
      </c>
      <c r="B4" s="14"/>
      <c r="D4" s="14"/>
    </row>
    <row r="6" spans="1:6" ht="21" x14ac:dyDescent="0.5">
      <c r="A6" s="15" t="s">
        <v>168</v>
      </c>
    </row>
    <row r="7" spans="1:6" ht="241" customHeight="1" x14ac:dyDescent="0.35">
      <c r="A7" s="107">
        <v>1</v>
      </c>
      <c r="B7" s="104" t="s">
        <v>169</v>
      </c>
    </row>
    <row r="8" spans="1:6" ht="408" customHeight="1" x14ac:dyDescent="0.35">
      <c r="A8" s="107">
        <v>2</v>
      </c>
      <c r="B8" s="104" t="s">
        <v>190</v>
      </c>
    </row>
    <row r="9" spans="1:6" ht="195.5" customHeight="1" x14ac:dyDescent="0.35">
      <c r="A9" s="107">
        <f>A8+1</f>
        <v>3</v>
      </c>
      <c r="B9" s="105" t="s">
        <v>173</v>
      </c>
    </row>
    <row r="10" spans="1:6" ht="236" customHeight="1" x14ac:dyDescent="0.35">
      <c r="A10" s="107">
        <v>4</v>
      </c>
      <c r="B10" s="105" t="s">
        <v>174</v>
      </c>
    </row>
    <row r="11" spans="1:6" ht="21" x14ac:dyDescent="0.35">
      <c r="A11" s="107">
        <f>A10+1</f>
        <v>5</v>
      </c>
      <c r="B11" s="63" t="s">
        <v>188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165</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191</v>
      </c>
      <c r="B6" s="1">
        <f>Assumptions!C17</f>
        <v>1139613722.8199987</v>
      </c>
      <c r="C6" s="12">
        <f ca="1">B6+Depreciation!C18+'Cash Flow'!C13</f>
        <v>1158175043.9254832</v>
      </c>
      <c r="D6" s="1">
        <f ca="1">C6+Depreciation!D18</f>
        <v>1217752767.1750796</v>
      </c>
      <c r="E6" s="1">
        <f ca="1">D6+Depreciation!E18</f>
        <v>1280203432.9463551</v>
      </c>
      <c r="F6" s="1">
        <f ca="1">E6+Depreciation!F18</f>
        <v>1345649901.9720895</v>
      </c>
      <c r="G6" s="1">
        <f ca="1">F6+Depreciation!G18</f>
        <v>1414219956.1788187</v>
      </c>
      <c r="H6" s="1">
        <f ca="1">G6+Depreciation!H18</f>
        <v>1486046487.8338437</v>
      </c>
      <c r="I6" s="1">
        <f ca="1">H6+Depreciation!I18</f>
        <v>1561267695.7583477</v>
      </c>
      <c r="J6" s="1">
        <f ca="1">I6+Depreciation!J18</f>
        <v>1640027288.8651628</v>
      </c>
      <c r="K6" s="1">
        <f ca="1">J6+Depreciation!K18</f>
        <v>1722474697.2890422</v>
      </c>
      <c r="L6" s="1">
        <f ca="1">K6+Depreciation!L18</f>
        <v>1808765291.3869367</v>
      </c>
      <c r="M6" s="1">
        <f ca="1">L6+Depreciation!M18</f>
        <v>1899060608.8957572</v>
      </c>
      <c r="N6" s="1">
        <f ca="1">M6+Depreciation!N18</f>
        <v>1993528590.5454466</v>
      </c>
      <c r="O6" s="1">
        <f ca="1">N6+Depreciation!O18</f>
        <v>2092343824.4358916</v>
      </c>
      <c r="P6" s="1">
        <f ca="1">O6+Depreciation!P18</f>
        <v>2195687799.4972911</v>
      </c>
      <c r="Q6" s="1">
        <f ca="1">P6+Depreciation!Q18</f>
        <v>2303749168.3650827</v>
      </c>
      <c r="R6" s="1">
        <f ca="1">Q6+Depreciation!R18</f>
        <v>2416724020.0124121</v>
      </c>
      <c r="S6" s="1">
        <f ca="1">R6+Depreciation!S18</f>
        <v>2534816162.4954495</v>
      </c>
      <c r="T6" s="1">
        <f ca="1">S6+Depreciation!T18</f>
        <v>2658237416.1795936</v>
      </c>
      <c r="U6" s="1">
        <f ca="1">T6+Depreciation!U18</f>
        <v>2787207917.8278117</v>
      </c>
      <c r="V6" s="1">
        <f ca="1">U6+Depreciation!V18</f>
        <v>2921956435.946033</v>
      </c>
      <c r="W6" s="1">
        <f ca="1">V6+Depreciation!W18</f>
        <v>3062720697.7946491</v>
      </c>
      <c r="X6" s="1">
        <f ca="1">W6+Depreciation!X18</f>
        <v>3209747728.4898529</v>
      </c>
      <c r="Y6" s="1">
        <f ca="1">X6+Depreciation!Y18</f>
        <v>3363294202.6336927</v>
      </c>
      <c r="Z6" s="1">
        <f ca="1">Y6+Depreciation!Z18</f>
        <v>3523626808.9274492</v>
      </c>
      <c r="AA6" s="1">
        <f ca="1">Z6+Depreciation!AA18</f>
        <v>3691022628.2391939</v>
      </c>
      <c r="AB6" s="1">
        <f ca="1">AA6+Depreciation!AB18</f>
        <v>3865769525.6132331</v>
      </c>
      <c r="AC6" s="1">
        <f ca="1">AB6+Depreciation!AC18</f>
        <v>4048166556.7265787</v>
      </c>
      <c r="AD6" s="1">
        <f ca="1">AC6+Depreciation!AD18</f>
        <v>4238524389.3156352</v>
      </c>
      <c r="AE6" s="1">
        <f ca="1">AD6+Depreciation!AE18</f>
        <v>4437165740.1149874</v>
      </c>
      <c r="AF6" s="1"/>
      <c r="AG6" s="1"/>
      <c r="AH6" s="1"/>
      <c r="AI6" s="1"/>
      <c r="AJ6" s="1"/>
      <c r="AK6" s="1"/>
      <c r="AL6" s="1"/>
      <c r="AM6" s="1"/>
      <c r="AN6" s="1"/>
      <c r="AO6" s="1"/>
      <c r="AP6" s="1"/>
    </row>
    <row r="7" spans="1:42" x14ac:dyDescent="0.35">
      <c r="A7" t="s">
        <v>12</v>
      </c>
      <c r="B7" s="1">
        <f>Depreciation!C12</f>
        <v>588819372.8138634</v>
      </c>
      <c r="C7" s="1">
        <f>Depreciation!D12</f>
        <v>609376772.35173261</v>
      </c>
      <c r="D7" s="1">
        <f>Depreciation!E12</f>
        <v>631558464.05250561</v>
      </c>
      <c r="E7" s="1">
        <f>Depreciation!F12</f>
        <v>655447351.8374815</v>
      </c>
      <c r="F7" s="1">
        <f>Depreciation!G12</f>
        <v>681129982.20374787</v>
      </c>
      <c r="G7" s="1">
        <f>Depreciation!H12</f>
        <v>708696692.45541525</v>
      </c>
      <c r="H7" s="1">
        <f>Depreciation!I12</f>
        <v>738241764.69165444</v>
      </c>
      <c r="I7" s="1">
        <f>Depreciation!J12</f>
        <v>769863585.76818013</v>
      </c>
      <c r="J7" s="1">
        <f>Depreciation!K12</f>
        <v>803664813.45680082</v>
      </c>
      <c r="K7" s="1">
        <f>Depreciation!L12</f>
        <v>839752549.03590834</v>
      </c>
      <c r="L7" s="1">
        <f>Depreciation!M12</f>
        <v>878238516.55334067</v>
      </c>
      <c r="M7" s="1">
        <f>Depreciation!N12</f>
        <v>919239249.01191747</v>
      </c>
      <c r="N7" s="1">
        <f>Depreciation!O12</f>
        <v>962876281.73713422</v>
      </c>
      <c r="O7" s="1">
        <f>Depreciation!P12</f>
        <v>1009276353.1960183</v>
      </c>
      <c r="P7" s="1">
        <f>Depreciation!Q12</f>
        <v>1058571613.5460138</v>
      </c>
      <c r="Q7" s="1">
        <f>Depreciation!R12</f>
        <v>1110899841.2029779</v>
      </c>
      <c r="R7" s="1">
        <f>Depreciation!S12</f>
        <v>1166404667.727958</v>
      </c>
      <c r="S7" s="1">
        <f>Depreciation!T12</f>
        <v>1225235811.3433869</v>
      </c>
      <c r="T7" s="1">
        <f>Depreciation!U12</f>
        <v>1287549319.4006913</v>
      </c>
      <c r="U7" s="1">
        <f>Depreciation!V12</f>
        <v>1353507820.1330891</v>
      </c>
      <c r="V7" s="1">
        <f>Depreciation!W12</f>
        <v>1423280784.0395358</v>
      </c>
      <c r="W7" s="1">
        <f>Depreciation!X12</f>
        <v>1497044795.2584205</v>
      </c>
      <c r="X7" s="1">
        <f>Depreciation!Y12</f>
        <v>1574983833.3026991</v>
      </c>
      <c r="Y7" s="1">
        <f>Depreciation!Z12</f>
        <v>1657289565.5417082</v>
      </c>
      <c r="Z7" s="1">
        <f>Depreciation!AA12</f>
        <v>1744161650.8289537</v>
      </c>
      <c r="AA7" s="1">
        <f>Depreciation!AB12</f>
        <v>1835808054.6897101</v>
      </c>
      <c r="AB7" s="1">
        <f>Depreciation!AC12</f>
        <v>1932445376.4973476</v>
      </c>
      <c r="AC7" s="1">
        <f>Depreciation!AD12</f>
        <v>2034299189.0829134</v>
      </c>
      <c r="AD7" s="1">
        <f>Depreciation!AE12</f>
        <v>2141604391.2386634</v>
      </c>
      <c r="AE7" s="1">
        <f>Depreciation!AF12</f>
        <v>2254605573.5930023</v>
      </c>
      <c r="AF7" s="1"/>
      <c r="AG7" s="1"/>
      <c r="AH7" s="1"/>
      <c r="AI7" s="1"/>
      <c r="AJ7" s="1"/>
      <c r="AK7" s="1"/>
      <c r="AL7" s="1"/>
      <c r="AM7" s="1"/>
      <c r="AN7" s="1"/>
      <c r="AO7" s="1"/>
      <c r="AP7" s="1"/>
    </row>
    <row r="8" spans="1:42" x14ac:dyDescent="0.35">
      <c r="A8" t="s">
        <v>192</v>
      </c>
      <c r="B8" s="1">
        <f t="shared" ref="B8:AE8" si="1">B6-B7</f>
        <v>550794350.00613534</v>
      </c>
      <c r="C8" s="1">
        <f t="shared" ca="1" si="1"/>
        <v>548798271.57375062</v>
      </c>
      <c r="D8" s="1">
        <f ca="1">D6-D7</f>
        <v>586194303.12257397</v>
      </c>
      <c r="E8" s="1">
        <f t="shared" ca="1" si="1"/>
        <v>624756081.10887361</v>
      </c>
      <c r="F8" s="1">
        <f t="shared" ca="1" si="1"/>
        <v>664519919.76834166</v>
      </c>
      <c r="G8" s="1">
        <f t="shared" ca="1" si="1"/>
        <v>705523263.72340345</v>
      </c>
      <c r="H8" s="1">
        <f t="shared" ca="1" si="1"/>
        <v>747804723.14218926</v>
      </c>
      <c r="I8" s="1">
        <f t="shared" ca="1" si="1"/>
        <v>791404109.99016762</v>
      </c>
      <c r="J8" s="1">
        <f t="shared" ca="1" si="1"/>
        <v>836362475.40836203</v>
      </c>
      <c r="K8" s="1">
        <f t="shared" ca="1" si="1"/>
        <v>882722148.25313389</v>
      </c>
      <c r="L8" s="1">
        <f t="shared" ca="1" si="1"/>
        <v>930526774.83359599</v>
      </c>
      <c r="M8" s="1">
        <f t="shared" ca="1" si="1"/>
        <v>979821359.88383973</v>
      </c>
      <c r="N8" s="1">
        <f t="shared" ca="1" si="1"/>
        <v>1030652308.8083124</v>
      </c>
      <c r="O8" s="1">
        <f t="shared" ca="1" si="1"/>
        <v>1083067471.2398734</v>
      </c>
      <c r="P8" s="1">
        <f t="shared" ca="1" si="1"/>
        <v>1137116185.9512773</v>
      </c>
      <c r="Q8" s="1">
        <f t="shared" ca="1" si="1"/>
        <v>1192849327.1621048</v>
      </c>
      <c r="R8" s="1">
        <f t="shared" ca="1" si="1"/>
        <v>1250319352.2844541</v>
      </c>
      <c r="S8" s="1">
        <f t="shared" ca="1" si="1"/>
        <v>1309580351.1520627</v>
      </c>
      <c r="T8" s="1">
        <f t="shared" ca="1" si="1"/>
        <v>1370688096.7789023</v>
      </c>
      <c r="U8" s="1">
        <f t="shared" ca="1" si="1"/>
        <v>1433700097.6947227</v>
      </c>
      <c r="V8" s="1">
        <f t="shared" ca="1" si="1"/>
        <v>1498675651.9064972</v>
      </c>
      <c r="W8" s="1">
        <f t="shared" ca="1" si="1"/>
        <v>1565675902.5362287</v>
      </c>
      <c r="X8" s="1">
        <f t="shared" ca="1" si="1"/>
        <v>1634763895.1871538</v>
      </c>
      <c r="Y8" s="1">
        <f t="shared" ca="1" si="1"/>
        <v>1706004637.0919845</v>
      </c>
      <c r="Z8" s="1">
        <f t="shared" ca="1" si="1"/>
        <v>1779465158.0984955</v>
      </c>
      <c r="AA8" s="1">
        <f t="shared" ca="1" si="1"/>
        <v>1855214573.5494838</v>
      </c>
      <c r="AB8" s="1">
        <f t="shared" ca="1" si="1"/>
        <v>1933324149.1158855</v>
      </c>
      <c r="AC8" s="1">
        <f t="shared" ca="1" si="1"/>
        <v>2013867367.6436653</v>
      </c>
      <c r="AD8" s="1">
        <f t="shared" ca="1" si="1"/>
        <v>2096919998.0769718</v>
      </c>
      <c r="AE8" s="1">
        <f t="shared" ca="1" si="1"/>
        <v>2182560166.5219851</v>
      </c>
      <c r="AF8" s="1"/>
      <c r="AG8" s="1"/>
      <c r="AH8" s="1"/>
      <c r="AI8" s="1"/>
      <c r="AJ8" s="1"/>
      <c r="AK8" s="1"/>
      <c r="AL8" s="1"/>
      <c r="AM8" s="1"/>
      <c r="AN8" s="1"/>
      <c r="AO8" s="1"/>
      <c r="AP8" s="1"/>
    </row>
    <row r="10" spans="1:42" x14ac:dyDescent="0.35">
      <c r="A10" t="s">
        <v>17</v>
      </c>
      <c r="B10" s="1">
        <f>B8-B11</f>
        <v>478688350.00613534</v>
      </c>
      <c r="C10" s="1">
        <f ca="1">C8-C11</f>
        <v>438430690.08183706</v>
      </c>
      <c r="D10" s="1">
        <f ca="1">D8-D11</f>
        <v>444158509.00848448</v>
      </c>
      <c r="E10" s="1">
        <f t="shared" ref="E10:AE10" ca="1" si="2">E8-E11</f>
        <v>454267860.42010611</v>
      </c>
      <c r="F10" s="1">
        <f t="shared" ca="1" si="2"/>
        <v>468467611.67116654</v>
      </c>
      <c r="G10" s="1">
        <f ca="1">G8-G11</f>
        <v>488025925.05638236</v>
      </c>
      <c r="H10" s="1">
        <f t="shared" ca="1" si="2"/>
        <v>512778617.96011519</v>
      </c>
      <c r="I10" s="1">
        <f t="shared" ca="1" si="2"/>
        <v>539280230.23579466</v>
      </c>
      <c r="J10" s="1">
        <f t="shared" ca="1" si="2"/>
        <v>566853328.0816493</v>
      </c>
      <c r="K10" s="1">
        <f t="shared" ca="1" si="2"/>
        <v>595695097.71907234</v>
      </c>
      <c r="L10" s="1">
        <f t="shared" ca="1" si="2"/>
        <v>626027617.28364348</v>
      </c>
      <c r="M10" s="1">
        <f t="shared" ca="1" si="2"/>
        <v>658100223.91893506</v>
      </c>
      <c r="N10" s="1">
        <f t="shared" ca="1" si="2"/>
        <v>690884576.93936205</v>
      </c>
      <c r="O10" s="1">
        <f t="shared" ca="1" si="2"/>
        <v>724485947.37727356</v>
      </c>
      <c r="P10" s="1">
        <f t="shared" ca="1" si="2"/>
        <v>759023153.40312338</v>
      </c>
      <c r="Q10" s="1">
        <f t="shared" ca="1" si="2"/>
        <v>794629809.11867929</v>
      </c>
      <c r="R10" s="1">
        <f t="shared" ca="1" si="2"/>
        <v>831455668.99568021</v>
      </c>
      <c r="S10" s="1">
        <f t="shared" ca="1" si="2"/>
        <v>869668074.53600574</v>
      </c>
      <c r="T10" s="1">
        <f t="shared" ca="1" si="2"/>
        <v>908548506.98852563</v>
      </c>
      <c r="U10" s="1">
        <f t="shared" ca="1" si="2"/>
        <v>948175265.71405864</v>
      </c>
      <c r="V10" s="1">
        <f t="shared" ca="1" si="2"/>
        <v>988636912.29387331</v>
      </c>
      <c r="W10" s="1">
        <f t="shared" ca="1" si="2"/>
        <v>1030033208.3901018</v>
      </c>
      <c r="X10" s="1">
        <f t="shared" ca="1" si="2"/>
        <v>1072476123.3630775</v>
      </c>
      <c r="Y10" s="1">
        <f t="shared" ca="1" si="2"/>
        <v>1116090916.2432597</v>
      </c>
      <c r="Z10" s="1">
        <f t="shared" ca="1" si="2"/>
        <v>1160287233.8344626</v>
      </c>
      <c r="AA10" s="1">
        <f t="shared" ca="1" si="2"/>
        <v>1205122404.4640412</v>
      </c>
      <c r="AB10" s="1">
        <f t="shared" ca="1" si="2"/>
        <v>1250661963.0728745</v>
      </c>
      <c r="AC10" s="1">
        <f t="shared" ca="1" si="2"/>
        <v>1296980417.6892543</v>
      </c>
      <c r="AD10" s="1">
        <f t="shared" ca="1" si="2"/>
        <v>1344162072.5390501</v>
      </c>
      <c r="AE10" s="1">
        <f t="shared" ca="1" si="2"/>
        <v>1392301911.4501371</v>
      </c>
      <c r="AF10" s="1"/>
      <c r="AG10" s="1"/>
      <c r="AH10" s="1"/>
      <c r="AI10" s="1"/>
      <c r="AJ10" s="1"/>
      <c r="AK10" s="1"/>
      <c r="AL10" s="1"/>
      <c r="AM10" s="1"/>
      <c r="AN10" s="1"/>
      <c r="AO10" s="1"/>
    </row>
    <row r="11" spans="1:42" x14ac:dyDescent="0.35">
      <c r="A11" t="s">
        <v>9</v>
      </c>
      <c r="B11" s="1">
        <f>Assumptions!$C$20</f>
        <v>72106000</v>
      </c>
      <c r="C11" s="1">
        <f ca="1">'Debt worksheet'!D5</f>
        <v>110367581.49191354</v>
      </c>
      <c r="D11" s="1">
        <f ca="1">'Debt worksheet'!E5</f>
        <v>142035794.11408952</v>
      </c>
      <c r="E11" s="1">
        <f ca="1">'Debt worksheet'!F5</f>
        <v>170488220.68876749</v>
      </c>
      <c r="F11" s="1">
        <f ca="1">'Debt worksheet'!G5</f>
        <v>196052308.09717512</v>
      </c>
      <c r="G11" s="1">
        <f ca="1">'Debt worksheet'!H5</f>
        <v>217497338.6670211</v>
      </c>
      <c r="H11" s="1">
        <f ca="1">'Debt worksheet'!I5</f>
        <v>235026105.18207407</v>
      </c>
      <c r="I11" s="1">
        <f ca="1">'Debt worksheet'!J5</f>
        <v>252123879.75437298</v>
      </c>
      <c r="J11" s="1">
        <f ca="1">'Debt worksheet'!K5</f>
        <v>269509147.32671267</v>
      </c>
      <c r="K11" s="1">
        <f ca="1">'Debt worksheet'!L5</f>
        <v>287027050.53406161</v>
      </c>
      <c r="L11" s="1">
        <f ca="1">'Debt worksheet'!M5</f>
        <v>304499157.54995251</v>
      </c>
      <c r="M11" s="1">
        <f ca="1">'Debt worksheet'!N5</f>
        <v>321721135.96490467</v>
      </c>
      <c r="N11" s="1">
        <f ca="1">'Debt worksheet'!O5</f>
        <v>339767731.86895043</v>
      </c>
      <c r="O11" s="1">
        <f ca="1">'Debt worksheet'!P5</f>
        <v>358581523.86259985</v>
      </c>
      <c r="P11" s="1">
        <f ca="1">'Debt worksheet'!Q5</f>
        <v>378093032.54815394</v>
      </c>
      <c r="Q11" s="1">
        <f ca="1">'Debt worksheet'!R5</f>
        <v>398219518.04342562</v>
      </c>
      <c r="R11" s="1">
        <f ca="1">'Debt worksheet'!S5</f>
        <v>418863683.28877389</v>
      </c>
      <c r="S11" s="1">
        <f ca="1">'Debt worksheet'!T5</f>
        <v>439912276.61605692</v>
      </c>
      <c r="T11" s="1">
        <f ca="1">'Debt worksheet'!U5</f>
        <v>462139589.7903766</v>
      </c>
      <c r="U11" s="1">
        <f ca="1">'Debt worksheet'!V5</f>
        <v>485524831.98066401</v>
      </c>
      <c r="V11" s="1">
        <f ca="1">'Debt worksheet'!W5</f>
        <v>510038739.61262393</v>
      </c>
      <c r="W11" s="1">
        <f ca="1">'Debt worksheet'!X5</f>
        <v>535642694.14612687</v>
      </c>
      <c r="X11" s="1">
        <f ca="1">'Debt worksheet'!Y5</f>
        <v>562287771.82407629</v>
      </c>
      <c r="Y11" s="1">
        <f ca="1">'Debt worksheet'!Z5</f>
        <v>589913720.84872484</v>
      </c>
      <c r="Z11" s="1">
        <f ca="1">'Debt worksheet'!AA5</f>
        <v>619177924.26403296</v>
      </c>
      <c r="AA11" s="1">
        <f ca="1">'Debt worksheet'!AB5</f>
        <v>650092169.08544254</v>
      </c>
      <c r="AB11" s="1">
        <f ca="1">'Debt worksheet'!AC5</f>
        <v>682662186.04301095</v>
      </c>
      <c r="AC11" s="1">
        <f ca="1">'Debt worksheet'!AD5</f>
        <v>716886949.95441091</v>
      </c>
      <c r="AD11" s="1">
        <f ca="1">'Debt worksheet'!AE5</f>
        <v>752757925.53792179</v>
      </c>
      <c r="AE11" s="1">
        <f ca="1">'Debt worksheet'!AF5</f>
        <v>790258255.07184792</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166</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-451190.29837948876</v>
      </c>
      <c r="D5" s="4">
        <f ca="1">'Profit and Loss'!D9</f>
        <v>7352111.0895511508</v>
      </c>
      <c r="E5" s="4">
        <f ca="1">'Profit and Loss'!E9</f>
        <v>11816547.495824456</v>
      </c>
      <c r="F5" s="4">
        <f ca="1">'Profit and Loss'!F9</f>
        <v>15993493.832350859</v>
      </c>
      <c r="G5" s="4">
        <f ca="1">'Profit and Loss'!G9</f>
        <v>21442393.27061677</v>
      </c>
      <c r="H5" s="4">
        <f ca="1">'Profit and Loss'!H9</f>
        <v>26731054.888304595</v>
      </c>
      <c r="I5" s="4">
        <f ca="1">'Profit and Loss'!I9</f>
        <v>28578361.115966082</v>
      </c>
      <c r="J5" s="4">
        <f ca="1">'Profit and Loss'!J9</f>
        <v>29752504.457949802</v>
      </c>
      <c r="K5" s="4">
        <f ca="1">'Profit and Loss'!K9</f>
        <v>31128277.527909793</v>
      </c>
      <c r="L5" s="4">
        <f ca="1">'Profit and Loss'!L9</f>
        <v>32730751.5028961</v>
      </c>
      <c r="M5" s="4">
        <f ca="1">'Profit and Loss'!M9</f>
        <v>34587371.576436028</v>
      </c>
      <c r="N5" s="4">
        <f ca="1">'Profit and Loss'!N9</f>
        <v>35420653.287066877</v>
      </c>
      <c r="O5" s="4">
        <f ca="1">'Profit and Loss'!O9</f>
        <v>36364409.171578802</v>
      </c>
      <c r="P5" s="4">
        <f ca="1">'Profit and Loss'!P9</f>
        <v>37432394.916961476</v>
      </c>
      <c r="Q5" s="4">
        <f ca="1">'Profit and Loss'!Q9</f>
        <v>38639623.022524342</v>
      </c>
      <c r="R5" s="4">
        <f ca="1">'Profit and Loss'!R9</f>
        <v>40002458.745017231</v>
      </c>
      <c r="S5" s="4">
        <f ca="1">'Profit and Loss'!S9</f>
        <v>41538722.6307742</v>
      </c>
      <c r="T5" s="4">
        <f ca="1">'Profit and Loss'!T9</f>
        <v>42362796.894395366</v>
      </c>
      <c r="U5" s="4">
        <f ca="1">'Profit and Loss'!U9</f>
        <v>43271751.40062651</v>
      </c>
      <c r="V5" s="4">
        <f ca="1">'Profit and Loss'!V9</f>
        <v>44276109.753863245</v>
      </c>
      <c r="W5" s="4">
        <f ca="1">'Profit and Loss'!W9</f>
        <v>45387343.408666596</v>
      </c>
      <c r="X5" s="4">
        <f ca="1">'Profit and Loss'!X9</f>
        <v>46617941.798369527</v>
      </c>
      <c r="Y5" s="4">
        <f ca="1">'Profit and Loss'!Y9</f>
        <v>47981487.074912541</v>
      </c>
      <c r="Z5" s="4">
        <f ca="1">'Profit and Loss'!Z9</f>
        <v>48762670.639439002</v>
      </c>
      <c r="AA5" s="4">
        <f ca="1">'Profit and Loss'!AA9</f>
        <v>49609489.203089342</v>
      </c>
      <c r="AB5" s="4">
        <f ca="1">'Profit and Loss'!AB9</f>
        <v>50530476.555714592</v>
      </c>
      <c r="AC5" s="4">
        <f ca="1">'Profit and Loss'!AC9</f>
        <v>51534945.39430809</v>
      </c>
      <c r="AD5" s="4">
        <f ca="1">'Profit and Loss'!AD9</f>
        <v>52633044.419979781</v>
      </c>
      <c r="AE5" s="4">
        <f ca="1">'Profit and Loss'!AE9</f>
        <v>53835819.109676294</v>
      </c>
      <c r="AF5" s="4">
        <f ca="1">'Profit and Loss'!AF9</f>
        <v>55155276.380319543</v>
      </c>
      <c r="AG5" s="4"/>
      <c r="AH5" s="4"/>
      <c r="AI5" s="4"/>
      <c r="AJ5" s="4"/>
      <c r="AK5" s="4"/>
      <c r="AL5" s="4"/>
      <c r="AM5" s="4"/>
      <c r="AN5" s="4"/>
      <c r="AO5" s="4"/>
      <c r="AP5" s="4"/>
    </row>
    <row r="6" spans="1:42" x14ac:dyDescent="0.35">
      <c r="A6" t="s">
        <v>21</v>
      </c>
      <c r="C6" s="4">
        <f>Depreciation!C8+Depreciation!C9</f>
        <v>19012511.403864048</v>
      </c>
      <c r="D6" s="4">
        <f>Depreciation!D8+Depreciation!D9</f>
        <v>20557399.537869144</v>
      </c>
      <c r="E6" s="4">
        <f>Depreciation!E8+Depreciation!E9</f>
        <v>22181691.700773016</v>
      </c>
      <c r="F6" s="4">
        <f>Depreciation!F8+Depreciation!F9</f>
        <v>23888887.784975953</v>
      </c>
      <c r="G6" s="4">
        <f>Depreciation!G8+Depreciation!G9</f>
        <v>25682630.366266295</v>
      </c>
      <c r="H6" s="4">
        <f>Depreciation!H8+Depreciation!H9</f>
        <v>27566710.251667395</v>
      </c>
      <c r="I6" s="4">
        <f>Depreciation!I8+Depreciation!I9</f>
        <v>29545072.236239105</v>
      </c>
      <c r="J6" s="4">
        <f>Depreciation!J8+Depreciation!J9</f>
        <v>31621821.076525711</v>
      </c>
      <c r="K6" s="4">
        <f>Depreciation!K8+Depreciation!K9</f>
        <v>33801227.688620746</v>
      </c>
      <c r="L6" s="4">
        <f>Depreciation!L8+Depreciation!L9</f>
        <v>36087735.579107493</v>
      </c>
      <c r="M6" s="4">
        <f>Depreciation!M8+Depreciation!M9</f>
        <v>38485967.51743225</v>
      </c>
      <c r="N6" s="4">
        <f>Depreciation!N8+Depreciation!N9</f>
        <v>41000732.458576784</v>
      </c>
      <c r="O6" s="4">
        <f>Depreciation!O8+Depreciation!O9</f>
        <v>43637032.725216724</v>
      </c>
      <c r="P6" s="4">
        <f>Depreciation!P8+Depreciation!P9</f>
        <v>46400071.458884023</v>
      </c>
      <c r="Q6" s="4">
        <f>Depreciation!Q8+Depreciation!Q9</f>
        <v>49295260.349995404</v>
      </c>
      <c r="R6" s="4">
        <f>Depreciation!R8+Depreciation!R9</f>
        <v>52328227.656964049</v>
      </c>
      <c r="S6" s="4">
        <f>Depreciation!S8+Depreciation!S9</f>
        <v>55504826.524980277</v>
      </c>
      <c r="T6" s="4">
        <f>Depreciation!T8+Depreciation!T9</f>
        <v>58831143.61542879</v>
      </c>
      <c r="U6" s="4">
        <f>Depreciation!U8+Depreciation!U9</f>
        <v>62313508.057304449</v>
      </c>
      <c r="V6" s="4">
        <f>Depreciation!V8+Depreciation!V9</f>
        <v>65958500.732397959</v>
      </c>
      <c r="W6" s="4">
        <f>Depreciation!W8+Depreciation!W9</f>
        <v>69772963.90644677</v>
      </c>
      <c r="X6" s="4">
        <f>Depreciation!X8+Depreciation!X9</f>
        <v>73764011.218884706</v>
      </c>
      <c r="Y6" s="4">
        <f>Depreciation!Y8+Depreciation!Y9</f>
        <v>77939038.044278473</v>
      </c>
      <c r="Z6" s="4">
        <f>Depreciation!Z8+Depreciation!Z9</f>
        <v>82305732.239009321</v>
      </c>
      <c r="AA6" s="4">
        <f>Depreciation!AA8+Depreciation!AA9</f>
        <v>86872085.287245631</v>
      </c>
      <c r="AB6" s="4">
        <f>Depreciation!AB8+Depreciation!AB9</f>
        <v>91646403.860756248</v>
      </c>
      <c r="AC6" s="4">
        <f>Depreciation!AC8+Depreciation!AC9</f>
        <v>96637321.807637453</v>
      </c>
      <c r="AD6" s="4">
        <f>Depreciation!AD8+Depreciation!AD9</f>
        <v>101853812.58556563</v>
      </c>
      <c r="AE6" s="4">
        <f>Depreciation!AE8+Depreciation!AE9</f>
        <v>107305202.15575019</v>
      </c>
      <c r="AF6" s="4">
        <f>Depreciation!AF8+Depreciation!AF9</f>
        <v>113001182.35433891</v>
      </c>
      <c r="AG6" s="4"/>
      <c r="AH6" s="4"/>
      <c r="AI6" s="4"/>
      <c r="AJ6" s="4"/>
      <c r="AK6" s="4"/>
      <c r="AL6" s="4"/>
      <c r="AM6" s="4"/>
      <c r="AN6" s="4"/>
      <c r="AO6" s="4"/>
      <c r="AP6" s="4"/>
    </row>
    <row r="7" spans="1:42" x14ac:dyDescent="0.35">
      <c r="A7" t="s">
        <v>23</v>
      </c>
      <c r="C7" s="4">
        <f ca="1">C6+C5</f>
        <v>18561321.10548456</v>
      </c>
      <c r="D7" s="4">
        <f ca="1">D6+D5</f>
        <v>27909510.627420295</v>
      </c>
      <c r="E7" s="4">
        <f t="shared" ref="E7:AF7" ca="1" si="1">E6+E5</f>
        <v>33998239.196597472</v>
      </c>
      <c r="F7" s="4">
        <f t="shared" ca="1" si="1"/>
        <v>39882381.617326811</v>
      </c>
      <c r="G7" s="4">
        <f ca="1">G6+G5</f>
        <v>47125023.636883065</v>
      </c>
      <c r="H7" s="4">
        <f t="shared" ca="1" si="1"/>
        <v>54297765.139971986</v>
      </c>
      <c r="I7" s="4">
        <f t="shared" ca="1" si="1"/>
        <v>58123433.352205187</v>
      </c>
      <c r="J7" s="4">
        <f t="shared" ca="1" si="1"/>
        <v>61374325.534475513</v>
      </c>
      <c r="K7" s="4">
        <f t="shared" ca="1" si="1"/>
        <v>64929505.216530539</v>
      </c>
      <c r="L7" s="4">
        <f t="shared" ca="1" si="1"/>
        <v>68818487.082003593</v>
      </c>
      <c r="M7" s="4">
        <f t="shared" ca="1" si="1"/>
        <v>73073339.093868285</v>
      </c>
      <c r="N7" s="4">
        <f t="shared" ca="1" si="1"/>
        <v>76421385.74564366</v>
      </c>
      <c r="O7" s="4">
        <f t="shared" ca="1" si="1"/>
        <v>80001441.896795526</v>
      </c>
      <c r="P7" s="4">
        <f t="shared" ca="1" si="1"/>
        <v>83832466.375845492</v>
      </c>
      <c r="Q7" s="4">
        <f t="shared" ca="1" si="1"/>
        <v>87934883.372519746</v>
      </c>
      <c r="R7" s="4">
        <f t="shared" ca="1" si="1"/>
        <v>92330686.401981279</v>
      </c>
      <c r="S7" s="4">
        <f t="shared" ca="1" si="1"/>
        <v>97043549.155754477</v>
      </c>
      <c r="T7" s="4">
        <f t="shared" ca="1" si="1"/>
        <v>101193940.50982416</v>
      </c>
      <c r="U7" s="4">
        <f t="shared" ca="1" si="1"/>
        <v>105585259.45793095</v>
      </c>
      <c r="V7" s="4">
        <f t="shared" ca="1" si="1"/>
        <v>110234610.4862612</v>
      </c>
      <c r="W7" s="4">
        <f t="shared" ca="1" si="1"/>
        <v>115160307.31511337</v>
      </c>
      <c r="X7" s="4">
        <f t="shared" ca="1" si="1"/>
        <v>120381953.01725423</v>
      </c>
      <c r="Y7" s="4">
        <f t="shared" ca="1" si="1"/>
        <v>125920525.11919102</v>
      </c>
      <c r="Z7" s="4">
        <f t="shared" ca="1" si="1"/>
        <v>131068402.87844832</v>
      </c>
      <c r="AA7" s="4">
        <f t="shared" ca="1" si="1"/>
        <v>136481574.49033499</v>
      </c>
      <c r="AB7" s="4">
        <f t="shared" ca="1" si="1"/>
        <v>142176880.41647083</v>
      </c>
      <c r="AC7" s="4">
        <f t="shared" ca="1" si="1"/>
        <v>148172267.20194554</v>
      </c>
      <c r="AD7" s="4">
        <f t="shared" ca="1" si="1"/>
        <v>154486857.00554541</v>
      </c>
      <c r="AE7" s="4">
        <f t="shared" ca="1" si="1"/>
        <v>161141021.26542649</v>
      </c>
      <c r="AF7" s="4">
        <f t="shared" ca="1" si="1"/>
        <v>168156458.73465845</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56822902.597398102</v>
      </c>
      <c r="D10" s="9">
        <f>Investment!D25</f>
        <v>59577723.249596283</v>
      </c>
      <c r="E10" s="9">
        <f>Investment!E25</f>
        <v>62450665.771275431</v>
      </c>
      <c r="F10" s="9">
        <f>Investment!F25</f>
        <v>65446469.025734439</v>
      </c>
      <c r="G10" s="9">
        <f>Investment!G25</f>
        <v>68570054.206729054</v>
      </c>
      <c r="H10" s="9">
        <f>Investment!H25</f>
        <v>71826531.655024961</v>
      </c>
      <c r="I10" s="9">
        <f>Investment!I25</f>
        <v>75221207.924504101</v>
      </c>
      <c r="J10" s="9">
        <f>Investment!J25</f>
        <v>78759593.106815189</v>
      </c>
      <c r="K10" s="9">
        <f>Investment!K25</f>
        <v>82447408.423879489</v>
      </c>
      <c r="L10" s="9">
        <f>Investment!L25</f>
        <v>86290594.09789452</v>
      </c>
      <c r="M10" s="9">
        <f>Investment!M25</f>
        <v>90295317.508820459</v>
      </c>
      <c r="N10" s="9">
        <f>Investment!N25</f>
        <v>94467981.649689421</v>
      </c>
      <c r="O10" s="9">
        <f>Investment!O25</f>
        <v>98815233.890444964</v>
      </c>
      <c r="P10" s="9">
        <f>Investment!P25</f>
        <v>103343975.06139956</v>
      </c>
      <c r="Q10" s="9">
        <f>Investment!Q25</f>
        <v>108061368.86779143</v>
      </c>
      <c r="R10" s="9">
        <f>Investment!R25</f>
        <v>112974851.64732955</v>
      </c>
      <c r="S10" s="9">
        <f>Investment!S25</f>
        <v>118092142.4830375</v>
      </c>
      <c r="T10" s="9">
        <f>Investment!T25</f>
        <v>123421253.68414384</v>
      </c>
      <c r="U10" s="9">
        <f>Investment!U25</f>
        <v>128970501.64821836</v>
      </c>
      <c r="V10" s="9">
        <f>Investment!V25</f>
        <v>134748518.1182211</v>
      </c>
      <c r="W10" s="9">
        <f>Investment!W25</f>
        <v>140764261.8486163</v>
      </c>
      <c r="X10" s="9">
        <f>Investment!X25</f>
        <v>147027030.69520363</v>
      </c>
      <c r="Y10" s="9">
        <f>Investment!Y25</f>
        <v>153546474.1438396</v>
      </c>
      <c r="Z10" s="9">
        <f>Investment!Z25</f>
        <v>160332606.2937564</v>
      </c>
      <c r="AA10" s="9">
        <f>Investment!AA25</f>
        <v>167395819.31174463</v>
      </c>
      <c r="AB10" s="9">
        <f>Investment!AB25</f>
        <v>174746897.3740392</v>
      </c>
      <c r="AC10" s="9">
        <f>Investment!AC25</f>
        <v>182397031.11334547</v>
      </c>
      <c r="AD10" s="9">
        <f>Investment!AD25</f>
        <v>190357832.58905631</v>
      </c>
      <c r="AE10" s="9">
        <f>Investment!AE25</f>
        <v>198641350.79935259</v>
      </c>
      <c r="AF10" s="9">
        <f>Investment!AF25</f>
        <v>207260087.75453657</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-38261581.491913542</v>
      </c>
      <c r="D12" s="1">
        <f t="shared" ref="D12:AF12" ca="1" si="2">D7-D9-D10</f>
        <v>-31668212.622175988</v>
      </c>
      <c r="E12" s="1">
        <f ca="1">E7-E9-E10</f>
        <v>-28452426.574677959</v>
      </c>
      <c r="F12" s="1">
        <f t="shared" ca="1" si="2"/>
        <v>-25564087.408407629</v>
      </c>
      <c r="G12" s="1">
        <f ca="1">G7-G9-G10</f>
        <v>-21445030.569845989</v>
      </c>
      <c r="H12" s="1">
        <f t="shared" ca="1" si="2"/>
        <v>-17528766.515052974</v>
      </c>
      <c r="I12" s="1">
        <f t="shared" ca="1" si="2"/>
        <v>-17097774.572298914</v>
      </c>
      <c r="J12" s="1">
        <f t="shared" ca="1" si="2"/>
        <v>-17385267.572339676</v>
      </c>
      <c r="K12" s="1">
        <f t="shared" ca="1" si="2"/>
        <v>-17517903.20734895</v>
      </c>
      <c r="L12" s="1">
        <f t="shared" ca="1" si="2"/>
        <v>-17472107.015890926</v>
      </c>
      <c r="M12" s="1">
        <f t="shared" ca="1" si="2"/>
        <v>-17221978.414952174</v>
      </c>
      <c r="N12" s="1">
        <f t="shared" ca="1" si="2"/>
        <v>-18046595.904045761</v>
      </c>
      <c r="O12" s="1">
        <f t="shared" ca="1" si="2"/>
        <v>-18813791.993649438</v>
      </c>
      <c r="P12" s="1">
        <f t="shared" ca="1" si="2"/>
        <v>-19511508.685554072</v>
      </c>
      <c r="Q12" s="1">
        <f t="shared" ca="1" si="2"/>
        <v>-20126485.495271683</v>
      </c>
      <c r="R12" s="1">
        <f t="shared" ca="1" si="2"/>
        <v>-20644165.245348275</v>
      </c>
      <c r="S12" s="1">
        <f t="shared" ca="1" si="2"/>
        <v>-21048593.327283025</v>
      </c>
      <c r="T12" s="1">
        <f t="shared" ca="1" si="2"/>
        <v>-22227313.174319685</v>
      </c>
      <c r="U12" s="1">
        <f t="shared" ca="1" si="2"/>
        <v>-23385242.190287411</v>
      </c>
      <c r="V12" s="1">
        <f t="shared" ca="1" si="2"/>
        <v>-24513907.6319599</v>
      </c>
      <c r="W12" s="1">
        <f t="shared" ca="1" si="2"/>
        <v>-25603954.533502936</v>
      </c>
      <c r="X12" s="1">
        <f t="shared" ca="1" si="2"/>
        <v>-26645077.677949399</v>
      </c>
      <c r="Y12" s="1">
        <f t="shared" ca="1" si="2"/>
        <v>-27625949.024648577</v>
      </c>
      <c r="Z12" s="1">
        <f t="shared" ca="1" si="2"/>
        <v>-29264203.415308073</v>
      </c>
      <c r="AA12" s="1">
        <f t="shared" ca="1" si="2"/>
        <v>-30914244.821409643</v>
      </c>
      <c r="AB12" s="1">
        <f t="shared" ca="1" si="2"/>
        <v>-32570016.957568377</v>
      </c>
      <c r="AC12" s="1">
        <f t="shared" ca="1" si="2"/>
        <v>-34224763.911399931</v>
      </c>
      <c r="AD12" s="1">
        <f t="shared" ca="1" si="2"/>
        <v>-35870975.583510906</v>
      </c>
      <c r="AE12" s="1">
        <f t="shared" ca="1" si="2"/>
        <v>-37500329.5339261</v>
      </c>
      <c r="AF12" s="1">
        <f t="shared" ca="1" si="2"/>
        <v>-39103629.019878119</v>
      </c>
      <c r="AG12" s="1"/>
      <c r="AH12" s="1"/>
      <c r="AI12" s="1"/>
      <c r="AJ12" s="1"/>
      <c r="AK12" s="1"/>
      <c r="AL12" s="1"/>
      <c r="AM12" s="1"/>
      <c r="AN12" s="1"/>
      <c r="AO12" s="1"/>
      <c r="AP12" s="1"/>
    </row>
    <row r="13" spans="1:42" x14ac:dyDescent="0.35">
      <c r="A13" t="s">
        <v>19</v>
      </c>
      <c r="C13" s="1">
        <f ca="1">C12</f>
        <v>-38261581.491913542</v>
      </c>
      <c r="D13" s="1">
        <f ca="1">D12</f>
        <v>-31668212.622175988</v>
      </c>
      <c r="E13" s="1">
        <f ca="1">E12</f>
        <v>-28452426.574677959</v>
      </c>
      <c r="F13" s="1">
        <f t="shared" ref="F13:AF13" ca="1" si="3">F12</f>
        <v>-25564087.408407629</v>
      </c>
      <c r="G13" s="1">
        <f ca="1">G12</f>
        <v>-21445030.569845989</v>
      </c>
      <c r="H13" s="1">
        <f t="shared" ca="1" si="3"/>
        <v>-17528766.515052974</v>
      </c>
      <c r="I13" s="1">
        <f t="shared" ca="1" si="3"/>
        <v>-17097774.572298914</v>
      </c>
      <c r="J13" s="1">
        <f t="shared" ca="1" si="3"/>
        <v>-17385267.572339676</v>
      </c>
      <c r="K13" s="1">
        <f t="shared" ca="1" si="3"/>
        <v>-17517903.20734895</v>
      </c>
      <c r="L13" s="1">
        <f t="shared" ca="1" si="3"/>
        <v>-17472107.015890926</v>
      </c>
      <c r="M13" s="1">
        <f t="shared" ca="1" si="3"/>
        <v>-17221978.414952174</v>
      </c>
      <c r="N13" s="1">
        <f t="shared" ca="1" si="3"/>
        <v>-18046595.904045761</v>
      </c>
      <c r="O13" s="1">
        <f t="shared" ca="1" si="3"/>
        <v>-18813791.993649438</v>
      </c>
      <c r="P13" s="1">
        <f t="shared" ca="1" si="3"/>
        <v>-19511508.685554072</v>
      </c>
      <c r="Q13" s="1">
        <f t="shared" ca="1" si="3"/>
        <v>-20126485.495271683</v>
      </c>
      <c r="R13" s="1">
        <f t="shared" ca="1" si="3"/>
        <v>-20644165.245348275</v>
      </c>
      <c r="S13" s="1">
        <f t="shared" ca="1" si="3"/>
        <v>-21048593.327283025</v>
      </c>
      <c r="T13" s="1">
        <f t="shared" ca="1" si="3"/>
        <v>-22227313.174319685</v>
      </c>
      <c r="U13" s="1">
        <f t="shared" ca="1" si="3"/>
        <v>-23385242.190287411</v>
      </c>
      <c r="V13" s="1">
        <f t="shared" ca="1" si="3"/>
        <v>-24513907.6319599</v>
      </c>
      <c r="W13" s="1">
        <f t="shared" ca="1" si="3"/>
        <v>-25603954.533502936</v>
      </c>
      <c r="X13" s="1">
        <f t="shared" ca="1" si="3"/>
        <v>-26645077.677949399</v>
      </c>
      <c r="Y13" s="1">
        <f t="shared" ca="1" si="3"/>
        <v>-27625949.024648577</v>
      </c>
      <c r="Z13" s="1">
        <f t="shared" ca="1" si="3"/>
        <v>-29264203.415308073</v>
      </c>
      <c r="AA13" s="1">
        <f t="shared" ca="1" si="3"/>
        <v>-30914244.821409643</v>
      </c>
      <c r="AB13" s="1">
        <f t="shared" ca="1" si="3"/>
        <v>-32570016.957568377</v>
      </c>
      <c r="AC13" s="1">
        <f t="shared" ca="1" si="3"/>
        <v>-34224763.911399931</v>
      </c>
      <c r="AD13" s="1">
        <f t="shared" ca="1" si="3"/>
        <v>-35870975.583510906</v>
      </c>
      <c r="AE13" s="1">
        <f t="shared" ca="1" si="3"/>
        <v>-37500329.5339261</v>
      </c>
      <c r="AF13" s="1">
        <f t="shared" ca="1" si="3"/>
        <v>-39103629.019878119</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140</v>
      </c>
      <c r="C6" s="9">
        <f>Assumptions!C17</f>
        <v>1139613722.8199987</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569806861.40999937</v>
      </c>
      <c r="D7" s="9">
        <f>C12</f>
        <v>588819372.8138634</v>
      </c>
      <c r="E7" s="9">
        <f>D12</f>
        <v>609376772.35173261</v>
      </c>
      <c r="F7" s="9">
        <f t="shared" ref="F7:H7" si="1">E12</f>
        <v>631558464.05250561</v>
      </c>
      <c r="G7" s="9">
        <f t="shared" si="1"/>
        <v>655447351.8374815</v>
      </c>
      <c r="H7" s="9">
        <f t="shared" si="1"/>
        <v>681129982.20374787</v>
      </c>
      <c r="I7" s="9">
        <f t="shared" ref="I7" si="2">H12</f>
        <v>708696692.45541525</v>
      </c>
      <c r="J7" s="9">
        <f t="shared" ref="J7" si="3">I12</f>
        <v>738241764.69165444</v>
      </c>
      <c r="K7" s="9">
        <f t="shared" ref="K7" si="4">J12</f>
        <v>769863585.76818013</v>
      </c>
      <c r="L7" s="9">
        <f t="shared" ref="L7" si="5">K12</f>
        <v>803664813.45680082</v>
      </c>
      <c r="M7" s="9">
        <f t="shared" ref="M7" si="6">L12</f>
        <v>839752549.03590834</v>
      </c>
      <c r="N7" s="9">
        <f t="shared" ref="N7" si="7">M12</f>
        <v>878238516.55334067</v>
      </c>
      <c r="O7" s="9">
        <f t="shared" ref="O7" si="8">N12</f>
        <v>919239249.01191747</v>
      </c>
      <c r="P7" s="9">
        <f t="shared" ref="P7" si="9">O12</f>
        <v>962876281.73713422</v>
      </c>
      <c r="Q7" s="9">
        <f t="shared" ref="Q7" si="10">P12</f>
        <v>1009276353.1960183</v>
      </c>
      <c r="R7" s="9">
        <f t="shared" ref="R7" si="11">Q12</f>
        <v>1058571613.5460138</v>
      </c>
      <c r="S7" s="9">
        <f t="shared" ref="S7" si="12">R12</f>
        <v>1110899841.2029779</v>
      </c>
      <c r="T7" s="9">
        <f t="shared" ref="T7" si="13">S12</f>
        <v>1166404667.727958</v>
      </c>
      <c r="U7" s="9">
        <f t="shared" ref="U7" si="14">T12</f>
        <v>1225235811.3433869</v>
      </c>
      <c r="V7" s="9">
        <f t="shared" ref="V7" si="15">U12</f>
        <v>1287549319.4006913</v>
      </c>
      <c r="W7" s="9">
        <f t="shared" ref="W7" si="16">V12</f>
        <v>1353507820.1330891</v>
      </c>
      <c r="X7" s="9">
        <f t="shared" ref="X7" si="17">W12</f>
        <v>1423280784.0395358</v>
      </c>
      <c r="Y7" s="9">
        <f t="shared" ref="Y7" si="18">X12</f>
        <v>1497044795.2584205</v>
      </c>
      <c r="Z7" s="9">
        <f t="shared" ref="Z7" si="19">Y12</f>
        <v>1574983833.3026991</v>
      </c>
      <c r="AA7" s="9">
        <f t="shared" ref="AA7" si="20">Z12</f>
        <v>1657289565.5417082</v>
      </c>
      <c r="AB7" s="9">
        <f t="shared" ref="AB7" si="21">AA12</f>
        <v>1744161650.8289537</v>
      </c>
      <c r="AC7" s="9">
        <f t="shared" ref="AC7" si="22">AB12</f>
        <v>1835808054.6897101</v>
      </c>
      <c r="AD7" s="9">
        <f t="shared" ref="AD7" si="23">AC12</f>
        <v>1932445376.4973476</v>
      </c>
      <c r="AE7" s="9">
        <f t="shared" ref="AE7" si="24">AD12</f>
        <v>2034299189.0829134</v>
      </c>
      <c r="AF7" s="9">
        <f t="shared" ref="AF7" si="25">AE12</f>
        <v>2141604391.2386634</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141</v>
      </c>
      <c r="C8" s="9">
        <f>Assumptions!D111*Assumptions!D11</f>
        <v>18105062.01521923</v>
      </c>
      <c r="D8" s="9">
        <f>Assumptions!E111*Assumptions!E11</f>
        <v>18684423.999706242</v>
      </c>
      <c r="E8" s="9">
        <f>Assumptions!F111*Assumptions!F11</f>
        <v>19282325.567696843</v>
      </c>
      <c r="F8" s="9">
        <f>Assumptions!G111*Assumptions!G11</f>
        <v>19899359.985863142</v>
      </c>
      <c r="G8" s="9">
        <f>Assumptions!H111*Assumptions!H11</f>
        <v>20536139.505410764</v>
      </c>
      <c r="H8" s="9">
        <f>Assumptions!I111*Assumptions!I11</f>
        <v>21193295.969583906</v>
      </c>
      <c r="I8" s="9">
        <f>Assumptions!J111*Assumptions!J11</f>
        <v>21871481.440610588</v>
      </c>
      <c r="J8" s="9">
        <f>Assumptions!K111*Assumptions!K11</f>
        <v>22571368.846710131</v>
      </c>
      <c r="K8" s="9">
        <f>Assumptions!L111*Assumptions!L11</f>
        <v>23293652.649804857</v>
      </c>
      <c r="L8" s="9">
        <f>Assumptions!M111*Assumptions!M11</f>
        <v>24039049.534598608</v>
      </c>
      <c r="M8" s="9">
        <f>Assumptions!N111*Assumptions!N11</f>
        <v>24808299.119705763</v>
      </c>
      <c r="N8" s="9">
        <f>Assumptions!O111*Assumptions!O11</f>
        <v>25602164.691536348</v>
      </c>
      <c r="O8" s="9">
        <f>Assumptions!P111*Assumptions!P11</f>
        <v>26421433.961665515</v>
      </c>
      <c r="P8" s="9">
        <f>Assumptions!Q111*Assumptions!Q11</f>
        <v>27266919.848438807</v>
      </c>
      <c r="Q8" s="9">
        <f>Assumptions!R111*Assumptions!R11</f>
        <v>28139461.283588845</v>
      </c>
      <c r="R8" s="9">
        <f>Assumptions!S111*Assumptions!S11</f>
        <v>29039924.044663694</v>
      </c>
      <c r="S8" s="9">
        <f>Assumptions!T111*Assumptions!T11</f>
        <v>29969201.614092935</v>
      </c>
      <c r="T8" s="9">
        <f>Assumptions!U111*Assumptions!U11</f>
        <v>30928216.065743905</v>
      </c>
      <c r="U8" s="9">
        <f>Assumptions!V111*Assumptions!V11</f>
        <v>31917918.979847707</v>
      </c>
      <c r="V8" s="9">
        <f>Assumptions!W111*Assumptions!W11</f>
        <v>32939292.387202837</v>
      </c>
      <c r="W8" s="9">
        <f>Assumptions!X111*Assumptions!X11</f>
        <v>33993349.743593328</v>
      </c>
      <c r="X8" s="9">
        <f>Assumptions!Y111*Assumptions!Y11</f>
        <v>35081136.935388312</v>
      </c>
      <c r="Y8" s="9">
        <f>Assumptions!Z111*Assumptions!Z11</f>
        <v>36203733.317320734</v>
      </c>
      <c r="Z8" s="9">
        <f>Assumptions!AA111*Assumptions!AA11</f>
        <v>37362252.783474997</v>
      </c>
      <c r="AA8" s="9">
        <f>Assumptions!AB111*Assumptions!AB11</f>
        <v>38557844.872546211</v>
      </c>
      <c r="AB8" s="9">
        <f>Assumptions!AC111*Assumptions!AC11</f>
        <v>39791695.90846768</v>
      </c>
      <c r="AC8" s="9">
        <f>Assumptions!AD111*Assumptions!AD11</f>
        <v>41065030.177538641</v>
      </c>
      <c r="AD8" s="9">
        <f>Assumptions!AE111*Assumptions!AE11</f>
        <v>42379111.143219881</v>
      </c>
      <c r="AE8" s="9">
        <f>Assumptions!AF111*Assumptions!AF11</f>
        <v>43735242.69980292</v>
      </c>
      <c r="AF8" s="9">
        <f>Assumptions!AG111*Assumptions!AG11</f>
        <v>45134770.466196604</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907449.38864481705</v>
      </c>
      <c r="D9" s="9">
        <f>Assumptions!E120*Assumptions!E11</f>
        <v>1872975.5381629025</v>
      </c>
      <c r="E9" s="9">
        <f>Assumptions!F120*Assumptions!F11</f>
        <v>2899366.1330761728</v>
      </c>
      <c r="F9" s="9">
        <f>Assumptions!G120*Assumptions!G11</f>
        <v>3989527.7991128135</v>
      </c>
      <c r="G9" s="9">
        <f>Assumptions!H120*Assumptions!H11</f>
        <v>5146490.8608555309</v>
      </c>
      <c r="H9" s="9">
        <f>Assumptions!I120*Assumptions!I11</f>
        <v>6373414.282083489</v>
      </c>
      <c r="I9" s="9">
        <f>Assumptions!J120*Assumptions!J11</f>
        <v>7673590.7956285197</v>
      </c>
      <c r="J9" s="9">
        <f>Assumptions!K120*Assumptions!K11</f>
        <v>9050452.22981558</v>
      </c>
      <c r="K9" s="9">
        <f>Assumptions!L120*Assumptions!L11</f>
        <v>10507575.03881589</v>
      </c>
      <c r="L9" s="9">
        <f>Assumptions!M120*Assumptions!M11</f>
        <v>12048686.044508884</v>
      </c>
      <c r="M9" s="9">
        <f>Assumptions!N120*Assumptions!N11</f>
        <v>13677668.397726486</v>
      </c>
      <c r="N9" s="9">
        <f>Assumptions!O120*Assumptions!O11</f>
        <v>15398567.767040435</v>
      </c>
      <c r="O9" s="9">
        <f>Assumptions!P120*Assumptions!P11</f>
        <v>17215598.763551209</v>
      </c>
      <c r="P9" s="9">
        <f>Assumptions!Q120*Assumptions!Q11</f>
        <v>19133151.610445216</v>
      </c>
      <c r="Q9" s="9">
        <f>Assumptions!R120*Assumptions!R11</f>
        <v>21155799.066406563</v>
      </c>
      <c r="R9" s="9">
        <f>Assumptions!S120*Assumptions!S11</f>
        <v>23288303.612300351</v>
      </c>
      <c r="S9" s="9">
        <f>Assumptions!T120*Assumptions!T11</f>
        <v>25535624.910887338</v>
      </c>
      <c r="T9" s="9">
        <f>Assumptions!U120*Assumptions!U11</f>
        <v>27902927.54968489</v>
      </c>
      <c r="U9" s="9">
        <f>Assumptions!V120*Assumptions!V11</f>
        <v>30395589.077456743</v>
      </c>
      <c r="V9" s="9">
        <f>Assumptions!W120*Assumptions!W11</f>
        <v>33019208.345195118</v>
      </c>
      <c r="W9" s="9">
        <f>Assumptions!X120*Assumptions!X11</f>
        <v>35779614.162853442</v>
      </c>
      <c r="X9" s="9">
        <f>Assumptions!Y120*Assumptions!Y11</f>
        <v>38682874.283496395</v>
      </c>
      <c r="Y9" s="9">
        <f>Assumptions!Z120*Assumptions!Z11</f>
        <v>41735304.726957746</v>
      </c>
      <c r="Z9" s="9">
        <f>Assumptions!AA120*Assumptions!AA11</f>
        <v>44943479.455534324</v>
      </c>
      <c r="AA9" s="9">
        <f>Assumptions!AB120*Assumptions!AB11</f>
        <v>48314240.41469942</v>
      </c>
      <c r="AB9" s="9">
        <f>Assumptions!AC120*Assumptions!AC11</f>
        <v>51854707.952288575</v>
      </c>
      <c r="AC9" s="9">
        <f>Assumptions!AD120*Assumptions!AD11</f>
        <v>55572291.630098812</v>
      </c>
      <c r="AD9" s="9">
        <f>Assumptions!AE120*Assumptions!AE11</f>
        <v>59474701.442345753</v>
      </c>
      <c r="AE9" s="9">
        <f>Assumptions!AF120*Assumptions!AF11</f>
        <v>63569959.455947272</v>
      </c>
      <c r="AF9" s="9">
        <f>Assumptions!AG120*Assumptions!AG11</f>
        <v>67866411.888142318</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19012511.403864048</v>
      </c>
      <c r="D10" s="9">
        <f>SUM($C$8:D9)</f>
        <v>39569910.941733189</v>
      </c>
      <c r="E10" s="9">
        <f>SUM($C$8:E9)</f>
        <v>61751602.642506212</v>
      </c>
      <c r="F10" s="9">
        <f>SUM($C$8:F9)</f>
        <v>85640490.427482173</v>
      </c>
      <c r="G10" s="9">
        <f>SUM($C$8:G9)</f>
        <v>111323120.79374847</v>
      </c>
      <c r="H10" s="9">
        <f>SUM($C$8:H9)</f>
        <v>138889831.04541585</v>
      </c>
      <c r="I10" s="9">
        <f>SUM($C$8:I9)</f>
        <v>168434903.28165495</v>
      </c>
      <c r="J10" s="9">
        <f>SUM($C$8:J9)</f>
        <v>200056724.35818064</v>
      </c>
      <c r="K10" s="9">
        <f>SUM($C$8:K9)</f>
        <v>233857952.04680139</v>
      </c>
      <c r="L10" s="9">
        <f>SUM($C$8:L9)</f>
        <v>269945687.62590891</v>
      </c>
      <c r="M10" s="9">
        <f>SUM($C$8:M9)</f>
        <v>308431655.14334118</v>
      </c>
      <c r="N10" s="9">
        <f>SUM($C$8:N9)</f>
        <v>349432387.60191798</v>
      </c>
      <c r="O10" s="9">
        <f>SUM($C$8:O9)</f>
        <v>393069420.32713473</v>
      </c>
      <c r="P10" s="9">
        <f>SUM($C$8:P9)</f>
        <v>439469491.78601873</v>
      </c>
      <c r="Q10" s="9">
        <f>SUM($C$8:Q9)</f>
        <v>488764752.1360141</v>
      </c>
      <c r="R10" s="9">
        <f>SUM($C$8:R9)</f>
        <v>541092979.79297817</v>
      </c>
      <c r="S10" s="9">
        <f>SUM($C$8:S9)</f>
        <v>596597806.31795847</v>
      </c>
      <c r="T10" s="9">
        <f>SUM($C$8:T9)</f>
        <v>655428949.9333874</v>
      </c>
      <c r="U10" s="9">
        <f>SUM($C$8:U9)</f>
        <v>717742457.9906919</v>
      </c>
      <c r="V10" s="9">
        <f>SUM($C$8:V9)</f>
        <v>783700958.72309005</v>
      </c>
      <c r="W10" s="9">
        <f>SUM($C$8:W9)</f>
        <v>853473922.62953687</v>
      </c>
      <c r="X10" s="9">
        <f>SUM($C$8:X9)</f>
        <v>927237933.84842157</v>
      </c>
      <c r="Y10" s="9">
        <f>SUM($C$8:Y9)</f>
        <v>1005176971.8927001</v>
      </c>
      <c r="Z10" s="9">
        <f>SUM($C$8:Z9)</f>
        <v>1087482704.1317093</v>
      </c>
      <c r="AA10" s="9">
        <f>SUM($C$8:AA9)</f>
        <v>1174354789.4189548</v>
      </c>
      <c r="AB10" s="9">
        <f>SUM($C$8:AB9)</f>
        <v>1266001193.2797112</v>
      </c>
      <c r="AC10" s="9">
        <f>SUM($C$8:AC9)</f>
        <v>1362638515.0873485</v>
      </c>
      <c r="AD10" s="9">
        <f>SUM($C$8:AD9)</f>
        <v>1464492327.6729143</v>
      </c>
      <c r="AE10" s="9">
        <f>SUM($C$8:AE9)</f>
        <v>1571797529.8286643</v>
      </c>
      <c r="AF10" s="9">
        <f>SUM($C$8:AF9)</f>
        <v>1684798712.1830032</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588819372.8138634</v>
      </c>
      <c r="D12" s="9">
        <f>D7+D8+D9</f>
        <v>609376772.35173261</v>
      </c>
      <c r="E12" s="9">
        <f>E7+E8+E9</f>
        <v>631558464.05250561</v>
      </c>
      <c r="F12" s="9">
        <f t="shared" ref="F12:H12" si="26">F7+F8+F9</f>
        <v>655447351.8374815</v>
      </c>
      <c r="G12" s="9">
        <f t="shared" si="26"/>
        <v>681129982.20374787</v>
      </c>
      <c r="H12" s="9">
        <f t="shared" si="26"/>
        <v>708696692.45541525</v>
      </c>
      <c r="I12" s="9">
        <f t="shared" ref="I12:AF12" si="27">I7+I8+I9</f>
        <v>738241764.69165444</v>
      </c>
      <c r="J12" s="9">
        <f t="shared" si="27"/>
        <v>769863585.76818013</v>
      </c>
      <c r="K12" s="9">
        <f t="shared" si="27"/>
        <v>803664813.45680082</v>
      </c>
      <c r="L12" s="9">
        <f t="shared" si="27"/>
        <v>839752549.03590834</v>
      </c>
      <c r="M12" s="9">
        <f t="shared" si="27"/>
        <v>878238516.55334067</v>
      </c>
      <c r="N12" s="9">
        <f t="shared" si="27"/>
        <v>919239249.01191747</v>
      </c>
      <c r="O12" s="9">
        <f t="shared" si="27"/>
        <v>962876281.73713422</v>
      </c>
      <c r="P12" s="9">
        <f t="shared" si="27"/>
        <v>1009276353.1960183</v>
      </c>
      <c r="Q12" s="9">
        <f t="shared" si="27"/>
        <v>1058571613.5460138</v>
      </c>
      <c r="R12" s="9">
        <f t="shared" si="27"/>
        <v>1110899841.2029779</v>
      </c>
      <c r="S12" s="9">
        <f t="shared" si="27"/>
        <v>1166404667.727958</v>
      </c>
      <c r="T12" s="9">
        <f t="shared" si="27"/>
        <v>1225235811.3433869</v>
      </c>
      <c r="U12" s="9">
        <f t="shared" si="27"/>
        <v>1287549319.4006913</v>
      </c>
      <c r="V12" s="9">
        <f t="shared" si="27"/>
        <v>1353507820.1330891</v>
      </c>
      <c r="W12" s="9">
        <f t="shared" si="27"/>
        <v>1423280784.0395358</v>
      </c>
      <c r="X12" s="9">
        <f t="shared" si="27"/>
        <v>1497044795.2584205</v>
      </c>
      <c r="Y12" s="9">
        <f t="shared" si="27"/>
        <v>1574983833.3026991</v>
      </c>
      <c r="Z12" s="9">
        <f t="shared" si="27"/>
        <v>1657289565.5417082</v>
      </c>
      <c r="AA12" s="9">
        <f t="shared" si="27"/>
        <v>1744161650.8289537</v>
      </c>
      <c r="AB12" s="9">
        <f t="shared" si="27"/>
        <v>1835808054.6897101</v>
      </c>
      <c r="AC12" s="9">
        <f t="shared" si="27"/>
        <v>1932445376.4973476</v>
      </c>
      <c r="AD12" s="9">
        <f t="shared" si="27"/>
        <v>2034299189.0829134</v>
      </c>
      <c r="AE12" s="9">
        <f t="shared" si="27"/>
        <v>2141604391.2386634</v>
      </c>
      <c r="AF12" s="9">
        <f t="shared" si="27"/>
        <v>2254605573.5930023</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56822902.597398102</v>
      </c>
      <c r="D18" s="9">
        <f>Investment!D25</f>
        <v>59577723.249596283</v>
      </c>
      <c r="E18" s="9">
        <f>Investment!E25</f>
        <v>62450665.771275431</v>
      </c>
      <c r="F18" s="9">
        <f>Investment!F25</f>
        <v>65446469.025734439</v>
      </c>
      <c r="G18" s="9">
        <f>Investment!G25</f>
        <v>68570054.206729054</v>
      </c>
      <c r="H18" s="9">
        <f>Investment!H25</f>
        <v>71826531.655024961</v>
      </c>
      <c r="I18" s="9">
        <f>Investment!I25</f>
        <v>75221207.924504101</v>
      </c>
      <c r="J18" s="9">
        <f>Investment!J25</f>
        <v>78759593.106815189</v>
      </c>
      <c r="K18" s="9">
        <f>Investment!K25</f>
        <v>82447408.423879489</v>
      </c>
      <c r="L18" s="9">
        <f>Investment!L25</f>
        <v>86290594.09789452</v>
      </c>
      <c r="M18" s="9">
        <f>Investment!M25</f>
        <v>90295317.508820459</v>
      </c>
      <c r="N18" s="9">
        <f>Investment!N25</f>
        <v>94467981.649689421</v>
      </c>
      <c r="O18" s="9">
        <f>Investment!O25</f>
        <v>98815233.890444964</v>
      </c>
      <c r="P18" s="9">
        <f>Investment!P25</f>
        <v>103343975.06139956</v>
      </c>
      <c r="Q18" s="9">
        <f>Investment!Q25</f>
        <v>108061368.86779143</v>
      </c>
      <c r="R18" s="9">
        <f>Investment!R25</f>
        <v>112974851.64732955</v>
      </c>
      <c r="S18" s="9">
        <f>Investment!S25</f>
        <v>118092142.4830375</v>
      </c>
      <c r="T18" s="9">
        <f>Investment!T25</f>
        <v>123421253.68414384</v>
      </c>
      <c r="U18" s="9">
        <f>Investment!U25</f>
        <v>128970501.64821836</v>
      </c>
      <c r="V18" s="9">
        <f>Investment!V25</f>
        <v>134748518.1182211</v>
      </c>
      <c r="W18" s="9">
        <f>Investment!W25</f>
        <v>140764261.8486163</v>
      </c>
      <c r="X18" s="9">
        <f>Investment!X25</f>
        <v>147027030.69520363</v>
      </c>
      <c r="Y18" s="9">
        <f>Investment!Y25</f>
        <v>153546474.1438396</v>
      </c>
      <c r="Z18" s="9">
        <f>Investment!Z25</f>
        <v>160332606.2937564</v>
      </c>
      <c r="AA18" s="9">
        <f>Investment!AA25</f>
        <v>167395819.31174463</v>
      </c>
      <c r="AB18" s="9">
        <f>Investment!AB25</f>
        <v>174746897.3740392</v>
      </c>
      <c r="AC18" s="9">
        <f>Investment!AC25</f>
        <v>182397031.11334547</v>
      </c>
      <c r="AD18" s="9">
        <f>Investment!AD25</f>
        <v>190357832.58905631</v>
      </c>
      <c r="AE18" s="9">
        <f>Investment!AE25</f>
        <v>198641350.79935259</v>
      </c>
      <c r="AF18" s="9">
        <f>Investment!AF25</f>
        <v>207260087.75453657</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626629764.00739741</v>
      </c>
      <c r="D19" s="9">
        <f>D18+C20</f>
        <v>667194975.85312963</v>
      </c>
      <c r="E19" s="9">
        <f>E18+D20</f>
        <v>709088242.08653581</v>
      </c>
      <c r="F19" s="9">
        <f t="shared" ref="F19:AF19" si="28">F18+E20</f>
        <v>752353019.41149724</v>
      </c>
      <c r="G19" s="9">
        <f t="shared" si="28"/>
        <v>797034185.8332504</v>
      </c>
      <c r="H19" s="9">
        <f t="shared" si="28"/>
        <v>843178087.12200904</v>
      </c>
      <c r="I19" s="9">
        <f t="shared" si="28"/>
        <v>890832584.79484582</v>
      </c>
      <c r="J19" s="9">
        <f t="shared" si="28"/>
        <v>940047105.66542184</v>
      </c>
      <c r="K19" s="9">
        <f t="shared" si="28"/>
        <v>990872693.01277566</v>
      </c>
      <c r="L19" s="9">
        <f t="shared" si="28"/>
        <v>1043362059.4220495</v>
      </c>
      <c r="M19" s="9">
        <f t="shared" si="28"/>
        <v>1097569641.3517625</v>
      </c>
      <c r="N19" s="9">
        <f t="shared" si="28"/>
        <v>1153551655.4840195</v>
      </c>
      <c r="O19" s="9">
        <f t="shared" si="28"/>
        <v>1211366156.9158876</v>
      </c>
      <c r="P19" s="9">
        <f t="shared" si="28"/>
        <v>1271073099.2520702</v>
      </c>
      <c r="Q19" s="9">
        <f t="shared" si="28"/>
        <v>1332734396.6609776</v>
      </c>
      <c r="R19" s="9">
        <f t="shared" si="28"/>
        <v>1396413987.9583118</v>
      </c>
      <c r="S19" s="9">
        <f t="shared" si="28"/>
        <v>1462177902.7843852</v>
      </c>
      <c r="T19" s="9">
        <f t="shared" si="28"/>
        <v>1530094329.9435489</v>
      </c>
      <c r="U19" s="9">
        <f t="shared" si="28"/>
        <v>1600233687.9763384</v>
      </c>
      <c r="V19" s="9">
        <f t="shared" si="28"/>
        <v>1672668698.037255</v>
      </c>
      <c r="W19" s="9">
        <f t="shared" si="28"/>
        <v>1747474459.1534736</v>
      </c>
      <c r="X19" s="9">
        <f t="shared" si="28"/>
        <v>1824728525.9422305</v>
      </c>
      <c r="Y19" s="9">
        <f t="shared" si="28"/>
        <v>1904510988.8671854</v>
      </c>
      <c r="Z19" s="9">
        <f t="shared" si="28"/>
        <v>1986904557.1166632</v>
      </c>
      <c r="AA19" s="9">
        <f t="shared" si="28"/>
        <v>2071994644.1893988</v>
      </c>
      <c r="AB19" s="9">
        <f t="shared" si="28"/>
        <v>2159869456.2761927</v>
      </c>
      <c r="AC19" s="9">
        <f t="shared" si="28"/>
        <v>2250620083.5287819</v>
      </c>
      <c r="AD19" s="9">
        <f t="shared" si="28"/>
        <v>2344340594.3102007</v>
      </c>
      <c r="AE19" s="9">
        <f t="shared" si="28"/>
        <v>2441128132.5239878</v>
      </c>
      <c r="AF19" s="9">
        <f t="shared" si="28"/>
        <v>2541083018.1227741</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607617252.60353339</v>
      </c>
      <c r="D20" s="9">
        <f>D19-D8-D9</f>
        <v>646637576.31526041</v>
      </c>
      <c r="E20" s="9">
        <f t="shared" ref="E20:AF20" si="29">E19-E8-E9</f>
        <v>686906550.38576281</v>
      </c>
      <c r="F20" s="9">
        <f t="shared" si="29"/>
        <v>728464131.62652135</v>
      </c>
      <c r="G20" s="9">
        <f t="shared" si="29"/>
        <v>771351555.46698403</v>
      </c>
      <c r="H20" s="9">
        <f t="shared" si="29"/>
        <v>815611376.87034166</v>
      </c>
      <c r="I20" s="9">
        <f t="shared" si="29"/>
        <v>861287512.55860662</v>
      </c>
      <c r="J20" s="9">
        <f t="shared" si="29"/>
        <v>908425284.58889616</v>
      </c>
      <c r="K20" s="9">
        <f t="shared" si="29"/>
        <v>957071465.32415497</v>
      </c>
      <c r="L20" s="9">
        <f t="shared" si="29"/>
        <v>1007274323.842942</v>
      </c>
      <c r="M20" s="9">
        <f t="shared" si="29"/>
        <v>1059083673.8343302</v>
      </c>
      <c r="N20" s="9">
        <f t="shared" si="29"/>
        <v>1112550923.0254426</v>
      </c>
      <c r="O20" s="9">
        <f t="shared" si="29"/>
        <v>1167729124.1906707</v>
      </c>
      <c r="P20" s="9">
        <f t="shared" si="29"/>
        <v>1224673027.7931862</v>
      </c>
      <c r="Q20" s="9">
        <f t="shared" si="29"/>
        <v>1283439136.3109822</v>
      </c>
      <c r="R20" s="9">
        <f t="shared" si="29"/>
        <v>1344085760.3013477</v>
      </c>
      <c r="S20" s="9">
        <f t="shared" si="29"/>
        <v>1406673076.2594051</v>
      </c>
      <c r="T20" s="9">
        <f t="shared" si="29"/>
        <v>1471263186.32812</v>
      </c>
      <c r="U20" s="9">
        <f t="shared" si="29"/>
        <v>1537920179.919034</v>
      </c>
      <c r="V20" s="9">
        <f t="shared" si="29"/>
        <v>1606710197.3048573</v>
      </c>
      <c r="W20" s="9">
        <f t="shared" si="29"/>
        <v>1677701495.2470269</v>
      </c>
      <c r="X20" s="9">
        <f t="shared" si="29"/>
        <v>1750964514.7233458</v>
      </c>
      <c r="Y20" s="9">
        <f t="shared" si="29"/>
        <v>1826571950.8229067</v>
      </c>
      <c r="Z20" s="9">
        <f t="shared" si="29"/>
        <v>1904598824.8776541</v>
      </c>
      <c r="AA20" s="9">
        <f t="shared" si="29"/>
        <v>1985122558.9021533</v>
      </c>
      <c r="AB20" s="9">
        <f t="shared" si="29"/>
        <v>2068223052.4154363</v>
      </c>
      <c r="AC20" s="9">
        <f t="shared" si="29"/>
        <v>2153982761.7211442</v>
      </c>
      <c r="AD20" s="9">
        <f t="shared" si="29"/>
        <v>2242486781.7246351</v>
      </c>
      <c r="AE20" s="9">
        <f t="shared" si="29"/>
        <v>2333822930.3682375</v>
      </c>
      <c r="AF20" s="9">
        <f t="shared" si="29"/>
        <v>2428081835.7684355</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72106000</v>
      </c>
      <c r="D22" s="9">
        <f ca="1">'Balance Sheet'!C11</f>
        <v>110367581.49191354</v>
      </c>
      <c r="E22" s="9">
        <f ca="1">'Balance Sheet'!D11</f>
        <v>142035794.11408952</v>
      </c>
      <c r="F22" s="9">
        <f ca="1">'Balance Sheet'!E11</f>
        <v>170488220.68876749</v>
      </c>
      <c r="G22" s="9">
        <f ca="1">'Balance Sheet'!F11</f>
        <v>196052308.09717512</v>
      </c>
      <c r="H22" s="9">
        <f ca="1">'Balance Sheet'!G11</f>
        <v>217497338.6670211</v>
      </c>
      <c r="I22" s="9">
        <f ca="1">'Balance Sheet'!H11</f>
        <v>235026105.18207407</v>
      </c>
      <c r="J22" s="9">
        <f ca="1">'Balance Sheet'!I11</f>
        <v>252123879.75437298</v>
      </c>
      <c r="K22" s="9">
        <f ca="1">'Balance Sheet'!J11</f>
        <v>269509147.32671267</v>
      </c>
      <c r="L22" s="9">
        <f ca="1">'Balance Sheet'!K11</f>
        <v>287027050.53406161</v>
      </c>
      <c r="M22" s="9">
        <f ca="1">'Balance Sheet'!L11</f>
        <v>304499157.54995251</v>
      </c>
      <c r="N22" s="9">
        <f ca="1">'Balance Sheet'!M11</f>
        <v>321721135.96490467</v>
      </c>
      <c r="O22" s="9">
        <f ca="1">'Balance Sheet'!N11</f>
        <v>339767731.86895043</v>
      </c>
      <c r="P22" s="9">
        <f ca="1">'Balance Sheet'!O11</f>
        <v>358581523.86259985</v>
      </c>
      <c r="Q22" s="9">
        <f ca="1">'Balance Sheet'!P11</f>
        <v>378093032.54815394</v>
      </c>
      <c r="R22" s="9">
        <f ca="1">'Balance Sheet'!Q11</f>
        <v>398219518.04342562</v>
      </c>
      <c r="S22" s="9">
        <f ca="1">'Balance Sheet'!R11</f>
        <v>418863683.28877389</v>
      </c>
      <c r="T22" s="9">
        <f ca="1">'Balance Sheet'!S11</f>
        <v>439912276.61605692</v>
      </c>
      <c r="U22" s="9">
        <f ca="1">'Balance Sheet'!T11</f>
        <v>462139589.7903766</v>
      </c>
      <c r="V22" s="9">
        <f ca="1">'Balance Sheet'!U11</f>
        <v>485524831.98066401</v>
      </c>
      <c r="W22" s="9">
        <f ca="1">'Balance Sheet'!V11</f>
        <v>510038739.61262393</v>
      </c>
      <c r="X22" s="9">
        <f ca="1">'Balance Sheet'!W11</f>
        <v>535642694.14612687</v>
      </c>
      <c r="Y22" s="9">
        <f ca="1">'Balance Sheet'!X11</f>
        <v>562287771.82407629</v>
      </c>
      <c r="Z22" s="9">
        <f ca="1">'Balance Sheet'!Y11</f>
        <v>589913720.84872484</v>
      </c>
      <c r="AA22" s="9">
        <f ca="1">'Balance Sheet'!Z11</f>
        <v>619177924.26403296</v>
      </c>
      <c r="AB22" s="9">
        <f ca="1">'Balance Sheet'!AA11</f>
        <v>650092169.08544254</v>
      </c>
      <c r="AC22" s="9">
        <f ca="1">'Balance Sheet'!AB11</f>
        <v>682662186.04301095</v>
      </c>
      <c r="AD22" s="9">
        <f ca="1">'Balance Sheet'!AC11</f>
        <v>716886949.95441091</v>
      </c>
      <c r="AE22" s="9">
        <f ca="1">'Balance Sheet'!AD11</f>
        <v>752757925.53792179</v>
      </c>
      <c r="AF22" s="9">
        <f ca="1">'Balance Sheet'!AE11</f>
        <v>790258255.07184792</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535511252.60353339</v>
      </c>
      <c r="D23" s="9">
        <f t="shared" ref="D23:AF23" ca="1" si="30">D20-D22</f>
        <v>536269994.82334685</v>
      </c>
      <c r="E23" s="9">
        <f t="shared" ca="1" si="30"/>
        <v>544870756.27167332</v>
      </c>
      <c r="F23" s="9">
        <f t="shared" ca="1" si="30"/>
        <v>557975910.93775392</v>
      </c>
      <c r="G23" s="9">
        <f t="shared" ca="1" si="30"/>
        <v>575299247.36980891</v>
      </c>
      <c r="H23" s="9">
        <f t="shared" ca="1" si="30"/>
        <v>598114038.2033205</v>
      </c>
      <c r="I23" s="9">
        <f t="shared" ca="1" si="30"/>
        <v>626261407.37653255</v>
      </c>
      <c r="J23" s="9">
        <f ca="1">J20-J22</f>
        <v>656301404.8345232</v>
      </c>
      <c r="K23" s="9">
        <f t="shared" ca="1" si="30"/>
        <v>687562317.99744225</v>
      </c>
      <c r="L23" s="9">
        <f t="shared" ca="1" si="30"/>
        <v>720247273.30888033</v>
      </c>
      <c r="M23" s="9">
        <f t="shared" ca="1" si="30"/>
        <v>754584516.28437769</v>
      </c>
      <c r="N23" s="9">
        <f t="shared" ca="1" si="30"/>
        <v>790829787.06053793</v>
      </c>
      <c r="O23" s="9">
        <f t="shared" ca="1" si="30"/>
        <v>827961392.32172036</v>
      </c>
      <c r="P23" s="9">
        <f t="shared" ca="1" si="30"/>
        <v>866091503.93058634</v>
      </c>
      <c r="Q23" s="9">
        <f t="shared" ca="1" si="30"/>
        <v>905346103.76282835</v>
      </c>
      <c r="R23" s="9">
        <f t="shared" ca="1" si="30"/>
        <v>945866242.25792217</v>
      </c>
      <c r="S23" s="9">
        <f t="shared" ca="1" si="30"/>
        <v>987809392.97063124</v>
      </c>
      <c r="T23" s="9">
        <f t="shared" ca="1" si="30"/>
        <v>1031350909.7120631</v>
      </c>
      <c r="U23" s="9">
        <f t="shared" ca="1" si="30"/>
        <v>1075780590.1286573</v>
      </c>
      <c r="V23" s="9">
        <f t="shared" ca="1" si="30"/>
        <v>1121185365.3241932</v>
      </c>
      <c r="W23" s="9">
        <f t="shared" ca="1" si="30"/>
        <v>1167662755.634403</v>
      </c>
      <c r="X23" s="9">
        <f t="shared" ca="1" si="30"/>
        <v>1215321820.577219</v>
      </c>
      <c r="Y23" s="9">
        <f t="shared" ca="1" si="30"/>
        <v>1264284178.9988303</v>
      </c>
      <c r="Z23" s="9">
        <f t="shared" ca="1" si="30"/>
        <v>1314685104.0289292</v>
      </c>
      <c r="AA23" s="9">
        <f t="shared" ca="1" si="30"/>
        <v>1365944634.6381202</v>
      </c>
      <c r="AB23" s="9">
        <f t="shared" ca="1" si="30"/>
        <v>1418130883.3299937</v>
      </c>
      <c r="AC23" s="9">
        <f t="shared" ca="1" si="30"/>
        <v>1471320575.6781332</v>
      </c>
      <c r="AD23" s="9">
        <f t="shared" ca="1" si="30"/>
        <v>1525599831.7702241</v>
      </c>
      <c r="AE23" s="9">
        <f t="shared" ca="1" si="30"/>
        <v>1581065004.8303156</v>
      </c>
      <c r="AF23" s="9">
        <f t="shared" ca="1" si="30"/>
        <v>1637823580.6965876</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167</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72106000</v>
      </c>
      <c r="D5" s="1">
        <f ca="1">C5+C6</f>
        <v>110367581.49191354</v>
      </c>
      <c r="E5" s="1">
        <f t="shared" ref="E5:AF5" ca="1" si="1">D5+D6</f>
        <v>142035794.11408952</v>
      </c>
      <c r="F5" s="1">
        <f t="shared" ca="1" si="1"/>
        <v>170488220.68876749</v>
      </c>
      <c r="G5" s="1">
        <f t="shared" ca="1" si="1"/>
        <v>196052308.09717512</v>
      </c>
      <c r="H5" s="1">
        <f t="shared" ca="1" si="1"/>
        <v>217497338.6670211</v>
      </c>
      <c r="I5" s="1">
        <f t="shared" ca="1" si="1"/>
        <v>235026105.18207407</v>
      </c>
      <c r="J5" s="1">
        <f t="shared" ca="1" si="1"/>
        <v>252123879.75437298</v>
      </c>
      <c r="K5" s="1">
        <f t="shared" ca="1" si="1"/>
        <v>269509147.32671267</v>
      </c>
      <c r="L5" s="1">
        <f t="shared" ca="1" si="1"/>
        <v>287027050.53406161</v>
      </c>
      <c r="M5" s="1">
        <f t="shared" ca="1" si="1"/>
        <v>304499157.54995251</v>
      </c>
      <c r="N5" s="1">
        <f t="shared" ca="1" si="1"/>
        <v>321721135.96490467</v>
      </c>
      <c r="O5" s="1">
        <f t="shared" ca="1" si="1"/>
        <v>339767731.86895043</v>
      </c>
      <c r="P5" s="1">
        <f t="shared" ca="1" si="1"/>
        <v>358581523.86259985</v>
      </c>
      <c r="Q5" s="1">
        <f t="shared" ca="1" si="1"/>
        <v>378093032.54815394</v>
      </c>
      <c r="R5" s="1">
        <f t="shared" ca="1" si="1"/>
        <v>398219518.04342562</v>
      </c>
      <c r="S5" s="1">
        <f t="shared" ca="1" si="1"/>
        <v>418863683.28877389</v>
      </c>
      <c r="T5" s="1">
        <f t="shared" ca="1" si="1"/>
        <v>439912276.61605692</v>
      </c>
      <c r="U5" s="1">
        <f t="shared" ca="1" si="1"/>
        <v>462139589.7903766</v>
      </c>
      <c r="V5" s="1">
        <f t="shared" ca="1" si="1"/>
        <v>485524831.98066401</v>
      </c>
      <c r="W5" s="1">
        <f t="shared" ca="1" si="1"/>
        <v>510038739.61262393</v>
      </c>
      <c r="X5" s="1">
        <f t="shared" ca="1" si="1"/>
        <v>535642694.14612687</v>
      </c>
      <c r="Y5" s="1">
        <f t="shared" ca="1" si="1"/>
        <v>562287771.82407629</v>
      </c>
      <c r="Z5" s="1">
        <f t="shared" ca="1" si="1"/>
        <v>589913720.84872484</v>
      </c>
      <c r="AA5" s="1">
        <f t="shared" ca="1" si="1"/>
        <v>619177924.26403296</v>
      </c>
      <c r="AB5" s="1">
        <f t="shared" ca="1" si="1"/>
        <v>650092169.08544254</v>
      </c>
      <c r="AC5" s="1">
        <f t="shared" ca="1" si="1"/>
        <v>682662186.04301095</v>
      </c>
      <c r="AD5" s="1">
        <f t="shared" ca="1" si="1"/>
        <v>716886949.95441091</v>
      </c>
      <c r="AE5" s="1">
        <f t="shared" ca="1" si="1"/>
        <v>752757925.53792179</v>
      </c>
      <c r="AF5" s="1">
        <f t="shared" ca="1" si="1"/>
        <v>790258255.07184792</v>
      </c>
      <c r="AG5" s="1"/>
      <c r="AH5" s="1"/>
      <c r="AI5" s="1"/>
      <c r="AJ5" s="1"/>
      <c r="AK5" s="1"/>
      <c r="AL5" s="1"/>
      <c r="AM5" s="1"/>
      <c r="AN5" s="1"/>
      <c r="AO5" s="1"/>
      <c r="AP5" s="1"/>
    </row>
    <row r="6" spans="1:42" x14ac:dyDescent="0.35">
      <c r="A6" s="63" t="s">
        <v>3</v>
      </c>
      <c r="C6" s="1">
        <f ca="1">-'Cash Flow'!C13</f>
        <v>38261581.491913542</v>
      </c>
      <c r="D6" s="1">
        <f ca="1">-'Cash Flow'!D13</f>
        <v>31668212.622175988</v>
      </c>
      <c r="E6" s="1">
        <f ca="1">-'Cash Flow'!E13</f>
        <v>28452426.574677959</v>
      </c>
      <c r="F6" s="1">
        <f ca="1">-'Cash Flow'!F13</f>
        <v>25564087.408407629</v>
      </c>
      <c r="G6" s="1">
        <f ca="1">-'Cash Flow'!G13</f>
        <v>21445030.569845989</v>
      </c>
      <c r="H6" s="1">
        <f ca="1">-'Cash Flow'!H13</f>
        <v>17528766.515052974</v>
      </c>
      <c r="I6" s="1">
        <f ca="1">-'Cash Flow'!I13</f>
        <v>17097774.572298914</v>
      </c>
      <c r="J6" s="1">
        <f ca="1">-'Cash Flow'!J13</f>
        <v>17385267.572339676</v>
      </c>
      <c r="K6" s="1">
        <f ca="1">-'Cash Flow'!K13</f>
        <v>17517903.20734895</v>
      </c>
      <c r="L6" s="1">
        <f ca="1">-'Cash Flow'!L13</f>
        <v>17472107.015890926</v>
      </c>
      <c r="M6" s="1">
        <f ca="1">-'Cash Flow'!M13</f>
        <v>17221978.414952174</v>
      </c>
      <c r="N6" s="1">
        <f ca="1">-'Cash Flow'!N13</f>
        <v>18046595.904045761</v>
      </c>
      <c r="O6" s="1">
        <f ca="1">-'Cash Flow'!O13</f>
        <v>18813791.993649438</v>
      </c>
      <c r="P6" s="1">
        <f ca="1">-'Cash Flow'!P13</f>
        <v>19511508.685554072</v>
      </c>
      <c r="Q6" s="1">
        <f ca="1">-'Cash Flow'!Q13</f>
        <v>20126485.495271683</v>
      </c>
      <c r="R6" s="1">
        <f ca="1">-'Cash Flow'!R13</f>
        <v>20644165.245348275</v>
      </c>
      <c r="S6" s="1">
        <f ca="1">-'Cash Flow'!S13</f>
        <v>21048593.327283025</v>
      </c>
      <c r="T6" s="1">
        <f ca="1">-'Cash Flow'!T13</f>
        <v>22227313.174319685</v>
      </c>
      <c r="U6" s="1">
        <f ca="1">-'Cash Flow'!U13</f>
        <v>23385242.190287411</v>
      </c>
      <c r="V6" s="1">
        <f ca="1">-'Cash Flow'!V13</f>
        <v>24513907.6319599</v>
      </c>
      <c r="W6" s="1">
        <f ca="1">-'Cash Flow'!W13</f>
        <v>25603954.533502936</v>
      </c>
      <c r="X6" s="1">
        <f ca="1">-'Cash Flow'!X13</f>
        <v>26645077.677949399</v>
      </c>
      <c r="Y6" s="1">
        <f ca="1">-'Cash Flow'!Y13</f>
        <v>27625949.024648577</v>
      </c>
      <c r="Z6" s="1">
        <f ca="1">-'Cash Flow'!Z13</f>
        <v>29264203.415308073</v>
      </c>
      <c r="AA6" s="1">
        <f ca="1">-'Cash Flow'!AA13</f>
        <v>30914244.821409643</v>
      </c>
      <c r="AB6" s="1">
        <f ca="1">-'Cash Flow'!AB13</f>
        <v>32570016.957568377</v>
      </c>
      <c r="AC6" s="1">
        <f ca="1">-'Cash Flow'!AC13</f>
        <v>34224763.911399931</v>
      </c>
      <c r="AD6" s="1">
        <f ca="1">-'Cash Flow'!AD13</f>
        <v>35870975.583510906</v>
      </c>
      <c r="AE6" s="1">
        <f ca="1">-'Cash Flow'!AE13</f>
        <v>37500329.5339261</v>
      </c>
      <c r="AF6" s="1">
        <f ca="1">-'Cash Flow'!AF13</f>
        <v>39103629.019878119</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3862865.3522169744</v>
      </c>
      <c r="D8" s="1">
        <f ca="1">IF(SUM(D5:D6)&gt;0,Assumptions!$C$26*SUM(D5:D6),Assumptions!$C$27*(SUM(D5:D6)))</f>
        <v>4971252.7939931341</v>
      </c>
      <c r="E8" s="1">
        <f ca="1">IF(SUM(E5:E6)&gt;0,Assumptions!$C$26*SUM(E5:E6),Assumptions!$C$27*(SUM(E5:E6)))</f>
        <v>5967087.7241068631</v>
      </c>
      <c r="F8" s="1">
        <f ca="1">IF(SUM(F5:F6)&gt;0,Assumptions!$C$26*SUM(F5:F6),Assumptions!$C$27*(SUM(F5:F6)))</f>
        <v>6861830.7834011298</v>
      </c>
      <c r="G8" s="1">
        <f ca="1">IF(SUM(G5:G6)&gt;0,Assumptions!$C$26*SUM(G5:G6),Assumptions!$C$27*(SUM(G5:G6)))</f>
        <v>7612406.8533457387</v>
      </c>
      <c r="H8" s="1">
        <f ca="1">IF(SUM(H5:H6)&gt;0,Assumptions!$C$26*SUM(H5:H6),Assumptions!$C$27*(SUM(H5:H6)))</f>
        <v>8225913.6813725932</v>
      </c>
      <c r="I8" s="1">
        <f ca="1">IF(SUM(I5:I6)&gt;0,Assumptions!$C$26*SUM(I5:I6),Assumptions!$C$27*(SUM(I5:I6)))</f>
        <v>8824335.7914030552</v>
      </c>
      <c r="J8" s="1">
        <f ca="1">IF(SUM(J5:J6)&gt;0,Assumptions!$C$26*SUM(J5:J6),Assumptions!$C$27*(SUM(J5:J6)))</f>
        <v>9432820.1564349439</v>
      </c>
      <c r="K8" s="1">
        <f ca="1">IF(SUM(K5:K6)&gt;0,Assumptions!$C$26*SUM(K5:K6),Assumptions!$C$27*(SUM(K5:K6)))</f>
        <v>10045946.768692158</v>
      </c>
      <c r="L8" s="1">
        <f ca="1">IF(SUM(L5:L6)&gt;0,Assumptions!$C$26*SUM(L5:L6),Assumptions!$C$27*(SUM(L5:L6)))</f>
        <v>10657470.514248339</v>
      </c>
      <c r="M8" s="1">
        <f ca="1">IF(SUM(M5:M6)&gt;0,Assumptions!$C$26*SUM(M5:M6),Assumptions!$C$27*(SUM(M5:M6)))</f>
        <v>11260239.758771664</v>
      </c>
      <c r="N8" s="1">
        <f ca="1">IF(SUM(N5:N6)&gt;0,Assumptions!$C$26*SUM(N5:N6),Assumptions!$C$27*(SUM(N5:N6)))</f>
        <v>11891870.615413265</v>
      </c>
      <c r="O8" s="1">
        <f ca="1">IF(SUM(O5:O6)&gt;0,Assumptions!$C$26*SUM(O5:O6),Assumptions!$C$27*(SUM(O5:O6)))</f>
        <v>12550353.335190997</v>
      </c>
      <c r="P8" s="1">
        <f ca="1">IF(SUM(P5:P6)&gt;0,Assumptions!$C$26*SUM(P5:P6),Assumptions!$C$27*(SUM(P5:P6)))</f>
        <v>13233256.13918539</v>
      </c>
      <c r="Q8" s="1">
        <f ca="1">IF(SUM(Q5:Q6)&gt;0,Assumptions!$C$26*SUM(Q5:Q6),Assumptions!$C$27*(SUM(Q5:Q6)))</f>
        <v>13937683.131519899</v>
      </c>
      <c r="R8" s="1">
        <f ca="1">IF(SUM(R5:R6)&gt;0,Assumptions!$C$26*SUM(R5:R6),Assumptions!$C$27*(SUM(R5:R6)))</f>
        <v>14660228.915107088</v>
      </c>
      <c r="S8" s="1">
        <f ca="1">IF(SUM(S5:S6)&gt;0,Assumptions!$C$26*SUM(S5:S6),Assumptions!$C$27*(SUM(S5:S6)))</f>
        <v>15396929.681561993</v>
      </c>
      <c r="T8" s="1">
        <f ca="1">IF(SUM(T5:T6)&gt;0,Assumptions!$C$26*SUM(T5:T6),Assumptions!$C$27*(SUM(T5:T6)))</f>
        <v>16174885.642663183</v>
      </c>
      <c r="U8" s="1">
        <f ca="1">IF(SUM(U5:U6)&gt;0,Assumptions!$C$26*SUM(U5:U6),Assumptions!$C$27*(SUM(U5:U6)))</f>
        <v>16993369.119323242</v>
      </c>
      <c r="V8" s="1">
        <f ca="1">IF(SUM(V5:V6)&gt;0,Assumptions!$C$26*SUM(V5:V6),Assumptions!$C$27*(SUM(V5:V6)))</f>
        <v>17851355.886441838</v>
      </c>
      <c r="W8" s="1">
        <f ca="1">IF(SUM(W5:W6)&gt;0,Assumptions!$C$26*SUM(W5:W6),Assumptions!$C$27*(SUM(W5:W6)))</f>
        <v>18747494.295114443</v>
      </c>
      <c r="X8" s="1">
        <f ca="1">IF(SUM(X5:X6)&gt;0,Assumptions!$C$26*SUM(X5:X6),Assumptions!$C$27*(SUM(X5:X6)))</f>
        <v>19680072.013842672</v>
      </c>
      <c r="Y8" s="1">
        <f ca="1">IF(SUM(Y5:Y6)&gt;0,Assumptions!$C$26*SUM(Y5:Y6),Assumptions!$C$27*(SUM(Y5:Y6)))</f>
        <v>20646980.229705371</v>
      </c>
      <c r="Z8" s="1">
        <f ca="1">IF(SUM(Z5:Z6)&gt;0,Assumptions!$C$26*SUM(Z5:Z6),Assumptions!$C$27*(SUM(Z5:Z6)))</f>
        <v>21671227.349241156</v>
      </c>
      <c r="AA8" s="1">
        <f ca="1">IF(SUM(AA5:AA6)&gt;0,Assumptions!$C$26*SUM(AA5:AA6),Assumptions!$C$27*(SUM(AA5:AA6)))</f>
        <v>22753225.917990491</v>
      </c>
      <c r="AB8" s="1">
        <f ca="1">IF(SUM(AB5:AB6)&gt;0,Assumptions!$C$26*SUM(AB5:AB6),Assumptions!$C$27*(SUM(AB5:AB6)))</f>
        <v>23893176.511505384</v>
      </c>
      <c r="AC8" s="1">
        <f ca="1">IF(SUM(AC5:AC6)&gt;0,Assumptions!$C$26*SUM(AC5:AC6),Assumptions!$C$27*(SUM(AC5:AC6)))</f>
        <v>25091043.248404384</v>
      </c>
      <c r="AD8" s="1">
        <f ca="1">IF(SUM(AD5:AD6)&gt;0,Assumptions!$C$26*SUM(AD5:AD6),Assumptions!$C$27*(SUM(AD5:AD6)))</f>
        <v>26346527.393827263</v>
      </c>
      <c r="AE8" s="1">
        <f ca="1">IF(SUM(AE5:AE6)&gt;0,Assumptions!$C$26*SUM(AE5:AE6),Assumptions!$C$27*(SUM(AE5:AE6)))</f>
        <v>27659038.92751468</v>
      </c>
      <c r="AF8" s="1">
        <f ca="1">IF(SUM(AF5:AF6)&gt;0,Assumptions!$C$26*SUM(AF5:AF6),Assumptions!$C$27*(SUM(AF5:AF6)))</f>
        <v>29027665.943210416</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3"/>
  </cols>
  <sheetData>
    <row r="1" spans="1:1" x14ac:dyDescent="0.35">
      <c r="A1" s="174" t="s">
        <v>176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10" zoomScale="80" zoomScaleNormal="80" workbookViewId="0">
      <selection sqref="A1:XFD1048576"/>
    </sheetView>
  </sheetViews>
  <sheetFormatPr defaultRowHeight="15.5" x14ac:dyDescent="0.35"/>
  <cols>
    <col min="1" max="1" width="107.9140625" style="63" customWidth="1"/>
    <col min="2" max="2" width="18.1640625" style="63" bestFit="1" customWidth="1"/>
    <col min="3" max="3" width="50.9140625" style="63" customWidth="1"/>
    <col min="4" max="16384" width="8.6640625" style="63"/>
  </cols>
  <sheetData>
    <row r="1" spans="1:3" ht="26" x14ac:dyDescent="0.6">
      <c r="A1" s="13" t="s">
        <v>186</v>
      </c>
    </row>
    <row r="2" spans="1:3" ht="26" x14ac:dyDescent="0.6">
      <c r="A2" s="13"/>
    </row>
    <row r="3" spans="1:3" ht="186" x14ac:dyDescent="0.35">
      <c r="A3" s="172" t="s">
        <v>189</v>
      </c>
    </row>
    <row r="4" spans="1:3" ht="26" x14ac:dyDescent="0.6">
      <c r="A4" s="13"/>
    </row>
    <row r="5" spans="1:3" ht="18.5" x14ac:dyDescent="0.45">
      <c r="A5" s="89" t="s">
        <v>178</v>
      </c>
      <c r="B5" s="90"/>
    </row>
    <row r="6" spans="1:3" ht="18.5" x14ac:dyDescent="0.45">
      <c r="A6" s="90"/>
      <c r="B6" s="90"/>
    </row>
    <row r="7" spans="1:3" ht="18.5" x14ac:dyDescent="0.45">
      <c r="A7" s="90" t="s">
        <v>97</v>
      </c>
      <c r="B7" s="182">
        <f>Assumptions!C24</f>
        <v>28718000</v>
      </c>
      <c r="C7" s="181" t="s">
        <v>198</v>
      </c>
    </row>
    <row r="8" spans="1:3" ht="34" x14ac:dyDescent="0.45">
      <c r="A8" s="90" t="s">
        <v>175</v>
      </c>
      <c r="B8" s="92">
        <f>Assumptions!$C$133</f>
        <v>0.7</v>
      </c>
      <c r="C8" s="180" t="s">
        <v>200</v>
      </c>
    </row>
    <row r="9" spans="1:3" ht="18.5" x14ac:dyDescent="0.45">
      <c r="A9" s="90"/>
      <c r="B9" s="93"/>
      <c r="C9" s="180"/>
    </row>
    <row r="10" spans="1:3" ht="68" x14ac:dyDescent="0.45">
      <c r="A10" s="94" t="s">
        <v>103</v>
      </c>
      <c r="B10" s="95">
        <f>Assumptions!C135</f>
        <v>17988.888888888887</v>
      </c>
      <c r="C10" s="180" t="s">
        <v>201</v>
      </c>
    </row>
    <row r="11" spans="1:3" ht="18.5" x14ac:dyDescent="0.45">
      <c r="A11" s="94"/>
      <c r="B11" s="94"/>
      <c r="C11" s="180"/>
    </row>
    <row r="12" spans="1:3" ht="18.5" x14ac:dyDescent="0.45">
      <c r="A12" s="94" t="s">
        <v>185</v>
      </c>
      <c r="B12" s="91">
        <f>(B7*B8)/B10</f>
        <v>1117.5009264978382</v>
      </c>
      <c r="C12" s="180"/>
    </row>
    <row r="13" spans="1:3" ht="18.5" x14ac:dyDescent="0.45">
      <c r="A13" s="96"/>
      <c r="B13" s="97"/>
      <c r="C13" s="180"/>
    </row>
    <row r="14" spans="1:3" ht="18.5" x14ac:dyDescent="0.45">
      <c r="A14" s="94" t="s">
        <v>104</v>
      </c>
      <c r="B14" s="98">
        <v>1</v>
      </c>
      <c r="C14" s="180"/>
    </row>
    <row r="15" spans="1:3" ht="18.5" x14ac:dyDescent="0.45">
      <c r="A15" s="96"/>
      <c r="B15" s="99"/>
      <c r="C15" s="180"/>
    </row>
    <row r="16" spans="1:3" ht="18.5" x14ac:dyDescent="0.45">
      <c r="A16" s="96" t="s">
        <v>180</v>
      </c>
      <c r="B16" s="100">
        <f>B12/B14</f>
        <v>1117.5009264978382</v>
      </c>
      <c r="C16" s="180"/>
    </row>
    <row r="17" spans="1:3" ht="18.5" x14ac:dyDescent="0.45">
      <c r="A17" s="94"/>
      <c r="B17" s="101"/>
      <c r="C17" s="180"/>
    </row>
    <row r="18" spans="1:3" ht="18.5" x14ac:dyDescent="0.45">
      <c r="A18" s="102" t="s">
        <v>179</v>
      </c>
      <c r="B18" s="101"/>
      <c r="C18" s="180"/>
    </row>
    <row r="19" spans="1:3" ht="18.5" x14ac:dyDescent="0.45">
      <c r="A19" s="94"/>
      <c r="B19" s="101"/>
      <c r="C19" s="180"/>
    </row>
    <row r="20" spans="1:3" ht="34" x14ac:dyDescent="0.45">
      <c r="A20" s="94" t="s">
        <v>66</v>
      </c>
      <c r="B20" s="91">
        <f>'Profit and Loss'!L5</f>
        <v>115486062.25832485</v>
      </c>
      <c r="C20" s="180" t="s">
        <v>202</v>
      </c>
    </row>
    <row r="21" spans="1:3" ht="34" x14ac:dyDescent="0.45">
      <c r="A21" s="94" t="str">
        <f>A8</f>
        <v>Assumed revenue from households</v>
      </c>
      <c r="B21" s="92">
        <f>B8</f>
        <v>0.7</v>
      </c>
      <c r="C21" s="180" t="s">
        <v>200</v>
      </c>
    </row>
    <row r="22" spans="1:3" ht="18.5" x14ac:dyDescent="0.45">
      <c r="A22" s="94"/>
      <c r="B22" s="94"/>
      <c r="C22" s="180"/>
    </row>
    <row r="23" spans="1:3" ht="34" x14ac:dyDescent="0.45">
      <c r="A23" s="94" t="s">
        <v>102</v>
      </c>
      <c r="B23" s="95">
        <f>Assumptions!M135</f>
        <v>23016.048875776953</v>
      </c>
      <c r="C23" s="180" t="s">
        <v>203</v>
      </c>
    </row>
    <row r="24" spans="1:3" ht="18.5" x14ac:dyDescent="0.45">
      <c r="A24" s="94"/>
      <c r="B24" s="94"/>
      <c r="C24" s="180"/>
    </row>
    <row r="25" spans="1:3" ht="18.5" x14ac:dyDescent="0.45">
      <c r="A25" s="94" t="s">
        <v>184</v>
      </c>
      <c r="B25" s="91">
        <f>(B20*B21)/B23</f>
        <v>3512.342366717296</v>
      </c>
      <c r="C25" s="180"/>
    </row>
    <row r="26" spans="1:3" ht="18.5" x14ac:dyDescent="0.45">
      <c r="A26" s="94"/>
      <c r="B26" s="91"/>
      <c r="C26" s="180"/>
    </row>
    <row r="27" spans="1:3" ht="34" x14ac:dyDescent="0.45">
      <c r="A27" s="94" t="s">
        <v>104</v>
      </c>
      <c r="B27" s="103">
        <f>1.022^11</f>
        <v>1.2704566586717592</v>
      </c>
      <c r="C27" s="180" t="s">
        <v>204</v>
      </c>
    </row>
    <row r="28" spans="1:3" ht="18.5" x14ac:dyDescent="0.45">
      <c r="A28" s="96"/>
      <c r="B28" s="97"/>
      <c r="C28" s="180"/>
    </row>
    <row r="29" spans="1:3" ht="18.5" x14ac:dyDescent="0.45">
      <c r="A29" s="96" t="s">
        <v>181</v>
      </c>
      <c r="B29" s="91">
        <f>B25/B27</f>
        <v>2764.6298224682378</v>
      </c>
      <c r="C29" s="180"/>
    </row>
    <row r="30" spans="1:3" ht="18.5" x14ac:dyDescent="0.45">
      <c r="A30" s="96"/>
      <c r="B30" s="97"/>
      <c r="C30" s="180"/>
    </row>
    <row r="31" spans="1:3" ht="18.5" x14ac:dyDescent="0.45">
      <c r="A31" s="102" t="s">
        <v>187</v>
      </c>
      <c r="B31" s="96"/>
      <c r="C31" s="180"/>
    </row>
    <row r="32" spans="1:3" ht="18.5" x14ac:dyDescent="0.45">
      <c r="A32" s="94"/>
      <c r="B32" s="91"/>
      <c r="C32" s="180"/>
    </row>
    <row r="33" spans="1:3" ht="34" x14ac:dyDescent="0.45">
      <c r="A33" s="94" t="s">
        <v>67</v>
      </c>
      <c r="B33" s="91">
        <f>'Profit and Loss'!AF5</f>
        <v>317057906.36611867</v>
      </c>
      <c r="C33" s="180" t="s">
        <v>202</v>
      </c>
    </row>
    <row r="34" spans="1:3" ht="34" x14ac:dyDescent="0.45">
      <c r="A34" s="94" t="str">
        <f>A21</f>
        <v>Assumed revenue from households</v>
      </c>
      <c r="B34" s="92">
        <f>B21</f>
        <v>0.7</v>
      </c>
      <c r="C34" s="180" t="s">
        <v>200</v>
      </c>
    </row>
    <row r="35" spans="1:3" ht="18.5" x14ac:dyDescent="0.45">
      <c r="A35" s="94"/>
      <c r="B35" s="94"/>
      <c r="C35" s="180"/>
    </row>
    <row r="36" spans="1:3" ht="34" x14ac:dyDescent="0.45">
      <c r="A36" s="94" t="s">
        <v>101</v>
      </c>
      <c r="B36" s="95">
        <f>Assumptions!AG135</f>
        <v>37677.635013950385</v>
      </c>
      <c r="C36" s="180" t="s">
        <v>203</v>
      </c>
    </row>
    <row r="37" spans="1:3" ht="18.5" x14ac:dyDescent="0.45">
      <c r="A37" s="94"/>
      <c r="B37" s="94"/>
      <c r="C37" s="180"/>
    </row>
    <row r="38" spans="1:3" ht="18.5" x14ac:dyDescent="0.45">
      <c r="A38" s="94" t="s">
        <v>183</v>
      </c>
      <c r="B38" s="91">
        <f>(B33*B34)/B36</f>
        <v>5890.511290692958</v>
      </c>
      <c r="C38" s="180"/>
    </row>
    <row r="39" spans="1:3" ht="18.5" x14ac:dyDescent="0.45">
      <c r="A39" s="94"/>
      <c r="B39" s="94"/>
      <c r="C39" s="180"/>
    </row>
    <row r="40" spans="1:3" ht="34" x14ac:dyDescent="0.45">
      <c r="A40" s="94" t="s">
        <v>104</v>
      </c>
      <c r="B40" s="103">
        <f>1.022^31</f>
        <v>1.9632597808456462</v>
      </c>
      <c r="C40" s="180" t="s">
        <v>204</v>
      </c>
    </row>
    <row r="41" spans="1:3" ht="18.5" x14ac:dyDescent="0.45">
      <c r="A41" s="96"/>
      <c r="B41" s="97"/>
    </row>
    <row r="42" spans="1:3" ht="18.5" x14ac:dyDescent="0.45">
      <c r="A42" s="96" t="s">
        <v>182</v>
      </c>
      <c r="B42" s="91">
        <f>B38/B40</f>
        <v>3000.3728228750779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3"/>
  </cols>
  <sheetData>
    <row r="1" spans="1:1" x14ac:dyDescent="0.35">
      <c r="A1" s="174"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162</v>
      </c>
    </row>
    <row r="2" spans="1:33" ht="26.5" thickBot="1" x14ac:dyDescent="0.4">
      <c r="A2" s="111"/>
      <c r="B2" s="111"/>
      <c r="D2" s="112"/>
    </row>
    <row r="3" spans="1:33" s="114" customFormat="1" ht="21.5" thickBot="1" x14ac:dyDescent="0.4">
      <c r="A3" s="84"/>
      <c r="B3" s="84"/>
      <c r="C3" s="113"/>
      <c r="D3" s="183" t="s">
        <v>28</v>
      </c>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s="120" customFormat="1" ht="16" thickBot="1" x14ac:dyDescent="0.4">
      <c r="A4" s="115" t="s">
        <v>26</v>
      </c>
      <c r="B4" s="115" t="s">
        <v>196</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139</v>
      </c>
      <c r="C13" s="127">
        <v>2.4949913630393006E-2</v>
      </c>
      <c r="D13" s="128">
        <f t="shared" ref="D13:AG13" si="3">(1+$C$13)^D8</f>
        <v>1.024949913630393</v>
      </c>
      <c r="E13" s="128">
        <f t="shared" si="3"/>
        <v>1.0505223254509501</v>
      </c>
      <c r="F13" s="128">
        <f t="shared" si="3"/>
        <v>1.0767327667377509</v>
      </c>
      <c r="G13" s="128">
        <f t="shared" si="3"/>
        <v>1.103597156270872</v>
      </c>
      <c r="H13" s="128">
        <f t="shared" si="3"/>
        <v>1.1311318100025776</v>
      </c>
      <c r="I13" s="128">
        <f t="shared" si="3"/>
        <v>1.159353450966732</v>
      </c>
      <c r="J13" s="128">
        <f t="shared" si="3"/>
        <v>1.1882792194354499</v>
      </c>
      <c r="K13" s="128">
        <f t="shared" si="3"/>
        <v>1.2179266833291553</v>
      </c>
      <c r="L13" s="128">
        <f t="shared" si="3"/>
        <v>1.2483138488863688</v>
      </c>
      <c r="M13" s="128">
        <f t="shared" si="3"/>
        <v>1.2794591715997072</v>
      </c>
      <c r="N13" s="128">
        <f t="shared" si="3"/>
        <v>1.311381567424734</v>
      </c>
      <c r="O13" s="128">
        <f t="shared" si="3"/>
        <v>1.3441004242684707</v>
      </c>
      <c r="P13" s="128">
        <f t="shared" si="3"/>
        <v>1.3776356137645436</v>
      </c>
      <c r="Q13" s="128">
        <f t="shared" si="3"/>
        <v>1.4120075033421224</v>
      </c>
      <c r="R13" s="128">
        <f t="shared" si="3"/>
        <v>1.4472369685959749</v>
      </c>
      <c r="S13" s="128">
        <f t="shared" si="3"/>
        <v>1.4833454059651565</v>
      </c>
      <c r="T13" s="128">
        <f t="shared" si="3"/>
        <v>1.5203547457280273</v>
      </c>
      <c r="U13" s="128">
        <f t="shared" si="3"/>
        <v>1.5582874653215</v>
      </c>
      <c r="V13" s="128">
        <f t="shared" si="3"/>
        <v>1.5971666029925953</v>
      </c>
      <c r="W13" s="128">
        <f t="shared" si="3"/>
        <v>1.6370157717906089</v>
      </c>
      <c r="X13" s="128">
        <f t="shared" si="3"/>
        <v>1.6778591739083757</v>
      </c>
      <c r="Y13" s="128">
        <f t="shared" si="3"/>
        <v>1.7197216153813524</v>
      </c>
      <c r="Z13" s="128">
        <f t="shared" si="3"/>
        <v>1.7626285211534367</v>
      </c>
      <c r="AA13" s="128">
        <f t="shared" si="3"/>
        <v>1.8066059505186824</v>
      </c>
      <c r="AB13" s="128">
        <f t="shared" si="3"/>
        <v>1.8516806129482777</v>
      </c>
      <c r="AC13" s="128">
        <f t="shared" si="3"/>
        <v>1.8978798843124105</v>
      </c>
      <c r="AD13" s="128">
        <f t="shared" si="3"/>
        <v>1.9452318235068653</v>
      </c>
      <c r="AE13" s="128">
        <f t="shared" si="3"/>
        <v>1.9937651894944537</v>
      </c>
      <c r="AF13" s="128">
        <f t="shared" si="3"/>
        <v>2.0435094587716245</v>
      </c>
      <c r="AG13" s="128">
        <f t="shared" si="3"/>
        <v>2.0944948432708679</v>
      </c>
    </row>
    <row r="14" spans="1:33" ht="16" thickBot="1" x14ac:dyDescent="0.4">
      <c r="A14" s="79"/>
      <c r="B14" s="79"/>
      <c r="C14" s="129"/>
      <c r="D14" s="178"/>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193</v>
      </c>
      <c r="B15" s="177" t="s">
        <v>194</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133</v>
      </c>
      <c r="B17" s="77" t="s">
        <v>171</v>
      </c>
      <c r="C17" s="136">
        <f>AVERAGE(C49:C50)</f>
        <v>1139613722.8199987</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569806861.40999937</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138</v>
      </c>
      <c r="C20" s="137">
        <v>72106000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160</v>
      </c>
      <c r="B22" s="177" t="s">
        <v>194</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198</v>
      </c>
      <c r="C24" s="136">
        <v>28718000</v>
      </c>
      <c r="D24" s="140"/>
      <c r="E24" s="167"/>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ht="46.5" x14ac:dyDescent="0.35">
      <c r="A25" s="77" t="s">
        <v>1</v>
      </c>
      <c r="B25" s="106" t="s">
        <v>199</v>
      </c>
      <c r="C25" s="136">
        <v>14050000</v>
      </c>
      <c r="D25" s="140"/>
      <c r="E25" s="167"/>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132</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132</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161</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136</v>
      </c>
      <c r="C49" s="71">
        <v>759742481.87999916</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137</v>
      </c>
      <c r="C50" s="71">
        <v>1519484963.7599983</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172</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172</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2243932.7805355163</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6347137.6434242828</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4295535.2119798996</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6116334.4146827152</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16276719.785327693</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11196527.100005204</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17543664.743429486</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142</v>
      </c>
      <c r="B77" s="179" t="s">
        <v>177</v>
      </c>
      <c r="C77" s="87">
        <v>106563139.98680162</v>
      </c>
      <c r="D77" s="171"/>
      <c r="E77" s="168"/>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143</v>
      </c>
      <c r="B79" s="69" t="s">
        <v>156</v>
      </c>
      <c r="C79" s="87">
        <v>1006291878.468497</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144</v>
      </c>
      <c r="B80" s="69" t="s">
        <v>156</v>
      </c>
      <c r="C80" s="87">
        <v>978860399.32150722</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145</v>
      </c>
      <c r="B82" s="69" t="s">
        <v>87</v>
      </c>
      <c r="C82" s="87">
        <f>C79+$C$77</f>
        <v>1112855018.4552987</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146</v>
      </c>
      <c r="B83" s="69" t="s">
        <v>87</v>
      </c>
      <c r="C83" s="87">
        <f>C80+$C$77</f>
        <v>1085423539.3083088</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151</v>
      </c>
      <c r="B85" s="69" t="s">
        <v>134</v>
      </c>
      <c r="C85" s="150">
        <v>51970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152</v>
      </c>
      <c r="B86" s="69" t="s">
        <v>135</v>
      </c>
      <c r="C86" s="150">
        <v>45170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48570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147</v>
      </c>
      <c r="B89" s="69" t="s">
        <v>87</v>
      </c>
      <c r="C89" s="150">
        <f>C82/$C$87</f>
        <v>22912.394862163859</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147</v>
      </c>
      <c r="B90" s="69" t="s">
        <v>87</v>
      </c>
      <c r="C90" s="150">
        <f>C83/$C$87</f>
        <v>22347.612503774115</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148</v>
      </c>
      <c r="B92" s="69" t="s">
        <v>155</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149</v>
      </c>
      <c r="B94" s="69" t="s">
        <v>87</v>
      </c>
      <c r="C94" s="87">
        <f>IF(C89&lt;$C$92,C89*$C$87,$C$92*$C$87)</f>
        <v>1112855018.4552987</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150</v>
      </c>
      <c r="B95" s="69" t="s">
        <v>87</v>
      </c>
      <c r="C95" s="87">
        <f>IF(C90&lt;$C$92,C90*$C$87,$C$92*$C$87)</f>
        <v>1085423539.3083088</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154</v>
      </c>
      <c r="B96" s="69" t="s">
        <v>87</v>
      </c>
      <c r="C96" s="87">
        <f>AVERAGE(C94:C95)</f>
        <v>1099139278.8818038</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1099139278.8818038</v>
      </c>
      <c r="D98" s="168"/>
      <c r="E98" s="169"/>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36637975.962726794</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131</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130</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170</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170</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17543664.743429486</v>
      </c>
      <c r="E111" s="149">
        <f t="shared" si="9"/>
        <v>17543664.743429486</v>
      </c>
      <c r="F111" s="149">
        <f t="shared" si="9"/>
        <v>17543664.743429486</v>
      </c>
      <c r="G111" s="149">
        <f t="shared" si="9"/>
        <v>17543664.743429486</v>
      </c>
      <c r="H111" s="149">
        <f t="shared" si="9"/>
        <v>17543664.743429486</v>
      </c>
      <c r="I111" s="149">
        <f t="shared" si="9"/>
        <v>17543664.743429486</v>
      </c>
      <c r="J111" s="149">
        <f t="shared" si="9"/>
        <v>17543664.743429486</v>
      </c>
      <c r="K111" s="149">
        <f t="shared" si="9"/>
        <v>17543664.743429486</v>
      </c>
      <c r="L111" s="149">
        <f t="shared" si="9"/>
        <v>17543664.743429486</v>
      </c>
      <c r="M111" s="149">
        <f t="shared" si="9"/>
        <v>17543664.743429486</v>
      </c>
      <c r="N111" s="149">
        <f t="shared" si="9"/>
        <v>17543664.743429486</v>
      </c>
      <c r="O111" s="149">
        <f t="shared" si="9"/>
        <v>17543664.743429486</v>
      </c>
      <c r="P111" s="149">
        <f t="shared" si="9"/>
        <v>17543664.743429486</v>
      </c>
      <c r="Q111" s="149">
        <f t="shared" si="9"/>
        <v>17543664.743429486</v>
      </c>
      <c r="R111" s="149">
        <f t="shared" si="9"/>
        <v>17543664.743429486</v>
      </c>
      <c r="S111" s="149">
        <f t="shared" si="9"/>
        <v>17543664.743429486</v>
      </c>
      <c r="T111" s="149">
        <f t="shared" si="9"/>
        <v>17543664.743429486</v>
      </c>
      <c r="U111" s="149">
        <f t="shared" si="9"/>
        <v>17543664.743429486</v>
      </c>
      <c r="V111" s="149">
        <f t="shared" si="9"/>
        <v>17543664.743429486</v>
      </c>
      <c r="W111" s="149">
        <f t="shared" si="9"/>
        <v>17543664.743429486</v>
      </c>
      <c r="X111" s="149">
        <f t="shared" si="9"/>
        <v>17543664.743429486</v>
      </c>
      <c r="Y111" s="149">
        <f t="shared" si="9"/>
        <v>17543664.743429486</v>
      </c>
      <c r="Z111" s="149">
        <f t="shared" si="9"/>
        <v>17543664.743429486</v>
      </c>
      <c r="AA111" s="149">
        <f t="shared" si="9"/>
        <v>17543664.743429486</v>
      </c>
      <c r="AB111" s="149">
        <f t="shared" si="9"/>
        <v>17543664.743429486</v>
      </c>
      <c r="AC111" s="149">
        <f t="shared" si="9"/>
        <v>17543664.743429486</v>
      </c>
      <c r="AD111" s="149">
        <f t="shared" si="9"/>
        <v>17543664.743429486</v>
      </c>
      <c r="AE111" s="149">
        <f t="shared" si="9"/>
        <v>17543664.743429486</v>
      </c>
      <c r="AF111" s="149">
        <f t="shared" si="9"/>
        <v>17543664.743429486</v>
      </c>
      <c r="AG111" s="149">
        <f t="shared" si="9"/>
        <v>17543664.743429486</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1099139278.8818042</v>
      </c>
      <c r="D113" s="149">
        <f t="shared" ref="D113:AG113" si="10">$C$102</f>
        <v>36637975.962726794</v>
      </c>
      <c r="E113" s="149">
        <f t="shared" si="10"/>
        <v>36637975.962726794</v>
      </c>
      <c r="F113" s="149">
        <f t="shared" si="10"/>
        <v>36637975.962726794</v>
      </c>
      <c r="G113" s="149">
        <f t="shared" si="10"/>
        <v>36637975.962726794</v>
      </c>
      <c r="H113" s="149">
        <f t="shared" si="10"/>
        <v>36637975.962726794</v>
      </c>
      <c r="I113" s="149">
        <f t="shared" si="10"/>
        <v>36637975.962726794</v>
      </c>
      <c r="J113" s="149">
        <f t="shared" si="10"/>
        <v>36637975.962726794</v>
      </c>
      <c r="K113" s="149">
        <f t="shared" si="10"/>
        <v>36637975.962726794</v>
      </c>
      <c r="L113" s="149">
        <f t="shared" si="10"/>
        <v>36637975.962726794</v>
      </c>
      <c r="M113" s="149">
        <f t="shared" si="10"/>
        <v>36637975.962726794</v>
      </c>
      <c r="N113" s="149">
        <f t="shared" si="10"/>
        <v>36637975.962726794</v>
      </c>
      <c r="O113" s="149">
        <f t="shared" si="10"/>
        <v>36637975.962726794</v>
      </c>
      <c r="P113" s="149">
        <f t="shared" si="10"/>
        <v>36637975.962726794</v>
      </c>
      <c r="Q113" s="149">
        <f t="shared" si="10"/>
        <v>36637975.962726794</v>
      </c>
      <c r="R113" s="149">
        <f t="shared" si="10"/>
        <v>36637975.962726794</v>
      </c>
      <c r="S113" s="149">
        <f t="shared" si="10"/>
        <v>36637975.962726794</v>
      </c>
      <c r="T113" s="149">
        <f t="shared" si="10"/>
        <v>36637975.962726794</v>
      </c>
      <c r="U113" s="149">
        <f t="shared" si="10"/>
        <v>36637975.962726794</v>
      </c>
      <c r="V113" s="149">
        <f t="shared" si="10"/>
        <v>36637975.962726794</v>
      </c>
      <c r="W113" s="149">
        <f t="shared" si="10"/>
        <v>36637975.962726794</v>
      </c>
      <c r="X113" s="149">
        <f t="shared" si="10"/>
        <v>36637975.962726794</v>
      </c>
      <c r="Y113" s="149">
        <f t="shared" si="10"/>
        <v>36637975.962726794</v>
      </c>
      <c r="Z113" s="149">
        <f t="shared" si="10"/>
        <v>36637975.962726794</v>
      </c>
      <c r="AA113" s="149">
        <f t="shared" si="10"/>
        <v>36637975.962726794</v>
      </c>
      <c r="AB113" s="149">
        <f t="shared" si="10"/>
        <v>36637975.962726794</v>
      </c>
      <c r="AC113" s="149">
        <f t="shared" si="10"/>
        <v>36637975.962726794</v>
      </c>
      <c r="AD113" s="149">
        <f t="shared" si="10"/>
        <v>36637975.962726794</v>
      </c>
      <c r="AE113" s="149">
        <f t="shared" si="10"/>
        <v>36637975.962726794</v>
      </c>
      <c r="AF113" s="149">
        <f t="shared" si="10"/>
        <v>36637975.962726794</v>
      </c>
      <c r="AG113" s="149">
        <f t="shared" si="10"/>
        <v>36637975.962726794</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36637975.962726794</v>
      </c>
      <c r="E118" s="149">
        <f t="shared" ref="E118:AG118" si="13">E113+E115+E116</f>
        <v>36637975.962726794</v>
      </c>
      <c r="F118" s="149">
        <f>F113+F115+F116</f>
        <v>36637975.962726794</v>
      </c>
      <c r="G118" s="149">
        <f t="shared" si="13"/>
        <v>36637975.962726794</v>
      </c>
      <c r="H118" s="149">
        <f t="shared" si="13"/>
        <v>36637975.962726794</v>
      </c>
      <c r="I118" s="149">
        <f t="shared" si="13"/>
        <v>36637975.962726794</v>
      </c>
      <c r="J118" s="149">
        <f t="shared" si="13"/>
        <v>36637975.962726794</v>
      </c>
      <c r="K118" s="149">
        <f t="shared" si="13"/>
        <v>36637975.962726794</v>
      </c>
      <c r="L118" s="149">
        <f t="shared" si="13"/>
        <v>36637975.962726794</v>
      </c>
      <c r="M118" s="149">
        <f t="shared" si="13"/>
        <v>36637975.962726794</v>
      </c>
      <c r="N118" s="149">
        <f t="shared" si="13"/>
        <v>36637975.962726794</v>
      </c>
      <c r="O118" s="149">
        <f t="shared" si="13"/>
        <v>36637975.962726794</v>
      </c>
      <c r="P118" s="149">
        <f t="shared" si="13"/>
        <v>36637975.962726794</v>
      </c>
      <c r="Q118" s="149">
        <f t="shared" si="13"/>
        <v>36637975.962726794</v>
      </c>
      <c r="R118" s="149">
        <f t="shared" si="13"/>
        <v>36637975.962726794</v>
      </c>
      <c r="S118" s="149">
        <f t="shared" si="13"/>
        <v>36637975.962726794</v>
      </c>
      <c r="T118" s="149">
        <f t="shared" si="13"/>
        <v>36637975.962726794</v>
      </c>
      <c r="U118" s="149">
        <f t="shared" si="13"/>
        <v>36637975.962726794</v>
      </c>
      <c r="V118" s="149">
        <f t="shared" si="13"/>
        <v>36637975.962726794</v>
      </c>
      <c r="W118" s="149">
        <f t="shared" si="13"/>
        <v>36637975.962726794</v>
      </c>
      <c r="X118" s="149">
        <f t="shared" si="13"/>
        <v>36637975.962726794</v>
      </c>
      <c r="Y118" s="149">
        <f t="shared" si="13"/>
        <v>36637975.962726794</v>
      </c>
      <c r="Z118" s="149">
        <f t="shared" si="13"/>
        <v>36637975.962726794</v>
      </c>
      <c r="AA118" s="149">
        <f t="shared" si="13"/>
        <v>36637975.962726794</v>
      </c>
      <c r="AB118" s="149">
        <f t="shared" si="13"/>
        <v>36637975.962726794</v>
      </c>
      <c r="AC118" s="149">
        <f t="shared" si="13"/>
        <v>36637975.962726794</v>
      </c>
      <c r="AD118" s="149">
        <f t="shared" si="13"/>
        <v>36637975.962726794</v>
      </c>
      <c r="AE118" s="149">
        <f t="shared" si="13"/>
        <v>36637975.962726794</v>
      </c>
      <c r="AF118" s="149">
        <f t="shared" si="13"/>
        <v>36637975.962726794</v>
      </c>
      <c r="AG118" s="149">
        <f t="shared" si="13"/>
        <v>36637975.962726794</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879311.4231054429</v>
      </c>
      <c r="E120" s="149">
        <f>(SUM($D$118:E118)*$C$104/$C$106)+(SUM($D$118:E118)*$C$105/$C$107)</f>
        <v>1758622.8462108858</v>
      </c>
      <c r="F120" s="149">
        <f>(SUM($D$118:F118)*$C$104/$C$106)+(SUM($D$118:F118)*$C$105/$C$107)</f>
        <v>2637934.2693163287</v>
      </c>
      <c r="G120" s="149">
        <f>(SUM($D$118:G118)*$C$104/$C$106)+(SUM($D$118:G118)*$C$105/$C$107)</f>
        <v>3517245.6924217716</v>
      </c>
      <c r="H120" s="149">
        <f>(SUM($D$118:H118)*$C$104/$C$106)+(SUM($D$118:H118)*$C$105/$C$107)</f>
        <v>4396557.1155272154</v>
      </c>
      <c r="I120" s="149">
        <f>(SUM($D$118:I118)*$C$104/$C$106)+(SUM($D$118:I118)*$C$105/$C$107)</f>
        <v>5275868.5386326583</v>
      </c>
      <c r="J120" s="149">
        <f>(SUM($D$118:J118)*$C$104/$C$106)+(SUM($D$118:J118)*$C$105/$C$107)</f>
        <v>6155179.9617381012</v>
      </c>
      <c r="K120" s="149">
        <f>(SUM($D$118:K118)*$C$104/$C$106)+(SUM($D$118:K118)*$C$105/$C$107)</f>
        <v>7034491.3848435432</v>
      </c>
      <c r="L120" s="149">
        <f>(SUM($D$118:L118)*$C$104/$C$106)+(SUM($D$118:L118)*$C$105/$C$107)</f>
        <v>7913802.8079489861</v>
      </c>
      <c r="M120" s="149">
        <f>(SUM($D$118:M118)*$C$104/$C$106)+(SUM($D$118:M118)*$C$105/$C$107)</f>
        <v>8793114.231054429</v>
      </c>
      <c r="N120" s="149">
        <f>(SUM($D$118:N118)*$C$104/$C$106)+(SUM($D$118:N118)*$C$105/$C$107)</f>
        <v>9672425.6541598719</v>
      </c>
      <c r="O120" s="149">
        <f>(SUM($D$118:O118)*$C$104/$C$106)+(SUM($D$118:O118)*$C$105/$C$107)</f>
        <v>10551737.077265315</v>
      </c>
      <c r="P120" s="149">
        <f>(SUM($D$118:P118)*$C$104/$C$106)+(SUM($D$118:P118)*$C$105/$C$107)</f>
        <v>11431048.500370758</v>
      </c>
      <c r="Q120" s="149">
        <f>(SUM($D$118:Q118)*$C$104/$C$106)+(SUM($D$118:Q118)*$C$105/$C$107)</f>
        <v>12310359.923476201</v>
      </c>
      <c r="R120" s="149">
        <f>(SUM($D$118:R118)*$C$104/$C$106)+(SUM($D$118:R118)*$C$105/$C$107)</f>
        <v>13189671.346581642</v>
      </c>
      <c r="S120" s="149">
        <f>(SUM($D$118:S118)*$C$104/$C$106)+(SUM($D$118:S118)*$C$105/$C$107)</f>
        <v>14068982.769687086</v>
      </c>
      <c r="T120" s="149">
        <f>(SUM($D$118:T118)*$C$104/$C$106)+(SUM($D$118:T118)*$C$105/$C$107)</f>
        <v>14948294.192792529</v>
      </c>
      <c r="U120" s="149">
        <f>(SUM($D$118:U118)*$C$104/$C$106)+(SUM($D$118:U118)*$C$105/$C$107)</f>
        <v>15827605.615897972</v>
      </c>
      <c r="V120" s="149">
        <f>(SUM($D$118:V118)*$C$104/$C$106)+(SUM($D$118:V118)*$C$105/$C$107)</f>
        <v>16706917.039003417</v>
      </c>
      <c r="W120" s="149">
        <f>(SUM($D$118:W118)*$C$104/$C$106)+(SUM($D$118:W118)*$C$105/$C$107)</f>
        <v>17586228.462108862</v>
      </c>
      <c r="X120" s="149">
        <f>(SUM($D$118:X118)*$C$104/$C$106)+(SUM($D$118:X118)*$C$105/$C$107)</f>
        <v>18465539.885214306</v>
      </c>
      <c r="Y120" s="149">
        <f>(SUM($D$118:Y118)*$C$104/$C$106)+(SUM($D$118:Y118)*$C$105/$C$107)</f>
        <v>19344851.308319747</v>
      </c>
      <c r="Z120" s="149">
        <f>(SUM($D$118:Z118)*$C$104/$C$106)+(SUM($D$118:Z118)*$C$105/$C$107)</f>
        <v>20224162.731425192</v>
      </c>
      <c r="AA120" s="149">
        <f>(SUM($D$118:AA118)*$C$104/$C$106)+(SUM($D$118:AA118)*$C$105/$C$107)</f>
        <v>21103474.154530637</v>
      </c>
      <c r="AB120" s="149">
        <f>(SUM($D$118:AB118)*$C$104/$C$106)+(SUM($D$118:AB118)*$C$105/$C$107)</f>
        <v>21982785.577636082</v>
      </c>
      <c r="AC120" s="149">
        <f>(SUM($D$118:AC118)*$C$104/$C$106)+(SUM($D$118:AC118)*$C$105/$C$107)</f>
        <v>22862097.000741523</v>
      </c>
      <c r="AD120" s="149">
        <f>(SUM($D$118:AD118)*$C$104/$C$106)+(SUM($D$118:AD118)*$C$105/$C$107)</f>
        <v>23741408.423846971</v>
      </c>
      <c r="AE120" s="149">
        <f>(SUM($D$118:AE118)*$C$104/$C$106)+(SUM($D$118:AE118)*$C$105/$C$107)</f>
        <v>24620719.846952412</v>
      </c>
      <c r="AF120" s="149">
        <f>(SUM($D$118:AF118)*$C$104/$C$106)+(SUM($D$118:AF118)*$C$105/$C$107)</f>
        <v>25500031.270057857</v>
      </c>
      <c r="AG120" s="149">
        <f>(SUM($D$118:AG118)*$C$104/$C$106)+(SUM($D$118:AG118)*$C$105/$C$107)</f>
        <v>26379342.693163298</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1099139.2788818039</v>
      </c>
      <c r="E122" s="72">
        <f>(SUM($D$118:E118)*$C$109)</f>
        <v>2198278.5577636077</v>
      </c>
      <c r="F122" s="72">
        <f>(SUM($D$118:F118)*$C$109)</f>
        <v>3297417.8366454113</v>
      </c>
      <c r="G122" s="72">
        <f>(SUM($D$118:G118)*$C$109)</f>
        <v>4396557.1155272154</v>
      </c>
      <c r="H122" s="72">
        <f>(SUM($D$118:H118)*$C$109)</f>
        <v>5495696.3944090195</v>
      </c>
      <c r="I122" s="72">
        <f>(SUM($D$118:I118)*$C$109)</f>
        <v>6594835.6732908236</v>
      </c>
      <c r="J122" s="72">
        <f>(SUM($D$118:J118)*$C$109)</f>
        <v>7693974.9521726267</v>
      </c>
      <c r="K122" s="72">
        <f>(SUM($D$118:K118)*$C$109)</f>
        <v>8793114.2310544308</v>
      </c>
      <c r="L122" s="72">
        <f>(SUM($D$118:L118)*$C$109)</f>
        <v>9892253.509936234</v>
      </c>
      <c r="M122" s="72">
        <f>(SUM($D$118:M118)*$C$109)</f>
        <v>10991392.788818037</v>
      </c>
      <c r="N122" s="72">
        <f>(SUM($D$118:N118)*$C$109)</f>
        <v>12090532.06769984</v>
      </c>
      <c r="O122" s="72">
        <f>(SUM($D$118:O118)*$C$109)</f>
        <v>13189671.346581643</v>
      </c>
      <c r="P122" s="72">
        <f>(SUM($D$118:P118)*$C$109)</f>
        <v>14288810.625463447</v>
      </c>
      <c r="Q122" s="72">
        <f>(SUM($D$118:Q118)*$C$109)</f>
        <v>15387949.90434525</v>
      </c>
      <c r="R122" s="72">
        <f>(SUM($D$118:R118)*$C$109)</f>
        <v>16487089.183227053</v>
      </c>
      <c r="S122" s="72">
        <f>(SUM($D$118:S118)*$C$109)</f>
        <v>17586228.462108858</v>
      </c>
      <c r="T122" s="72">
        <f>(SUM($D$118:T118)*$C$109)</f>
        <v>18685367.740990661</v>
      </c>
      <c r="U122" s="72">
        <f>(SUM($D$118:U118)*$C$109)</f>
        <v>19784507.019872468</v>
      </c>
      <c r="V122" s="72">
        <f>(SUM($D$118:V118)*$C$109)</f>
        <v>20883646.298754271</v>
      </c>
      <c r="W122" s="72">
        <f>(SUM($D$118:W118)*$C$109)</f>
        <v>21982785.577636078</v>
      </c>
      <c r="X122" s="72">
        <f>(SUM($D$118:X118)*$C$109)</f>
        <v>23081924.856517881</v>
      </c>
      <c r="Y122" s="72">
        <f>(SUM($D$118:Y118)*$C$109)</f>
        <v>24181064.135399688</v>
      </c>
      <c r="Z122" s="72">
        <f>(SUM($D$118:Z118)*$C$109)</f>
        <v>25280203.414281491</v>
      </c>
      <c r="AA122" s="72">
        <f>(SUM($D$118:AA118)*$C$109)</f>
        <v>26379342.693163294</v>
      </c>
      <c r="AB122" s="72">
        <f>(SUM($D$118:AB118)*$C$109)</f>
        <v>27478481.972045101</v>
      </c>
      <c r="AC122" s="72">
        <f>(SUM($D$118:AC118)*$C$109)</f>
        <v>28577621.250926904</v>
      </c>
      <c r="AD122" s="72">
        <f>(SUM($D$118:AD118)*$C$109)</f>
        <v>29676760.529808711</v>
      </c>
      <c r="AE122" s="72">
        <f>(SUM($D$118:AE118)*$C$109)</f>
        <v>30775899.808690514</v>
      </c>
      <c r="AF122" s="72">
        <f>(SUM($D$118:AF118)*$C$109)</f>
        <v>31875039.087572321</v>
      </c>
      <c r="AG122" s="72">
        <f>(SUM($D$118:AG118)*$C$109)</f>
        <v>32974178.366454124</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153</v>
      </c>
      <c r="B126" s="77" t="s">
        <v>134</v>
      </c>
      <c r="C126" s="126">
        <v>51970</v>
      </c>
      <c r="D126" s="140"/>
    </row>
    <row r="127" spans="1:33" x14ac:dyDescent="0.35">
      <c r="A127" s="77" t="s">
        <v>152</v>
      </c>
      <c r="B127" s="77" t="s">
        <v>135</v>
      </c>
      <c r="C127" s="126">
        <v>45170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48570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157</v>
      </c>
      <c r="B133" s="77" t="s">
        <v>158</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17988.888888888887</v>
      </c>
      <c r="D135" s="157">
        <f t="shared" ref="D135:AG135" si="14">$C$135*D13</f>
        <v>18437.7101129734</v>
      </c>
      <c r="E135" s="157">
        <f t="shared" si="14"/>
        <v>18897.729387834312</v>
      </c>
      <c r="F135" s="157">
        <f t="shared" si="14"/>
        <v>19369.226103871315</v>
      </c>
      <c r="G135" s="157">
        <f t="shared" si="14"/>
        <v>19852.486622250461</v>
      </c>
      <c r="H135" s="157">
        <f t="shared" si="14"/>
        <v>20347.804448824143</v>
      </c>
      <c r="I135" s="157">
        <f t="shared" si="14"/>
        <v>20855.480412390432</v>
      </c>
      <c r="J135" s="157">
        <f t="shared" si="14"/>
        <v>21375.822847399922</v>
      </c>
      <c r="K135" s="157">
        <f t="shared" si="14"/>
        <v>21909.147781221138</v>
      </c>
      <c r="L135" s="157">
        <f t="shared" si="14"/>
        <v>22455.77912607812</v>
      </c>
      <c r="M135" s="157">
        <f t="shared" si="14"/>
        <v>23016.048875776953</v>
      </c>
      <c r="N135" s="157">
        <f t="shared" si="14"/>
        <v>23590.29730734049</v>
      </c>
      <c r="O135" s="157">
        <f t="shared" si="14"/>
        <v>24178.873187673929</v>
      </c>
      <c r="P135" s="157">
        <f t="shared" si="14"/>
        <v>24782.133985386619</v>
      </c>
      <c r="Q135" s="157">
        <f t="shared" si="14"/>
        <v>25400.446087898843</v>
      </c>
      <c r="R135" s="157">
        <f t="shared" si="14"/>
        <v>26034.185023965369</v>
      </c>
      <c r="S135" s="157">
        <f t="shared" si="14"/>
        <v>26683.735691750979</v>
      </c>
      <c r="T135" s="157">
        <f t="shared" si="14"/>
        <v>27349.492592596398</v>
      </c>
      <c r="U135" s="157">
        <f t="shared" si="14"/>
        <v>28031.860070616756</v>
      </c>
      <c r="V135" s="157">
        <f t="shared" si="14"/>
        <v>28731.252558277905</v>
      </c>
      <c r="W135" s="157">
        <f t="shared" si="14"/>
        <v>29448.094828099951</v>
      </c>
      <c r="X135" s="157">
        <f t="shared" si="14"/>
        <v>30182.822250640667</v>
      </c>
      <c r="Y135" s="157">
        <f t="shared" si="14"/>
        <v>30935.881058915656</v>
      </c>
      <c r="Z135" s="157">
        <f t="shared" si="14"/>
        <v>31707.72861941571</v>
      </c>
      <c r="AA135" s="157">
        <f t="shared" si="14"/>
        <v>32498.833709886072</v>
      </c>
      <c r="AB135" s="157">
        <f t="shared" si="14"/>
        <v>33309.676804036237</v>
      </c>
      <c r="AC135" s="157">
        <f t="shared" si="14"/>
        <v>34140.750363353247</v>
      </c>
      <c r="AD135" s="157">
        <f t="shared" si="14"/>
        <v>34992.559136195719</v>
      </c>
      <c r="AE135" s="157">
        <f t="shared" si="14"/>
        <v>35865.620464350221</v>
      </c>
      <c r="AF135" s="157">
        <f t="shared" si="14"/>
        <v>36760.46459723622</v>
      </c>
      <c r="AG135" s="157">
        <f t="shared" si="14"/>
        <v>37677.635013950385</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0.3</v>
      </c>
      <c r="F4" s="65">
        <v>0.28999999999999998</v>
      </c>
      <c r="G4" s="65">
        <v>0.15</v>
      </c>
      <c r="H4" s="65">
        <v>0.12</v>
      </c>
      <c r="I4" s="65">
        <v>0.12</v>
      </c>
      <c r="J4" s="65">
        <v>0.1</v>
      </c>
      <c r="K4" s="65">
        <v>0.05</v>
      </c>
      <c r="L4" s="65">
        <v>0.04</v>
      </c>
      <c r="M4" s="65">
        <v>0.04</v>
      </c>
      <c r="N4" s="65">
        <v>0.04</v>
      </c>
      <c r="O4" s="65">
        <v>0.04</v>
      </c>
      <c r="P4" s="65">
        <v>0.03</v>
      </c>
      <c r="Q4" s="65">
        <v>0.03</v>
      </c>
      <c r="R4" s="65">
        <v>0.03</v>
      </c>
      <c r="S4" s="65">
        <v>0.03</v>
      </c>
      <c r="T4" s="65">
        <v>0.03</v>
      </c>
      <c r="U4" s="65">
        <v>0.03</v>
      </c>
      <c r="V4" s="65">
        <v>2.5000000000000001E-2</v>
      </c>
      <c r="W4" s="65">
        <v>2.5000000000000001E-2</v>
      </c>
      <c r="X4" s="65">
        <v>2.5000000000000001E-2</v>
      </c>
      <c r="Y4" s="65">
        <v>2.5000000000000001E-2</v>
      </c>
      <c r="Z4" s="65">
        <v>2.5000000000000001E-2</v>
      </c>
      <c r="AA4" s="65">
        <v>2.5000000000000001E-2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2.4948107353256073</v>
      </c>
      <c r="C6" s="25"/>
      <c r="D6" s="25"/>
      <c r="E6" s="27">
        <f>'Debt worksheet'!C5/'Profit and Loss'!C5</f>
        <v>1.8843918514057785</v>
      </c>
      <c r="F6" s="28">
        <f ca="1">'Debt worksheet'!D5/'Profit and Loss'!D5</f>
        <v>2.1814686983784526</v>
      </c>
      <c r="G6" s="28">
        <f ca="1">'Debt worksheet'!E5/'Profit and Loss'!E5</f>
        <v>2.381797198256038</v>
      </c>
      <c r="H6" s="28">
        <f ca="1">'Debt worksheet'!F5/'Profit and Loss'!F5</f>
        <v>2.4904664107496215</v>
      </c>
      <c r="I6" s="28">
        <f ca="1">'Debt worksheet'!G5/'Profit and Loss'!G5</f>
        <v>2.4948107353256073</v>
      </c>
      <c r="J6" s="28">
        <f ca="1">'Debt worksheet'!H5/'Profit and Loss'!H5</f>
        <v>2.4548460611380722</v>
      </c>
      <c r="K6" s="28">
        <f ca="1">'Debt worksheet'!I5/'Profit and Loss'!I5</f>
        <v>2.4648726026404515</v>
      </c>
      <c r="L6" s="28">
        <f ca="1">'Debt worksheet'!J5/'Profit and Loss'!J5</f>
        <v>2.4805979080013998</v>
      </c>
      <c r="M6" s="28">
        <f ca="1">'Debt worksheet'!K5/'Profit and Loss'!K5</f>
        <v>2.4875963969012265</v>
      </c>
      <c r="N6" s="28">
        <f ca="1">'Debt worksheet'!L5/'Profit and Loss'!L5</f>
        <v>2.4853826074009304</v>
      </c>
      <c r="O6" s="28">
        <f ca="1">'Debt worksheet'!M5/'Profit and Loss'!M5</f>
        <v>2.4735491227201307</v>
      </c>
      <c r="P6" s="28">
        <f ca="1">'Debt worksheet'!N5/'Profit and Loss'!N5</f>
        <v>2.4755640639066425</v>
      </c>
      <c r="Q6" s="28">
        <f ca="1">'Debt worksheet'!O5/'Profit and Loss'!O5</f>
        <v>2.4764914867715788</v>
      </c>
      <c r="R6" s="28">
        <f ca="1">'Debt worksheet'!P5/'Profit and Loss'!P5</f>
        <v>2.4757269766244914</v>
      </c>
      <c r="S6" s="28">
        <f ca="1">'Debt worksheet'!Q5/'Profit and Loss'!Q5</f>
        <v>2.4727126286529764</v>
      </c>
      <c r="T6" s="28">
        <f ca="1">'Debt worksheet'!R5/'Profit and Loss'!R5</f>
        <v>2.4669346617138044</v>
      </c>
      <c r="U6" s="28">
        <f ca="1">'Debt worksheet'!S5/'Profit and Loss'!S5</f>
        <v>2.4579211361320743</v>
      </c>
      <c r="V6" s="28">
        <f ca="1">'Debt worksheet'!T5/'Profit and Loss'!T5</f>
        <v>2.4571677702257402</v>
      </c>
      <c r="W6" s="28">
        <f ca="1">'Debt worksheet'!U5/'Profit and Loss'!U5</f>
        <v>2.4570579198490656</v>
      </c>
      <c r="X6" s="28">
        <f ca="1">'Debt worksheet'!V5/'Profit and Loss'!V5</f>
        <v>2.4571244740195985</v>
      </c>
      <c r="Y6" s="28">
        <f ca="1">'Debt worksheet'!W5/'Profit and Loss'!W5</f>
        <v>2.4569276415833161</v>
      </c>
      <c r="Z6" s="28">
        <f ca="1">'Debt worksheet'!X5/'Profit and Loss'!X5</f>
        <v>2.4560538218799186</v>
      </c>
      <c r="AA6" s="28">
        <f ca="1">'Debt worksheet'!Y5/'Profit and Loss'!Y5</f>
        <v>2.4541145159596507</v>
      </c>
      <c r="AB6" s="28">
        <f ca="1">'Debt worksheet'!Z5/'Profit and Loss'!Z5</f>
        <v>2.4579392455186486</v>
      </c>
      <c r="AC6" s="28">
        <f ca="1">'Debt worksheet'!AA5/'Profit and Loss'!AA5</f>
        <v>2.4628874816196196</v>
      </c>
      <c r="AD6" s="28">
        <f ca="1">'Debt worksheet'!AB5/'Profit and Loss'!AB5</f>
        <v>2.4685987402520011</v>
      </c>
      <c r="AE6" s="28">
        <f ca="1">'Debt worksheet'!AC5/'Profit and Loss'!AC5</f>
        <v>2.4747303045329438</v>
      </c>
      <c r="AF6" s="28">
        <f ca="1">'Debt worksheet'!AD5/'Profit and Loss'!AD5</f>
        <v>2.4809565885331808</v>
      </c>
      <c r="AG6" s="28">
        <f ca="1">'Debt worksheet'!AE5/'Profit and Loss'!AE5</f>
        <v>2.4869685211728618</v>
      </c>
      <c r="AH6" s="28">
        <f ca="1">'Debt worksheet'!AF5/'Profit and Loss'!AF5</f>
        <v>2.4924729495920754</v>
      </c>
      <c r="AI6" s="31"/>
    </row>
    <row r="7" spans="1:35" ht="21" x14ac:dyDescent="0.5">
      <c r="A7" s="19" t="s">
        <v>39</v>
      </c>
      <c r="B7" s="26">
        <f ca="1">MIN('Price and Financial ratios'!E7:AH7)</f>
        <v>0.21278671580516445</v>
      </c>
      <c r="C7" s="26"/>
      <c r="D7" s="26"/>
      <c r="E7" s="56">
        <f ca="1">'Cash Flow'!C7/'Debt worksheet'!C5</f>
        <v>0.25741715121466396</v>
      </c>
      <c r="F7" s="32">
        <f ca="1">'Cash Flow'!D7/'Debt worksheet'!D5</f>
        <v>0.25287779482116479</v>
      </c>
      <c r="G7" s="32">
        <f ca="1">'Cash Flow'!E7/'Debt worksheet'!E5</f>
        <v>0.23936388294691802</v>
      </c>
      <c r="H7" s="32">
        <f ca="1">'Cash Flow'!F7/'Debt worksheet'!F5</f>
        <v>0.23393042320579768</v>
      </c>
      <c r="I7" s="32">
        <f ca="1">'Cash Flow'!G7/'Debt worksheet'!G5</f>
        <v>0.24036964468444369</v>
      </c>
      <c r="J7" s="32">
        <f ca="1">'Cash Flow'!H7/'Debt worksheet'!H5</f>
        <v>0.24964795189103203</v>
      </c>
      <c r="K7" s="32">
        <f ca="1">'Cash Flow'!I7/'Debt worksheet'!I5</f>
        <v>0.247306286708777</v>
      </c>
      <c r="L7" s="32">
        <f ca="1">'Cash Flow'!J7/'Debt worksheet'!J5</f>
        <v>0.24342924436300248</v>
      </c>
      <c r="M7" s="17">
        <f ca="1">'Cash Flow'!K7/'Debt worksheet'!K5</f>
        <v>0.24091763066512803</v>
      </c>
      <c r="N7" s="17">
        <f ca="1">'Cash Flow'!L7/'Debt worksheet'!L5</f>
        <v>0.23976307095082272</v>
      </c>
      <c r="O7" s="17">
        <f ca="1">'Cash Flow'!M7/'Debt worksheet'!M5</f>
        <v>0.23997878904436951</v>
      </c>
      <c r="P7" s="17">
        <f ca="1">'Cash Flow'!N7/'Debt worksheet'!N5</f>
        <v>0.23753921394204011</v>
      </c>
      <c r="Q7" s="17">
        <f ca="1">'Cash Flow'!O7/'Debt worksheet'!O5</f>
        <v>0.2354592104928091</v>
      </c>
      <c r="R7" s="17">
        <f ca="1">'Cash Flow'!P7/'Debt worksheet'!P5</f>
        <v>0.23378914081465099</v>
      </c>
      <c r="S7" s="17">
        <f ca="1">'Cash Flow'!Q7/'Debt worksheet'!Q5</f>
        <v>0.23257472580196345</v>
      </c>
      <c r="T7" s="17">
        <f ca="1">'Cash Flow'!R7/'Debt worksheet'!R5</f>
        <v>0.23185876688222165</v>
      </c>
      <c r="U7" s="17">
        <f ca="1">'Cash Flow'!S7/'Debt worksheet'!S5</f>
        <v>0.23168289118264404</v>
      </c>
      <c r="V7" s="17">
        <f ca="1">'Cash Flow'!T7/'Debt worksheet'!T5</f>
        <v>0.23003209023453416</v>
      </c>
      <c r="W7" s="17">
        <f ca="1">'Cash Flow'!U7/'Debt worksheet'!U5</f>
        <v>0.22847049201264863</v>
      </c>
      <c r="X7" s="17">
        <f ca="1">'Cash Flow'!V7/'Debt worksheet'!V5</f>
        <v>0.22704216803199737</v>
      </c>
      <c r="Y7" s="17">
        <f ca="1">'Cash Flow'!W7/'Debt worksheet'!W5</f>
        <v>0.22578737333281387</v>
      </c>
      <c r="Z7" s="17">
        <f ca="1">'Cash Flow'!X7/'Debt worksheet'!X5</f>
        <v>0.22474301308105443</v>
      </c>
      <c r="AA7" s="17">
        <f ca="1">'Cash Flow'!Y7/'Debt worksheet'!Y5</f>
        <v>0.2239432038699713</v>
      </c>
      <c r="AB7" s="17">
        <f ca="1">'Cash Flow'!Z7/'Debt worksheet'!Z5</f>
        <v>0.22218232640847319</v>
      </c>
      <c r="AC7" s="17">
        <f ca="1">'Cash Flow'!AA7/'Debt worksheet'!AA5</f>
        <v>0.22042383803098223</v>
      </c>
      <c r="AD7" s="17">
        <f ca="1">'Cash Flow'!AB7/'Debt worksheet'!AB5</f>
        <v>0.21870265045106907</v>
      </c>
      <c r="AE7" s="17">
        <f ca="1">'Cash Flow'!AC7/'Debt worksheet'!AC5</f>
        <v>0.2170506441272404</v>
      </c>
      <c r="AF7" s="17">
        <f ca="1">'Cash Flow'!AD7/'Debt worksheet'!AD5</f>
        <v>0.21549681859234529</v>
      </c>
      <c r="AG7" s="17">
        <f ca="1">'Cash Flow'!AE7/'Debt worksheet'!AE5</f>
        <v>0.21406751865186263</v>
      </c>
      <c r="AH7" s="17">
        <f ca="1">'Cash Flow'!AF7/'Debt worksheet'!AF5</f>
        <v>0.21278671580516445</v>
      </c>
      <c r="AI7" s="29"/>
    </row>
    <row r="8" spans="1:35" ht="21" x14ac:dyDescent="0.5">
      <c r="A8" s="19" t="s">
        <v>34</v>
      </c>
      <c r="B8" s="26">
        <f ca="1">MAX('Price and Financial ratios'!E8:AH8)</f>
        <v>0.3620785658940906</v>
      </c>
      <c r="C8" s="26"/>
      <c r="D8" s="175"/>
      <c r="E8" s="17">
        <f>'Balance Sheet'!B11/'Balance Sheet'!B8</f>
        <v>0.13091274447386181</v>
      </c>
      <c r="F8" s="17">
        <f ca="1">'Balance Sheet'!C11/'Balance Sheet'!C8</f>
        <v>0.20110774251423955</v>
      </c>
      <c r="G8" s="17">
        <f ca="1">'Balance Sheet'!D11/'Balance Sheet'!D8</f>
        <v>0.24230156000746678</v>
      </c>
      <c r="H8" s="17">
        <f ca="1">'Balance Sheet'!E11/'Balance Sheet'!E8</f>
        <v>0.27288765302799384</v>
      </c>
      <c r="I8" s="17">
        <f ca="1">'Balance Sheet'!F11/'Balance Sheet'!F8</f>
        <v>0.29502848938752796</v>
      </c>
      <c r="J8" s="17">
        <f ca="1">'Balance Sheet'!G11/'Balance Sheet'!G8</f>
        <v>0.30827805382231838</v>
      </c>
      <c r="K8" s="17">
        <f ca="1">'Balance Sheet'!H11/'Balance Sheet'!H8</f>
        <v>0.31428807268630432</v>
      </c>
      <c r="L8" s="17">
        <f ca="1">'Balance Sheet'!I11/'Balance Sheet'!I8</f>
        <v>0.31857792570410753</v>
      </c>
      <c r="M8" s="17">
        <f ca="1">'Balance Sheet'!J11/'Balance Sheet'!J8</f>
        <v>0.32223964519106651</v>
      </c>
      <c r="N8" s="17">
        <f ca="1">'Balance Sheet'!K11/'Balance Sheet'!K8</f>
        <v>0.32516126518641775</v>
      </c>
      <c r="O8" s="17">
        <f ca="1">'Balance Sheet'!L11/'Balance Sheet'!L8</f>
        <v>0.32723309611849205</v>
      </c>
      <c r="P8" s="17">
        <f ca="1">'Balance Sheet'!M11/'Balance Sheet'!M8</f>
        <v>0.3283467263900488</v>
      </c>
      <c r="Q8" s="17">
        <f ca="1">'Balance Sheet'!N11/'Balance Sheet'!N8</f>
        <v>0.32966280574465068</v>
      </c>
      <c r="R8" s="17">
        <f ca="1">'Balance Sheet'!O11/'Balance Sheet'!O8</f>
        <v>0.33107958034424495</v>
      </c>
      <c r="S8" s="17">
        <f ca="1">'Balance Sheet'!P11/'Balance Sheet'!P8</f>
        <v>0.33250167152607424</v>
      </c>
      <c r="T8" s="17">
        <f ca="1">'Balance Sheet'!Q11/'Balance Sheet'!Q8</f>
        <v>0.33383890905218133</v>
      </c>
      <c r="U8" s="17">
        <f ca="1">'Balance Sheet'!R11/'Balance Sheet'!R8</f>
        <v>0.33500535884969668</v>
      </c>
      <c r="V8" s="17">
        <f ca="1">'Balance Sheet'!S11/'Balance Sheet'!S8</f>
        <v>0.33591850719893418</v>
      </c>
      <c r="W8" s="17">
        <f ca="1">'Balance Sheet'!T11/'Balance Sheet'!T8</f>
        <v>0.33715882619568821</v>
      </c>
      <c r="X8" s="17">
        <f ca="1">'Balance Sheet'!U11/'Balance Sheet'!U8</f>
        <v>0.33865159998339256</v>
      </c>
      <c r="Y8" s="17">
        <f ca="1">'Balance Sheet'!V11/'Balance Sheet'!V8</f>
        <v>0.3403263000661903</v>
      </c>
      <c r="Z8" s="17">
        <f ca="1">'Balance Sheet'!W11/'Balance Sheet'!W8</f>
        <v>0.34211594703504256</v>
      </c>
      <c r="AA8" s="17">
        <f ca="1">'Balance Sheet'!X11/'Balance Sheet'!X8</f>
        <v>0.343956563684509</v>
      </c>
      <c r="AB8" s="17">
        <f ca="1">'Balance Sheet'!Y11/'Balance Sheet'!Y8</f>
        <v>0.34578670422272589</v>
      </c>
      <c r="AC8" s="17">
        <f ca="1">'Balance Sheet'!Z11/'Balance Sheet'!Z8</f>
        <v>0.34795731821221798</v>
      </c>
      <c r="AD8" s="17">
        <f ca="1">'Balance Sheet'!AA11/'Balance Sheet'!AA8</f>
        <v>0.35041346610470808</v>
      </c>
      <c r="AE8" s="17">
        <f ca="1">'Balance Sheet'!AB11/'Balance Sheet'!AB8</f>
        <v>0.35310280811171485</v>
      </c>
      <c r="AF8" s="17">
        <f ca="1">'Balance Sheet'!AC11/'Balance Sheet'!AC8</f>
        <v>0.35597525510987732</v>
      </c>
      <c r="AG8" s="17">
        <f ca="1">'Balance Sheet'!AD11/'Balance Sheet'!AD8</f>
        <v>0.35898266325289263</v>
      </c>
      <c r="AH8" s="17">
        <f ca="1">'Balance Sheet'!AE11/'Balance Sheet'!AE8</f>
        <v>0.3620785658940906</v>
      </c>
      <c r="AI8" s="29"/>
    </row>
    <row r="9" spans="1:35" ht="21.5" thickBot="1" x14ac:dyDescent="0.55000000000000004">
      <c r="A9" s="20" t="s">
        <v>33</v>
      </c>
      <c r="B9" s="21">
        <f ca="1">MIN('Price and Financial ratios'!E9:AH9)</f>
        <v>5.8050655182251827</v>
      </c>
      <c r="C9" s="21"/>
      <c r="D9" s="176"/>
      <c r="E9" s="21">
        <f ca="1">('Cash Flow'!C7+'Profit and Loss'!C8)/('Profit and Loss'!C8)</f>
        <v>5.8050655182251827</v>
      </c>
      <c r="F9" s="21">
        <f ca="1">('Cash Flow'!D7+'Profit and Loss'!D8)/('Profit and Loss'!D8)</f>
        <v>6.6141805263139961</v>
      </c>
      <c r="G9" s="21">
        <f ca="1">('Cash Flow'!E7+'Profit and Loss'!E8)/('Profit and Loss'!E8)</f>
        <v>6.697626843869843</v>
      </c>
      <c r="H9" s="21">
        <f ca="1">('Cash Flow'!F7+'Profit and Loss'!F8)/('Profit and Loss'!F8)</f>
        <v>6.8122071027753828</v>
      </c>
      <c r="I9" s="21">
        <f ca="1">('Cash Flow'!G7+'Profit and Loss'!G8)/('Profit and Loss'!G8)</f>
        <v>7.1905550432017549</v>
      </c>
      <c r="J9" s="21">
        <f ca="1">('Cash Flow'!H7+'Profit and Loss'!H8)/('Profit and Loss'!H8)</f>
        <v>7.6008187349361709</v>
      </c>
      <c r="K9" s="21">
        <f ca="1">('Cash Flow'!I7+'Profit and Loss'!I8)/('Profit and Loss'!I8)</f>
        <v>7.5867204882242651</v>
      </c>
      <c r="L9" s="21">
        <f ca="1">('Cash Flow'!J7+'Profit and Loss'!J8)/('Profit and Loss'!J8)</f>
        <v>7.5064662016912056</v>
      </c>
      <c r="M9" s="21">
        <f ca="1">('Cash Flow'!K7+'Profit and Loss'!K8)/('Profit and Loss'!K8)</f>
        <v>7.4632539581914843</v>
      </c>
      <c r="N9" s="21">
        <f ca="1">('Cash Flow'!L7+'Profit and Loss'!L8)/('Profit and Loss'!L8)</f>
        <v>7.4573002561909778</v>
      </c>
      <c r="O9" s="21">
        <f ca="1">('Cash Flow'!M7+'Profit and Loss'!M8)/('Profit and Loss'!M8)</f>
        <v>7.4895011704297465</v>
      </c>
      <c r="P9" s="21">
        <f ca="1">('Cash Flow'!N7+'Profit and Loss'!N8)/('Profit and Loss'!N8)</f>
        <v>7.4263552991059738</v>
      </c>
      <c r="Q9" s="21">
        <f ca="1">('Cash Flow'!O7+'Profit and Loss'!O8)/('Profit and Loss'!O8)</f>
        <v>7.3744374170305402</v>
      </c>
      <c r="R9" s="21">
        <f ca="1">('Cash Flow'!P7+'Profit and Loss'!P8)/('Profit and Loss'!P8)</f>
        <v>7.3349840352297475</v>
      </c>
      <c r="S9" s="21">
        <f ca="1">('Cash Flow'!Q7+'Profit and Loss'!Q8)/('Profit and Loss'!Q8)</f>
        <v>7.3091464013596417</v>
      </c>
      <c r="T9" s="21">
        <f ca="1">('Cash Flow'!R7+'Profit and Loss'!R8)/('Profit and Loss'!R8)</f>
        <v>7.2980385188144128</v>
      </c>
      <c r="U9" s="21">
        <f ca="1">('Cash Flow'!S7+'Profit and Loss'!S8)/('Profit and Loss'!S8)</f>
        <v>7.3027857607198969</v>
      </c>
      <c r="V9" s="21">
        <f ca="1">('Cash Flow'!T7+'Profit and Loss'!T8)/('Profit and Loss'!T8)</f>
        <v>7.2562383898970584</v>
      </c>
      <c r="W9" s="21">
        <f ca="1">('Cash Flow'!U7+'Profit and Loss'!U8)/('Profit and Loss'!U8)</f>
        <v>7.2133211322920916</v>
      </c>
      <c r="X9" s="21">
        <f ca="1">('Cash Flow'!V7+'Profit and Loss'!V8)/('Profit and Loss'!V8)</f>
        <v>7.1751393668637098</v>
      </c>
      <c r="Y9" s="21">
        <f ca="1">('Cash Flow'!W7+'Profit and Loss'!W8)/('Profit and Loss'!W8)</f>
        <v>7.1427039529823402</v>
      </c>
      <c r="Z9" s="21">
        <f ca="1">('Cash Flow'!X7+'Profit and Loss'!X8)/('Profit and Loss'!X8)</f>
        <v>7.1169467740046555</v>
      </c>
      <c r="AA9" s="21">
        <f ca="1">('Cash Flow'!Y7+'Profit and Loss'!Y8)/('Profit and Loss'!Y8)</f>
        <v>7.0987381068939923</v>
      </c>
      <c r="AB9" s="21">
        <f ca="1">('Cash Flow'!Z7+'Profit and Loss'!Z8)/('Profit and Loss'!Z8)</f>
        <v>7.0480378322014063</v>
      </c>
      <c r="AC9" s="21">
        <f ca="1">('Cash Flow'!AA7+'Profit and Loss'!AA8)/('Profit and Loss'!AA8)</f>
        <v>6.9983395313814354</v>
      </c>
      <c r="AD9" s="21">
        <f ca="1">('Cash Flow'!AB7+'Profit and Loss'!AB8)/('Profit and Loss'!AB8)</f>
        <v>6.9505223320979441</v>
      </c>
      <c r="AE9" s="21">
        <f ca="1">('Cash Flow'!AC7+'Profit and Loss'!AC8)/('Profit and Loss'!AC8)</f>
        <v>6.9053848712077075</v>
      </c>
      <c r="AF9" s="21">
        <f ca="1">('Cash Flow'!AD7+'Profit and Loss'!AD8)/('Profit and Loss'!AD8)</f>
        <v>6.8636515809571241</v>
      </c>
      <c r="AG9" s="21">
        <f ca="1">('Cash Flow'!AE7+'Profit and Loss'!AE8)/('Profit and Loss'!AE8)</f>
        <v>6.8259804936724136</v>
      </c>
      <c r="AH9" s="21">
        <f ca="1">('Cash Flow'!AF7+'Profit and Loss'!AF8)/('Profit and Loss'!AF8)</f>
        <v>6.7929720930245967</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3"/>
  </cols>
  <sheetData>
    <row r="1" spans="1:1" x14ac:dyDescent="0.35">
      <c r="A1" s="174"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17543664.743429486</v>
      </c>
      <c r="D5" s="1">
        <f>Assumptions!E111</f>
        <v>17543664.743429486</v>
      </c>
      <c r="E5" s="1">
        <f>Assumptions!F111</f>
        <v>17543664.743429486</v>
      </c>
      <c r="F5" s="1">
        <f>Assumptions!G111</f>
        <v>17543664.743429486</v>
      </c>
      <c r="G5" s="1">
        <f>Assumptions!H111</f>
        <v>17543664.743429486</v>
      </c>
      <c r="H5" s="1">
        <f>Assumptions!I111</f>
        <v>17543664.743429486</v>
      </c>
      <c r="I5" s="1">
        <f>Assumptions!J111</f>
        <v>17543664.743429486</v>
      </c>
      <c r="J5" s="1">
        <f>Assumptions!K111</f>
        <v>17543664.743429486</v>
      </c>
      <c r="K5" s="1">
        <f>Assumptions!L111</f>
        <v>17543664.743429486</v>
      </c>
      <c r="L5" s="1">
        <f>Assumptions!M111</f>
        <v>17543664.743429486</v>
      </c>
      <c r="M5" s="1">
        <f>Assumptions!N111</f>
        <v>17543664.743429486</v>
      </c>
      <c r="N5" s="1">
        <f>Assumptions!O111</f>
        <v>17543664.743429486</v>
      </c>
      <c r="O5" s="1">
        <f>Assumptions!P111</f>
        <v>17543664.743429486</v>
      </c>
      <c r="P5" s="1">
        <f>Assumptions!Q111</f>
        <v>17543664.743429486</v>
      </c>
      <c r="Q5" s="1">
        <f>Assumptions!R111</f>
        <v>17543664.743429486</v>
      </c>
      <c r="R5" s="1">
        <f>Assumptions!S111</f>
        <v>17543664.743429486</v>
      </c>
      <c r="S5" s="1">
        <f>Assumptions!T111</f>
        <v>17543664.743429486</v>
      </c>
      <c r="T5" s="1">
        <f>Assumptions!U111</f>
        <v>17543664.743429486</v>
      </c>
      <c r="U5" s="1">
        <f>Assumptions!V111</f>
        <v>17543664.743429486</v>
      </c>
      <c r="V5" s="1">
        <f>Assumptions!W111</f>
        <v>17543664.743429486</v>
      </c>
      <c r="W5" s="1">
        <f>Assumptions!X111</f>
        <v>17543664.743429486</v>
      </c>
      <c r="X5" s="1">
        <f>Assumptions!Y111</f>
        <v>17543664.743429486</v>
      </c>
      <c r="Y5" s="1">
        <f>Assumptions!Z111</f>
        <v>17543664.743429486</v>
      </c>
      <c r="Z5" s="1">
        <f>Assumptions!AA111</f>
        <v>17543664.743429486</v>
      </c>
      <c r="AA5" s="1">
        <f>Assumptions!AB111</f>
        <v>17543664.743429486</v>
      </c>
      <c r="AB5" s="1">
        <f>Assumptions!AC111</f>
        <v>17543664.743429486</v>
      </c>
      <c r="AC5" s="1">
        <f>Assumptions!AD111</f>
        <v>17543664.743429486</v>
      </c>
      <c r="AD5" s="1">
        <f>Assumptions!AE111</f>
        <v>17543664.743429486</v>
      </c>
      <c r="AE5" s="1">
        <f>Assumptions!AF111</f>
        <v>17543664.743429486</v>
      </c>
      <c r="AF5" s="1">
        <f>Assumptions!AG111</f>
        <v>17543664.743429486</v>
      </c>
    </row>
    <row r="6" spans="1:32" x14ac:dyDescent="0.35">
      <c r="A6" t="s">
        <v>69</v>
      </c>
      <c r="C6" s="1">
        <f>Assumptions!D113</f>
        <v>36637975.962726794</v>
      </c>
      <c r="D6" s="1">
        <f>Assumptions!E113</f>
        <v>36637975.962726794</v>
      </c>
      <c r="E6" s="1">
        <f>Assumptions!F113</f>
        <v>36637975.962726794</v>
      </c>
      <c r="F6" s="1">
        <f>Assumptions!G113</f>
        <v>36637975.962726794</v>
      </c>
      <c r="G6" s="1">
        <f>Assumptions!H113</f>
        <v>36637975.962726794</v>
      </c>
      <c r="H6" s="1">
        <f>Assumptions!I113</f>
        <v>36637975.962726794</v>
      </c>
      <c r="I6" s="1">
        <f>Assumptions!J113</f>
        <v>36637975.962726794</v>
      </c>
      <c r="J6" s="1">
        <f>Assumptions!K113</f>
        <v>36637975.962726794</v>
      </c>
      <c r="K6" s="1">
        <f>Assumptions!L113</f>
        <v>36637975.962726794</v>
      </c>
      <c r="L6" s="1">
        <f>Assumptions!M113</f>
        <v>36637975.962726794</v>
      </c>
      <c r="M6" s="1">
        <f>Assumptions!N113</f>
        <v>36637975.962726794</v>
      </c>
      <c r="N6" s="1">
        <f>Assumptions!O113</f>
        <v>36637975.962726794</v>
      </c>
      <c r="O6" s="1">
        <f>Assumptions!P113</f>
        <v>36637975.962726794</v>
      </c>
      <c r="P6" s="1">
        <f>Assumptions!Q113</f>
        <v>36637975.962726794</v>
      </c>
      <c r="Q6" s="1">
        <f>Assumptions!R113</f>
        <v>36637975.962726794</v>
      </c>
      <c r="R6" s="1">
        <f>Assumptions!S113</f>
        <v>36637975.962726794</v>
      </c>
      <c r="S6" s="1">
        <f>Assumptions!T113</f>
        <v>36637975.962726794</v>
      </c>
      <c r="T6" s="1">
        <f>Assumptions!U113</f>
        <v>36637975.962726794</v>
      </c>
      <c r="U6" s="1">
        <f>Assumptions!V113</f>
        <v>36637975.962726794</v>
      </c>
      <c r="V6" s="1">
        <f>Assumptions!W113</f>
        <v>36637975.962726794</v>
      </c>
      <c r="W6" s="1">
        <f>Assumptions!X113</f>
        <v>36637975.962726794</v>
      </c>
      <c r="X6" s="1">
        <f>Assumptions!Y113</f>
        <v>36637975.962726794</v>
      </c>
      <c r="Y6" s="1">
        <f>Assumptions!Z113</f>
        <v>36637975.962726794</v>
      </c>
      <c r="Z6" s="1">
        <f>Assumptions!AA113</f>
        <v>36637975.962726794</v>
      </c>
      <c r="AA6" s="1">
        <f>Assumptions!AB113</f>
        <v>36637975.962726794</v>
      </c>
      <c r="AB6" s="1">
        <f>Assumptions!AC113</f>
        <v>36637975.962726794</v>
      </c>
      <c r="AC6" s="1">
        <f>Assumptions!AD113</f>
        <v>36637975.962726794</v>
      </c>
      <c r="AD6" s="1">
        <f>Assumptions!AE113</f>
        <v>36637975.962726794</v>
      </c>
      <c r="AE6" s="1">
        <f>Assumptions!AF113</f>
        <v>36637975.962726794</v>
      </c>
      <c r="AF6" s="1">
        <f>Assumptions!AG113</f>
        <v>36637975.962726794</v>
      </c>
    </row>
    <row r="7" spans="1:32" x14ac:dyDescent="0.35">
      <c r="A7" t="s">
        <v>74</v>
      </c>
      <c r="C7" s="1">
        <f>Assumptions!D120</f>
        <v>879311.4231054429</v>
      </c>
      <c r="D7" s="1">
        <f>Assumptions!E120</f>
        <v>1758622.8462108858</v>
      </c>
      <c r="E7" s="1">
        <f>Assumptions!F120</f>
        <v>2637934.2693163287</v>
      </c>
      <c r="F7" s="1">
        <f>Assumptions!G120</f>
        <v>3517245.6924217716</v>
      </c>
      <c r="G7" s="1">
        <f>Assumptions!H120</f>
        <v>4396557.1155272154</v>
      </c>
      <c r="H7" s="1">
        <f>Assumptions!I120</f>
        <v>5275868.5386326583</v>
      </c>
      <c r="I7" s="1">
        <f>Assumptions!J120</f>
        <v>6155179.9617381012</v>
      </c>
      <c r="J7" s="1">
        <f>Assumptions!K120</f>
        <v>7034491.3848435432</v>
      </c>
      <c r="K7" s="1">
        <f>Assumptions!L120</f>
        <v>7913802.8079489861</v>
      </c>
      <c r="L7" s="1">
        <f>Assumptions!M120</f>
        <v>8793114.231054429</v>
      </c>
      <c r="M7" s="1">
        <f>Assumptions!N120</f>
        <v>9672425.6541598719</v>
      </c>
      <c r="N7" s="1">
        <f>Assumptions!O120</f>
        <v>10551737.077265315</v>
      </c>
      <c r="O7" s="1">
        <f>Assumptions!P120</f>
        <v>11431048.500370758</v>
      </c>
      <c r="P7" s="1">
        <f>Assumptions!Q120</f>
        <v>12310359.923476201</v>
      </c>
      <c r="Q7" s="1">
        <f>Assumptions!R120</f>
        <v>13189671.346581642</v>
      </c>
      <c r="R7" s="1">
        <f>Assumptions!S120</f>
        <v>14068982.769687086</v>
      </c>
      <c r="S7" s="1">
        <f>Assumptions!T120</f>
        <v>14948294.192792529</v>
      </c>
      <c r="T7" s="1">
        <f>Assumptions!U120</f>
        <v>15827605.615897972</v>
      </c>
      <c r="U7" s="1">
        <f>Assumptions!V120</f>
        <v>16706917.039003417</v>
      </c>
      <c r="V7" s="1">
        <f>Assumptions!W120</f>
        <v>17586228.462108862</v>
      </c>
      <c r="W7" s="1">
        <f>Assumptions!X120</f>
        <v>18465539.885214306</v>
      </c>
      <c r="X7" s="1">
        <f>Assumptions!Y120</f>
        <v>19344851.308319747</v>
      </c>
      <c r="Y7" s="1">
        <f>Assumptions!Z120</f>
        <v>20224162.731425192</v>
      </c>
      <c r="Z7" s="1">
        <f>Assumptions!AA120</f>
        <v>21103474.154530637</v>
      </c>
      <c r="AA7" s="1">
        <f>Assumptions!AB120</f>
        <v>21982785.577636082</v>
      </c>
      <c r="AB7" s="1">
        <f>Assumptions!AC120</f>
        <v>22862097.000741523</v>
      </c>
      <c r="AC7" s="1">
        <f>Assumptions!AD120</f>
        <v>23741408.423846971</v>
      </c>
      <c r="AD7" s="1">
        <f>Assumptions!AE120</f>
        <v>24620719.846952412</v>
      </c>
      <c r="AE7" s="1">
        <f>Assumptions!AF120</f>
        <v>25500031.270057857</v>
      </c>
      <c r="AF7" s="1">
        <f>Assumptions!AG120</f>
        <v>26379342.693163298</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18105062.01521923</v>
      </c>
      <c r="D11" s="1">
        <f>D5*D$9</f>
        <v>18684423.999706242</v>
      </c>
      <c r="E11" s="1">
        <f t="shared" ref="D11:AF13" si="1">E5*E$9</f>
        <v>19282325.567696843</v>
      </c>
      <c r="F11" s="1">
        <f t="shared" si="1"/>
        <v>19899359.985863142</v>
      </c>
      <c r="G11" s="1">
        <f t="shared" si="1"/>
        <v>20536139.505410764</v>
      </c>
      <c r="H11" s="1">
        <f t="shared" si="1"/>
        <v>21193295.969583906</v>
      </c>
      <c r="I11" s="1">
        <f t="shared" si="1"/>
        <v>21871481.440610588</v>
      </c>
      <c r="J11" s="1">
        <f t="shared" si="1"/>
        <v>22571368.846710131</v>
      </c>
      <c r="K11" s="1">
        <f t="shared" si="1"/>
        <v>23293652.649804857</v>
      </c>
      <c r="L11" s="1">
        <f t="shared" si="1"/>
        <v>24039049.534598608</v>
      </c>
      <c r="M11" s="1">
        <f t="shared" si="1"/>
        <v>24808299.119705763</v>
      </c>
      <c r="N11" s="1">
        <f t="shared" si="1"/>
        <v>25602164.691536348</v>
      </c>
      <c r="O11" s="1">
        <f t="shared" si="1"/>
        <v>26421433.961665515</v>
      </c>
      <c r="P11" s="1">
        <f t="shared" si="1"/>
        <v>27266919.848438807</v>
      </c>
      <c r="Q11" s="1">
        <f t="shared" si="1"/>
        <v>28139461.283588845</v>
      </c>
      <c r="R11" s="1">
        <f t="shared" si="1"/>
        <v>29039924.044663694</v>
      </c>
      <c r="S11" s="1">
        <f t="shared" si="1"/>
        <v>29969201.614092935</v>
      </c>
      <c r="T11" s="1">
        <f t="shared" si="1"/>
        <v>30928216.065743905</v>
      </c>
      <c r="U11" s="1">
        <f t="shared" si="1"/>
        <v>31917918.979847707</v>
      </c>
      <c r="V11" s="1">
        <f t="shared" si="1"/>
        <v>32939292.387202837</v>
      </c>
      <c r="W11" s="1">
        <f t="shared" si="1"/>
        <v>33993349.743593328</v>
      </c>
      <c r="X11" s="1">
        <f t="shared" si="1"/>
        <v>35081136.935388312</v>
      </c>
      <c r="Y11" s="1">
        <f t="shared" si="1"/>
        <v>36203733.317320734</v>
      </c>
      <c r="Z11" s="1">
        <f t="shared" si="1"/>
        <v>37362252.783474997</v>
      </c>
      <c r="AA11" s="1">
        <f t="shared" si="1"/>
        <v>38557844.872546211</v>
      </c>
      <c r="AB11" s="1">
        <f t="shared" si="1"/>
        <v>39791695.90846768</v>
      </c>
      <c r="AC11" s="1">
        <f t="shared" si="1"/>
        <v>41065030.177538641</v>
      </c>
      <c r="AD11" s="1">
        <f t="shared" si="1"/>
        <v>42379111.143219881</v>
      </c>
      <c r="AE11" s="1">
        <f t="shared" si="1"/>
        <v>43735242.69980292</v>
      </c>
      <c r="AF11" s="1">
        <f t="shared" si="1"/>
        <v>45134770.466196604</v>
      </c>
    </row>
    <row r="12" spans="1:32" x14ac:dyDescent="0.35">
      <c r="A12" t="s">
        <v>72</v>
      </c>
      <c r="C12" s="1">
        <f t="shared" ref="C12:R12" si="2">C6*C$9</f>
        <v>37810391.193534054</v>
      </c>
      <c r="D12" s="1">
        <f t="shared" si="2"/>
        <v>39020323.711727142</v>
      </c>
      <c r="E12" s="1">
        <f t="shared" si="2"/>
        <v>40268974.070502408</v>
      </c>
      <c r="F12" s="1">
        <f t="shared" si="2"/>
        <v>41557581.240758486</v>
      </c>
      <c r="G12" s="1">
        <f t="shared" si="2"/>
        <v>42887423.840462759</v>
      </c>
      <c r="H12" s="1">
        <f t="shared" si="2"/>
        <v>44259821.403357565</v>
      </c>
      <c r="I12" s="1">
        <f t="shared" si="2"/>
        <v>45676135.688264996</v>
      </c>
      <c r="J12" s="1">
        <f t="shared" si="2"/>
        <v>47137772.030289486</v>
      </c>
      <c r="K12" s="1">
        <f t="shared" si="2"/>
        <v>48646180.735258751</v>
      </c>
      <c r="L12" s="1">
        <f t="shared" si="2"/>
        <v>50202858.518787026</v>
      </c>
      <c r="M12" s="1">
        <f t="shared" si="2"/>
        <v>51809349.991388209</v>
      </c>
      <c r="N12" s="1">
        <f t="shared" si="2"/>
        <v>53467249.191112638</v>
      </c>
      <c r="O12" s="1">
        <f t="shared" si="2"/>
        <v>55178201.165228248</v>
      </c>
      <c r="P12" s="1">
        <f t="shared" si="2"/>
        <v>56943903.602515541</v>
      </c>
      <c r="Q12" s="1">
        <f t="shared" si="2"/>
        <v>58766108.517796025</v>
      </c>
      <c r="R12" s="1">
        <f t="shared" si="2"/>
        <v>60646623.990365513</v>
      </c>
      <c r="S12" s="1">
        <f t="shared" si="1"/>
        <v>62587315.958057217</v>
      </c>
      <c r="T12" s="1">
        <f t="shared" si="1"/>
        <v>64590110.068715036</v>
      </c>
      <c r="U12" s="1">
        <f t="shared" si="1"/>
        <v>66656993.590913914</v>
      </c>
      <c r="V12" s="1">
        <f t="shared" si="1"/>
        <v>68790017.38582316</v>
      </c>
      <c r="W12" s="1">
        <f t="shared" si="1"/>
        <v>70991297.942169517</v>
      </c>
      <c r="X12" s="1">
        <f t="shared" si="1"/>
        <v>73263019.476318926</v>
      </c>
      <c r="Y12" s="1">
        <f t="shared" si="1"/>
        <v>75607436.099561125</v>
      </c>
      <c r="Z12" s="1">
        <f t="shared" si="1"/>
        <v>78026874.054747075</v>
      </c>
      <c r="AA12" s="1">
        <f t="shared" si="1"/>
        <v>80523734.024499014</v>
      </c>
      <c r="AB12" s="1">
        <f t="shared" si="1"/>
        <v>83100493.513282955</v>
      </c>
      <c r="AC12" s="1">
        <f t="shared" si="1"/>
        <v>85759709.305708006</v>
      </c>
      <c r="AD12" s="1">
        <f t="shared" si="1"/>
        <v>88504020.003490672</v>
      </c>
      <c r="AE12" s="1">
        <f t="shared" si="1"/>
        <v>91336148.643602371</v>
      </c>
      <c r="AF12" s="1">
        <f t="shared" si="1"/>
        <v>94258905.40019764</v>
      </c>
    </row>
    <row r="13" spans="1:32" x14ac:dyDescent="0.35">
      <c r="A13" t="s">
        <v>75</v>
      </c>
      <c r="C13" s="1">
        <f>C7*C$9</f>
        <v>907449.38864481705</v>
      </c>
      <c r="D13" s="1">
        <f t="shared" si="1"/>
        <v>1872975.5381629025</v>
      </c>
      <c r="E13" s="1">
        <f t="shared" si="1"/>
        <v>2899366.1330761728</v>
      </c>
      <c r="F13" s="1">
        <f t="shared" si="1"/>
        <v>3989527.7991128135</v>
      </c>
      <c r="G13" s="1">
        <f t="shared" si="1"/>
        <v>5146490.8608555309</v>
      </c>
      <c r="H13" s="1">
        <f t="shared" si="1"/>
        <v>6373414.282083489</v>
      </c>
      <c r="I13" s="1">
        <f t="shared" si="1"/>
        <v>7673590.7956285197</v>
      </c>
      <c r="J13" s="1">
        <f t="shared" si="1"/>
        <v>9050452.22981558</v>
      </c>
      <c r="K13" s="1">
        <f t="shared" si="1"/>
        <v>10507575.03881589</v>
      </c>
      <c r="L13" s="1">
        <f t="shared" si="1"/>
        <v>12048686.044508884</v>
      </c>
      <c r="M13" s="1">
        <f t="shared" si="1"/>
        <v>13677668.397726486</v>
      </c>
      <c r="N13" s="1">
        <f t="shared" si="1"/>
        <v>15398567.767040435</v>
      </c>
      <c r="O13" s="1">
        <f t="shared" si="1"/>
        <v>17215598.763551209</v>
      </c>
      <c r="P13" s="1">
        <f t="shared" si="1"/>
        <v>19133151.610445216</v>
      </c>
      <c r="Q13" s="1">
        <f t="shared" si="1"/>
        <v>21155799.066406563</v>
      </c>
      <c r="R13" s="1">
        <f t="shared" si="1"/>
        <v>23288303.612300351</v>
      </c>
      <c r="S13" s="1">
        <f t="shared" si="1"/>
        <v>25535624.910887338</v>
      </c>
      <c r="T13" s="1">
        <f t="shared" si="1"/>
        <v>27902927.54968489</v>
      </c>
      <c r="U13" s="1">
        <f t="shared" si="1"/>
        <v>30395589.077456743</v>
      </c>
      <c r="V13" s="1">
        <f t="shared" si="1"/>
        <v>33019208.345195118</v>
      </c>
      <c r="W13" s="1">
        <f t="shared" si="1"/>
        <v>35779614.162853442</v>
      </c>
      <c r="X13" s="1">
        <f t="shared" si="1"/>
        <v>38682874.283496395</v>
      </c>
      <c r="Y13" s="1">
        <f t="shared" si="1"/>
        <v>41735304.726957746</v>
      </c>
      <c r="Z13" s="1">
        <f t="shared" si="1"/>
        <v>44943479.455534324</v>
      </c>
      <c r="AA13" s="1">
        <f t="shared" si="1"/>
        <v>48314240.41469942</v>
      </c>
      <c r="AB13" s="1">
        <f t="shared" si="1"/>
        <v>51854707.952288575</v>
      </c>
      <c r="AC13" s="1">
        <f t="shared" si="1"/>
        <v>55572291.630098812</v>
      </c>
      <c r="AD13" s="1">
        <f t="shared" si="1"/>
        <v>59474701.442345753</v>
      </c>
      <c r="AE13" s="1">
        <f t="shared" si="1"/>
        <v>63569959.455947272</v>
      </c>
      <c r="AF13" s="1">
        <f t="shared" si="1"/>
        <v>67866411.888142318</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56822902.597398102</v>
      </c>
      <c r="D25" s="40">
        <f>SUM(D11:D13,D18:D23)</f>
        <v>59577723.249596283</v>
      </c>
      <c r="E25" s="40">
        <f t="shared" ref="E25:AF25" si="7">SUM(E11:E13,E18:E23)</f>
        <v>62450665.771275431</v>
      </c>
      <c r="F25" s="40">
        <f t="shared" si="7"/>
        <v>65446469.025734439</v>
      </c>
      <c r="G25" s="40">
        <f t="shared" si="7"/>
        <v>68570054.206729054</v>
      </c>
      <c r="H25" s="40">
        <f t="shared" si="7"/>
        <v>71826531.655024961</v>
      </c>
      <c r="I25" s="40">
        <f t="shared" si="7"/>
        <v>75221207.924504101</v>
      </c>
      <c r="J25" s="40">
        <f t="shared" si="7"/>
        <v>78759593.106815189</v>
      </c>
      <c r="K25" s="40">
        <f t="shared" si="7"/>
        <v>82447408.423879489</v>
      </c>
      <c r="L25" s="40">
        <f t="shared" si="7"/>
        <v>86290594.09789452</v>
      </c>
      <c r="M25" s="40">
        <f t="shared" si="7"/>
        <v>90295317.508820459</v>
      </c>
      <c r="N25" s="40">
        <f t="shared" si="7"/>
        <v>94467981.649689421</v>
      </c>
      <c r="O25" s="40">
        <f t="shared" si="7"/>
        <v>98815233.890444964</v>
      </c>
      <c r="P25" s="40">
        <f t="shared" si="7"/>
        <v>103343975.06139956</v>
      </c>
      <c r="Q25" s="40">
        <f t="shared" si="7"/>
        <v>108061368.86779143</v>
      </c>
      <c r="R25" s="40">
        <f t="shared" si="7"/>
        <v>112974851.64732955</v>
      </c>
      <c r="S25" s="40">
        <f t="shared" si="7"/>
        <v>118092142.4830375</v>
      </c>
      <c r="T25" s="40">
        <f t="shared" si="7"/>
        <v>123421253.68414384</v>
      </c>
      <c r="U25" s="40">
        <f t="shared" si="7"/>
        <v>128970501.64821836</v>
      </c>
      <c r="V25" s="40">
        <f t="shared" si="7"/>
        <v>134748518.1182211</v>
      </c>
      <c r="W25" s="40">
        <f t="shared" si="7"/>
        <v>140764261.8486163</v>
      </c>
      <c r="X25" s="40">
        <f t="shared" si="7"/>
        <v>147027030.69520363</v>
      </c>
      <c r="Y25" s="40">
        <f t="shared" si="7"/>
        <v>153546474.1438396</v>
      </c>
      <c r="Z25" s="40">
        <f t="shared" si="7"/>
        <v>160332606.2937564</v>
      </c>
      <c r="AA25" s="40">
        <f t="shared" si="7"/>
        <v>167395819.31174463</v>
      </c>
      <c r="AB25" s="40">
        <f t="shared" si="7"/>
        <v>174746897.3740392</v>
      </c>
      <c r="AC25" s="40">
        <f t="shared" si="7"/>
        <v>182397031.11334547</v>
      </c>
      <c r="AD25" s="40">
        <f t="shared" si="7"/>
        <v>190357832.58905631</v>
      </c>
      <c r="AE25" s="40">
        <f t="shared" si="7"/>
        <v>198641350.79935259</v>
      </c>
      <c r="AF25" s="40">
        <f t="shared" si="7"/>
        <v>207260087.75453657</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topLeftCell="A16"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164</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38264865.105528913</v>
      </c>
      <c r="D5" s="59">
        <f>C5*('Price and Financial ratios'!F4+1)*(1+Assumptions!$C$13)</f>
        <v>50593245.53863775</v>
      </c>
      <c r="E5" s="59">
        <f>D5*('Price and Financial ratios'!G4+1)*(1+Assumptions!$C$13)</f>
        <v>59633874.04187423</v>
      </c>
      <c r="F5" s="59">
        <f>E5*('Price and Financial ratios'!H4+1)*(1+Assumptions!$C$13)</f>
        <v>68456342.134504497</v>
      </c>
      <c r="G5" s="59">
        <f>F5*('Price and Financial ratios'!I4+1)*(1+Assumptions!$C$13)</f>
        <v>78584040.593198583</v>
      </c>
      <c r="H5" s="59">
        <f>G5*('Price and Financial ratios'!J4+1)*(1+Assumptions!$C$13)</f>
        <v>88599176.18059881</v>
      </c>
      <c r="I5" s="59">
        <f>H5*('Price and Financial ratios'!K4+1)*(1+Assumptions!$C$13)</f>
        <v>95350203.872730166</v>
      </c>
      <c r="J5" s="59">
        <f>I5*('Price and Financial ratios'!L4+1)*(1+Assumptions!$C$13)</f>
        <v>101638350.55295496</v>
      </c>
      <c r="K5" s="59">
        <f>J5*('Price and Financial ratios'!M4+1)*(1+Assumptions!$C$13)</f>
        <v>108341187.36561826</v>
      </c>
      <c r="L5" s="59">
        <f>K5*('Price and Financial ratios'!N4+1)*(1+Assumptions!$C$13)</f>
        <v>115486062.25832485</v>
      </c>
      <c r="M5" s="59">
        <f>L5*('Price and Financial ratios'!O4+1)*(1+Assumptions!$C$13)</f>
        <v>123102126.7186716</v>
      </c>
      <c r="N5" s="59">
        <f>M5*('Price and Financial ratios'!P4+1)*(1+Assumptions!$C$13)</f>
        <v>129958719.57246076</v>
      </c>
      <c r="O5" s="59">
        <f>N5*('Price and Financial ratios'!Q4+1)*(1+Assumptions!$C$13)</f>
        <v>137197213.75334942</v>
      </c>
      <c r="P5" s="59">
        <f>O5*('Price and Financial ratios'!R4+1)*(1+Assumptions!$C$13)</f>
        <v>144838880.55843085</v>
      </c>
      <c r="Q5" s="59">
        <f>P5*('Price and Financial ratios'!S4+1)*(1+Assumptions!$C$13)</f>
        <v>152906176.06224713</v>
      </c>
      <c r="R5" s="59">
        <f>Q5*('Price and Financial ratios'!T4+1)*(1+Assumptions!$C$13)</f>
        <v>161422807.10701048</v>
      </c>
      <c r="S5" s="59">
        <f>R5*('Price and Financial ratios'!U4+1)*(1+Assumptions!$C$13)</f>
        <v>170413800.96837518</v>
      </c>
      <c r="T5" s="59">
        <f>S5*('Price and Financial ratios'!V4+1)*(1+Assumptions!$C$13)</f>
        <v>179032250.84856218</v>
      </c>
      <c r="U5" s="59">
        <f>T5*('Price and Financial ratios'!W4+1)*(1+Assumptions!$C$13)</f>
        <v>188086567.29539585</v>
      </c>
      <c r="V5" s="59">
        <f>U5*('Price and Financial ratios'!X4+1)*(1+Assumptions!$C$13)</f>
        <v>197598793.67706439</v>
      </c>
      <c r="W5" s="59">
        <f>V5*('Price and Financial ratios'!Y4+1)*(1+Assumptions!$C$13)</f>
        <v>207592088.17559642</v>
      </c>
      <c r="X5" s="59">
        <f>W5*('Price and Financial ratios'!Z4+1)*(1+Assumptions!$C$13)</f>
        <v>218090780.16707873</v>
      </c>
      <c r="Y5" s="59">
        <f>X5*('Price and Financial ratios'!AA4+1)*(1+Assumptions!$C$13)</f>
        <v>229120429.45322815</v>
      </c>
      <c r="Z5" s="59">
        <f>Y5*('Price and Financial ratios'!AB4+1)*(1+Assumptions!$C$13)</f>
        <v>240003377.59538373</v>
      </c>
      <c r="AA5" s="59">
        <f>Z5*('Price and Financial ratios'!AC4+1)*(1+Assumptions!$C$13)</f>
        <v>251403252.84241378</v>
      </c>
      <c r="AB5" s="59">
        <f>AA5*('Price and Financial ratios'!AD4+1)*(1+Assumptions!$C$13)</f>
        <v>263344608.61755097</v>
      </c>
      <c r="AC5" s="59">
        <f>AB5*('Price and Financial ratios'!AE4+1)*(1+Assumptions!$C$13)</f>
        <v>275853164.6024555</v>
      </c>
      <c r="AD5" s="59">
        <f>AC5*('Price and Financial ratios'!AF4+1)*(1+Assumptions!$C$13)</f>
        <v>288955862.13310444</v>
      </c>
      <c r="AE5" s="59">
        <f>AD5*('Price and Financial ratios'!AG4+1)*(1+Assumptions!$C$13)</f>
        <v>302680922.22692025</v>
      </c>
      <c r="AF5" s="59">
        <f>AE5*('Price and Financial ratios'!AH4+1)*(1+Assumptions!$C$13)</f>
        <v>317057906.36611867</v>
      </c>
    </row>
    <row r="6" spans="1:32" s="11" customFormat="1" x14ac:dyDescent="0.35">
      <c r="A6" s="11" t="s">
        <v>20</v>
      </c>
      <c r="C6" s="59">
        <f>C27</f>
        <v>15840678.647827379</v>
      </c>
      <c r="D6" s="59">
        <f t="shared" ref="D6:AF6" si="1">D27</f>
        <v>17712482.117224321</v>
      </c>
      <c r="E6" s="59">
        <f>E27</f>
        <v>19668547.121169899</v>
      </c>
      <c r="F6" s="59">
        <f t="shared" si="1"/>
        <v>21712129.733776558</v>
      </c>
      <c r="G6" s="59">
        <f t="shared" si="1"/>
        <v>23846610.102969781</v>
      </c>
      <c r="H6" s="59">
        <f t="shared" si="1"/>
        <v>26075497.359254226</v>
      </c>
      <c r="I6" s="59">
        <f t="shared" si="1"/>
        <v>28402434.729121927</v>
      </c>
      <c r="J6" s="59">
        <f t="shared" si="1"/>
        <v>30831204.862044498</v>
      </c>
      <c r="K6" s="59">
        <f t="shared" si="1"/>
        <v>33365735.380395569</v>
      </c>
      <c r="L6" s="59">
        <f t="shared" si="1"/>
        <v>36010104.662072912</v>
      </c>
      <c r="M6" s="59">
        <f t="shared" si="1"/>
        <v>38768547.866031669</v>
      </c>
      <c r="N6" s="59">
        <f t="shared" si="1"/>
        <v>41645463.211403824</v>
      </c>
      <c r="O6" s="59">
        <f t="shared" si="1"/>
        <v>44645418.521362901</v>
      </c>
      <c r="P6" s="59">
        <f t="shared" si="1"/>
        <v>47773158.043399967</v>
      </c>
      <c r="Q6" s="59">
        <f t="shared" si="1"/>
        <v>51033609.558207482</v>
      </c>
      <c r="R6" s="59">
        <f t="shared" si="1"/>
        <v>54431891.789922118</v>
      </c>
      <c r="S6" s="59">
        <f t="shared" si="1"/>
        <v>57973322.131058708</v>
      </c>
      <c r="T6" s="59">
        <f t="shared" si="1"/>
        <v>61663424.696074851</v>
      </c>
      <c r="U6" s="59">
        <f t="shared" si="1"/>
        <v>65507938.718141653</v>
      </c>
      <c r="V6" s="59">
        <f t="shared" si="1"/>
        <v>69512827.304361343</v>
      </c>
      <c r="W6" s="59">
        <f t="shared" si="1"/>
        <v>73684286.565368608</v>
      </c>
      <c r="X6" s="59">
        <f t="shared" si="1"/>
        <v>78028755.135981828</v>
      </c>
      <c r="Y6" s="59">
        <f t="shared" si="1"/>
        <v>82552924.104331747</v>
      </c>
      <c r="Z6" s="59">
        <f t="shared" si="1"/>
        <v>87263747.367694259</v>
      </c>
      <c r="AA6" s="59">
        <f t="shared" si="1"/>
        <v>92168452.43408832</v>
      </c>
      <c r="AB6" s="59">
        <f t="shared" si="1"/>
        <v>97274551.689574748</v>
      </c>
      <c r="AC6" s="59">
        <f t="shared" si="1"/>
        <v>102589854.15210557</v>
      </c>
      <c r="AD6" s="59">
        <f t="shared" si="1"/>
        <v>108122477.73373178</v>
      </c>
      <c r="AE6" s="59">
        <f t="shared" si="1"/>
        <v>113880862.03397909</v>
      </c>
      <c r="AF6" s="59">
        <f t="shared" si="1"/>
        <v>119873781.6882498</v>
      </c>
    </row>
    <row r="7" spans="1:32" x14ac:dyDescent="0.35">
      <c r="A7" t="s">
        <v>21</v>
      </c>
      <c r="C7" s="4">
        <f>Depreciation!C8+Depreciation!C9</f>
        <v>19012511.403864048</v>
      </c>
      <c r="D7" s="4">
        <f>Depreciation!D8+Depreciation!D9</f>
        <v>20557399.537869144</v>
      </c>
      <c r="E7" s="4">
        <f>Depreciation!E8+Depreciation!E9</f>
        <v>22181691.700773016</v>
      </c>
      <c r="F7" s="4">
        <f>Depreciation!F8+Depreciation!F9</f>
        <v>23888887.784975953</v>
      </c>
      <c r="G7" s="4">
        <f>Depreciation!G8+Depreciation!G9</f>
        <v>25682630.366266295</v>
      </c>
      <c r="H7" s="4">
        <f>Depreciation!H8+Depreciation!H9</f>
        <v>27566710.251667395</v>
      </c>
      <c r="I7" s="4">
        <f>Depreciation!I8+Depreciation!I9</f>
        <v>29545072.236239105</v>
      </c>
      <c r="J7" s="4">
        <f>Depreciation!J8+Depreciation!J9</f>
        <v>31621821.076525711</v>
      </c>
      <c r="K7" s="4">
        <f>Depreciation!K8+Depreciation!K9</f>
        <v>33801227.688620746</v>
      </c>
      <c r="L7" s="4">
        <f>Depreciation!L8+Depreciation!L9</f>
        <v>36087735.579107493</v>
      </c>
      <c r="M7" s="4">
        <f>Depreciation!M8+Depreciation!M9</f>
        <v>38485967.51743225</v>
      </c>
      <c r="N7" s="4">
        <f>Depreciation!N8+Depreciation!N9</f>
        <v>41000732.458576784</v>
      </c>
      <c r="O7" s="4">
        <f>Depreciation!O8+Depreciation!O9</f>
        <v>43637032.725216724</v>
      </c>
      <c r="P7" s="4">
        <f>Depreciation!P8+Depreciation!P9</f>
        <v>46400071.458884023</v>
      </c>
      <c r="Q7" s="4">
        <f>Depreciation!Q8+Depreciation!Q9</f>
        <v>49295260.349995404</v>
      </c>
      <c r="R7" s="4">
        <f>Depreciation!R8+Depreciation!R9</f>
        <v>52328227.656964049</v>
      </c>
      <c r="S7" s="4">
        <f>Depreciation!S8+Depreciation!S9</f>
        <v>55504826.524980277</v>
      </c>
      <c r="T7" s="4">
        <f>Depreciation!T8+Depreciation!T9</f>
        <v>58831143.61542879</v>
      </c>
      <c r="U7" s="4">
        <f>Depreciation!U8+Depreciation!U9</f>
        <v>62313508.057304449</v>
      </c>
      <c r="V7" s="4">
        <f>Depreciation!V8+Depreciation!V9</f>
        <v>65958500.732397959</v>
      </c>
      <c r="W7" s="4">
        <f>Depreciation!W8+Depreciation!W9</f>
        <v>69772963.90644677</v>
      </c>
      <c r="X7" s="4">
        <f>Depreciation!X8+Depreciation!X9</f>
        <v>73764011.218884706</v>
      </c>
      <c r="Y7" s="4">
        <f>Depreciation!Y8+Depreciation!Y9</f>
        <v>77939038.044278473</v>
      </c>
      <c r="Z7" s="4">
        <f>Depreciation!Z8+Depreciation!Z9</f>
        <v>82305732.239009321</v>
      </c>
      <c r="AA7" s="4">
        <f>Depreciation!AA8+Depreciation!AA9</f>
        <v>86872085.287245631</v>
      </c>
      <c r="AB7" s="4">
        <f>Depreciation!AB8+Depreciation!AB9</f>
        <v>91646403.860756248</v>
      </c>
      <c r="AC7" s="4">
        <f>Depreciation!AC8+Depreciation!AC9</f>
        <v>96637321.807637453</v>
      </c>
      <c r="AD7" s="4">
        <f>Depreciation!AD8+Depreciation!AD9</f>
        <v>101853812.58556563</v>
      </c>
      <c r="AE7" s="4">
        <f>Depreciation!AE8+Depreciation!AE9</f>
        <v>107305202.15575019</v>
      </c>
      <c r="AF7" s="4">
        <f>Depreciation!AF8+Depreciation!AF9</f>
        <v>113001182.35433891</v>
      </c>
    </row>
    <row r="8" spans="1:32" x14ac:dyDescent="0.35">
      <c r="A8" t="s">
        <v>6</v>
      </c>
      <c r="C8" s="4">
        <f ca="1">'Debt worksheet'!C8</f>
        <v>3862865.3522169744</v>
      </c>
      <c r="D8" s="4">
        <f ca="1">'Debt worksheet'!D8</f>
        <v>4971252.7939931341</v>
      </c>
      <c r="E8" s="4">
        <f ca="1">'Debt worksheet'!E8</f>
        <v>5967087.7241068631</v>
      </c>
      <c r="F8" s="4">
        <f ca="1">'Debt worksheet'!F8</f>
        <v>6861830.7834011298</v>
      </c>
      <c r="G8" s="4">
        <f ca="1">'Debt worksheet'!G8</f>
        <v>7612406.8533457387</v>
      </c>
      <c r="H8" s="4">
        <f ca="1">'Debt worksheet'!H8</f>
        <v>8225913.6813725932</v>
      </c>
      <c r="I8" s="4">
        <f ca="1">'Debt worksheet'!I8</f>
        <v>8824335.7914030552</v>
      </c>
      <c r="J8" s="4">
        <f ca="1">'Debt worksheet'!J8</f>
        <v>9432820.1564349439</v>
      </c>
      <c r="K8" s="4">
        <f ca="1">'Debt worksheet'!K8</f>
        <v>10045946.768692158</v>
      </c>
      <c r="L8" s="4">
        <f ca="1">'Debt worksheet'!L8</f>
        <v>10657470.514248339</v>
      </c>
      <c r="M8" s="4">
        <f ca="1">'Debt worksheet'!M8</f>
        <v>11260239.758771664</v>
      </c>
      <c r="N8" s="4">
        <f ca="1">'Debt worksheet'!N8</f>
        <v>11891870.615413265</v>
      </c>
      <c r="O8" s="4">
        <f ca="1">'Debt worksheet'!O8</f>
        <v>12550353.335190997</v>
      </c>
      <c r="P8" s="4">
        <f ca="1">'Debt worksheet'!P8</f>
        <v>13233256.13918539</v>
      </c>
      <c r="Q8" s="4">
        <f ca="1">'Debt worksheet'!Q8</f>
        <v>13937683.131519899</v>
      </c>
      <c r="R8" s="4">
        <f ca="1">'Debt worksheet'!R8</f>
        <v>14660228.915107088</v>
      </c>
      <c r="S8" s="4">
        <f ca="1">'Debt worksheet'!S8</f>
        <v>15396929.681561993</v>
      </c>
      <c r="T8" s="4">
        <f ca="1">'Debt worksheet'!T8</f>
        <v>16174885.642663183</v>
      </c>
      <c r="U8" s="4">
        <f ca="1">'Debt worksheet'!U8</f>
        <v>16993369.119323242</v>
      </c>
      <c r="V8" s="4">
        <f ca="1">'Debt worksheet'!V8</f>
        <v>17851355.886441838</v>
      </c>
      <c r="W8" s="4">
        <f ca="1">'Debt worksheet'!W8</f>
        <v>18747494.295114443</v>
      </c>
      <c r="X8" s="4">
        <f ca="1">'Debt worksheet'!X8</f>
        <v>19680072.013842672</v>
      </c>
      <c r="Y8" s="4">
        <f ca="1">'Debt worksheet'!Y8</f>
        <v>20646980.229705371</v>
      </c>
      <c r="Z8" s="4">
        <f ca="1">'Debt worksheet'!Z8</f>
        <v>21671227.349241156</v>
      </c>
      <c r="AA8" s="4">
        <f ca="1">'Debt worksheet'!AA8</f>
        <v>22753225.917990491</v>
      </c>
      <c r="AB8" s="4">
        <f ca="1">'Debt worksheet'!AB8</f>
        <v>23893176.511505384</v>
      </c>
      <c r="AC8" s="4">
        <f ca="1">'Debt worksheet'!AC8</f>
        <v>25091043.248404384</v>
      </c>
      <c r="AD8" s="4">
        <f ca="1">'Debt worksheet'!AD8</f>
        <v>26346527.393827263</v>
      </c>
      <c r="AE8" s="4">
        <f ca="1">'Debt worksheet'!AE8</f>
        <v>27659038.92751468</v>
      </c>
      <c r="AF8" s="4">
        <f ca="1">'Debt worksheet'!AF8</f>
        <v>29027665.943210416</v>
      </c>
    </row>
    <row r="9" spans="1:32" x14ac:dyDescent="0.35">
      <c r="A9" t="s">
        <v>22</v>
      </c>
      <c r="C9" s="4">
        <f ca="1">C5-C6-C7-C8</f>
        <v>-451190.29837948876</v>
      </c>
      <c r="D9" s="4">
        <f t="shared" ref="D9:AF9" ca="1" si="2">D5-D6-D7-D8</f>
        <v>7352111.0895511508</v>
      </c>
      <c r="E9" s="4">
        <f t="shared" ca="1" si="2"/>
        <v>11816547.495824456</v>
      </c>
      <c r="F9" s="4">
        <f t="shared" ca="1" si="2"/>
        <v>15993493.832350859</v>
      </c>
      <c r="G9" s="4">
        <f t="shared" ca="1" si="2"/>
        <v>21442393.27061677</v>
      </c>
      <c r="H9" s="4">
        <f t="shared" ca="1" si="2"/>
        <v>26731054.888304595</v>
      </c>
      <c r="I9" s="4">
        <f t="shared" ca="1" si="2"/>
        <v>28578361.115966082</v>
      </c>
      <c r="J9" s="4">
        <f t="shared" ca="1" si="2"/>
        <v>29752504.457949802</v>
      </c>
      <c r="K9" s="4">
        <f t="shared" ca="1" si="2"/>
        <v>31128277.527909793</v>
      </c>
      <c r="L9" s="4">
        <f t="shared" ca="1" si="2"/>
        <v>32730751.5028961</v>
      </c>
      <c r="M9" s="4">
        <f t="shared" ca="1" si="2"/>
        <v>34587371.576436028</v>
      </c>
      <c r="N9" s="4">
        <f t="shared" ca="1" si="2"/>
        <v>35420653.287066877</v>
      </c>
      <c r="O9" s="4">
        <f t="shared" ca="1" si="2"/>
        <v>36364409.171578802</v>
      </c>
      <c r="P9" s="4">
        <f t="shared" ca="1" si="2"/>
        <v>37432394.916961476</v>
      </c>
      <c r="Q9" s="4">
        <f t="shared" ca="1" si="2"/>
        <v>38639623.022524342</v>
      </c>
      <c r="R9" s="4">
        <f t="shared" ca="1" si="2"/>
        <v>40002458.745017231</v>
      </c>
      <c r="S9" s="4">
        <f t="shared" ca="1" si="2"/>
        <v>41538722.6307742</v>
      </c>
      <c r="T9" s="4">
        <f t="shared" ca="1" si="2"/>
        <v>42362796.894395366</v>
      </c>
      <c r="U9" s="4">
        <f t="shared" ca="1" si="2"/>
        <v>43271751.40062651</v>
      </c>
      <c r="V9" s="4">
        <f t="shared" ca="1" si="2"/>
        <v>44276109.753863245</v>
      </c>
      <c r="W9" s="4">
        <f t="shared" ca="1" si="2"/>
        <v>45387343.408666596</v>
      </c>
      <c r="X9" s="4">
        <f t="shared" ca="1" si="2"/>
        <v>46617941.798369527</v>
      </c>
      <c r="Y9" s="4">
        <f t="shared" ca="1" si="2"/>
        <v>47981487.074912541</v>
      </c>
      <c r="Z9" s="4">
        <f t="shared" ca="1" si="2"/>
        <v>48762670.639439002</v>
      </c>
      <c r="AA9" s="4">
        <f t="shared" ca="1" si="2"/>
        <v>49609489.203089342</v>
      </c>
      <c r="AB9" s="4">
        <f t="shared" ca="1" si="2"/>
        <v>50530476.555714592</v>
      </c>
      <c r="AC9" s="4">
        <f t="shared" ca="1" si="2"/>
        <v>51534945.39430809</v>
      </c>
      <c r="AD9" s="4">
        <f t="shared" ca="1" si="2"/>
        <v>52633044.419979781</v>
      </c>
      <c r="AE9" s="4">
        <f t="shared" ca="1" si="2"/>
        <v>53835819.109676294</v>
      </c>
      <c r="AF9" s="4">
        <f t="shared" ca="1" si="2"/>
        <v>55155276.380319543</v>
      </c>
    </row>
    <row r="12" spans="1:32" x14ac:dyDescent="0.35">
      <c r="A12" t="s">
        <v>80</v>
      </c>
      <c r="C12" s="2">
        <f>Assumptions!$C$25*Assumptions!D9*Assumptions!D13</f>
        <v>14717358.304810176</v>
      </c>
      <c r="D12" s="2">
        <f>Assumptions!$C$25*Assumptions!E9*Assumptions!E13</f>
        <v>15416415.336097158</v>
      </c>
      <c r="E12" s="2">
        <f>Assumptions!$C$25*Assumptions!F9*Assumptions!F13</f>
        <v>16148676.745701956</v>
      </c>
      <c r="F12" s="2">
        <f>Assumptions!$C$25*Assumptions!G9*Assumptions!G13</f>
        <v>16915719.702138908</v>
      </c>
      <c r="G12" s="2">
        <f>Assumptions!$C$25*Assumptions!H9*Assumptions!H13</f>
        <v>17719196.287552681</v>
      </c>
      <c r="H12" s="2">
        <f>Assumptions!$C$25*Assumptions!I9*Assumptions!I13</f>
        <v>18560837.056026697</v>
      </c>
      <c r="I12" s="2">
        <f>Assumptions!$C$25*Assumptions!J9*Assumptions!J13</f>
        <v>19442454.760906972</v>
      </c>
      <c r="J12" s="2">
        <f>Assumptions!$C$25*Assumptions!K9*Assumptions!K13</f>
        <v>20365948.259169426</v>
      </c>
      <c r="K12" s="2">
        <f>Assumptions!$C$25*Assumptions!L9*Assumptions!L13</f>
        <v>21333306.601239961</v>
      </c>
      <c r="L12" s="2">
        <f>Assumptions!$C$25*Assumptions!M9*Assumptions!M13</f>
        <v>22346613.31507621</v>
      </c>
      <c r="M12" s="2">
        <f>Assumptions!$C$25*Assumptions!N9*Assumptions!N13</f>
        <v>23408050.893737976</v>
      </c>
      <c r="N12" s="2">
        <f>Assumptions!$C$25*Assumptions!O9*Assumptions!O13</f>
        <v>24519905.496112019</v>
      </c>
      <c r="O12" s="2">
        <f>Assumptions!$C$25*Assumptions!P9*Assumptions!P13</f>
        <v>25684571.870915651</v>
      </c>
      <c r="P12" s="2">
        <f>Assumptions!$C$25*Assumptions!Q9*Assumptions!Q13</f>
        <v>26904558.514584649</v>
      </c>
      <c r="Q12" s="2">
        <f>Assumptions!$C$25*Assumptions!R9*Assumptions!R13</f>
        <v>28182493.074154709</v>
      </c>
      <c r="R12" s="2">
        <f>Assumptions!$C$25*Assumptions!S9*Assumptions!S13</f>
        <v>29521128.00677339</v>
      </c>
      <c r="S12" s="2">
        <f>Assumptions!$C$25*Assumptions!T9*Assumptions!T13</f>
        <v>30923346.508032072</v>
      </c>
      <c r="T12" s="2">
        <f>Assumptions!$C$25*Assumptions!U9*Assumptions!U13</f>
        <v>32392168.721886735</v>
      </c>
      <c r="U12" s="2">
        <f>Assumptions!$C$25*Assumptions!V9*Assumptions!V13</f>
        <v>33930758.245542496</v>
      </c>
      <c r="V12" s="2">
        <f>Assumptions!$C$25*Assumptions!W9*Assumptions!W13</f>
        <v>35542428.943312556</v>
      </c>
      <c r="W12" s="2">
        <f>Assumptions!$C$25*Assumptions!X9*Assumptions!X13</f>
        <v>37230652.084127158</v>
      </c>
      <c r="X12" s="2">
        <f>Assumptions!$C$25*Assumptions!Y9*Assumptions!Y13</f>
        <v>38999063.818065986</v>
      </c>
      <c r="Y12" s="2">
        <f>Assumptions!$C$25*Assumptions!Z9*Assumptions!Z13</f>
        <v>40851473.008016758</v>
      </c>
      <c r="Z12" s="2">
        <f>Assumptions!$C$25*Assumptions!AA9*Assumptions!AA13</f>
        <v>42791869.433328412</v>
      </c>
      <c r="AA12" s="2">
        <f>Assumptions!$C$25*Assumptions!AB9*Assumptions!AB13</f>
        <v>44824432.383128017</v>
      </c>
      <c r="AB12" s="2">
        <f>Assumptions!$C$25*Assumptions!AC9*Assumptions!AC13</f>
        <v>46953539.65781007</v>
      </c>
      <c r="AC12" s="2">
        <f>Assumptions!$C$25*Assumptions!AD9*Assumptions!AD13</f>
        <v>49183776.99808576</v>
      </c>
      <c r="AD12" s="2">
        <f>Assumptions!$C$25*Assumptions!AE9*Assumptions!AE13</f>
        <v>51519947.961901009</v>
      </c>
      <c r="AE12" s="2">
        <f>Assumptions!$C$25*Assumptions!AF9*Assumptions!AF13</f>
        <v>53967084.270496227</v>
      </c>
      <c r="AF12" s="2">
        <f>Assumptions!$C$25*Assumptions!AG9*Assumptions!AG13</f>
        <v>56530456.645891696</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1123320.3430172035</v>
      </c>
      <c r="D14" s="5">
        <f>Assumptions!E122*Assumptions!E9</f>
        <v>2296066.7811271641</v>
      </c>
      <c r="E14" s="5">
        <f>Assumptions!F122*Assumptions!F9</f>
        <v>3519870.3754679421</v>
      </c>
      <c r="F14" s="5">
        <f>Assumptions!G122*Assumptions!G9</f>
        <v>4796410.03163765</v>
      </c>
      <c r="G14" s="5">
        <f>Assumptions!H122*Assumptions!H9</f>
        <v>6127413.8154170979</v>
      </c>
      <c r="H14" s="5">
        <f>Assumptions!I122*Assumptions!I9</f>
        <v>7514660.303227528</v>
      </c>
      <c r="I14" s="5">
        <f>Assumptions!J122*Assumptions!J9</f>
        <v>8959979.9682149552</v>
      </c>
      <c r="J14" s="5">
        <f>Assumptions!K122*Assumptions!K9</f>
        <v>10465256.602875071</v>
      </c>
      <c r="K14" s="5">
        <f>Assumptions!L122*Assumptions!L9</f>
        <v>12032428.77915561</v>
      </c>
      <c r="L14" s="5">
        <f>Assumptions!M122*Assumptions!M9</f>
        <v>13663491.346996704</v>
      </c>
      <c r="M14" s="5">
        <f>Assumptions!N122*Assumptions!N9</f>
        <v>15360496.972293695</v>
      </c>
      <c r="N14" s="5">
        <f>Assumptions!O122*Assumptions!O9</f>
        <v>17125557.715291806</v>
      </c>
      <c r="O14" s="5">
        <f>Assumptions!P122*Assumptions!P9</f>
        <v>18960846.650447246</v>
      </c>
      <c r="P14" s="5">
        <f>Assumptions!Q122*Assumptions!Q9</f>
        <v>20868599.528815318</v>
      </c>
      <c r="Q14" s="5">
        <f>Assumptions!R122*Assumptions!R9</f>
        <v>22851116.484052774</v>
      </c>
      <c r="R14" s="5">
        <f>Assumptions!S122*Assumptions!S9</f>
        <v>24910763.783148732</v>
      </c>
      <c r="S14" s="5">
        <f>Assumptions!T122*Assumptions!T9</f>
        <v>27049975.623026632</v>
      </c>
      <c r="T14" s="5">
        <f>Assumptions!U122*Assumptions!U9</f>
        <v>29271255.974188115</v>
      </c>
      <c r="U14" s="5">
        <f>Assumptions!V122*Assumptions!V9</f>
        <v>31577180.472599156</v>
      </c>
      <c r="V14" s="5">
        <f>Assumptions!W122*Assumptions!W9</f>
        <v>33970398.361048788</v>
      </c>
      <c r="W14" s="5">
        <f>Assumptions!X122*Assumptions!X9</f>
        <v>36453634.48124145</v>
      </c>
      <c r="X14" s="5">
        <f>Assumptions!Y122*Assumptions!Y9</f>
        <v>39029691.317915849</v>
      </c>
      <c r="Y14" s="5">
        <f>Assumptions!Z122*Assumptions!Z9</f>
        <v>41701451.096314989</v>
      </c>
      <c r="Z14" s="5">
        <f>Assumptions!AA122*Assumptions!AA9</f>
        <v>44471877.934365839</v>
      </c>
      <c r="AA14" s="5">
        <f>Assumptions!AB122*Assumptions!AB9</f>
        <v>47344020.050960302</v>
      </c>
      <c r="AB14" s="5">
        <f>Assumptions!AC122*Assumptions!AC9</f>
        <v>50321012.031764686</v>
      </c>
      <c r="AC14" s="5">
        <f>Assumptions!AD122*Assumptions!AD9</f>
        <v>53406077.154019803</v>
      </c>
      <c r="AD14" s="5">
        <f>Assumptions!AE122*Assumptions!AE9</f>
        <v>56602529.77183076</v>
      </c>
      <c r="AE14" s="5">
        <f>Assumptions!AF122*Assumptions!AF9</f>
        <v>59913777.763482869</v>
      </c>
      <c r="AF14" s="5">
        <f>Assumptions!AG122*Assumptions!AG9</f>
        <v>63343325.042358093</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195</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15840678.647827379</v>
      </c>
      <c r="D27" s="2">
        <f t="shared" ref="D27:AF27" si="8">D12+D13+D14+D19+D20+D22+D24+D25</f>
        <v>17712482.117224321</v>
      </c>
      <c r="E27" s="2">
        <f t="shared" si="8"/>
        <v>19668547.121169899</v>
      </c>
      <c r="F27" s="2">
        <f t="shared" si="8"/>
        <v>21712129.733776558</v>
      </c>
      <c r="G27" s="2">
        <f t="shared" si="8"/>
        <v>23846610.102969781</v>
      </c>
      <c r="H27" s="2">
        <f t="shared" si="8"/>
        <v>26075497.359254226</v>
      </c>
      <c r="I27" s="2">
        <f t="shared" si="8"/>
        <v>28402434.729121927</v>
      </c>
      <c r="J27" s="2">
        <f t="shared" si="8"/>
        <v>30831204.862044498</v>
      </c>
      <c r="K27" s="2">
        <f t="shared" si="8"/>
        <v>33365735.380395569</v>
      </c>
      <c r="L27" s="2">
        <f t="shared" si="8"/>
        <v>36010104.662072912</v>
      </c>
      <c r="M27" s="2">
        <f t="shared" si="8"/>
        <v>38768547.866031669</v>
      </c>
      <c r="N27" s="2">
        <f t="shared" si="8"/>
        <v>41645463.211403824</v>
      </c>
      <c r="O27" s="2">
        <f t="shared" si="8"/>
        <v>44645418.521362901</v>
      </c>
      <c r="P27" s="2">
        <f t="shared" si="8"/>
        <v>47773158.043399967</v>
      </c>
      <c r="Q27" s="2">
        <f t="shared" si="8"/>
        <v>51033609.558207482</v>
      </c>
      <c r="R27" s="2">
        <f t="shared" si="8"/>
        <v>54431891.789922118</v>
      </c>
      <c r="S27" s="2">
        <f t="shared" si="8"/>
        <v>57973322.131058708</v>
      </c>
      <c r="T27" s="2">
        <f t="shared" si="8"/>
        <v>61663424.696074851</v>
      </c>
      <c r="U27" s="2">
        <f t="shared" si="8"/>
        <v>65507938.718141653</v>
      </c>
      <c r="V27" s="2">
        <f t="shared" si="8"/>
        <v>69512827.304361343</v>
      </c>
      <c r="W27" s="2">
        <f t="shared" si="8"/>
        <v>73684286.565368608</v>
      </c>
      <c r="X27" s="2">
        <f t="shared" si="8"/>
        <v>78028755.135981828</v>
      </c>
      <c r="Y27" s="2">
        <f t="shared" si="8"/>
        <v>82552924.104331747</v>
      </c>
      <c r="Z27" s="2">
        <f t="shared" si="8"/>
        <v>87263747.367694259</v>
      </c>
      <c r="AA27" s="2">
        <f t="shared" si="8"/>
        <v>92168452.43408832</v>
      </c>
      <c r="AB27" s="2">
        <f t="shared" si="8"/>
        <v>97274551.689574748</v>
      </c>
      <c r="AC27" s="2">
        <f t="shared" si="8"/>
        <v>102589854.15210557</v>
      </c>
      <c r="AD27" s="2">
        <f t="shared" si="8"/>
        <v>108122477.73373178</v>
      </c>
      <c r="AE27" s="2">
        <f t="shared" si="8"/>
        <v>113880862.03397909</v>
      </c>
      <c r="AF27" s="2">
        <f t="shared" si="8"/>
        <v>119873781.6882498</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3W2DU3RAJ5R2-1900874439-875</_dlc_DocId>
    <_dlc_DocIdUrl xmlns="f54e2983-00ce-40fc-8108-18f351fc47bf">
      <Url>https://dia.cohesion.net.nz/Sites/LGV/TWRP/CAE/_layouts/15/DocIdRedir.aspx?ID=3W2DU3RAJ5R2-1900874439-875</Url>
      <Description>3W2DU3RAJ5R2-1900874439-875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3.xml><?xml version="1.0" encoding="utf-8"?>
<ds:datastoreItem xmlns:ds="http://schemas.openxmlformats.org/officeDocument/2006/customXml" ds:itemID="{4209C32E-D183-4320-AA0F-C221D5841756}"/>
</file>

<file path=customXml/itemProps4.xml><?xml version="1.0" encoding="utf-8"?>
<ds:datastoreItem xmlns:ds="http://schemas.openxmlformats.org/officeDocument/2006/customXml" ds:itemID="{FEAEFF1B-C2B1-46EF-891B-D8D504C2BB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2021-06-28T22:05:39Z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ee8e046f-a930-491b-b2a4-610b1809a8a4</vt:lpwstr>
  </property>
</Properties>
</file>