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defaultThemeVersion="166925"/>
  <xr:revisionPtr revIDLastSave="7" documentId="8_{A88E3227-A0FF-472C-AC8C-AE72726BC911}" xr6:coauthVersionLast="47" xr6:coauthVersionMax="47" xr10:uidLastSave="{652F94DE-1FAE-4F22-A52F-04490E2290A1}"/>
  <bookViews>
    <workbookView xWindow="1290" yWindow="-110" windowWidth="37220" windowHeight="21820" tabRatio="721"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8</definedName>
    <definedName name="_AtRisk_SimSetting_MultipleCPUMode" hidden="1">0</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6</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0</definedName>
    <definedName name="_AtRisk_SimSetting_ReportOptionCustomItemSummaryGraphType02" hidden="1">0</definedName>
    <definedName name="_AtRisk_SimSetting_ReportOptionCustomItemSummaryGraphType03" hidden="1">0</definedName>
    <definedName name="_AtRisk_SimSetting_ReportOptionCustomItemSummaryGraphType04" hidden="1">0</definedName>
    <definedName name="_AtRisk_SimSetting_ReportOptionCustomItemSummaryGraphType05" hidden="1">0</definedName>
    <definedName name="_AtRisk_SimSetting_ReportOptionCustomItemSummaryGraphType06" hidden="1">0</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2</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1</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TRUE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1" i="19" l="1"/>
  <c r="A9" i="19"/>
  <c r="B40" i="21"/>
  <c r="B27" i="21"/>
  <c r="A21" i="21"/>
  <c r="A34" i="21"/>
  <c r="B8" i="21"/>
  <c r="B21" i="21"/>
  <c r="B34" i="21"/>
  <c r="C83" i="2"/>
  <c r="C87" i="2"/>
  <c r="C82" i="2"/>
  <c r="C89" i="2"/>
  <c r="C94" i="2"/>
  <c r="C90" i="2"/>
  <c r="C95" i="2"/>
  <c r="C96" i="2"/>
  <c r="C102" i="2"/>
  <c r="D113" i="2"/>
  <c r="C58" i="2"/>
  <c r="C106" i="2"/>
  <c r="C63" i="2"/>
  <c r="C107" i="2"/>
  <c r="D11" i="2"/>
  <c r="F9" i="2"/>
  <c r="E9" i="2"/>
  <c r="D9" i="2"/>
  <c r="G11" i="2"/>
  <c r="V9" i="2"/>
  <c r="E11" i="2"/>
  <c r="F11" i="2"/>
  <c r="H11" i="2"/>
  <c r="I11" i="2"/>
  <c r="C67" i="2"/>
  <c r="C72" i="2"/>
  <c r="C5" i="3"/>
  <c r="B7" i="21"/>
  <c r="D3" i="3"/>
  <c r="E3" i="3"/>
  <c r="F3" i="3"/>
  <c r="G3" i="3"/>
  <c r="H3" i="3"/>
  <c r="I3" i="3"/>
  <c r="J3" i="3"/>
  <c r="K3" i="3"/>
  <c r="L3" i="3"/>
  <c r="M3" i="3"/>
  <c r="N3" i="3"/>
  <c r="O3" i="3"/>
  <c r="P3" i="3"/>
  <c r="Q3" i="3"/>
  <c r="R3" i="3"/>
  <c r="S3" i="3"/>
  <c r="T3" i="3"/>
  <c r="U3" i="3"/>
  <c r="V3" i="3"/>
  <c r="W3" i="3"/>
  <c r="X3" i="3"/>
  <c r="Y3" i="3"/>
  <c r="Z3" i="3"/>
  <c r="AA3" i="3"/>
  <c r="AB3" i="3"/>
  <c r="AC3" i="3"/>
  <c r="AD3" i="3"/>
  <c r="AE3" i="3"/>
  <c r="AF3" i="3"/>
  <c r="D3" i="6"/>
  <c r="E3" i="6"/>
  <c r="F3" i="6"/>
  <c r="G3" i="6"/>
  <c r="H3" i="6"/>
  <c r="I3" i="6"/>
  <c r="J3" i="6"/>
  <c r="K3" i="6"/>
  <c r="L3" i="6"/>
  <c r="M3" i="6"/>
  <c r="N3" i="6"/>
  <c r="O3" i="6"/>
  <c r="P3" i="6"/>
  <c r="Q3" i="6"/>
  <c r="R3" i="6"/>
  <c r="S3" i="6"/>
  <c r="T3" i="6"/>
  <c r="U3" i="6"/>
  <c r="V3" i="6"/>
  <c r="W3" i="6"/>
  <c r="X3" i="6"/>
  <c r="Y3" i="6"/>
  <c r="Z3" i="6"/>
  <c r="AA3" i="6"/>
  <c r="AB3" i="6"/>
  <c r="AC3" i="6"/>
  <c r="AD3" i="6"/>
  <c r="AE3" i="6"/>
  <c r="AF3" i="6"/>
  <c r="D3" i="4"/>
  <c r="E3" i="4"/>
  <c r="F3" i="4"/>
  <c r="G3" i="4"/>
  <c r="H3" i="4"/>
  <c r="I3" i="4"/>
  <c r="J3" i="4"/>
  <c r="K3" i="4"/>
  <c r="L3" i="4"/>
  <c r="M3" i="4"/>
  <c r="N3" i="4"/>
  <c r="O3" i="4"/>
  <c r="P3" i="4"/>
  <c r="Q3" i="4"/>
  <c r="R3" i="4"/>
  <c r="S3" i="4"/>
  <c r="T3" i="4"/>
  <c r="U3" i="4"/>
  <c r="V3" i="4"/>
  <c r="W3" i="4"/>
  <c r="X3" i="4"/>
  <c r="Y3" i="4"/>
  <c r="Z3" i="4"/>
  <c r="AA3" i="4"/>
  <c r="AB3" i="4"/>
  <c r="AC3" i="4"/>
  <c r="AD3" i="4"/>
  <c r="AE3" i="4"/>
  <c r="AF3" i="4"/>
  <c r="C3" i="5"/>
  <c r="D3" i="5"/>
  <c r="E3" i="5"/>
  <c r="F3" i="5"/>
  <c r="G3" i="5"/>
  <c r="H3" i="5"/>
  <c r="I3" i="5"/>
  <c r="J3" i="5"/>
  <c r="K3" i="5"/>
  <c r="L3" i="5"/>
  <c r="M3" i="5"/>
  <c r="N3" i="5"/>
  <c r="O3" i="5"/>
  <c r="P3" i="5"/>
  <c r="Q3" i="5"/>
  <c r="R3" i="5"/>
  <c r="S3" i="5"/>
  <c r="T3" i="5"/>
  <c r="U3" i="5"/>
  <c r="V3" i="5"/>
  <c r="W3" i="5"/>
  <c r="X3" i="5"/>
  <c r="Y3" i="5"/>
  <c r="Z3" i="5"/>
  <c r="AA3" i="5"/>
  <c r="AB3" i="5"/>
  <c r="AC3" i="5"/>
  <c r="AD3" i="5"/>
  <c r="AE3" i="5"/>
  <c r="D15" i="9"/>
  <c r="E15" i="9"/>
  <c r="F15" i="9"/>
  <c r="C15" i="9"/>
  <c r="D3" i="8"/>
  <c r="E3" i="8"/>
  <c r="F3" i="8"/>
  <c r="G3" i="8"/>
  <c r="H3" i="8"/>
  <c r="I3" i="8"/>
  <c r="J3" i="8"/>
  <c r="K3" i="8"/>
  <c r="L3" i="8"/>
  <c r="M3" i="8"/>
  <c r="N3" i="8"/>
  <c r="O3" i="8"/>
  <c r="P3" i="8"/>
  <c r="Q3" i="8"/>
  <c r="R3" i="8"/>
  <c r="S3" i="8"/>
  <c r="T3" i="8"/>
  <c r="U3" i="8"/>
  <c r="V3" i="8"/>
  <c r="W3" i="8"/>
  <c r="X3" i="8"/>
  <c r="Y3" i="8"/>
  <c r="Z3" i="8"/>
  <c r="AA3" i="8"/>
  <c r="AB3" i="8"/>
  <c r="AC3" i="8"/>
  <c r="AD3" i="8"/>
  <c r="AE3" i="8"/>
  <c r="AF3" i="8"/>
  <c r="F3" i="7"/>
  <c r="G3" i="7"/>
  <c r="H3" i="7"/>
  <c r="I3" i="7"/>
  <c r="J3" i="7"/>
  <c r="K3" i="7"/>
  <c r="L3" i="7"/>
  <c r="M3" i="7"/>
  <c r="N3" i="7"/>
  <c r="O3" i="7"/>
  <c r="P3" i="7"/>
  <c r="Q3" i="7"/>
  <c r="R3" i="7"/>
  <c r="S3" i="7"/>
  <c r="T3" i="7"/>
  <c r="U3" i="7"/>
  <c r="V3" i="7"/>
  <c r="W3" i="7"/>
  <c r="X3" i="7"/>
  <c r="Y3" i="7"/>
  <c r="Z3" i="7"/>
  <c r="AA3" i="7"/>
  <c r="AB3" i="7"/>
  <c r="AC3" i="7"/>
  <c r="AD3" i="7"/>
  <c r="AE3" i="7"/>
  <c r="AF3" i="7"/>
  <c r="AG3" i="7"/>
  <c r="AH3" i="7"/>
  <c r="D16" i="8"/>
  <c r="E16" i="8"/>
  <c r="F16" i="8"/>
  <c r="C16" i="8"/>
  <c r="D3" i="9"/>
  <c r="E3" i="9"/>
  <c r="F3" i="9"/>
  <c r="G3" i="9"/>
  <c r="H3" i="9"/>
  <c r="I3" i="9"/>
  <c r="J3" i="9"/>
  <c r="K3" i="9"/>
  <c r="L3" i="9"/>
  <c r="M3" i="9"/>
  <c r="N3" i="9"/>
  <c r="O3" i="9"/>
  <c r="P3" i="9"/>
  <c r="Q3" i="9"/>
  <c r="R3" i="9"/>
  <c r="S3" i="9"/>
  <c r="T3" i="9"/>
  <c r="U3" i="9"/>
  <c r="V3" i="9"/>
  <c r="W3" i="9"/>
  <c r="X3" i="9"/>
  <c r="Y3" i="9"/>
  <c r="Z3" i="9"/>
  <c r="AA3" i="9"/>
  <c r="AB3" i="9"/>
  <c r="AC3" i="9"/>
  <c r="AD3" i="9"/>
  <c r="AE3" i="9"/>
  <c r="AF3" i="9"/>
  <c r="D45" i="2"/>
  <c r="C16" i="9"/>
  <c r="L11" i="2"/>
  <c r="K9" i="9"/>
  <c r="M11" i="2"/>
  <c r="L9" i="9"/>
  <c r="N11" i="2"/>
  <c r="M9" i="9"/>
  <c r="O11" i="2"/>
  <c r="N9" i="9"/>
  <c r="P11" i="2"/>
  <c r="O9" i="9"/>
  <c r="Q11" i="2"/>
  <c r="P9" i="9"/>
  <c r="R11" i="2"/>
  <c r="Q9" i="9"/>
  <c r="S11" i="2"/>
  <c r="R9" i="9"/>
  <c r="T11" i="2"/>
  <c r="S9" i="9"/>
  <c r="U11" i="2"/>
  <c r="T9" i="9"/>
  <c r="V11" i="2"/>
  <c r="U9" i="9"/>
  <c r="W11" i="2"/>
  <c r="V9" i="9"/>
  <c r="X11" i="2"/>
  <c r="W9" i="9"/>
  <c r="Y11" i="2"/>
  <c r="X9" i="9"/>
  <c r="Z11" i="2"/>
  <c r="Y9" i="9"/>
  <c r="AA11" i="2"/>
  <c r="Z9" i="9"/>
  <c r="AB11" i="2"/>
  <c r="AA9" i="9"/>
  <c r="AC11" i="2"/>
  <c r="AB9" i="9"/>
  <c r="AD11" i="2"/>
  <c r="AC9" i="9"/>
  <c r="AE11" i="2"/>
  <c r="AD9" i="9"/>
  <c r="AF11" i="2"/>
  <c r="AE9" i="9"/>
  <c r="AG11" i="2"/>
  <c r="AF9" i="9"/>
  <c r="D9" i="9"/>
  <c r="E9" i="9"/>
  <c r="F9" i="9"/>
  <c r="G9" i="9"/>
  <c r="H9" i="9"/>
  <c r="J11" i="2"/>
  <c r="I9" i="9"/>
  <c r="K11" i="2"/>
  <c r="J9" i="9"/>
  <c r="C9" i="9"/>
  <c r="E4" i="2"/>
  <c r="F4" i="2"/>
  <c r="G4" i="2"/>
  <c r="H4" i="2"/>
  <c r="I4" i="2"/>
  <c r="J4" i="2"/>
  <c r="K4" i="2"/>
  <c r="L4" i="2"/>
  <c r="M4" i="2"/>
  <c r="N4" i="2"/>
  <c r="O4" i="2"/>
  <c r="P4" i="2"/>
  <c r="Q4" i="2"/>
  <c r="R4" i="2"/>
  <c r="S4" i="2"/>
  <c r="T4" i="2"/>
  <c r="U4" i="2"/>
  <c r="V4" i="2"/>
  <c r="W4" i="2"/>
  <c r="X4" i="2"/>
  <c r="Y4" i="2"/>
  <c r="Z4" i="2"/>
  <c r="AA4" i="2"/>
  <c r="AB4" i="2"/>
  <c r="AC4" i="2"/>
  <c r="AD4" i="2"/>
  <c r="AE4" i="2"/>
  <c r="AF4" i="2"/>
  <c r="AG4" i="2"/>
  <c r="E45" i="2"/>
  <c r="C17" i="8"/>
  <c r="F45" i="2"/>
  <c r="D17" i="8"/>
  <c r="D16" i="9"/>
  <c r="G45" i="2"/>
  <c r="E17" i="8"/>
  <c r="E16" i="9"/>
  <c r="H45" i="2"/>
  <c r="F17" i="8"/>
  <c r="F16" i="9"/>
  <c r="I45" i="2"/>
  <c r="G17" i="8"/>
  <c r="G16" i="9"/>
  <c r="J45" i="2"/>
  <c r="H17" i="8"/>
  <c r="H16" i="9"/>
  <c r="K45" i="2"/>
  <c r="I17" i="8"/>
  <c r="I16" i="9"/>
  <c r="L45" i="2"/>
  <c r="J17" i="8"/>
  <c r="J16" i="9"/>
  <c r="M45" i="2"/>
  <c r="K17" i="8"/>
  <c r="K16" i="9"/>
  <c r="N45" i="2"/>
  <c r="L17" i="8"/>
  <c r="L16" i="9"/>
  <c r="O45" i="2"/>
  <c r="M17" i="8"/>
  <c r="M16" i="9"/>
  <c r="P45" i="2"/>
  <c r="N17" i="8"/>
  <c r="N16" i="9"/>
  <c r="Q45" i="2"/>
  <c r="O17" i="8"/>
  <c r="O16" i="9"/>
  <c r="R45" i="2"/>
  <c r="P17" i="8"/>
  <c r="P16" i="9"/>
  <c r="S45" i="2"/>
  <c r="Q17" i="8"/>
  <c r="Q16" i="9"/>
  <c r="T45" i="2"/>
  <c r="R17" i="8"/>
  <c r="R16" i="9"/>
  <c r="U45" i="2"/>
  <c r="S17" i="8"/>
  <c r="S16" i="9"/>
  <c r="V45" i="2"/>
  <c r="T17" i="8"/>
  <c r="T16" i="9"/>
  <c r="W45" i="2"/>
  <c r="U17" i="8"/>
  <c r="U16" i="9"/>
  <c r="X45" i="2"/>
  <c r="V17" i="8"/>
  <c r="V16" i="9"/>
  <c r="Y45" i="2"/>
  <c r="W17" i="8"/>
  <c r="W16" i="9"/>
  <c r="Z45" i="2"/>
  <c r="X17" i="8"/>
  <c r="X16" i="9"/>
  <c r="AA45" i="2"/>
  <c r="Y17" i="8"/>
  <c r="Y16" i="9"/>
  <c r="AB45" i="2"/>
  <c r="Z17" i="8"/>
  <c r="Z16" i="9"/>
  <c r="AC45" i="2"/>
  <c r="AA17" i="8"/>
  <c r="AA16" i="9"/>
  <c r="AD45" i="2"/>
  <c r="AB17" i="8"/>
  <c r="AB16" i="9"/>
  <c r="AE45" i="2"/>
  <c r="AC17" i="8"/>
  <c r="AC16" i="9"/>
  <c r="AF45" i="2"/>
  <c r="AD17" i="8"/>
  <c r="AD16" i="9"/>
  <c r="AG45" i="2"/>
  <c r="AE17" i="8"/>
  <c r="AE16" i="9"/>
  <c r="AF17" i="8"/>
  <c r="AF16" i="9"/>
  <c r="AG9" i="2"/>
  <c r="AF22" i="8"/>
  <c r="AF9" i="2"/>
  <c r="AE9" i="2"/>
  <c r="AD9" i="2"/>
  <c r="AC9" i="2"/>
  <c r="AB9" i="2"/>
  <c r="AA9" i="2"/>
  <c r="Z9" i="2"/>
  <c r="Y9" i="2"/>
  <c r="X9" i="2"/>
  <c r="W9" i="2"/>
  <c r="U9" i="2"/>
  <c r="T9" i="2"/>
  <c r="S9" i="2"/>
  <c r="R9" i="2"/>
  <c r="Q9" i="2"/>
  <c r="P9" i="2"/>
  <c r="O9" i="2"/>
  <c r="N9" i="2"/>
  <c r="M9" i="2"/>
  <c r="L22" i="8"/>
  <c r="L9" i="2"/>
  <c r="K9" i="2"/>
  <c r="J9" i="2"/>
  <c r="I9" i="2"/>
  <c r="H9" i="2"/>
  <c r="G9" i="2"/>
  <c r="AA22" i="8"/>
  <c r="AB22" i="8"/>
  <c r="M22" i="8"/>
  <c r="AC22" i="8"/>
  <c r="N22" i="8"/>
  <c r="V22" i="8"/>
  <c r="AD22" i="8"/>
  <c r="R22" i="8"/>
  <c r="K22" i="8"/>
  <c r="T22" i="8"/>
  <c r="O22" i="8"/>
  <c r="W22" i="8"/>
  <c r="AE22" i="8"/>
  <c r="Z22" i="8"/>
  <c r="J22" i="8"/>
  <c r="S22" i="8"/>
  <c r="U22" i="8"/>
  <c r="H22" i="8"/>
  <c r="P22" i="8"/>
  <c r="X22" i="8"/>
  <c r="I22" i="8"/>
  <c r="Q22" i="8"/>
  <c r="Y22" i="8"/>
  <c r="B11" i="5"/>
  <c r="C22" i="6"/>
  <c r="E113" i="2"/>
  <c r="M113" i="2"/>
  <c r="U113" i="2"/>
  <c r="AC113" i="2"/>
  <c r="Y113" i="2"/>
  <c r="T113" i="2"/>
  <c r="F113" i="2"/>
  <c r="N113" i="2"/>
  <c r="V113" i="2"/>
  <c r="AD113" i="2"/>
  <c r="Q113" i="2"/>
  <c r="AB113" i="2"/>
  <c r="G113" i="2"/>
  <c r="O113" i="2"/>
  <c r="W113" i="2"/>
  <c r="AE113" i="2"/>
  <c r="H113" i="2"/>
  <c r="P113" i="2"/>
  <c r="X113" i="2"/>
  <c r="AF113" i="2"/>
  <c r="I113" i="2"/>
  <c r="AG113" i="2"/>
  <c r="J113" i="2"/>
  <c r="R113" i="2"/>
  <c r="Z113" i="2"/>
  <c r="K113" i="2"/>
  <c r="S113" i="2"/>
  <c r="AA113" i="2"/>
  <c r="L113" i="2"/>
  <c r="V6" i="9"/>
  <c r="V12" i="9"/>
  <c r="V21" i="9"/>
  <c r="H116" i="2"/>
  <c r="G6" i="9"/>
  <c r="G12" i="9"/>
  <c r="G21" i="9"/>
  <c r="W116" i="2"/>
  <c r="J116" i="2"/>
  <c r="O116" i="2"/>
  <c r="P116" i="2"/>
  <c r="V116" i="2"/>
  <c r="AB6" i="9"/>
  <c r="AB12" i="9"/>
  <c r="AB21" i="9"/>
  <c r="F6" i="9"/>
  <c r="F12" i="9"/>
  <c r="AE6" i="9"/>
  <c r="AE12" i="9"/>
  <c r="AE21" i="9"/>
  <c r="H6" i="9"/>
  <c r="H12" i="9"/>
  <c r="H21" i="9"/>
  <c r="L116" i="2"/>
  <c r="T6" i="9"/>
  <c r="T12" i="9"/>
  <c r="T21" i="9"/>
  <c r="Q6" i="9"/>
  <c r="Q12" i="9"/>
  <c r="Q21" i="9"/>
  <c r="S116" i="2"/>
  <c r="E116" i="2"/>
  <c r="AA6" i="9"/>
  <c r="AA12" i="9"/>
  <c r="AA21" i="9"/>
  <c r="F115" i="2"/>
  <c r="W6" i="9"/>
  <c r="W12" i="9"/>
  <c r="W21" i="9"/>
  <c r="Z6" i="9"/>
  <c r="Z12" i="9"/>
  <c r="Z21" i="9"/>
  <c r="Q116" i="2"/>
  <c r="M116" i="2"/>
  <c r="S6" i="9"/>
  <c r="S12" i="9"/>
  <c r="S21" i="9"/>
  <c r="AC6" i="9"/>
  <c r="AC12" i="9"/>
  <c r="AC21" i="9"/>
  <c r="K116" i="2"/>
  <c r="C6" i="9"/>
  <c r="C12" i="9"/>
  <c r="C21" i="9"/>
  <c r="D116" i="2"/>
  <c r="D115" i="2"/>
  <c r="X6" i="9"/>
  <c r="X12" i="9"/>
  <c r="X21" i="9"/>
  <c r="Y116" i="2"/>
  <c r="AF6" i="9"/>
  <c r="AF12" i="9"/>
  <c r="AF21" i="9"/>
  <c r="AG116" i="2"/>
  <c r="N6" i="9"/>
  <c r="N12" i="9"/>
  <c r="N21" i="9"/>
  <c r="AD6" i="9"/>
  <c r="AD12" i="9"/>
  <c r="AD21" i="9"/>
  <c r="AE116" i="2"/>
  <c r="Y6" i="9"/>
  <c r="Y12" i="9"/>
  <c r="Y21" i="9"/>
  <c r="Z116" i="2"/>
  <c r="O6" i="9"/>
  <c r="O12" i="9"/>
  <c r="O21" i="9"/>
  <c r="M6" i="9"/>
  <c r="M12" i="9"/>
  <c r="M21" i="9"/>
  <c r="N116" i="2"/>
  <c r="D118" i="2"/>
  <c r="D120" i="2"/>
  <c r="C9" i="6"/>
  <c r="I6" i="9"/>
  <c r="I12" i="9"/>
  <c r="I21" i="9"/>
  <c r="R6" i="9"/>
  <c r="R12" i="9"/>
  <c r="R21" i="9"/>
  <c r="K6" i="9"/>
  <c r="K12" i="9"/>
  <c r="K21" i="9"/>
  <c r="E115" i="2"/>
  <c r="E118" i="2"/>
  <c r="I116" i="2"/>
  <c r="U116" i="2"/>
  <c r="F20" i="9"/>
  <c r="F21" i="9"/>
  <c r="J6" i="9"/>
  <c r="J12" i="9"/>
  <c r="J21" i="9"/>
  <c r="G116" i="2"/>
  <c r="AA116" i="2"/>
  <c r="X116" i="2"/>
  <c r="AD116" i="2"/>
  <c r="T116" i="2"/>
  <c r="U6" i="9"/>
  <c r="U12" i="9"/>
  <c r="U21" i="9"/>
  <c r="G115" i="2"/>
  <c r="AB116" i="2"/>
  <c r="AC116" i="2"/>
  <c r="R116" i="2"/>
  <c r="P6" i="9"/>
  <c r="P12" i="9"/>
  <c r="P21" i="9"/>
  <c r="AF116" i="2"/>
  <c r="L6" i="9"/>
  <c r="L12" i="9"/>
  <c r="L21" i="9"/>
  <c r="E6" i="9"/>
  <c r="E12" i="9"/>
  <c r="F116" i="2"/>
  <c r="F118" i="2"/>
  <c r="C113" i="2"/>
  <c r="C114" i="2"/>
  <c r="D6" i="9"/>
  <c r="D12" i="9"/>
  <c r="C20" i="9"/>
  <c r="G118" i="2"/>
  <c r="G120" i="2"/>
  <c r="F9" i="6"/>
  <c r="D20" i="9"/>
  <c r="D21" i="9"/>
  <c r="E20" i="9"/>
  <c r="E21" i="9"/>
  <c r="E120" i="2"/>
  <c r="D9" i="6"/>
  <c r="F120" i="2"/>
  <c r="E9" i="6"/>
  <c r="D122" i="2"/>
  <c r="C7" i="9"/>
  <c r="C13" i="9"/>
  <c r="C23" i="9"/>
  <c r="F7" i="9"/>
  <c r="F13" i="9"/>
  <c r="F23" i="9"/>
  <c r="E7" i="9"/>
  <c r="E13" i="9"/>
  <c r="E23" i="9"/>
  <c r="D7" i="9"/>
  <c r="D13" i="9"/>
  <c r="D23" i="9"/>
  <c r="C129" i="2"/>
  <c r="C135" i="2"/>
  <c r="B10" i="21"/>
  <c r="B12" i="21"/>
  <c r="B16" i="21"/>
  <c r="G22" i="8"/>
  <c r="F22" i="8"/>
  <c r="C22" i="8"/>
  <c r="E22" i="8"/>
  <c r="D22" i="8"/>
  <c r="C14" i="8"/>
  <c r="E122" i="2"/>
  <c r="D14" i="8"/>
  <c r="G122" i="2"/>
  <c r="F14" i="8"/>
  <c r="F122" i="2"/>
  <c r="E14" i="8"/>
  <c r="H44" i="2"/>
  <c r="C24" i="8"/>
  <c r="C25" i="8"/>
  <c r="D24" i="8"/>
  <c r="D25" i="8"/>
  <c r="E24" i="8"/>
  <c r="E25" i="8"/>
  <c r="F24" i="8"/>
  <c r="F25" i="8"/>
  <c r="H43" i="2"/>
  <c r="H115" i="2"/>
  <c r="H118" i="2"/>
  <c r="I44" i="2"/>
  <c r="J44" i="2"/>
  <c r="G15" i="9"/>
  <c r="G20" i="9"/>
  <c r="I43" i="2"/>
  <c r="G16" i="8"/>
  <c r="D13" i="2"/>
  <c r="D135" i="2"/>
  <c r="E13" i="2"/>
  <c r="F13" i="2"/>
  <c r="C5" i="8"/>
  <c r="G13" i="2"/>
  <c r="I115" i="2"/>
  <c r="I118" i="2"/>
  <c r="I122" i="2"/>
  <c r="H14" i="8"/>
  <c r="H25" i="8"/>
  <c r="H120" i="2"/>
  <c r="H122" i="2"/>
  <c r="G14" i="8"/>
  <c r="G24" i="8"/>
  <c r="H15" i="9"/>
  <c r="H20" i="9"/>
  <c r="AF13" i="2"/>
  <c r="J43" i="2"/>
  <c r="H16" i="8"/>
  <c r="I15" i="9"/>
  <c r="I20" i="9"/>
  <c r="K44" i="2"/>
  <c r="J115" i="2"/>
  <c r="J118" i="2"/>
  <c r="G7" i="9"/>
  <c r="G13" i="9"/>
  <c r="G23" i="9"/>
  <c r="G9" i="6"/>
  <c r="I120" i="2"/>
  <c r="G25" i="8"/>
  <c r="H24" i="8"/>
  <c r="AE13" i="2"/>
  <c r="AD12" i="8"/>
  <c r="V13" i="2"/>
  <c r="U12" i="8"/>
  <c r="U13" i="2"/>
  <c r="U135" i="2"/>
  <c r="J13" i="2"/>
  <c r="J135" i="2"/>
  <c r="E135" i="2"/>
  <c r="C12" i="8"/>
  <c r="C20" i="8"/>
  <c r="O13" i="2"/>
  <c r="N12" i="8"/>
  <c r="AB13" i="2"/>
  <c r="AA12" i="8"/>
  <c r="S13" i="2"/>
  <c r="R12" i="8"/>
  <c r="Z13" i="2"/>
  <c r="Z135" i="2"/>
  <c r="AG13" i="2"/>
  <c r="AF12" i="8"/>
  <c r="AC13" i="2"/>
  <c r="AB12" i="8"/>
  <c r="AA13" i="2"/>
  <c r="AA135" i="2"/>
  <c r="Q13" i="2"/>
  <c r="P12" i="8"/>
  <c r="P13" i="2"/>
  <c r="O12" i="8"/>
  <c r="G135" i="2"/>
  <c r="E12" i="8"/>
  <c r="W13" i="2"/>
  <c r="V12" i="8"/>
  <c r="T13" i="2"/>
  <c r="T135" i="2"/>
  <c r="Y13" i="2"/>
  <c r="X12" i="8"/>
  <c r="N13" i="2"/>
  <c r="M12" i="8"/>
  <c r="L13" i="2"/>
  <c r="K12" i="8"/>
  <c r="R13" i="2"/>
  <c r="R135" i="2"/>
  <c r="I13" i="2"/>
  <c r="H12" i="8"/>
  <c r="X13" i="2"/>
  <c r="X135" i="2"/>
  <c r="AD13" i="2"/>
  <c r="AC12" i="8"/>
  <c r="K13" i="2"/>
  <c r="K135" i="2"/>
  <c r="M13" i="2"/>
  <c r="L12" i="8"/>
  <c r="H13" i="2"/>
  <c r="G12" i="8"/>
  <c r="J120" i="2"/>
  <c r="I9" i="6"/>
  <c r="J122" i="2"/>
  <c r="I14" i="8"/>
  <c r="J15" i="9"/>
  <c r="J20" i="9"/>
  <c r="L44" i="2"/>
  <c r="K115" i="2"/>
  <c r="K118" i="2"/>
  <c r="K122" i="2"/>
  <c r="J14" i="8"/>
  <c r="K43" i="2"/>
  <c r="I16" i="8"/>
  <c r="AF135" i="2"/>
  <c r="AE12" i="8"/>
  <c r="H7" i="9"/>
  <c r="H13" i="9"/>
  <c r="H23" i="9"/>
  <c r="H9" i="6"/>
  <c r="S12" i="8"/>
  <c r="S20" i="8"/>
  <c r="Y135" i="2"/>
  <c r="AB135" i="2"/>
  <c r="I135" i="2"/>
  <c r="O135" i="2"/>
  <c r="Q135" i="2"/>
  <c r="AE135" i="2"/>
  <c r="N135" i="2"/>
  <c r="C19" i="8"/>
  <c r="P135" i="2"/>
  <c r="V135" i="2"/>
  <c r="W12" i="8"/>
  <c r="W20" i="8"/>
  <c r="Z12" i="8"/>
  <c r="Z20" i="8"/>
  <c r="E6" i="7"/>
  <c r="D5" i="8"/>
  <c r="E5" i="8"/>
  <c r="F5" i="8"/>
  <c r="G5" i="8"/>
  <c r="H5" i="8"/>
  <c r="I5" i="8"/>
  <c r="J5" i="8"/>
  <c r="K5" i="8"/>
  <c r="L5" i="8"/>
  <c r="B20" i="21"/>
  <c r="I12" i="8"/>
  <c r="I20" i="8"/>
  <c r="S135" i="2"/>
  <c r="D12" i="8"/>
  <c r="D19" i="8"/>
  <c r="L135" i="2"/>
  <c r="Y12" i="8"/>
  <c r="Y20" i="8"/>
  <c r="Q12" i="8"/>
  <c r="Q20" i="8"/>
  <c r="H135" i="2"/>
  <c r="AG135" i="2"/>
  <c r="B36" i="21"/>
  <c r="J12" i="8"/>
  <c r="J20" i="8"/>
  <c r="AD135" i="2"/>
  <c r="F12" i="8"/>
  <c r="F20" i="8"/>
  <c r="AC135" i="2"/>
  <c r="M135" i="2"/>
  <c r="B23" i="21"/>
  <c r="W135" i="2"/>
  <c r="T12" i="8"/>
  <c r="T20" i="8"/>
  <c r="F135" i="2"/>
  <c r="J25" i="8"/>
  <c r="L43" i="2"/>
  <c r="J16" i="8"/>
  <c r="J24" i="8"/>
  <c r="K120" i="2"/>
  <c r="J9" i="6"/>
  <c r="I25" i="8"/>
  <c r="I24" i="8"/>
  <c r="K15" i="9"/>
  <c r="K20" i="9"/>
  <c r="M44" i="2"/>
  <c r="L115" i="2"/>
  <c r="L118" i="2"/>
  <c r="L120" i="2"/>
  <c r="K9" i="6"/>
  <c r="I7" i="9"/>
  <c r="I13" i="9"/>
  <c r="I23" i="9"/>
  <c r="P20" i="8"/>
  <c r="U20" i="8"/>
  <c r="AA20" i="8"/>
  <c r="AB20" i="8"/>
  <c r="G20" i="8"/>
  <c r="G19" i="8"/>
  <c r="AD20" i="8"/>
  <c r="L20" i="8"/>
  <c r="V20" i="8"/>
  <c r="AF20" i="8"/>
  <c r="K20" i="8"/>
  <c r="E19" i="8"/>
  <c r="E20" i="8"/>
  <c r="R20" i="8"/>
  <c r="O20" i="8"/>
  <c r="N20" i="8"/>
  <c r="M20" i="8"/>
  <c r="AE20" i="8"/>
  <c r="AC20" i="8"/>
  <c r="X20" i="8"/>
  <c r="H19" i="8"/>
  <c r="H20" i="8"/>
  <c r="C17" i="2"/>
  <c r="B25" i="21"/>
  <c r="B29" i="21"/>
  <c r="C66" i="2"/>
  <c r="C68" i="2"/>
  <c r="C71" i="2"/>
  <c r="C73" i="2"/>
  <c r="C75" i="2"/>
  <c r="C27" i="8"/>
  <c r="C6" i="8"/>
  <c r="I19" i="8"/>
  <c r="I27" i="8"/>
  <c r="I6" i="8"/>
  <c r="M5" i="8"/>
  <c r="N5" i="8"/>
  <c r="O5" i="8"/>
  <c r="P5" i="8"/>
  <c r="Q5" i="8"/>
  <c r="R5" i="8"/>
  <c r="S5" i="8"/>
  <c r="T5" i="8"/>
  <c r="U5" i="8"/>
  <c r="V5" i="8"/>
  <c r="W5" i="8"/>
  <c r="X5" i="8"/>
  <c r="Y5" i="8"/>
  <c r="Z5" i="8"/>
  <c r="AA5" i="8"/>
  <c r="AB5" i="8"/>
  <c r="AC5" i="8"/>
  <c r="AD5" i="8"/>
  <c r="AE5" i="8"/>
  <c r="AF5" i="8"/>
  <c r="B33" i="21"/>
  <c r="B38" i="21"/>
  <c r="B42" i="21"/>
  <c r="F19" i="8"/>
  <c r="F27" i="8"/>
  <c r="F6" i="8"/>
  <c r="D20" i="8"/>
  <c r="D27" i="8"/>
  <c r="D6" i="8"/>
  <c r="L122" i="2"/>
  <c r="K14" i="8"/>
  <c r="K25" i="8"/>
  <c r="J19" i="8"/>
  <c r="J27" i="8"/>
  <c r="J6" i="8"/>
  <c r="L15" i="9"/>
  <c r="L20" i="9"/>
  <c r="N44" i="2"/>
  <c r="M115" i="2"/>
  <c r="M118" i="2"/>
  <c r="M120" i="2"/>
  <c r="L9" i="6"/>
  <c r="K16" i="8"/>
  <c r="K19" i="8"/>
  <c r="M43" i="2"/>
  <c r="J7" i="9"/>
  <c r="J13" i="9"/>
  <c r="J23" i="9"/>
  <c r="K7" i="9"/>
  <c r="K13" i="9"/>
  <c r="K23" i="9"/>
  <c r="H27" i="8"/>
  <c r="H6" i="8"/>
  <c r="G27" i="8"/>
  <c r="G6" i="8"/>
  <c r="E27" i="8"/>
  <c r="E6" i="8"/>
  <c r="D111" i="2"/>
  <c r="C5" i="9"/>
  <c r="C11" i="9"/>
  <c r="C18" i="2"/>
  <c r="C7" i="6"/>
  <c r="B6" i="5"/>
  <c r="K24" i="8"/>
  <c r="K27" i="8"/>
  <c r="K6" i="8"/>
  <c r="M122" i="2"/>
  <c r="L14" i="8"/>
  <c r="L7" i="9"/>
  <c r="L13" i="9"/>
  <c r="L23" i="9"/>
  <c r="M15" i="9"/>
  <c r="M20" i="9"/>
  <c r="O44" i="2"/>
  <c r="N115" i="2"/>
  <c r="N118" i="2"/>
  <c r="N43" i="2"/>
  <c r="L16" i="8"/>
  <c r="L19" i="8"/>
  <c r="I111" i="2"/>
  <c r="H5" i="9"/>
  <c r="H11" i="9"/>
  <c r="H18" i="9"/>
  <c r="H25" i="9"/>
  <c r="H18" i="6"/>
  <c r="C6" i="6"/>
  <c r="AB111" i="2"/>
  <c r="AA8" i="6"/>
  <c r="AG111" i="2"/>
  <c r="AF5" i="9"/>
  <c r="AF11" i="9"/>
  <c r="AF18" i="9"/>
  <c r="M111" i="2"/>
  <c r="L8" i="6"/>
  <c r="K111" i="2"/>
  <c r="J5" i="9"/>
  <c r="J11" i="9"/>
  <c r="AE111" i="2"/>
  <c r="AD5" i="9"/>
  <c r="AD11" i="9"/>
  <c r="AF111" i="2"/>
  <c r="AE5" i="9"/>
  <c r="AE11" i="9"/>
  <c r="AE18" i="9"/>
  <c r="Z111" i="2"/>
  <c r="Y8" i="6"/>
  <c r="J111" i="2"/>
  <c r="I5" i="9"/>
  <c r="I11" i="9"/>
  <c r="I18" i="9"/>
  <c r="I25" i="9"/>
  <c r="I18" i="6"/>
  <c r="F111" i="2"/>
  <c r="E5" i="9"/>
  <c r="E11" i="9"/>
  <c r="G111" i="2"/>
  <c r="F8" i="6"/>
  <c r="N111" i="2"/>
  <c r="M5" i="9"/>
  <c r="M11" i="9"/>
  <c r="M18" i="9"/>
  <c r="T111" i="2"/>
  <c r="S5" i="9"/>
  <c r="S11" i="9"/>
  <c r="S18" i="9"/>
  <c r="X111" i="2"/>
  <c r="W8" i="6"/>
  <c r="AC111" i="2"/>
  <c r="AB5" i="9"/>
  <c r="AB11" i="9"/>
  <c r="Y111" i="2"/>
  <c r="X5" i="9"/>
  <c r="X11" i="9"/>
  <c r="S111" i="2"/>
  <c r="R5" i="9"/>
  <c r="R11" i="9"/>
  <c r="R18" i="9"/>
  <c r="W111" i="2"/>
  <c r="V5" i="9"/>
  <c r="V11" i="9"/>
  <c r="V18" i="9"/>
  <c r="O111" i="2"/>
  <c r="N8" i="6"/>
  <c r="P111" i="2"/>
  <c r="O5" i="9"/>
  <c r="O11" i="9"/>
  <c r="O18" i="9"/>
  <c r="H111" i="2"/>
  <c r="G8" i="6"/>
  <c r="R111" i="2"/>
  <c r="Q5" i="9"/>
  <c r="Q11" i="9"/>
  <c r="Q18" i="9"/>
  <c r="E111" i="2"/>
  <c r="D8" i="6"/>
  <c r="AD111" i="2"/>
  <c r="AC5" i="9"/>
  <c r="AC11" i="9"/>
  <c r="AC18" i="9"/>
  <c r="L111" i="2"/>
  <c r="K5" i="9"/>
  <c r="K11" i="9"/>
  <c r="K18" i="9"/>
  <c r="K25" i="9"/>
  <c r="K18" i="6"/>
  <c r="V111" i="2"/>
  <c r="U5" i="9"/>
  <c r="U11" i="9"/>
  <c r="AA111" i="2"/>
  <c r="Z5" i="9"/>
  <c r="Z11" i="9"/>
  <c r="Z18" i="9"/>
  <c r="Q111" i="2"/>
  <c r="P5" i="9"/>
  <c r="P11" i="9"/>
  <c r="U111" i="2"/>
  <c r="T5" i="9"/>
  <c r="T11" i="9"/>
  <c r="C18" i="9"/>
  <c r="C25" i="9"/>
  <c r="C10" i="4"/>
  <c r="H8" i="6"/>
  <c r="H7" i="8"/>
  <c r="N122" i="2"/>
  <c r="M14" i="8"/>
  <c r="L24" i="8"/>
  <c r="L25" i="8"/>
  <c r="N15" i="9"/>
  <c r="N20" i="9"/>
  <c r="P44" i="2"/>
  <c r="O115" i="2"/>
  <c r="O118" i="2"/>
  <c r="O122" i="2"/>
  <c r="N14" i="8"/>
  <c r="O43" i="2"/>
  <c r="M16" i="8"/>
  <c r="M19" i="8"/>
  <c r="N120" i="2"/>
  <c r="M9" i="6"/>
  <c r="AB8" i="6"/>
  <c r="W5" i="9"/>
  <c r="W11" i="9"/>
  <c r="W18" i="9"/>
  <c r="I8" i="6"/>
  <c r="I7" i="8"/>
  <c r="O8" i="6"/>
  <c r="L5" i="9"/>
  <c r="L11" i="9"/>
  <c r="L18" i="9"/>
  <c r="L25" i="9"/>
  <c r="L18" i="6"/>
  <c r="AC8" i="6"/>
  <c r="AF8" i="6"/>
  <c r="N5" i="9"/>
  <c r="N11" i="9"/>
  <c r="N18" i="9"/>
  <c r="M8" i="6"/>
  <c r="AA5" i="9"/>
  <c r="AA11" i="9"/>
  <c r="AA18" i="9"/>
  <c r="Z8" i="6"/>
  <c r="P8" i="6"/>
  <c r="K8" i="6"/>
  <c r="K7" i="8"/>
  <c r="U8" i="6"/>
  <c r="Y5" i="9"/>
  <c r="Y11" i="9"/>
  <c r="Y18" i="9"/>
  <c r="S8" i="6"/>
  <c r="AD8" i="6"/>
  <c r="V8" i="6"/>
  <c r="X8" i="6"/>
  <c r="D5" i="9"/>
  <c r="D11" i="9"/>
  <c r="D18" i="9"/>
  <c r="D25" i="9"/>
  <c r="D18" i="6"/>
  <c r="C8" i="6"/>
  <c r="C12" i="6"/>
  <c r="D7" i="6"/>
  <c r="D12" i="6"/>
  <c r="G5" i="9"/>
  <c r="G11" i="9"/>
  <c r="G18" i="9"/>
  <c r="G25" i="9"/>
  <c r="G18" i="6"/>
  <c r="F5" i="9"/>
  <c r="F11" i="9"/>
  <c r="F18" i="9"/>
  <c r="F25" i="9"/>
  <c r="F18" i="6"/>
  <c r="J8" i="6"/>
  <c r="J7" i="8"/>
  <c r="Q8" i="6"/>
  <c r="R8" i="6"/>
  <c r="E8" i="6"/>
  <c r="E6" i="4"/>
  <c r="T8" i="6"/>
  <c r="AE8" i="6"/>
  <c r="H10" i="4"/>
  <c r="D6" i="4"/>
  <c r="D7" i="8"/>
  <c r="AB18" i="9"/>
  <c r="T18" i="9"/>
  <c r="U18" i="9"/>
  <c r="I10" i="4"/>
  <c r="E18" i="9"/>
  <c r="E25" i="9"/>
  <c r="E18" i="6"/>
  <c r="L7" i="8"/>
  <c r="L6" i="4"/>
  <c r="K10" i="4"/>
  <c r="AD18" i="9"/>
  <c r="P18" i="9"/>
  <c r="G6" i="4"/>
  <c r="G7" i="8"/>
  <c r="X18" i="9"/>
  <c r="F6" i="4"/>
  <c r="F7" i="8"/>
  <c r="J18" i="9"/>
  <c r="J25" i="9"/>
  <c r="J18" i="6"/>
  <c r="C18" i="6"/>
  <c r="C19" i="6"/>
  <c r="C20" i="6"/>
  <c r="C23" i="6"/>
  <c r="L27" i="8"/>
  <c r="L6" i="8"/>
  <c r="H6" i="4"/>
  <c r="O120" i="2"/>
  <c r="N9" i="6"/>
  <c r="O15" i="9"/>
  <c r="O20" i="9"/>
  <c r="Q44" i="2"/>
  <c r="P115" i="2"/>
  <c r="P118" i="2"/>
  <c r="M7" i="9"/>
  <c r="M13" i="9"/>
  <c r="M7" i="8"/>
  <c r="M24" i="8"/>
  <c r="M25" i="8"/>
  <c r="P43" i="2"/>
  <c r="N16" i="8"/>
  <c r="N19" i="8"/>
  <c r="N25" i="8"/>
  <c r="I6" i="4"/>
  <c r="L10" i="4"/>
  <c r="J6" i="4"/>
  <c r="K6" i="4"/>
  <c r="E7" i="8"/>
  <c r="D10" i="4"/>
  <c r="F10" i="4"/>
  <c r="H10" i="6"/>
  <c r="G10" i="6"/>
  <c r="C6" i="4"/>
  <c r="K10" i="6"/>
  <c r="B7" i="5"/>
  <c r="B8" i="5"/>
  <c r="B10" i="5"/>
  <c r="J10" i="6"/>
  <c r="C10" i="6"/>
  <c r="L10" i="6"/>
  <c r="I10" i="6"/>
  <c r="C7" i="8"/>
  <c r="D10" i="6"/>
  <c r="F10" i="6"/>
  <c r="E10" i="6"/>
  <c r="J10" i="4"/>
  <c r="C7" i="5"/>
  <c r="E7" i="6"/>
  <c r="E12" i="6"/>
  <c r="G10" i="4"/>
  <c r="E10" i="4"/>
  <c r="D19" i="6"/>
  <c r="D20" i="6"/>
  <c r="N7" i="9"/>
  <c r="N13" i="9"/>
  <c r="N23" i="9"/>
  <c r="M10" i="6"/>
  <c r="N10" i="6"/>
  <c r="M6" i="4"/>
  <c r="N24" i="8"/>
  <c r="N27" i="8"/>
  <c r="N6" i="8"/>
  <c r="M27" i="8"/>
  <c r="M6" i="8"/>
  <c r="Q43" i="2"/>
  <c r="O16" i="8"/>
  <c r="O19" i="8"/>
  <c r="N6" i="4"/>
  <c r="N7" i="8"/>
  <c r="P122" i="2"/>
  <c r="O14" i="8"/>
  <c r="P120" i="2"/>
  <c r="O9" i="6"/>
  <c r="M23" i="9"/>
  <c r="M25" i="9"/>
  <c r="M18" i="6"/>
  <c r="P15" i="9"/>
  <c r="P20" i="9"/>
  <c r="R44" i="2"/>
  <c r="Q115" i="2"/>
  <c r="Q118" i="2"/>
  <c r="E8" i="7"/>
  <c r="D7" i="5"/>
  <c r="F7" i="6"/>
  <c r="F12" i="6"/>
  <c r="E19" i="6"/>
  <c r="E20" i="6"/>
  <c r="F19" i="6"/>
  <c r="F20" i="6"/>
  <c r="G19" i="6"/>
  <c r="G20" i="6"/>
  <c r="H19" i="6"/>
  <c r="H20" i="6"/>
  <c r="I19" i="6"/>
  <c r="I20" i="6"/>
  <c r="J19" i="6"/>
  <c r="J20" i="6"/>
  <c r="K19" i="6"/>
  <c r="K20" i="6"/>
  <c r="L19" i="6"/>
  <c r="L20" i="6"/>
  <c r="M19" i="6"/>
  <c r="M20" i="6"/>
  <c r="N25" i="9"/>
  <c r="N18" i="6"/>
  <c r="Q15" i="9"/>
  <c r="Q20" i="9"/>
  <c r="S44" i="2"/>
  <c r="R115" i="2"/>
  <c r="R118" i="2"/>
  <c r="P16" i="8"/>
  <c r="P19" i="8"/>
  <c r="R43" i="2"/>
  <c r="M10" i="4"/>
  <c r="O7" i="9"/>
  <c r="O13" i="9"/>
  <c r="O25" i="8"/>
  <c r="O24" i="8"/>
  <c r="Q122" i="2"/>
  <c r="P14" i="8"/>
  <c r="Q120" i="2"/>
  <c r="P9" i="6"/>
  <c r="E7" i="5"/>
  <c r="G7" i="6"/>
  <c r="G12" i="6"/>
  <c r="N19" i="6"/>
  <c r="N20" i="6"/>
  <c r="N10" i="4"/>
  <c r="O27" i="8"/>
  <c r="O6" i="8"/>
  <c r="O7" i="8"/>
  <c r="O6" i="4"/>
  <c r="O10" i="6"/>
  <c r="O23" i="9"/>
  <c r="O25" i="9"/>
  <c r="O18" i="6"/>
  <c r="P25" i="8"/>
  <c r="P24" i="8"/>
  <c r="R15" i="9"/>
  <c r="R20" i="9"/>
  <c r="T44" i="2"/>
  <c r="S115" i="2"/>
  <c r="S118" i="2"/>
  <c r="P7" i="9"/>
  <c r="P13" i="9"/>
  <c r="S43" i="2"/>
  <c r="Q16" i="8"/>
  <c r="Q19" i="8"/>
  <c r="R122" i="2"/>
  <c r="Q14" i="8"/>
  <c r="R120" i="2"/>
  <c r="Q9" i="6"/>
  <c r="F7" i="5"/>
  <c r="H7" i="6"/>
  <c r="H12" i="6"/>
  <c r="O19" i="6"/>
  <c r="O20" i="6"/>
  <c r="P27" i="8"/>
  <c r="P6" i="8"/>
  <c r="O10" i="4"/>
  <c r="P23" i="9"/>
  <c r="P25" i="9"/>
  <c r="P18" i="6"/>
  <c r="S120" i="2"/>
  <c r="R9" i="6"/>
  <c r="S122" i="2"/>
  <c r="R14" i="8"/>
  <c r="S15" i="9"/>
  <c r="S20" i="9"/>
  <c r="U44" i="2"/>
  <c r="T115" i="2"/>
  <c r="T118" i="2"/>
  <c r="Q25" i="8"/>
  <c r="Q24" i="8"/>
  <c r="P7" i="8"/>
  <c r="P6" i="4"/>
  <c r="Q7" i="9"/>
  <c r="Q13" i="9"/>
  <c r="Q10" i="6"/>
  <c r="P10" i="6"/>
  <c r="T43" i="2"/>
  <c r="R16" i="8"/>
  <c r="R19" i="8"/>
  <c r="G7" i="5"/>
  <c r="I7" i="6"/>
  <c r="I12" i="6"/>
  <c r="P19" i="6"/>
  <c r="P20" i="6"/>
  <c r="Q27" i="8"/>
  <c r="Q6" i="8"/>
  <c r="U43" i="2"/>
  <c r="S16" i="8"/>
  <c r="S19" i="8"/>
  <c r="Q6" i="4"/>
  <c r="Q7" i="8"/>
  <c r="P10" i="4"/>
  <c r="Q23" i="9"/>
  <c r="Q25" i="9"/>
  <c r="Q18" i="6"/>
  <c r="T122" i="2"/>
  <c r="S14" i="8"/>
  <c r="T120" i="2"/>
  <c r="S9" i="6"/>
  <c r="R25" i="8"/>
  <c r="R24" i="8"/>
  <c r="R7" i="9"/>
  <c r="R13" i="9"/>
  <c r="T15" i="9"/>
  <c r="T20" i="9"/>
  <c r="V44" i="2"/>
  <c r="U115" i="2"/>
  <c r="U118" i="2"/>
  <c r="J7" i="6"/>
  <c r="J12" i="6"/>
  <c r="H7" i="5"/>
  <c r="Q19" i="6"/>
  <c r="Q20" i="6"/>
  <c r="R27" i="8"/>
  <c r="R6" i="8"/>
  <c r="U120" i="2"/>
  <c r="T9" i="6"/>
  <c r="U122" i="2"/>
  <c r="T14" i="8"/>
  <c r="S24" i="8"/>
  <c r="S25" i="8"/>
  <c r="T16" i="8"/>
  <c r="T19" i="8"/>
  <c r="V43" i="2"/>
  <c r="U15" i="9"/>
  <c r="U20" i="9"/>
  <c r="W44" i="2"/>
  <c r="V115" i="2"/>
  <c r="V118" i="2"/>
  <c r="Q10" i="4"/>
  <c r="R23" i="9"/>
  <c r="R25" i="9"/>
  <c r="R18" i="6"/>
  <c r="R6" i="4"/>
  <c r="R7" i="8"/>
  <c r="S7" i="9"/>
  <c r="S13" i="9"/>
  <c r="S10" i="6"/>
  <c r="R10" i="6"/>
  <c r="I7" i="5"/>
  <c r="K7" i="6"/>
  <c r="K12" i="6"/>
  <c r="R19" i="6"/>
  <c r="R20" i="6"/>
  <c r="S27" i="8"/>
  <c r="S6" i="8"/>
  <c r="V15" i="9"/>
  <c r="V20" i="9"/>
  <c r="X44" i="2"/>
  <c r="W115" i="2"/>
  <c r="W118" i="2"/>
  <c r="S7" i="8"/>
  <c r="S6" i="4"/>
  <c r="S23" i="9"/>
  <c r="S25" i="9"/>
  <c r="S18" i="6"/>
  <c r="R10" i="4"/>
  <c r="V120" i="2"/>
  <c r="U9" i="6"/>
  <c r="V122" i="2"/>
  <c r="U14" i="8"/>
  <c r="T25" i="8"/>
  <c r="T24" i="8"/>
  <c r="T7" i="9"/>
  <c r="T13" i="9"/>
  <c r="W43" i="2"/>
  <c r="U16" i="8"/>
  <c r="U19" i="8"/>
  <c r="J7" i="5"/>
  <c r="L7" i="6"/>
  <c r="L12" i="6"/>
  <c r="S19" i="6"/>
  <c r="S20" i="6"/>
  <c r="T27" i="8"/>
  <c r="T6" i="8"/>
  <c r="S10" i="4"/>
  <c r="U7" i="9"/>
  <c r="U13" i="9"/>
  <c r="W15" i="9"/>
  <c r="W20" i="9"/>
  <c r="Y44" i="2"/>
  <c r="X115" i="2"/>
  <c r="X118" i="2"/>
  <c r="X43" i="2"/>
  <c r="V16" i="8"/>
  <c r="V19" i="8"/>
  <c r="T23" i="9"/>
  <c r="T25" i="9"/>
  <c r="T18" i="6"/>
  <c r="U24" i="8"/>
  <c r="U25" i="8"/>
  <c r="W120" i="2"/>
  <c r="V9" i="6"/>
  <c r="W122" i="2"/>
  <c r="V14" i="8"/>
  <c r="T6" i="4"/>
  <c r="T7" i="8"/>
  <c r="T10" i="6"/>
  <c r="M7" i="6"/>
  <c r="M12" i="6"/>
  <c r="K7" i="5"/>
  <c r="T19" i="6"/>
  <c r="T20" i="6"/>
  <c r="U27" i="8"/>
  <c r="U6" i="8"/>
  <c r="V24" i="8"/>
  <c r="V25" i="8"/>
  <c r="Y43" i="2"/>
  <c r="W16" i="8"/>
  <c r="W19" i="8"/>
  <c r="V7" i="9"/>
  <c r="V13" i="9"/>
  <c r="X122" i="2"/>
  <c r="W14" i="8"/>
  <c r="X120" i="2"/>
  <c r="W9" i="6"/>
  <c r="X15" i="9"/>
  <c r="X20" i="9"/>
  <c r="Z44" i="2"/>
  <c r="Y115" i="2"/>
  <c r="Y118" i="2"/>
  <c r="U6" i="4"/>
  <c r="U7" i="8"/>
  <c r="U10" i="6"/>
  <c r="T10" i="4"/>
  <c r="U23" i="9"/>
  <c r="U25" i="9"/>
  <c r="U18" i="6"/>
  <c r="U19" i="6"/>
  <c r="U20" i="6"/>
  <c r="L7" i="5"/>
  <c r="N7" i="6"/>
  <c r="N12" i="6"/>
  <c r="V27" i="8"/>
  <c r="V6" i="8"/>
  <c r="U10" i="4"/>
  <c r="V23" i="9"/>
  <c r="V25" i="9"/>
  <c r="V18" i="6"/>
  <c r="V19" i="6"/>
  <c r="V20" i="6"/>
  <c r="V7" i="8"/>
  <c r="V6" i="4"/>
  <c r="Y122" i="2"/>
  <c r="X14" i="8"/>
  <c r="Y120" i="2"/>
  <c r="X9" i="6"/>
  <c r="Y15" i="9"/>
  <c r="Y20" i="9"/>
  <c r="AA44" i="2"/>
  <c r="Z115" i="2"/>
  <c r="Z118" i="2"/>
  <c r="Z43" i="2"/>
  <c r="X16" i="8"/>
  <c r="X19" i="8"/>
  <c r="V10" i="6"/>
  <c r="W7" i="9"/>
  <c r="W13" i="9"/>
  <c r="W10" i="6"/>
  <c r="W24" i="8"/>
  <c r="W25" i="8"/>
  <c r="M7" i="5"/>
  <c r="O7" i="6"/>
  <c r="O12" i="6"/>
  <c r="W27" i="8"/>
  <c r="W6" i="8"/>
  <c r="Z15" i="9"/>
  <c r="Z20" i="9"/>
  <c r="AB44" i="2"/>
  <c r="AA115" i="2"/>
  <c r="AA118" i="2"/>
  <c r="AA43" i="2"/>
  <c r="Y16" i="8"/>
  <c r="Y19" i="8"/>
  <c r="V10" i="4"/>
  <c r="Z120" i="2"/>
  <c r="Y9" i="6"/>
  <c r="Z122" i="2"/>
  <c r="Y14" i="8"/>
  <c r="X7" i="9"/>
  <c r="X13" i="9"/>
  <c r="W23" i="9"/>
  <c r="W25" i="9"/>
  <c r="W18" i="6"/>
  <c r="W19" i="6"/>
  <c r="W20" i="6"/>
  <c r="W7" i="8"/>
  <c r="W6" i="4"/>
  <c r="X24" i="8"/>
  <c r="X25" i="8"/>
  <c r="N7" i="5"/>
  <c r="P7" i="6"/>
  <c r="P12" i="6"/>
  <c r="X27" i="8"/>
  <c r="X6" i="8"/>
  <c r="W10" i="4"/>
  <c r="X6" i="4"/>
  <c r="X7" i="8"/>
  <c r="X10" i="6"/>
  <c r="AA120" i="2"/>
  <c r="Z9" i="6"/>
  <c r="AA122" i="2"/>
  <c r="Z14" i="8"/>
  <c r="X23" i="9"/>
  <c r="X25" i="9"/>
  <c r="X18" i="6"/>
  <c r="X19" i="6"/>
  <c r="X20" i="6"/>
  <c r="Z16" i="8"/>
  <c r="Z19" i="8"/>
  <c r="AB43" i="2"/>
  <c r="Y24" i="8"/>
  <c r="Y25" i="8"/>
  <c r="AA15" i="9"/>
  <c r="AA20" i="9"/>
  <c r="AC44" i="2"/>
  <c r="AB115" i="2"/>
  <c r="AB118" i="2"/>
  <c r="Y7" i="9"/>
  <c r="Y13" i="9"/>
  <c r="O7" i="5"/>
  <c r="Q7" i="6"/>
  <c r="Q12" i="6"/>
  <c r="Y27" i="8"/>
  <c r="Y6" i="8"/>
  <c r="Y7" i="8"/>
  <c r="Y6" i="4"/>
  <c r="Y10" i="6"/>
  <c r="AC43" i="2"/>
  <c r="AA16" i="8"/>
  <c r="AA19" i="8"/>
  <c r="AB120" i="2"/>
  <c r="AA9" i="6"/>
  <c r="AB122" i="2"/>
  <c r="AA14" i="8"/>
  <c r="X10" i="4"/>
  <c r="AB15" i="9"/>
  <c r="AB20" i="9"/>
  <c r="AD44" i="2"/>
  <c r="AC115" i="2"/>
  <c r="AC118" i="2"/>
  <c r="Z7" i="9"/>
  <c r="Z13" i="9"/>
  <c r="Y23" i="9"/>
  <c r="Y25" i="9"/>
  <c r="Y18" i="6"/>
  <c r="Y19" i="6"/>
  <c r="Y20" i="6"/>
  <c r="Z25" i="8"/>
  <c r="Z24" i="8"/>
  <c r="P7" i="5"/>
  <c r="R7" i="6"/>
  <c r="R12" i="6"/>
  <c r="Z27" i="8"/>
  <c r="Z6" i="8"/>
  <c r="AA7" i="9"/>
  <c r="AA13" i="9"/>
  <c r="Z6" i="4"/>
  <c r="Z7" i="8"/>
  <c r="Z10" i="6"/>
  <c r="Z23" i="9"/>
  <c r="Z25" i="9"/>
  <c r="Z18" i="6"/>
  <c r="Z19" i="6"/>
  <c r="Z20" i="6"/>
  <c r="AD43" i="2"/>
  <c r="AB16" i="8"/>
  <c r="AB19" i="8"/>
  <c r="AA25" i="8"/>
  <c r="AA24" i="8"/>
  <c r="AC15" i="9"/>
  <c r="AC20" i="9"/>
  <c r="AE44" i="2"/>
  <c r="AD115" i="2"/>
  <c r="AD118" i="2"/>
  <c r="AC120" i="2"/>
  <c r="AB9" i="6"/>
  <c r="AC122" i="2"/>
  <c r="AB14" i="8"/>
  <c r="Y10" i="4"/>
  <c r="Q7" i="5"/>
  <c r="S7" i="6"/>
  <c r="S12" i="6"/>
  <c r="AA27" i="8"/>
  <c r="AA6" i="8"/>
  <c r="AD120" i="2"/>
  <c r="AC9" i="6"/>
  <c r="AD122" i="2"/>
  <c r="AC14" i="8"/>
  <c r="AD15" i="9"/>
  <c r="AD20" i="9"/>
  <c r="AF44" i="2"/>
  <c r="AE115" i="2"/>
  <c r="AE118" i="2"/>
  <c r="AA6" i="4"/>
  <c r="AA7" i="8"/>
  <c r="AA10" i="6"/>
  <c r="AA23" i="9"/>
  <c r="AA25" i="9"/>
  <c r="AA18" i="6"/>
  <c r="AA19" i="6"/>
  <c r="AA20" i="6"/>
  <c r="Z10" i="4"/>
  <c r="AB24" i="8"/>
  <c r="AB25" i="8"/>
  <c r="AB7" i="9"/>
  <c r="AB13" i="9"/>
  <c r="AE43" i="2"/>
  <c r="AC16" i="8"/>
  <c r="AC19" i="8"/>
  <c r="R7" i="5"/>
  <c r="T7" i="6"/>
  <c r="T12" i="6"/>
  <c r="AB27" i="8"/>
  <c r="AB6" i="8"/>
  <c r="AE15" i="9"/>
  <c r="AE20" i="9"/>
  <c r="AG44" i="2"/>
  <c r="AF115" i="2"/>
  <c r="AF118" i="2"/>
  <c r="AE120" i="2"/>
  <c r="AD9" i="6"/>
  <c r="AE122" i="2"/>
  <c r="AD14" i="8"/>
  <c r="AC24" i="8"/>
  <c r="AC25" i="8"/>
  <c r="AA10" i="4"/>
  <c r="AC7" i="9"/>
  <c r="AC13" i="9"/>
  <c r="AD16" i="8"/>
  <c r="AD19" i="8"/>
  <c r="AF43" i="2"/>
  <c r="AB6" i="4"/>
  <c r="AB7" i="8"/>
  <c r="AB10" i="6"/>
  <c r="AB23" i="9"/>
  <c r="AB25" i="9"/>
  <c r="AB18" i="6"/>
  <c r="AB19" i="6"/>
  <c r="AB20" i="6"/>
  <c r="U7" i="6"/>
  <c r="U12" i="6"/>
  <c r="S7" i="5"/>
  <c r="AC27" i="8"/>
  <c r="AC6" i="8"/>
  <c r="AC23" i="9"/>
  <c r="AC25" i="9"/>
  <c r="AC18" i="6"/>
  <c r="AC19" i="6"/>
  <c r="AC20" i="6"/>
  <c r="AC6" i="4"/>
  <c r="AC7" i="8"/>
  <c r="AC10" i="6"/>
  <c r="AD24" i="8"/>
  <c r="AD25" i="8"/>
  <c r="AF15" i="9"/>
  <c r="AF20" i="9"/>
  <c r="AG115" i="2"/>
  <c r="AG118" i="2"/>
  <c r="AD7" i="9"/>
  <c r="AD13" i="9"/>
  <c r="AF122" i="2"/>
  <c r="AE14" i="8"/>
  <c r="AF120" i="2"/>
  <c r="AE9" i="6"/>
  <c r="AG43" i="2"/>
  <c r="AE16" i="8"/>
  <c r="AE19" i="8"/>
  <c r="AB10" i="4"/>
  <c r="V7" i="6"/>
  <c r="V12" i="6"/>
  <c r="T7" i="5"/>
  <c r="AD27" i="8"/>
  <c r="AD6" i="8"/>
  <c r="AC10" i="4"/>
  <c r="AD6" i="4"/>
  <c r="AD7" i="8"/>
  <c r="AD10" i="6"/>
  <c r="AD23" i="9"/>
  <c r="AD25" i="9"/>
  <c r="AD18" i="6"/>
  <c r="AD19" i="6"/>
  <c r="AD20" i="6"/>
  <c r="AG120" i="2"/>
  <c r="AF9" i="6"/>
  <c r="AG122" i="2"/>
  <c r="AF14" i="8"/>
  <c r="AE7" i="9"/>
  <c r="AE13" i="9"/>
  <c r="AE24" i="8"/>
  <c r="AE25" i="8"/>
  <c r="AF16" i="8"/>
  <c r="AF19" i="8"/>
  <c r="W7" i="6"/>
  <c r="W12" i="6"/>
  <c r="U7" i="5"/>
  <c r="AE27" i="8"/>
  <c r="AE6" i="8"/>
  <c r="AD10" i="4"/>
  <c r="AE7" i="8"/>
  <c r="AE6" i="4"/>
  <c r="AE10" i="6"/>
  <c r="AF7" i="9"/>
  <c r="AF13" i="9"/>
  <c r="AE23" i="9"/>
  <c r="AE25" i="9"/>
  <c r="AE18" i="6"/>
  <c r="AE19" i="6"/>
  <c r="AE20" i="6"/>
  <c r="AF25" i="8"/>
  <c r="AF24" i="8"/>
  <c r="V7" i="5"/>
  <c r="X7" i="6"/>
  <c r="X12" i="6"/>
  <c r="AF27" i="8"/>
  <c r="AF6" i="8"/>
  <c r="AF7" i="8"/>
  <c r="AF6" i="4"/>
  <c r="AF10" i="6"/>
  <c r="AE10" i="4"/>
  <c r="AF23" i="9"/>
  <c r="AF25" i="9"/>
  <c r="AF18" i="6"/>
  <c r="AF19" i="6"/>
  <c r="AF20" i="6"/>
  <c r="Y7" i="6"/>
  <c r="Y12" i="6"/>
  <c r="W7" i="5"/>
  <c r="AF10" i="4"/>
  <c r="X7" i="5"/>
  <c r="Z7" i="6"/>
  <c r="Z12" i="6"/>
  <c r="Y7" i="5"/>
  <c r="AA7" i="6"/>
  <c r="AA12" i="6"/>
  <c r="Z7" i="5"/>
  <c r="AB7" i="6"/>
  <c r="AB12" i="6"/>
  <c r="AA7" i="5"/>
  <c r="AC7" i="6"/>
  <c r="AC12" i="6"/>
  <c r="AB7" i="5"/>
  <c r="AD7" i="6"/>
  <c r="AD12" i="6"/>
  <c r="AC7" i="5"/>
  <c r="AE7" i="6"/>
  <c r="AE12" i="6"/>
  <c r="AD7" i="5"/>
  <c r="AF7" i="6"/>
  <c r="AF12" i="6"/>
  <c r="AE7" i="5"/>
  <c r="C6" i="5"/>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<sst xmlns="http://schemas.openxmlformats.org/spreadsheetml/2006/main" count="278" uniqueCount="205">
  <si>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</si>
  <si>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</si>
  <si>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</si>
  <si>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</si>
  <si>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</si>
  <si>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</si>
  <si>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</si>
  <si>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</si>
  <si>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</si>
  <si>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</si>
  <si>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</si>
  <si>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</si>
  <si>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</si>
  <si>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</si>
  <si>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</si>
  <si>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</si>
  <si>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</si>
  <si>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</si>
  <si>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</si>
  <si>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</si>
  <si>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</si>
  <si>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</si>
  <si>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</si>
  <si>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</si>
  <si>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</si>
  <si>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</si>
  <si>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</si>
  <si>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</si>
  <si>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</si>
  <si>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</si>
  <si>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</si>
  <si>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</si>
  <si>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</si>
  <si>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</si>
  <si>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</si>
  <si>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</si>
  <si>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</si>
  <si>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</si>
  <si>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</si>
  <si>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</si>
  <si>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</si>
  <si>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</si>
  <si>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</si>
  <si>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</si>
  <si>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</si>
  <si>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</si>
  <si>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</si>
  <si>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</si>
  <si>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</si>
  <si>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</si>
  <si>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</si>
  <si>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</si>
  <si>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</si>
  <si>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</si>
  <si>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</si>
  <si>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</si>
  <si>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</si>
  <si>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</si>
  <si>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</si>
  <si>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</si>
  <si>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</si>
  <si>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</si>
  <si>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</si>
  <si>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</si>
  <si>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</si>
  <si>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</si>
  <si>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</si>
  <si>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</si>
  <si>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</si>
  <si>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</si>
  <si>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</si>
  <si>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</si>
  <si>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</si>
  <si>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</si>
  <si>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</si>
  <si>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</si>
  <si>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</si>
  <si>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</si>
  <si>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</si>
  <si>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</si>
  <si>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</si>
  <si>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</si>
  <si>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</si>
  <si>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</si>
  <si>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</si>
  <si>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</si>
  <si>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</si>
  <si>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</si>
  <si>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</si>
  <si>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</si>
  <si>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</si>
  <si>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</si>
  <si>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</si>
  <si>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</si>
  <si>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</si>
  <si>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</si>
  <si>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</si>
  <si>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</si>
  <si>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</si>
  <si>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</si>
  <si>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</si>
  <si>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</si>
  <si>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</si>
  <si>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</si>
  <si>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</si>
  <si>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</si>
  <si>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</si>
  <si>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</si>
  <si>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</si>
  <si>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</si>
  <si>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</si>
  <si>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</si>
  <si>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</si>
  <si>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</si>
  <si>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</si>
  <si>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</si>
  <si>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</si>
  <si>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</si>
  <si>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</si>
  <si>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</si>
  <si>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</si>
  <si>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</si>
  <si>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</si>
  <si>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</si>
  <si>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</si>
  <si>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</si>
  <si>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</si>
  <si>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</si>
  <si>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</si>
  <si>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</si>
  <si>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</si>
  <si>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</si>
  <si>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</si>
  <si>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A3; Line A3.58</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</si>
  <si>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</si>
  <si>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</si>
  <si>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</si>
  <si>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</si>
  <si>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</si>
  <si>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</si>
  <si>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</si>
  <si>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</si>
  <si>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</si>
  <si>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</si>
  <si>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</si>
  <si>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</si>
  <si>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</si>
  <si>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</si>
  <si>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</si>
  <si>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</si>
  <si>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</si>
  <si>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</si>
  <si>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</si>
  <si>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</si>
  <si>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</si>
  <si>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</si>
  <si>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</si>
  <si>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</si>
  <si>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</si>
  <si>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</si>
  <si>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</si>
  <si>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</si>
  <si>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</si>
  <si>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</si>
  <si>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</si>
  <si>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</si>
  <si>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</si>
  <si>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</si>
  <si>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</si>
  <si>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</si>
  <si>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</si>
  <si>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</si>
  <si>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</si>
  <si>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</si>
  <si>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</si>
  <si>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</si>
  <si>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</si>
  <si>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</si>
  <si>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</si>
  <si>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</si>
  <si>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</si>
  <si>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</si>
  <si>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</si>
  <si>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</si>
  <si>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</si>
  <si>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</si>
  <si>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</si>
  <si>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</si>
  <si>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Source / note</t>
  </si>
  <si>
    <t xml:space="preserve"> </t>
  </si>
  <si>
    <t>Council reported growth investment expenditure, but did not provide new properties connected. In this case, the average growth rate across the councils in New Zealand was used</t>
  </si>
  <si>
    <t>RFI Table A1; Line A1.43</t>
  </si>
  <si>
    <t>RFI Table F10; Lines F10.62 - F10.61 + F10.70</t>
  </si>
  <si>
    <t>RFI Table E1, E2 and E2b; Lines E1.12 (Water distribution) + E1.17 + Allocation of Greater Wellington E1.22 (Water Resources and Treatment) + E2.21 - E2.18 + E2b.21
Greater Wellington operating expenditure is allocated based on the each council's share of fees to Greater Wellington</t>
  </si>
  <si>
    <t>Upper Hutt: RFI Table F3; Line F3.20 
Greater Wellington allocation: RFI Table F3; Line F3.20 x 10%</t>
  </si>
  <si>
    <t xml:space="preserve">Upper Hutt: RFI Table J1; Sum of lines J1.1 to J1.30 (Column I)
Greater Wellington allocation: RFI Table J1; Sum of lines J1.1 to J1.30 (Column I) x 10% </t>
  </si>
  <si>
    <t xml:space="preserve">Upper Hutt: RFI Table J1; Sum of lines J1.1 to J1.30 (Column J)
Greater Wellington allocation: RFI Table J1; Sum of lines J1.1 to J1.30 (Column I) x 10% </t>
  </si>
  <si>
    <t>Upper Hutt: RFI Table G1; Line G1.3
As forecasts were not provided for 2032-51, the average annual growth investment over 2022-31 is assumed to continue over 2032-51.
Greater Wellington allocation: RFI Table G1; Line G1.3 adjusted for inflation reported in RFI Table G5 x 10%. As forecasts were not provided for 2032-51, the average annual growth investment over 2022-31 is assumed to continue over 2032-51.</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</si>
  <si>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</si>
  <si>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</si>
  <si>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</si>
  <si>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</si>
  <si>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</si>
  <si>
    <t>Calculated from the growth projections based on the average growth rate across the councils in New Zealand</t>
  </si>
  <si>
    <t>Upper Hutt Stand-alone Council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</si>
</sst>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86">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10" fontId="10" fillId="0" borderId="9" xfId="0" applyNumberFormat="1" applyFont="1" applyFill="1" applyBorder="1" applyAlignment="1">
      <alignment vertical="top"/>
    </xf>
    <xf numFmtId="0" fontId="0" fillId="0" borderId="11" xfId="0" applyNumberFormat="1" applyFont="1" applyFill="1" applyBorder="1" applyAlignment="1">
      <alignment vertical="top" wrapText="1"/>
    </xf>
    <xf numFmtId="0" fontId="13" fillId="0" borderId="5" xfId="0" applyNumberFormat="1" applyFont="1" applyFill="1" applyBorder="1" applyAlignment="1">
      <alignment vertical="top" wrapText="1"/>
    </xf>
    <xf numFmtId="0" fontId="0" fillId="0" borderId="11" xfId="0" applyFill="1" applyBorder="1" applyAlignment="1">
      <alignment vertical="top" wrapText="1"/>
    </xf>
    <xf numFmtId="0" fontId="18" fillId="0" borderId="0" xfId="0" applyFont="1" applyAlignment="1">
      <alignment horizontal="left" vertical="center" wrapText="1"/>
    </xf>
    <xf numFmtId="0" fontId="0" fillId="0" borderId="0" xfId="0" applyAlignment="1">
      <alignment horizontal="left" vertical="center"/>
    </xf>
    <xf numFmtId="10" fontId="13" fillId="0" borderId="0" xfId="3" applyNumberFormat="1" applyFont="1" applyFill="1" applyBorder="1" applyAlignment="1">
      <alignment vertical="top"/>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70" zoomScaleNormal="7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94</v>
      </c>
      <c r="D1" s="61"/>
      <c r="E1" s="61"/>
      <c r="F1" s="61"/>
    </row>
    <row r="2" spans="1:6" x14ac:dyDescent="0.35">
      <c r="A2" s="63" t="s">
        <v>95</v>
      </c>
      <c r="B2" s="60" t="s">
        <v>204</v>
      </c>
      <c r="C2" s="169"/>
      <c r="D2" s="60"/>
      <c r="E2" s="14"/>
      <c r="F2" s="60"/>
    </row>
    <row r="3" spans="1:6" x14ac:dyDescent="0.35">
      <c r="C3" s="14"/>
      <c r="D3" s="14"/>
    </row>
    <row r="4" spans="1:6" x14ac:dyDescent="0.35">
      <c r="A4" s="14" t="s">
        <v>153</v>
      </c>
      <c r="B4" s="14"/>
      <c r="D4" s="14"/>
    </row>
    <row r="6" spans="1:6" ht="21" x14ac:dyDescent="0.5">
      <c r="A6" s="15" t="s">
        <v>162</v>
      </c>
    </row>
    <row r="7" spans="1:6" ht="241" customHeight="1" x14ac:dyDescent="0.35">
      <c r="A7" s="106">
        <v>1</v>
      </c>
      <c r="B7" s="104" t="s">
        <v>163</v>
      </c>
    </row>
    <row r="8" spans="1:6" ht="408" customHeight="1" x14ac:dyDescent="0.35">
      <c r="A8" s="106">
        <v>2</v>
      </c>
      <c r="B8" s="104" t="s">
        <v>182</v>
      </c>
    </row>
    <row r="9" spans="1:6" ht="195.5" customHeight="1" x14ac:dyDescent="0.35">
      <c r="A9" s="106">
        <f>A8+1</f>
        <v>3</v>
      </c>
      <c r="B9" s="105" t="s">
        <v>167</v>
      </c>
    </row>
    <row r="10" spans="1:6" ht="236" customHeight="1" x14ac:dyDescent="0.35">
      <c r="A10" s="106">
        <v>4</v>
      </c>
      <c r="B10" s="105" t="s">
        <v>168</v>
      </c>
    </row>
    <row r="11" spans="1:6" ht="21" x14ac:dyDescent="0.35">
      <c r="A11" s="106">
        <f>A10+1</f>
        <v>5</v>
      </c>
      <c r="B11" s="63" t="s">
        <v>180</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120" zoomScaleNormal="120" workbookViewId="0">
      <pane xSplit="1" topLeftCell="B1" activePane="topRight" state="frozen"/>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159</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183</v>
      </c>
      <c r="B6" s="1">
        <f>Assumptions!C17</f>
        <v>1230347635.6949949</v>
      </c>
      <c r="C6" s="12">
        <f ca="1">B6+Depreciation!C18+'Cash Flow'!C13</f>
        <v>1237286413.6674871</v>
      </c>
      <c r="D6" s="1">
        <f ca="1">C6+Depreciation!D18</f>
        <v>1275299668.0325541</v>
      </c>
      <c r="E6" s="1">
        <f ca="1">D6+Depreciation!E18</f>
        <v>1314941942.5816286</v>
      </c>
      <c r="F6" s="1">
        <f ca="1">E6+Depreciation!F18</f>
        <v>1356278569.0340168</v>
      </c>
      <c r="G6" s="1">
        <f ca="1">F6+Depreciation!G18</f>
        <v>1399373791.0722294</v>
      </c>
      <c r="H6" s="1">
        <f ca="1">G6+Depreciation!H18</f>
        <v>1444297743.7192724</v>
      </c>
      <c r="I6" s="1">
        <f ca="1">H6+Depreciation!I18</f>
        <v>1491123247.090421</v>
      </c>
      <c r="J6" s="1">
        <f ca="1">I6+Depreciation!J18</f>
        <v>1539925906.3334904</v>
      </c>
      <c r="K6" s="1">
        <f ca="1">J6+Depreciation!K18</f>
        <v>1590784215.2129726</v>
      </c>
      <c r="L6" s="1">
        <f ca="1">K6+Depreciation!L18</f>
        <v>1643782189.0558283</v>
      </c>
      <c r="M6" s="1">
        <f ca="1">L6+Depreciation!M18</f>
        <v>1699004646.8704927</v>
      </c>
      <c r="N6" s="1">
        <f ca="1">M6+Depreciation!N18</f>
        <v>1756539643.7677336</v>
      </c>
      <c r="O6" s="1">
        <f ca="1">N6+Depreciation!O18</f>
        <v>1816478591.1751256</v>
      </c>
      <c r="P6" s="1">
        <f ca="1">O6+Depreciation!P18</f>
        <v>1878916381.43016</v>
      </c>
      <c r="Q6" s="1">
        <f ca="1">P6+Depreciation!Q18</f>
        <v>1943952173.9922655</v>
      </c>
      <c r="R6" s="1">
        <f ca="1">Q6+Depreciation!R18</f>
        <v>2011688272.9632809</v>
      </c>
      <c r="S6" s="1">
        <f ca="1">R6+Depreciation!S18</f>
        <v>2082230868.5389254</v>
      </c>
      <c r="T6" s="1">
        <f ca="1">S6+Depreciation!T18</f>
        <v>2155690180.9270034</v>
      </c>
      <c r="U6" s="1">
        <f ca="1">T6+Depreciation!U18</f>
        <v>2232180609.4959793</v>
      </c>
      <c r="V6" s="1">
        <f ca="1">U6+Depreciation!V18</f>
        <v>2311822426.8132186</v>
      </c>
      <c r="W6" s="1">
        <f ca="1">V6+Depreciation!W18</f>
        <v>2394738995.5597558</v>
      </c>
      <c r="X6" s="1">
        <f ca="1">W6+Depreciation!X18</f>
        <v>2481058346.606133</v>
      </c>
      <c r="Y6" s="1">
        <f ca="1">X6+Depreciation!Y18</f>
        <v>2570913351.4531436</v>
      </c>
      <c r="Z6" s="1">
        <f ca="1">Y6+Depreciation!Z18</f>
        <v>2664441900.9285564</v>
      </c>
      <c r="AA6" s="1">
        <f ca="1">Z6+Depreciation!AA18</f>
        <v>2761787090.3636265</v>
      </c>
      <c r="AB6" s="1">
        <f ca="1">AA6+Depreciation!AB18</f>
        <v>2863097411.4811082</v>
      </c>
      <c r="AC6" s="1">
        <f ca="1">AB6+Depreciation!AC18</f>
        <v>2968526951.234695</v>
      </c>
      <c r="AD6" s="1">
        <f ca="1">AC6+Depreciation!AD18</f>
        <v>3078235597.8482728</v>
      </c>
      <c r="AE6" s="1">
        <f ca="1">AD6+Depreciation!AE18</f>
        <v>3192389254.3121738</v>
      </c>
      <c r="AF6" s="1"/>
      <c r="AG6" s="1"/>
      <c r="AH6" s="1"/>
      <c r="AI6" s="1"/>
      <c r="AJ6" s="1"/>
      <c r="AK6" s="1"/>
      <c r="AL6" s="1"/>
      <c r="AM6" s="1"/>
      <c r="AN6" s="1"/>
      <c r="AO6" s="1"/>
      <c r="AP6" s="1"/>
    </row>
    <row r="7" spans="1:42" x14ac:dyDescent="0.35">
      <c r="A7" t="s">
        <v>12</v>
      </c>
      <c r="B7" s="1">
        <f>Depreciation!C12</f>
        <v>635479069.76063514</v>
      </c>
      <c r="C7" s="1">
        <f>Depreciation!D12</f>
        <v>656833892.1035254</v>
      </c>
      <c r="D7" s="1">
        <f>Depreciation!E12</f>
        <v>679284664.80571353</v>
      </c>
      <c r="E7" s="1">
        <f>Depreciation!F12</f>
        <v>702879661.35211527</v>
      </c>
      <c r="F7" s="1">
        <f>Depreciation!G12</f>
        <v>727669038.0755564</v>
      </c>
      <c r="G7" s="1">
        <f>Depreciation!H12</f>
        <v>753704986.94481444</v>
      </c>
      <c r="H7" s="1">
        <f>Depreciation!I12</f>
        <v>781041814.39987481</v>
      </c>
      <c r="I7" s="1">
        <f>Depreciation!J12</f>
        <v>809736023.14543748</v>
      </c>
      <c r="J7" s="1">
        <f>Depreciation!K12</f>
        <v>839846397.01118755</v>
      </c>
      <c r="K7" s="1">
        <f>Depreciation!L12</f>
        <v>871434148.18470573</v>
      </c>
      <c r="L7" s="1">
        <f>Depreciation!M12</f>
        <v>904562955.01929832</v>
      </c>
      <c r="M7" s="1">
        <f>Depreciation!N12</f>
        <v>939299057.14706528</v>
      </c>
      <c r="N7" s="1">
        <f>Depreciation!O12</f>
        <v>975711354.15256608</v>
      </c>
      <c r="O7" s="1">
        <f>Depreciation!P12</f>
        <v>1013871507.9375247</v>
      </c>
      <c r="P7" s="1">
        <f>Depreciation!Q12</f>
        <v>1053854064.3121027</v>
      </c>
      <c r="Q7" s="1">
        <f>Depreciation!R12</f>
        <v>1095736549.2279904</v>
      </c>
      <c r="R7" s="1">
        <f>Depreciation!S12</f>
        <v>1139599583.1410875</v>
      </c>
      <c r="S7" s="1">
        <f>Depreciation!T12</f>
        <v>1185526999.6407263</v>
      </c>
      <c r="T7" s="1">
        <f>Depreciation!U12</f>
        <v>1233605968.5013537</v>
      </c>
      <c r="U7" s="1">
        <f>Depreciation!V12</f>
        <v>1283927159.3995779</v>
      </c>
      <c r="V7" s="1">
        <f>Depreciation!W12</f>
        <v>1336584841.6816912</v>
      </c>
      <c r="W7" s="1">
        <f>Depreciation!X12</f>
        <v>1391677021.8967831</v>
      </c>
      <c r="X7" s="1">
        <f>Depreciation!Y12</f>
        <v>1449305586.4459071</v>
      </c>
      <c r="Y7" s="1">
        <f>Depreciation!Z12</f>
        <v>1509576449.5339012</v>
      </c>
      <c r="Z7" s="1">
        <f>Depreciation!AA12</f>
        <v>1572599706.6171548</v>
      </c>
      <c r="AA7" s="1">
        <f>Depreciation!AB12</f>
        <v>1638489793.5475624</v>
      </c>
      <c r="AB7" s="1">
        <f>Depreciation!AC12</f>
        <v>1707365651.6200881</v>
      </c>
      <c r="AC7" s="1">
        <f>Depreciation!AD12</f>
        <v>1779350898.7388113</v>
      </c>
      <c r="AD7" s="1">
        <f>Depreciation!AE12</f>
        <v>1854574006.9240222</v>
      </c>
      <c r="AE7" s="1">
        <f>Depreciation!AF12</f>
        <v>1933168486.3909264</v>
      </c>
      <c r="AF7" s="1"/>
      <c r="AG7" s="1"/>
      <c r="AH7" s="1"/>
      <c r="AI7" s="1"/>
      <c r="AJ7" s="1"/>
      <c r="AK7" s="1"/>
      <c r="AL7" s="1"/>
      <c r="AM7" s="1"/>
      <c r="AN7" s="1"/>
      <c r="AO7" s="1"/>
      <c r="AP7" s="1"/>
    </row>
    <row r="8" spans="1:42" x14ac:dyDescent="0.35">
      <c r="A8" t="s">
        <v>184</v>
      </c>
      <c r="B8" s="1">
        <f t="shared" ref="B8:AE8" si="1">B6-B7</f>
        <v>594868565.93435979</v>
      </c>
      <c r="C8" s="1">
        <f t="shared" ca="1" si="1"/>
        <v>580452521.56396174</v>
      </c>
      <c r="D8" s="1">
        <f ca="1">D6-D7</f>
        <v>596015003.22684062</v>
      </c>
      <c r="E8" s="1">
        <f t="shared" ca="1" si="1"/>
        <v>612062281.22951329</v>
      </c>
      <c r="F8" s="1">
        <f t="shared" ca="1" si="1"/>
        <v>628609530.95846045</v>
      </c>
      <c r="G8" s="1">
        <f t="shared" ca="1" si="1"/>
        <v>645668804.12741494</v>
      </c>
      <c r="H8" s="1">
        <f t="shared" ca="1" si="1"/>
        <v>663255929.31939757</v>
      </c>
      <c r="I8" s="1">
        <f t="shared" ca="1" si="1"/>
        <v>681387223.94498348</v>
      </c>
      <c r="J8" s="1">
        <f t="shared" ca="1" si="1"/>
        <v>700079509.32230282</v>
      </c>
      <c r="K8" s="1">
        <f t="shared" ca="1" si="1"/>
        <v>719350067.02826691</v>
      </c>
      <c r="L8" s="1">
        <f t="shared" ca="1" si="1"/>
        <v>739219234.03653002</v>
      </c>
      <c r="M8" s="1">
        <f t="shared" ca="1" si="1"/>
        <v>759705589.72342741</v>
      </c>
      <c r="N8" s="1">
        <f t="shared" ca="1" si="1"/>
        <v>780828289.6151675</v>
      </c>
      <c r="O8" s="1">
        <f t="shared" ca="1" si="1"/>
        <v>802607083.23760092</v>
      </c>
      <c r="P8" s="1">
        <f t="shared" ca="1" si="1"/>
        <v>825062317.11805737</v>
      </c>
      <c r="Q8" s="1">
        <f t="shared" ca="1" si="1"/>
        <v>848215624.76427507</v>
      </c>
      <c r="R8" s="1">
        <f t="shared" ca="1" si="1"/>
        <v>872088689.82219338</v>
      </c>
      <c r="S8" s="1">
        <f t="shared" ca="1" si="1"/>
        <v>896703868.89819908</v>
      </c>
      <c r="T8" s="1">
        <f t="shared" ca="1" si="1"/>
        <v>922084212.42564964</v>
      </c>
      <c r="U8" s="1">
        <f t="shared" ca="1" si="1"/>
        <v>948253450.09640145</v>
      </c>
      <c r="V8" s="1">
        <f t="shared" ca="1" si="1"/>
        <v>975237585.13152742</v>
      </c>
      <c r="W8" s="1">
        <f t="shared" ca="1" si="1"/>
        <v>1003061973.6629727</v>
      </c>
      <c r="X8" s="1">
        <f t="shared" ca="1" si="1"/>
        <v>1031752760.1602259</v>
      </c>
      <c r="Y8" s="1">
        <f t="shared" ca="1" si="1"/>
        <v>1061336901.9192424</v>
      </c>
      <c r="Z8" s="1">
        <f t="shared" ca="1" si="1"/>
        <v>1091842194.3114016</v>
      </c>
      <c r="AA8" s="1">
        <f t="shared" ca="1" si="1"/>
        <v>1123297296.8160641</v>
      </c>
      <c r="AB8" s="1">
        <f t="shared" ca="1" si="1"/>
        <v>1155731759.8610201</v>
      </c>
      <c r="AC8" s="1">
        <f t="shared" ca="1" si="1"/>
        <v>1189176052.4958837</v>
      </c>
      <c r="AD8" s="1">
        <f t="shared" ca="1" si="1"/>
        <v>1223661590.9242506</v>
      </c>
      <c r="AE8" s="1">
        <f t="shared" ca="1" si="1"/>
        <v>1259220767.9212475</v>
      </c>
      <c r="AF8" s="1"/>
      <c r="AG8" s="1"/>
      <c r="AH8" s="1"/>
      <c r="AI8" s="1"/>
      <c r="AJ8" s="1"/>
      <c r="AK8" s="1"/>
      <c r="AL8" s="1"/>
      <c r="AM8" s="1"/>
      <c r="AN8" s="1"/>
      <c r="AO8" s="1"/>
      <c r="AP8" s="1"/>
    </row>
    <row r="10" spans="1:42" x14ac:dyDescent="0.35">
      <c r="A10" t="s">
        <v>17</v>
      </c>
      <c r="B10" s="1">
        <f>B8-B11</f>
        <v>563349557.22435975</v>
      </c>
      <c r="C10" s="1">
        <f ca="1">C8-C11</f>
        <v>519425147.41895908</v>
      </c>
      <c r="D10" s="1">
        <f ca="1">D8-D11</f>
        <v>507978269.15024424</v>
      </c>
      <c r="E10" s="1">
        <f t="shared" ref="E10:AE10" ca="1" si="2">E8-E11</f>
        <v>501169151.82799089</v>
      </c>
      <c r="F10" s="1">
        <f t="shared" ca="1" si="2"/>
        <v>501172209.52409005</v>
      </c>
      <c r="G10" s="1">
        <f ca="1">G8-G11</f>
        <v>504110222.44482803</v>
      </c>
      <c r="H10" s="1">
        <f t="shared" ca="1" si="2"/>
        <v>509649885.78732294</v>
      </c>
      <c r="I10" s="1">
        <f t="shared" ca="1" si="2"/>
        <v>517170851.12153447</v>
      </c>
      <c r="J10" s="1">
        <f t="shared" ca="1" si="2"/>
        <v>525756748.33949327</v>
      </c>
      <c r="K10" s="1">
        <f t="shared" ca="1" si="2"/>
        <v>535590152.25834185</v>
      </c>
      <c r="L10" s="1">
        <f t="shared" ca="1" si="2"/>
        <v>546133901.1294601</v>
      </c>
      <c r="M10" s="1">
        <f t="shared" ca="1" si="2"/>
        <v>557495349.47811556</v>
      </c>
      <c r="N10" s="1">
        <f t="shared" ca="1" si="2"/>
        <v>569793086.79081488</v>
      </c>
      <c r="O10" s="1">
        <f t="shared" ca="1" si="2"/>
        <v>582290613.73662663</v>
      </c>
      <c r="P10" s="1">
        <f t="shared" ca="1" si="2"/>
        <v>595012283.3500011</v>
      </c>
      <c r="Q10" s="1">
        <f t="shared" ca="1" si="2"/>
        <v>607984707.6812439</v>
      </c>
      <c r="R10" s="1">
        <f t="shared" ca="1" si="2"/>
        <v>621238638.70965624</v>
      </c>
      <c r="S10" s="1">
        <f t="shared" ca="1" si="2"/>
        <v>634808532.17531955</v>
      </c>
      <c r="T10" s="1">
        <f t="shared" ca="1" si="2"/>
        <v>648732864.21977675</v>
      </c>
      <c r="U10" s="1">
        <f t="shared" ca="1" si="2"/>
        <v>663054434.12259316</v>
      </c>
      <c r="V10" s="1">
        <f t="shared" ca="1" si="2"/>
        <v>677818481.13619196</v>
      </c>
      <c r="W10" s="1">
        <f t="shared" ca="1" si="2"/>
        <v>693077223.61322427</v>
      </c>
      <c r="X10" s="1">
        <f t="shared" ca="1" si="2"/>
        <v>708888364.01805806</v>
      </c>
      <c r="Y10" s="1">
        <f t="shared" ca="1" si="2"/>
        <v>724637576.8328948</v>
      </c>
      <c r="Z10" s="1">
        <f t="shared" ca="1" si="2"/>
        <v>740311764.46874952</v>
      </c>
      <c r="AA10" s="1">
        <f t="shared" ca="1" si="2"/>
        <v>755897914.83660126</v>
      </c>
      <c r="AB10" s="1">
        <f t="shared" ca="1" si="2"/>
        <v>771383169.97509003</v>
      </c>
      <c r="AC10" s="1">
        <f t="shared" ca="1" si="2"/>
        <v>786754901.44226444</v>
      </c>
      <c r="AD10" s="1">
        <f t="shared" ca="1" si="2"/>
        <v>802000792.94844079</v>
      </c>
      <c r="AE10" s="1">
        <f t="shared" ca="1" si="2"/>
        <v>817108930.73602533</v>
      </c>
      <c r="AF10" s="1"/>
      <c r="AG10" s="1"/>
      <c r="AH10" s="1"/>
      <c r="AI10" s="1"/>
      <c r="AJ10" s="1"/>
      <c r="AK10" s="1"/>
      <c r="AL10" s="1"/>
      <c r="AM10" s="1"/>
      <c r="AN10" s="1"/>
      <c r="AO10" s="1"/>
    </row>
    <row r="11" spans="1:42" x14ac:dyDescent="0.35">
      <c r="A11" t="s">
        <v>9</v>
      </c>
      <c r="B11" s="1">
        <f>Assumptions!$C$20</f>
        <v>31519008.710000001</v>
      </c>
      <c r="C11" s="1">
        <f ca="1">'Debt worksheet'!D5</f>
        <v>61027374.145002678</v>
      </c>
      <c r="D11" s="1">
        <f ca="1">'Debt worksheet'!E5</f>
        <v>88036734.076596409</v>
      </c>
      <c r="E11" s="1">
        <f ca="1">'Debt worksheet'!F5</f>
        <v>110893129.40152238</v>
      </c>
      <c r="F11" s="1">
        <f ca="1">'Debt worksheet'!G5</f>
        <v>127437321.43437037</v>
      </c>
      <c r="G11" s="1">
        <f ca="1">'Debt worksheet'!H5</f>
        <v>141558581.68258688</v>
      </c>
      <c r="H11" s="1">
        <f ca="1">'Debt worksheet'!I5</f>
        <v>153606043.53207463</v>
      </c>
      <c r="I11" s="1">
        <f ca="1">'Debt worksheet'!J5</f>
        <v>164216372.82344899</v>
      </c>
      <c r="J11" s="1">
        <f ca="1">'Debt worksheet'!K5</f>
        <v>174322760.98280954</v>
      </c>
      <c r="K11" s="1">
        <f ca="1">'Debt worksheet'!L5</f>
        <v>183759914.76992506</v>
      </c>
      <c r="L11" s="1">
        <f ca="1">'Debt worksheet'!M5</f>
        <v>193085332.90706995</v>
      </c>
      <c r="M11" s="1">
        <f ca="1">'Debt worksheet'!N5</f>
        <v>202210240.24531192</v>
      </c>
      <c r="N11" s="1">
        <f ca="1">'Debt worksheet'!O5</f>
        <v>211035202.82435268</v>
      </c>
      <c r="O11" s="1">
        <f ca="1">'Debt worksheet'!P5</f>
        <v>220316469.50097436</v>
      </c>
      <c r="P11" s="1">
        <f ca="1">'Debt worksheet'!Q5</f>
        <v>230050033.76805627</v>
      </c>
      <c r="Q11" s="1">
        <f ca="1">'Debt worksheet'!R5</f>
        <v>240230917.08303124</v>
      </c>
      <c r="R11" s="1">
        <f ca="1">'Debt worksheet'!S5</f>
        <v>250850051.11253721</v>
      </c>
      <c r="S11" s="1">
        <f ca="1">'Debt worksheet'!T5</f>
        <v>261895336.72287956</v>
      </c>
      <c r="T11" s="1">
        <f ca="1">'Debt worksheet'!U5</f>
        <v>273351348.20587289</v>
      </c>
      <c r="U11" s="1">
        <f ca="1">'Debt worksheet'!V5</f>
        <v>285199015.97380835</v>
      </c>
      <c r="V11" s="1">
        <f ca="1">'Debt worksheet'!W5</f>
        <v>297419103.99533546</v>
      </c>
      <c r="W11" s="1">
        <f ca="1">'Debt worksheet'!X5</f>
        <v>309984750.04974836</v>
      </c>
      <c r="X11" s="1">
        <f ca="1">'Debt worksheet'!Y5</f>
        <v>322864396.14216781</v>
      </c>
      <c r="Y11" s="1">
        <f ca="1">'Debt worksheet'!Z5</f>
        <v>336699325.08634758</v>
      </c>
      <c r="Z11" s="1">
        <f ca="1">'Debt worksheet'!AA5</f>
        <v>351530429.84265202</v>
      </c>
      <c r="AA11" s="1">
        <f ca="1">'Debt worksheet'!AB5</f>
        <v>367399381.97946292</v>
      </c>
      <c r="AB11" s="1">
        <f ca="1">'Debt worksheet'!AC5</f>
        <v>384348589.88593006</v>
      </c>
      <c r="AC11" s="1">
        <f ca="1">'Debt worksheet'!AD5</f>
        <v>402421151.05361927</v>
      </c>
      <c r="AD11" s="1">
        <f ca="1">'Debt worksheet'!AE5</f>
        <v>421660797.97580981</v>
      </c>
      <c r="AE11" s="1">
        <f ca="1">'Debt worksheet'!AF5</f>
        <v>442111837.18522215</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120" zoomScaleNormal="120" workbookViewId="0">
      <pane xSplit="1" topLeftCell="B1" activePane="topRight" state="frozen"/>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160</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-13366473.940645512</v>
      </c>
      <c r="D5" s="4">
        <f ca="1">'Profit and Loss'!D9</f>
        <v>-10350927.90941713</v>
      </c>
      <c r="E5" s="4">
        <f ca="1">'Profit and Loss'!E9</f>
        <v>-5664893.4780397173</v>
      </c>
      <c r="F5" s="4">
        <f ca="1">'Profit and Loss'!F9</f>
        <v>1197437.8731386233</v>
      </c>
      <c r="G5" s="4">
        <f ca="1">'Profit and Loss'!G9</f>
        <v>4184585.0665548779</v>
      </c>
      <c r="H5" s="4">
        <f ca="1">'Profit and Loss'!H9</f>
        <v>6840541.9282971481</v>
      </c>
      <c r="I5" s="4">
        <f ca="1">'Profit and Loss'!I9</f>
        <v>8878346.6247136518</v>
      </c>
      <c r="J5" s="4">
        <f ca="1">'Profit and Loss'!J9</f>
        <v>10002062.338146206</v>
      </c>
      <c r="K5" s="4">
        <f ca="1">'Profit and Loss'!K9</f>
        <v>11310781.22661658</v>
      </c>
      <c r="L5" s="4">
        <f ca="1">'Profit and Loss'!L9</f>
        <v>12084804.532192532</v>
      </c>
      <c r="M5" s="4">
        <f ca="1">'Profit and Loss'!M9</f>
        <v>12968743.641829938</v>
      </c>
      <c r="N5" s="4">
        <f ca="1">'Profit and Loss'!N9</f>
        <v>13973932.190433264</v>
      </c>
      <c r="O5" s="4">
        <f ca="1">'Profit and Loss'!O9</f>
        <v>14245383.72526947</v>
      </c>
      <c r="P5" s="4">
        <f ca="1">'Profit and Loss'!P9</f>
        <v>14544072.202993922</v>
      </c>
      <c r="Q5" s="4">
        <f ca="1">'Profit and Loss'!Q9</f>
        <v>14872352.872552533</v>
      </c>
      <c r="R5" s="4">
        <f ca="1">'Profit and Loss'!R9</f>
        <v>15234480.025621885</v>
      </c>
      <c r="S5" s="4">
        <f ca="1">'Profit and Loss'!S9</f>
        <v>15634276.052205069</v>
      </c>
      <c r="T5" s="4">
        <f ca="1">'Profit and Loss'!T9</f>
        <v>16075884.405445918</v>
      </c>
      <c r="U5" s="4">
        <f ca="1">'Profit and Loss'!U9</f>
        <v>16563791.940412832</v>
      </c>
      <c r="V5" s="4">
        <f ca="1">'Profit and Loss'!V9</f>
        <v>17100538.397488266</v>
      </c>
      <c r="W5" s="4">
        <f ca="1">'Profit and Loss'!W9</f>
        <v>17693240.410010993</v>
      </c>
      <c r="X5" s="4">
        <f ca="1">'Profit and Loss'!X9</f>
        <v>18347524.738866005</v>
      </c>
      <c r="Y5" s="4">
        <f ca="1">'Profit and Loss'!Y9</f>
        <v>18391511.353706852</v>
      </c>
      <c r="Z5" s="4">
        <f ca="1">'Profit and Loss'!Z9</f>
        <v>18426581.631114524</v>
      </c>
      <c r="AA5" s="4">
        <f ca="1">'Profit and Loss'!AA9</f>
        <v>18452980.215005465</v>
      </c>
      <c r="AB5" s="4">
        <f ca="1">'Profit and Loss'!AB9</f>
        <v>18471026.280607373</v>
      </c>
      <c r="AC5" s="4">
        <f ca="1">'Profit and Loss'!AC9</f>
        <v>18481120.513371665</v>
      </c>
      <c r="AD5" s="4">
        <f ca="1">'Profit and Loss'!AD9</f>
        <v>18483752.572664328</v>
      </c>
      <c r="AE5" s="4">
        <f ca="1">'Profit and Loss'!AE9</f>
        <v>18479509.069277816</v>
      </c>
      <c r="AF5" s="4">
        <f ca="1">'Profit and Loss'!AF9</f>
        <v>17931535.513079241</v>
      </c>
      <c r="AG5" s="4"/>
      <c r="AH5" s="4"/>
      <c r="AI5" s="4"/>
      <c r="AJ5" s="4"/>
      <c r="AK5" s="4"/>
      <c r="AL5" s="4"/>
      <c r="AM5" s="4"/>
      <c r="AN5" s="4"/>
      <c r="AO5" s="4"/>
      <c r="AP5" s="4"/>
    </row>
    <row r="6" spans="1:42" x14ac:dyDescent="0.35">
      <c r="A6" t="s">
        <v>21</v>
      </c>
      <c r="C6" s="4">
        <f>Depreciation!C8+Depreciation!C9</f>
        <v>20305251.913137674</v>
      </c>
      <c r="D6" s="4">
        <f>Depreciation!D8+Depreciation!D9</f>
        <v>21354822.342890315</v>
      </c>
      <c r="E6" s="4">
        <f>Depreciation!E8+Depreciation!E9</f>
        <v>22450772.702188075</v>
      </c>
      <c r="F6" s="4">
        <f>Depreciation!F8+Depreciation!F9</f>
        <v>23594996.546401773</v>
      </c>
      <c r="G6" s="4">
        <f>Depreciation!G8+Depreciation!G9</f>
        <v>24789376.723441143</v>
      </c>
      <c r="H6" s="4">
        <f>Depreciation!H8+Depreciation!H9</f>
        <v>26035948.869258095</v>
      </c>
      <c r="I6" s="4">
        <f>Depreciation!I8+Depreciation!I9</f>
        <v>27336827.455060463</v>
      </c>
      <c r="J6" s="4">
        <f>Depreciation!J8+Depreciation!J9</f>
        <v>28694208.745562565</v>
      </c>
      <c r="K6" s="4">
        <f>Depreciation!K8+Depreciation!K9</f>
        <v>30110373.865750141</v>
      </c>
      <c r="L6" s="4">
        <f>Depreciation!L8+Depreciation!L9</f>
        <v>31587751.173518237</v>
      </c>
      <c r="M6" s="4">
        <f>Depreciation!M8+Depreciation!M9</f>
        <v>33128806.834592547</v>
      </c>
      <c r="N6" s="4">
        <f>Depreciation!N8+Depreciation!N9</f>
        <v>34736102.127766885</v>
      </c>
      <c r="O6" s="4">
        <f>Depreciation!O8+Depreciation!O9</f>
        <v>36412297.005500816</v>
      </c>
      <c r="P6" s="4">
        <f>Depreciation!P8+Depreciation!P9</f>
        <v>38160153.784958661</v>
      </c>
      <c r="Q6" s="4">
        <f>Depreciation!Q8+Depreciation!Q9</f>
        <v>39982556.374577984</v>
      </c>
      <c r="R6" s="4">
        <f>Depreciation!R8+Depreciation!R9</f>
        <v>41882484.915887564</v>
      </c>
      <c r="S6" s="4">
        <f>Depreciation!S8+Depreciation!S9</f>
        <v>43863033.913097106</v>
      </c>
      <c r="T6" s="4">
        <f>Depreciation!T8+Depreciation!T9</f>
        <v>45927416.499638751</v>
      </c>
      <c r="U6" s="4">
        <f>Depreciation!U8+Depreciation!U9</f>
        <v>48078968.860627539</v>
      </c>
      <c r="V6" s="4">
        <f>Depreciation!V8+Depreciation!V9</f>
        <v>50321190.898223996</v>
      </c>
      <c r="W6" s="4">
        <f>Depreciation!W8+Depreciation!W9</f>
        <v>52657682.282113351</v>
      </c>
      <c r="X6" s="4">
        <f>Depreciation!X8+Depreciation!X9</f>
        <v>55092180.215091817</v>
      </c>
      <c r="Y6" s="4">
        <f>Depreciation!Y8+Depreciation!Y9</f>
        <v>57628564.549124017</v>
      </c>
      <c r="Z6" s="4">
        <f>Depreciation!Z8+Depreciation!Z9</f>
        <v>60270863.087994047</v>
      </c>
      <c r="AA6" s="4">
        <f>Depreciation!AA8+Depreciation!AA9</f>
        <v>63023257.083253466</v>
      </c>
      <c r="AB6" s="4">
        <f>Depreciation!AB8+Depreciation!AB9</f>
        <v>65890086.930407345</v>
      </c>
      <c r="AC6" s="4">
        <f>Depreciation!AC8+Depreciation!AC9</f>
        <v>68875858.072525844</v>
      </c>
      <c r="AD6" s="4">
        <f>Depreciation!AD8+Depreciation!AD9</f>
        <v>71985247.118723184</v>
      </c>
      <c r="AE6" s="4">
        <f>Depreciation!AE8+Depreciation!AE9</f>
        <v>75223108.185210899</v>
      </c>
      <c r="AF6" s="4">
        <f>Depreciation!AF8+Depreciation!AF9</f>
        <v>78594479.466904223</v>
      </c>
      <c r="AG6" s="4"/>
      <c r="AH6" s="4"/>
      <c r="AI6" s="4"/>
      <c r="AJ6" s="4"/>
      <c r="AK6" s="4"/>
      <c r="AL6" s="4"/>
      <c r="AM6" s="4"/>
      <c r="AN6" s="4"/>
      <c r="AO6" s="4"/>
      <c r="AP6" s="4"/>
    </row>
    <row r="7" spans="1:42" x14ac:dyDescent="0.35">
      <c r="A7" t="s">
        <v>23</v>
      </c>
      <c r="C7" s="4">
        <f ca="1">C6+C5</f>
        <v>6938777.9724921621</v>
      </c>
      <c r="D7" s="4">
        <f ca="1">D6+D5</f>
        <v>11003894.433473185</v>
      </c>
      <c r="E7" s="4">
        <f t="shared" ref="E7:AF7" ca="1" si="1">E6+E5</f>
        <v>16785879.224148355</v>
      </c>
      <c r="F7" s="4">
        <f t="shared" ca="1" si="1"/>
        <v>24792434.419540398</v>
      </c>
      <c r="G7" s="4">
        <f ca="1">G6+G5</f>
        <v>28973961.78999602</v>
      </c>
      <c r="H7" s="4">
        <f t="shared" ca="1" si="1"/>
        <v>32876490.797555242</v>
      </c>
      <c r="I7" s="4">
        <f t="shared" ca="1" si="1"/>
        <v>36215174.079774112</v>
      </c>
      <c r="J7" s="4">
        <f t="shared" ca="1" si="1"/>
        <v>38696271.083708771</v>
      </c>
      <c r="K7" s="4">
        <f t="shared" ca="1" si="1"/>
        <v>41421155.092366725</v>
      </c>
      <c r="L7" s="4">
        <f t="shared" ca="1" si="1"/>
        <v>43672555.705710769</v>
      </c>
      <c r="M7" s="4">
        <f t="shared" ca="1" si="1"/>
        <v>46097550.476422489</v>
      </c>
      <c r="N7" s="4">
        <f t="shared" ca="1" si="1"/>
        <v>48710034.318200149</v>
      </c>
      <c r="O7" s="4">
        <f t="shared" ca="1" si="1"/>
        <v>50657680.73077029</v>
      </c>
      <c r="P7" s="4">
        <f t="shared" ca="1" si="1"/>
        <v>52704225.987952583</v>
      </c>
      <c r="Q7" s="4">
        <f t="shared" ca="1" si="1"/>
        <v>54854909.247130513</v>
      </c>
      <c r="R7" s="4">
        <f t="shared" ca="1" si="1"/>
        <v>57116964.941509448</v>
      </c>
      <c r="S7" s="4">
        <f t="shared" ca="1" si="1"/>
        <v>59497309.965302177</v>
      </c>
      <c r="T7" s="4">
        <f t="shared" ca="1" si="1"/>
        <v>62003300.90508467</v>
      </c>
      <c r="U7" s="4">
        <f t="shared" ca="1" si="1"/>
        <v>64642760.801040374</v>
      </c>
      <c r="V7" s="4">
        <f t="shared" ca="1" si="1"/>
        <v>67421729.295712262</v>
      </c>
      <c r="W7" s="4">
        <f t="shared" ca="1" si="1"/>
        <v>70350922.692124337</v>
      </c>
      <c r="X7" s="4">
        <f t="shared" ca="1" si="1"/>
        <v>73439704.953957826</v>
      </c>
      <c r="Y7" s="4">
        <f t="shared" ca="1" si="1"/>
        <v>76020075.902830869</v>
      </c>
      <c r="Z7" s="4">
        <f t="shared" ca="1" si="1"/>
        <v>78697444.719108567</v>
      </c>
      <c r="AA7" s="4">
        <f t="shared" ca="1" si="1"/>
        <v>81476237.29825893</v>
      </c>
      <c r="AB7" s="4">
        <f t="shared" ca="1" si="1"/>
        <v>84361113.211014718</v>
      </c>
      <c r="AC7" s="4">
        <f t="shared" ca="1" si="1"/>
        <v>87356978.585897505</v>
      </c>
      <c r="AD7" s="4">
        <f t="shared" ca="1" si="1"/>
        <v>90468999.691387504</v>
      </c>
      <c r="AE7" s="4">
        <f t="shared" ca="1" si="1"/>
        <v>93702617.254488707</v>
      </c>
      <c r="AF7" s="4">
        <f t="shared" ca="1" si="1"/>
        <v>96526014.979983464</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36447143.407494843</v>
      </c>
      <c r="D10" s="9">
        <f>Investment!D25</f>
        <v>38013254.365066908</v>
      </c>
      <c r="E10" s="9">
        <f>Investment!E25</f>
        <v>39642274.549074329</v>
      </c>
      <c r="F10" s="9">
        <f>Investment!F25</f>
        <v>41336626.452388383</v>
      </c>
      <c r="G10" s="9">
        <f>Investment!G25</f>
        <v>43095222.038212523</v>
      </c>
      <c r="H10" s="9">
        <f>Investment!H25</f>
        <v>44923952.647043005</v>
      </c>
      <c r="I10" s="9">
        <f>Investment!I25</f>
        <v>46825503.371148475</v>
      </c>
      <c r="J10" s="9">
        <f>Investment!J25</f>
        <v>48802659.243069328</v>
      </c>
      <c r="K10" s="9">
        <f>Investment!K25</f>
        <v>50858308.879482247</v>
      </c>
      <c r="L10" s="9">
        <f>Investment!L25</f>
        <v>52997973.842855662</v>
      </c>
      <c r="M10" s="9">
        <f>Investment!M25</f>
        <v>55222457.814664438</v>
      </c>
      <c r="N10" s="9">
        <f>Investment!N25</f>
        <v>57534996.897240929</v>
      </c>
      <c r="O10" s="9">
        <f>Investment!O25</f>
        <v>59938947.407391965</v>
      </c>
      <c r="P10" s="9">
        <f>Investment!P25</f>
        <v>62437790.255034491</v>
      </c>
      <c r="Q10" s="9">
        <f>Investment!Q25</f>
        <v>65035792.562105477</v>
      </c>
      <c r="R10" s="9">
        <f>Investment!R25</f>
        <v>67736098.971015409</v>
      </c>
      <c r="S10" s="9">
        <f>Investment!S25</f>
        <v>70542595.575644538</v>
      </c>
      <c r="T10" s="9">
        <f>Investment!T25</f>
        <v>73459312.388078019</v>
      </c>
      <c r="U10" s="9">
        <f>Investment!U25</f>
        <v>76490428.568975806</v>
      </c>
      <c r="V10" s="9">
        <f>Investment!V25</f>
        <v>79641817.317239404</v>
      </c>
      <c r="W10" s="9">
        <f>Investment!W25</f>
        <v>82916568.746537238</v>
      </c>
      <c r="X10" s="9">
        <f>Investment!X25</f>
        <v>86319351.046377286</v>
      </c>
      <c r="Y10" s="9">
        <f>Investment!Y25</f>
        <v>89855004.847010612</v>
      </c>
      <c r="Z10" s="9">
        <f>Investment!Z25</f>
        <v>93528549.47541301</v>
      </c>
      <c r="AA10" s="9">
        <f>Investment!AA25</f>
        <v>97345189.435069844</v>
      </c>
      <c r="AB10" s="9">
        <f>Investment!AB25</f>
        <v>101310321.11748183</v>
      </c>
      <c r="AC10" s="9">
        <f>Investment!AC25</f>
        <v>105429539.75358672</v>
      </c>
      <c r="AD10" s="9">
        <f>Investment!AD25</f>
        <v>109708646.61357802</v>
      </c>
      <c r="AE10" s="9">
        <f>Investment!AE25</f>
        <v>114153656.46390107</v>
      </c>
      <c r="AF10" s="9">
        <f>Investment!AF25</f>
        <v>118770805.2905125</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-29508365.435002681</v>
      </c>
      <c r="D12" s="1">
        <f t="shared" ref="D12:AF12" ca="1" si="2">D7-D9-D10</f>
        <v>-27009359.931593724</v>
      </c>
      <c r="E12" s="1">
        <f ca="1">E7-E9-E10</f>
        <v>-22856395.324925974</v>
      </c>
      <c r="F12" s="1">
        <f t="shared" ca="1" si="2"/>
        <v>-16544192.032847986</v>
      </c>
      <c r="G12" s="1">
        <f ca="1">G7-G9-G10</f>
        <v>-14121260.248216502</v>
      </c>
      <c r="H12" s="1">
        <f t="shared" ca="1" si="2"/>
        <v>-12047461.849487763</v>
      </c>
      <c r="I12" s="1">
        <f t="shared" ca="1" si="2"/>
        <v>-10610329.291374363</v>
      </c>
      <c r="J12" s="1">
        <f t="shared" ca="1" si="2"/>
        <v>-10106388.159360558</v>
      </c>
      <c r="K12" s="1">
        <f t="shared" ca="1" si="2"/>
        <v>-9437153.7871155217</v>
      </c>
      <c r="L12" s="1">
        <f t="shared" ca="1" si="2"/>
        <v>-9325418.1371448934</v>
      </c>
      <c r="M12" s="1">
        <f t="shared" ca="1" si="2"/>
        <v>-9124907.3382419497</v>
      </c>
      <c r="N12" s="1">
        <f t="shared" ca="1" si="2"/>
        <v>-8824962.5790407807</v>
      </c>
      <c r="O12" s="1">
        <f t="shared" ca="1" si="2"/>
        <v>-9281266.6766216755</v>
      </c>
      <c r="P12" s="1">
        <f t="shared" ca="1" si="2"/>
        <v>-9733564.2670819089</v>
      </c>
      <c r="Q12" s="1">
        <f t="shared" ca="1" si="2"/>
        <v>-10180883.314974964</v>
      </c>
      <c r="R12" s="1">
        <f t="shared" ca="1" si="2"/>
        <v>-10619134.029505961</v>
      </c>
      <c r="S12" s="1">
        <f t="shared" ca="1" si="2"/>
        <v>-11045285.610342361</v>
      </c>
      <c r="T12" s="1">
        <f t="shared" ca="1" si="2"/>
        <v>-11456011.482993349</v>
      </c>
      <c r="U12" s="1">
        <f t="shared" ca="1" si="2"/>
        <v>-11847667.767935432</v>
      </c>
      <c r="V12" s="1">
        <f t="shared" ca="1" si="2"/>
        <v>-12220088.021527141</v>
      </c>
      <c r="W12" s="1">
        <f t="shared" ca="1" si="2"/>
        <v>-12565646.054412901</v>
      </c>
      <c r="X12" s="1">
        <f t="shared" ca="1" si="2"/>
        <v>-12879646.09241946</v>
      </c>
      <c r="Y12" s="1">
        <f t="shared" ca="1" si="2"/>
        <v>-13834928.944179744</v>
      </c>
      <c r="Z12" s="1">
        <f t="shared" ca="1" si="2"/>
        <v>-14831104.756304443</v>
      </c>
      <c r="AA12" s="1">
        <f t="shared" ca="1" si="2"/>
        <v>-15868952.136810914</v>
      </c>
      <c r="AB12" s="1">
        <f t="shared" ca="1" si="2"/>
        <v>-16949207.90646711</v>
      </c>
      <c r="AC12" s="1">
        <f t="shared" ca="1" si="2"/>
        <v>-18072561.167689219</v>
      </c>
      <c r="AD12" s="1">
        <f t="shared" ca="1" si="2"/>
        <v>-19239646.922190517</v>
      </c>
      <c r="AE12" s="1">
        <f t="shared" ca="1" si="2"/>
        <v>-20451039.209412366</v>
      </c>
      <c r="AF12" s="1">
        <f t="shared" ca="1" si="2"/>
        <v>-22244790.310529038</v>
      </c>
      <c r="AG12" s="1"/>
      <c r="AH12" s="1"/>
      <c r="AI12" s="1"/>
      <c r="AJ12" s="1"/>
      <c r="AK12" s="1"/>
      <c r="AL12" s="1"/>
      <c r="AM12" s="1"/>
      <c r="AN12" s="1"/>
      <c r="AO12" s="1"/>
      <c r="AP12" s="1"/>
    </row>
    <row r="13" spans="1:42" x14ac:dyDescent="0.35">
      <c r="A13" t="s">
        <v>19</v>
      </c>
      <c r="C13" s="1">
        <f ca="1">C12</f>
        <v>-29508365.435002681</v>
      </c>
      <c r="D13" s="1">
        <f ca="1">D12</f>
        <v>-27009359.931593724</v>
      </c>
      <c r="E13" s="1">
        <f ca="1">E12</f>
        <v>-22856395.324925974</v>
      </c>
      <c r="F13" s="1">
        <f t="shared" ref="F13:AF13" ca="1" si="3">F12</f>
        <v>-16544192.032847986</v>
      </c>
      <c r="G13" s="1">
        <f ca="1">G12</f>
        <v>-14121260.248216502</v>
      </c>
      <c r="H13" s="1">
        <f t="shared" ca="1" si="3"/>
        <v>-12047461.849487763</v>
      </c>
      <c r="I13" s="1">
        <f t="shared" ca="1" si="3"/>
        <v>-10610329.291374363</v>
      </c>
      <c r="J13" s="1">
        <f t="shared" ca="1" si="3"/>
        <v>-10106388.159360558</v>
      </c>
      <c r="K13" s="1">
        <f t="shared" ca="1" si="3"/>
        <v>-9437153.7871155217</v>
      </c>
      <c r="L13" s="1">
        <f t="shared" ca="1" si="3"/>
        <v>-9325418.1371448934</v>
      </c>
      <c r="M13" s="1">
        <f t="shared" ca="1" si="3"/>
        <v>-9124907.3382419497</v>
      </c>
      <c r="N13" s="1">
        <f t="shared" ca="1" si="3"/>
        <v>-8824962.5790407807</v>
      </c>
      <c r="O13" s="1">
        <f t="shared" ca="1" si="3"/>
        <v>-9281266.6766216755</v>
      </c>
      <c r="P13" s="1">
        <f t="shared" ca="1" si="3"/>
        <v>-9733564.2670819089</v>
      </c>
      <c r="Q13" s="1">
        <f t="shared" ca="1" si="3"/>
        <v>-10180883.314974964</v>
      </c>
      <c r="R13" s="1">
        <f t="shared" ca="1" si="3"/>
        <v>-10619134.029505961</v>
      </c>
      <c r="S13" s="1">
        <f t="shared" ca="1" si="3"/>
        <v>-11045285.610342361</v>
      </c>
      <c r="T13" s="1">
        <f t="shared" ca="1" si="3"/>
        <v>-11456011.482993349</v>
      </c>
      <c r="U13" s="1">
        <f t="shared" ca="1" si="3"/>
        <v>-11847667.767935432</v>
      </c>
      <c r="V13" s="1">
        <f t="shared" ca="1" si="3"/>
        <v>-12220088.021527141</v>
      </c>
      <c r="W13" s="1">
        <f t="shared" ca="1" si="3"/>
        <v>-12565646.054412901</v>
      </c>
      <c r="X13" s="1">
        <f t="shared" ca="1" si="3"/>
        <v>-12879646.09241946</v>
      </c>
      <c r="Y13" s="1">
        <f t="shared" ca="1" si="3"/>
        <v>-13834928.944179744</v>
      </c>
      <c r="Z13" s="1">
        <f t="shared" ca="1" si="3"/>
        <v>-14831104.756304443</v>
      </c>
      <c r="AA13" s="1">
        <f t="shared" ca="1" si="3"/>
        <v>-15868952.136810914</v>
      </c>
      <c r="AB13" s="1">
        <f t="shared" ca="1" si="3"/>
        <v>-16949207.90646711</v>
      </c>
      <c r="AC13" s="1">
        <f t="shared" ca="1" si="3"/>
        <v>-18072561.167689219</v>
      </c>
      <c r="AD13" s="1">
        <f t="shared" ca="1" si="3"/>
        <v>-19239646.922190517</v>
      </c>
      <c r="AE13" s="1">
        <f t="shared" ca="1" si="3"/>
        <v>-20451039.209412366</v>
      </c>
      <c r="AF13" s="1">
        <f t="shared" ca="1" si="3"/>
        <v>-22244790.310529038</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120" zoomScaleNormal="120" workbookViewId="0">
      <pane xSplit="1" topLeftCell="B1" activePane="topRight" state="frozen"/>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134</v>
      </c>
      <c r="C6" s="9">
        <f>Assumptions!C17</f>
        <v>1230347635.6949949</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615173817.84749746</v>
      </c>
      <c r="D7" s="9">
        <f>C12</f>
        <v>635479069.76063514</v>
      </c>
      <c r="E7" s="9">
        <f>D12</f>
        <v>656833892.1035254</v>
      </c>
      <c r="F7" s="9">
        <f t="shared" ref="F7:H7" si="1">E12</f>
        <v>679284664.80571353</v>
      </c>
      <c r="G7" s="9">
        <f t="shared" si="1"/>
        <v>702879661.35211527</v>
      </c>
      <c r="H7" s="9">
        <f t="shared" si="1"/>
        <v>727669038.0755564</v>
      </c>
      <c r="I7" s="9">
        <f t="shared" ref="I7" si="2">H12</f>
        <v>753704986.94481444</v>
      </c>
      <c r="J7" s="9">
        <f t="shared" ref="J7" si="3">I12</f>
        <v>781041814.39987481</v>
      </c>
      <c r="K7" s="9">
        <f t="shared" ref="K7" si="4">J12</f>
        <v>809736023.14543748</v>
      </c>
      <c r="L7" s="9">
        <f t="shared" ref="L7" si="5">K12</f>
        <v>839846397.01118755</v>
      </c>
      <c r="M7" s="9">
        <f t="shared" ref="M7" si="6">L12</f>
        <v>871434148.18470573</v>
      </c>
      <c r="N7" s="9">
        <f t="shared" ref="N7" si="7">M12</f>
        <v>904562955.01929832</v>
      </c>
      <c r="O7" s="9">
        <f t="shared" ref="O7" si="8">N12</f>
        <v>939299057.14706528</v>
      </c>
      <c r="P7" s="9">
        <f t="shared" ref="P7" si="9">O12</f>
        <v>975711354.15256608</v>
      </c>
      <c r="Q7" s="9">
        <f t="shared" ref="Q7" si="10">P12</f>
        <v>1013871507.9375247</v>
      </c>
      <c r="R7" s="9">
        <f t="shared" ref="R7" si="11">Q12</f>
        <v>1053854064.3121027</v>
      </c>
      <c r="S7" s="9">
        <f t="shared" ref="S7" si="12">R12</f>
        <v>1095736549.2279904</v>
      </c>
      <c r="T7" s="9">
        <f t="shared" ref="T7" si="13">S12</f>
        <v>1139599583.1410875</v>
      </c>
      <c r="U7" s="9">
        <f t="shared" ref="U7" si="14">T12</f>
        <v>1185526999.6407263</v>
      </c>
      <c r="V7" s="9">
        <f t="shared" ref="V7" si="15">U12</f>
        <v>1233605968.5013537</v>
      </c>
      <c r="W7" s="9">
        <f t="shared" ref="W7" si="16">V12</f>
        <v>1283927159.3995779</v>
      </c>
      <c r="X7" s="9">
        <f t="shared" ref="X7" si="17">W12</f>
        <v>1336584841.6816912</v>
      </c>
      <c r="Y7" s="9">
        <f t="shared" ref="Y7" si="18">X12</f>
        <v>1391677021.8967831</v>
      </c>
      <c r="Z7" s="9">
        <f t="shared" ref="Z7" si="19">Y12</f>
        <v>1449305586.4459071</v>
      </c>
      <c r="AA7" s="9">
        <f t="shared" ref="AA7" si="20">Z12</f>
        <v>1509576449.5339012</v>
      </c>
      <c r="AB7" s="9">
        <f t="shared" ref="AB7" si="21">AA12</f>
        <v>1572599706.6171548</v>
      </c>
      <c r="AC7" s="9">
        <f t="shared" ref="AC7" si="22">AB12</f>
        <v>1638489793.5475624</v>
      </c>
      <c r="AD7" s="9">
        <f t="shared" ref="AD7" si="23">AC12</f>
        <v>1707365651.6200881</v>
      </c>
      <c r="AE7" s="9">
        <f t="shared" ref="AE7" si="24">AD12</f>
        <v>1779350898.7388113</v>
      </c>
      <c r="AF7" s="9">
        <f t="shared" ref="AF7" si="25">AE12</f>
        <v>1854574006.9240222</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135</v>
      </c>
      <c r="C8" s="9">
        <f>Assumptions!D111*Assumptions!D11</f>
        <v>19917846.517273102</v>
      </c>
      <c r="D8" s="9">
        <f>Assumptions!E111*Assumptions!E11</f>
        <v>20555217.605825838</v>
      </c>
      <c r="E8" s="9">
        <f>Assumptions!F111*Assumptions!F11</f>
        <v>21212984.569212265</v>
      </c>
      <c r="F8" s="9">
        <f>Assumptions!G111*Assumptions!G11</f>
        <v>21891800.075427059</v>
      </c>
      <c r="G8" s="9">
        <f>Assumptions!H111*Assumptions!H11</f>
        <v>22592337.677840725</v>
      </c>
      <c r="H8" s="9">
        <f>Assumptions!I111*Assumptions!I11</f>
        <v>23315292.483531624</v>
      </c>
      <c r="I8" s="9">
        <f>Assumptions!J111*Assumptions!J11</f>
        <v>24061381.843004636</v>
      </c>
      <c r="J8" s="9">
        <f>Assumptions!K111*Assumptions!K11</f>
        <v>24831346.061980788</v>
      </c>
      <c r="K8" s="9">
        <f>Assumptions!L111*Assumptions!L11</f>
        <v>25625949.135964174</v>
      </c>
      <c r="L8" s="9">
        <f>Assumptions!M111*Assumptions!M11</f>
        <v>26445979.508315023</v>
      </c>
      <c r="M8" s="9">
        <f>Assumptions!N111*Assumptions!N11</f>
        <v>27292250.852581106</v>
      </c>
      <c r="N8" s="9">
        <f>Assumptions!O111*Assumptions!O11</f>
        <v>28165602.879863702</v>
      </c>
      <c r="O8" s="9">
        <f>Assumptions!P111*Assumptions!P11</f>
        <v>29066902.172019344</v>
      </c>
      <c r="P8" s="9">
        <f>Assumptions!Q111*Assumptions!Q11</f>
        <v>29997043.041523956</v>
      </c>
      <c r="Q8" s="9">
        <f>Assumptions!R111*Assumptions!R11</f>
        <v>30956948.418852717</v>
      </c>
      <c r="R8" s="9">
        <f>Assumptions!S111*Assumptions!S11</f>
        <v>31947570.768256012</v>
      </c>
      <c r="S8" s="9">
        <f>Assumptions!T111*Assumptions!T11</f>
        <v>32969893.032840207</v>
      </c>
      <c r="T8" s="9">
        <f>Assumptions!U111*Assumptions!U11</f>
        <v>34024929.609891087</v>
      </c>
      <c r="U8" s="9">
        <f>Assumptions!V111*Assumptions!V11</f>
        <v>35113727.3574076</v>
      </c>
      <c r="V8" s="9">
        <f>Assumptions!W111*Assumptions!W11</f>
        <v>36237366.632844649</v>
      </c>
      <c r="W8" s="9">
        <f>Assumptions!X111*Assumptions!X11</f>
        <v>37396962.365095682</v>
      </c>
      <c r="X8" s="9">
        <f>Assumptions!Y111*Assumptions!Y11</f>
        <v>38593665.160778739</v>
      </c>
      <c r="Y8" s="9">
        <f>Assumptions!Z111*Assumptions!Z11</f>
        <v>39828662.445923649</v>
      </c>
      <c r="Z8" s="9">
        <f>Assumptions!AA111*Assumptions!AA11</f>
        <v>41103179.64419321</v>
      </c>
      <c r="AA8" s="9">
        <f>Assumptions!AB111*Assumptions!AB11</f>
        <v>42418481.392807402</v>
      </c>
      <c r="AB8" s="9">
        <f>Assumptions!AC111*Assumptions!AC11</f>
        <v>43775872.797377229</v>
      </c>
      <c r="AC8" s="9">
        <f>Assumptions!AD111*Assumptions!AD11</f>
        <v>45176700.726893298</v>
      </c>
      <c r="AD8" s="9">
        <f>Assumptions!AE111*Assumptions!AE11</f>
        <v>46622355.15015389</v>
      </c>
      <c r="AE8" s="9">
        <f>Assumptions!AF111*Assumptions!AF11</f>
        <v>48114270.514958814</v>
      </c>
      <c r="AF8" s="9">
        <f>Assumptions!AG111*Assumptions!AG11</f>
        <v>49653927.171437487</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387405.39586457214</v>
      </c>
      <c r="D9" s="9">
        <f>Assumptions!E120*Assumptions!E11</f>
        <v>799604.73706447682</v>
      </c>
      <c r="E9" s="9">
        <f>Assumptions!F120*Assumptions!F11</f>
        <v>1237788.13297581</v>
      </c>
      <c r="F9" s="9">
        <f>Assumptions!G120*Assumptions!G11</f>
        <v>1703196.4709747145</v>
      </c>
      <c r="G9" s="9">
        <f>Assumptions!H120*Assumptions!H11</f>
        <v>2197039.0456004189</v>
      </c>
      <c r="H9" s="9">
        <f>Assumptions!I120*Assumptions!I11</f>
        <v>2720656.3857264696</v>
      </c>
      <c r="I9" s="9">
        <f>Assumptions!J120*Assumptions!J11</f>
        <v>3275445.6120558283</v>
      </c>
      <c r="J9" s="9">
        <f>Assumptions!K120*Assumptions!K11</f>
        <v>3862862.6835817778</v>
      </c>
      <c r="K9" s="9">
        <f>Assumptions!L120*Assumptions!L11</f>
        <v>4484424.7297859658</v>
      </c>
      <c r="L9" s="9">
        <f>Assumptions!M120*Assumptions!M11</f>
        <v>5141771.6652032137</v>
      </c>
      <c r="M9" s="9">
        <f>Assumptions!N120*Assumptions!N11</f>
        <v>5836555.9820114421</v>
      </c>
      <c r="N9" s="9">
        <f>Assumptions!O120*Assumptions!O11</f>
        <v>6570499.247903185</v>
      </c>
      <c r="O9" s="9">
        <f>Assumptions!P120*Assumptions!P11</f>
        <v>7345394.8334814748</v>
      </c>
      <c r="P9" s="9">
        <f>Assumptions!Q120*Assumptions!Q11</f>
        <v>8163110.7434347011</v>
      </c>
      <c r="Q9" s="9">
        <f>Assumptions!R120*Assumptions!R11</f>
        <v>9025607.9557252694</v>
      </c>
      <c r="R9" s="9">
        <f>Assumptions!S120*Assumptions!S11</f>
        <v>9934914.1476315502</v>
      </c>
      <c r="S9" s="9">
        <f>Assumptions!T120*Assumptions!T11</f>
        <v>10893140.880256901</v>
      </c>
      <c r="T9" s="9">
        <f>Assumptions!U120*Assumptions!U11</f>
        <v>11902486.889747661</v>
      </c>
      <c r="U9" s="9">
        <f>Assumptions!V120*Assumptions!V11</f>
        <v>12965241.50321994</v>
      </c>
      <c r="V9" s="9">
        <f>Assumptions!W120*Assumptions!W11</f>
        <v>14083824.265379351</v>
      </c>
      <c r="W9" s="9">
        <f>Assumptions!X120*Assumptions!X11</f>
        <v>15260719.917017667</v>
      </c>
      <c r="X9" s="9">
        <f>Assumptions!Y120*Assumptions!Y11</f>
        <v>16498515.054313079</v>
      </c>
      <c r="Y9" s="9">
        <f>Assumptions!Z120*Assumptions!Z11</f>
        <v>17799902.103200372</v>
      </c>
      <c r="Z9" s="9">
        <f>Assumptions!AA120*Assumptions!AA11</f>
        <v>19167683.443800837</v>
      </c>
      <c r="AA9" s="9">
        <f>Assumptions!AB120*Assumptions!AB11</f>
        <v>20604775.690446064</v>
      </c>
      <c r="AB9" s="9">
        <f>Assumptions!AC120*Assumptions!AC11</f>
        <v>22114214.13303012</v>
      </c>
      <c r="AC9" s="9">
        <f>Assumptions!AD120*Assumptions!AD11</f>
        <v>23699157.345632542</v>
      </c>
      <c r="AD9" s="9">
        <f>Assumptions!AE120*Assumptions!AE11</f>
        <v>25362891.968569301</v>
      </c>
      <c r="AE9" s="9">
        <f>Assumptions!AF120*Assumptions!AF11</f>
        <v>27108837.670252081</v>
      </c>
      <c r="AF9" s="9">
        <f>Assumptions!AG120*Assumptions!AG11</f>
        <v>28940552.295466743</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35</v>
      </c>
      <c r="C10" s="9">
        <f>SUM($C$8:C9)</f>
        <v>20305251.913137674</v>
      </c>
      <c r="D10" s="9">
        <f>SUM($C$8:D9)</f>
        <v>41660074.256027982</v>
      </c>
      <c r="E10" s="9">
        <f>SUM($C$8:E9)</f>
        <v>64110846.958216056</v>
      </c>
      <c r="F10" s="9">
        <f>SUM($C$8:F9)</f>
        <v>87705843.504617855</v>
      </c>
      <c r="G10" s="9">
        <f>SUM($C$8:G9)</f>
        <v>112495220.22805899</v>
      </c>
      <c r="H10" s="9">
        <f>SUM($C$8:H9)</f>
        <v>138531169.0973171</v>
      </c>
      <c r="I10" s="9">
        <f>SUM($C$8:I9)</f>
        <v>165867996.55237758</v>
      </c>
      <c r="J10" s="9">
        <f>SUM($C$8:J9)</f>
        <v>194562205.29794014</v>
      </c>
      <c r="K10" s="9">
        <f>SUM($C$8:K9)</f>
        <v>224672579.1636903</v>
      </c>
      <c r="L10" s="9">
        <f>SUM($C$8:L9)</f>
        <v>256260330.33720854</v>
      </c>
      <c r="M10" s="9">
        <f>SUM($C$8:M9)</f>
        <v>289389137.17180109</v>
      </c>
      <c r="N10" s="9">
        <f>SUM($C$8:N9)</f>
        <v>324125239.29956794</v>
      </c>
      <c r="O10" s="9">
        <f>SUM($C$8:O9)</f>
        <v>360537536.30506879</v>
      </c>
      <c r="P10" s="9">
        <f>SUM($C$8:P9)</f>
        <v>398697690.09002745</v>
      </c>
      <c r="Q10" s="9">
        <f>SUM($C$8:Q9)</f>
        <v>438680246.46460539</v>
      </c>
      <c r="R10" s="9">
        <f>SUM($C$8:R9)</f>
        <v>480562731.38049293</v>
      </c>
      <c r="S10" s="9">
        <f>SUM($C$8:S9)</f>
        <v>524425765.29359001</v>
      </c>
      <c r="T10" s="9">
        <f>SUM($C$8:T9)</f>
        <v>570353181.79322875</v>
      </c>
      <c r="U10" s="9">
        <f>SUM($C$8:U9)</f>
        <v>618432150.65385628</v>
      </c>
      <c r="V10" s="9">
        <f>SUM($C$8:V9)</f>
        <v>668753341.55208015</v>
      </c>
      <c r="W10" s="9">
        <f>SUM($C$8:W9)</f>
        <v>721411023.83419359</v>
      </c>
      <c r="X10" s="9">
        <f>SUM($C$8:X9)</f>
        <v>776503204.04928541</v>
      </c>
      <c r="Y10" s="9">
        <f>SUM($C$8:Y9)</f>
        <v>834131768.59840941</v>
      </c>
      <c r="Z10" s="9">
        <f>SUM($C$8:Z9)</f>
        <v>894402631.68640339</v>
      </c>
      <c r="AA10" s="9">
        <f>SUM($C$8:AA9)</f>
        <v>957425888.76965678</v>
      </c>
      <c r="AB10" s="9">
        <f>SUM($C$8:AB9)</f>
        <v>1023315975.7000642</v>
      </c>
      <c r="AC10" s="9">
        <f>SUM($C$8:AC9)</f>
        <v>1092191833.7725899</v>
      </c>
      <c r="AD10" s="9">
        <f>SUM($C$8:AD9)</f>
        <v>1164177080.8913133</v>
      </c>
      <c r="AE10" s="9">
        <f>SUM($C$8:AE9)</f>
        <v>1239400189.0765245</v>
      </c>
      <c r="AF10" s="9">
        <f>SUM($C$8:AF9)</f>
        <v>1317994668.5434289</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635479069.76063514</v>
      </c>
      <c r="D12" s="9">
        <f>D7+D8+D9</f>
        <v>656833892.1035254</v>
      </c>
      <c r="E12" s="9">
        <f>E7+E8+E9</f>
        <v>679284664.80571353</v>
      </c>
      <c r="F12" s="9">
        <f t="shared" ref="F12:H12" si="26">F7+F8+F9</f>
        <v>702879661.35211527</v>
      </c>
      <c r="G12" s="9">
        <f t="shared" si="26"/>
        <v>727669038.0755564</v>
      </c>
      <c r="H12" s="9">
        <f t="shared" si="26"/>
        <v>753704986.94481444</v>
      </c>
      <c r="I12" s="9">
        <f t="shared" ref="I12:AF12" si="27">I7+I8+I9</f>
        <v>781041814.39987481</v>
      </c>
      <c r="J12" s="9">
        <f t="shared" si="27"/>
        <v>809736023.14543748</v>
      </c>
      <c r="K12" s="9">
        <f t="shared" si="27"/>
        <v>839846397.01118755</v>
      </c>
      <c r="L12" s="9">
        <f t="shared" si="27"/>
        <v>871434148.18470573</v>
      </c>
      <c r="M12" s="9">
        <f t="shared" si="27"/>
        <v>904562955.01929832</v>
      </c>
      <c r="N12" s="9">
        <f t="shared" si="27"/>
        <v>939299057.14706528</v>
      </c>
      <c r="O12" s="9">
        <f t="shared" si="27"/>
        <v>975711354.15256608</v>
      </c>
      <c r="P12" s="9">
        <f t="shared" si="27"/>
        <v>1013871507.9375247</v>
      </c>
      <c r="Q12" s="9">
        <f t="shared" si="27"/>
        <v>1053854064.3121027</v>
      </c>
      <c r="R12" s="9">
        <f t="shared" si="27"/>
        <v>1095736549.2279904</v>
      </c>
      <c r="S12" s="9">
        <f t="shared" si="27"/>
        <v>1139599583.1410875</v>
      </c>
      <c r="T12" s="9">
        <f t="shared" si="27"/>
        <v>1185526999.6407263</v>
      </c>
      <c r="U12" s="9">
        <f t="shared" si="27"/>
        <v>1233605968.5013537</v>
      </c>
      <c r="V12" s="9">
        <f t="shared" si="27"/>
        <v>1283927159.3995779</v>
      </c>
      <c r="W12" s="9">
        <f t="shared" si="27"/>
        <v>1336584841.6816912</v>
      </c>
      <c r="X12" s="9">
        <f t="shared" si="27"/>
        <v>1391677021.8967831</v>
      </c>
      <c r="Y12" s="9">
        <f t="shared" si="27"/>
        <v>1449305586.4459071</v>
      </c>
      <c r="Z12" s="9">
        <f t="shared" si="27"/>
        <v>1509576449.5339012</v>
      </c>
      <c r="AA12" s="9">
        <f t="shared" si="27"/>
        <v>1572599706.6171548</v>
      </c>
      <c r="AB12" s="9">
        <f t="shared" si="27"/>
        <v>1638489793.5475624</v>
      </c>
      <c r="AC12" s="9">
        <f t="shared" si="27"/>
        <v>1707365651.6200881</v>
      </c>
      <c r="AD12" s="9">
        <f t="shared" si="27"/>
        <v>1779350898.7388113</v>
      </c>
      <c r="AE12" s="9">
        <f t="shared" si="27"/>
        <v>1854574006.9240222</v>
      </c>
      <c r="AF12" s="9">
        <f t="shared" si="27"/>
        <v>1933168486.3909264</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36447143.407494843</v>
      </c>
      <c r="D18" s="9">
        <f>Investment!D25</f>
        <v>38013254.365066908</v>
      </c>
      <c r="E18" s="9">
        <f>Investment!E25</f>
        <v>39642274.549074329</v>
      </c>
      <c r="F18" s="9">
        <f>Investment!F25</f>
        <v>41336626.452388383</v>
      </c>
      <c r="G18" s="9">
        <f>Investment!G25</f>
        <v>43095222.038212523</v>
      </c>
      <c r="H18" s="9">
        <f>Investment!H25</f>
        <v>44923952.647043005</v>
      </c>
      <c r="I18" s="9">
        <f>Investment!I25</f>
        <v>46825503.371148475</v>
      </c>
      <c r="J18" s="9">
        <f>Investment!J25</f>
        <v>48802659.243069328</v>
      </c>
      <c r="K18" s="9">
        <f>Investment!K25</f>
        <v>50858308.879482247</v>
      </c>
      <c r="L18" s="9">
        <f>Investment!L25</f>
        <v>52997973.842855662</v>
      </c>
      <c r="M18" s="9">
        <f>Investment!M25</f>
        <v>55222457.814664438</v>
      </c>
      <c r="N18" s="9">
        <f>Investment!N25</f>
        <v>57534996.897240929</v>
      </c>
      <c r="O18" s="9">
        <f>Investment!O25</f>
        <v>59938947.407391965</v>
      </c>
      <c r="P18" s="9">
        <f>Investment!P25</f>
        <v>62437790.255034491</v>
      </c>
      <c r="Q18" s="9">
        <f>Investment!Q25</f>
        <v>65035792.562105477</v>
      </c>
      <c r="R18" s="9">
        <f>Investment!R25</f>
        <v>67736098.971015409</v>
      </c>
      <c r="S18" s="9">
        <f>Investment!S25</f>
        <v>70542595.575644538</v>
      </c>
      <c r="T18" s="9">
        <f>Investment!T25</f>
        <v>73459312.388078019</v>
      </c>
      <c r="U18" s="9">
        <f>Investment!U25</f>
        <v>76490428.568975806</v>
      </c>
      <c r="V18" s="9">
        <f>Investment!V25</f>
        <v>79641817.317239404</v>
      </c>
      <c r="W18" s="9">
        <f>Investment!W25</f>
        <v>82916568.746537238</v>
      </c>
      <c r="X18" s="9">
        <f>Investment!X25</f>
        <v>86319351.046377286</v>
      </c>
      <c r="Y18" s="9">
        <f>Investment!Y25</f>
        <v>89855004.847010612</v>
      </c>
      <c r="Z18" s="9">
        <f>Investment!Z25</f>
        <v>93528549.47541301</v>
      </c>
      <c r="AA18" s="9">
        <f>Investment!AA25</f>
        <v>97345189.435069844</v>
      </c>
      <c r="AB18" s="9">
        <f>Investment!AB25</f>
        <v>101310321.11748183</v>
      </c>
      <c r="AC18" s="9">
        <f>Investment!AC25</f>
        <v>105429539.75358672</v>
      </c>
      <c r="AD18" s="9">
        <f>Investment!AD25</f>
        <v>109708646.61357802</v>
      </c>
      <c r="AE18" s="9">
        <f>Investment!AE25</f>
        <v>114153656.46390107</v>
      </c>
      <c r="AF18" s="9">
        <f>Investment!AF25</f>
        <v>118770805.2905125</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44</v>
      </c>
      <c r="C19" s="9">
        <f>$C$6-C7+C18</f>
        <v>651620961.25499225</v>
      </c>
      <c r="D19" s="9">
        <f>D18+C20</f>
        <v>669328963.70692146</v>
      </c>
      <c r="E19" s="9">
        <f>E18+D20</f>
        <v>687616415.91310549</v>
      </c>
      <c r="F19" s="9">
        <f t="shared" ref="F19:AF19" si="28">F18+E20</f>
        <v>706502269.66330576</v>
      </c>
      <c r="G19" s="9">
        <f t="shared" si="28"/>
        <v>726002495.15511656</v>
      </c>
      <c r="H19" s="9">
        <f t="shared" si="28"/>
        <v>746137071.07871842</v>
      </c>
      <c r="I19" s="9">
        <f t="shared" si="28"/>
        <v>766926625.58060884</v>
      </c>
      <c r="J19" s="9">
        <f t="shared" si="28"/>
        <v>788392457.36861777</v>
      </c>
      <c r="K19" s="9">
        <f t="shared" si="28"/>
        <v>810556557.50253737</v>
      </c>
      <c r="L19" s="9">
        <f t="shared" si="28"/>
        <v>833444157.47964299</v>
      </c>
      <c r="M19" s="9">
        <f t="shared" si="28"/>
        <v>857078864.12078929</v>
      </c>
      <c r="N19" s="9">
        <f t="shared" si="28"/>
        <v>881485054.18343759</v>
      </c>
      <c r="O19" s="9">
        <f t="shared" si="28"/>
        <v>906687899.46306252</v>
      </c>
      <c r="P19" s="9">
        <f t="shared" si="28"/>
        <v>932713392.71259618</v>
      </c>
      <c r="Q19" s="9">
        <f t="shared" si="28"/>
        <v>959589031.48974299</v>
      </c>
      <c r="R19" s="9">
        <f t="shared" si="28"/>
        <v>987342574.08618045</v>
      </c>
      <c r="S19" s="9">
        <f t="shared" si="28"/>
        <v>1016002684.7459373</v>
      </c>
      <c r="T19" s="9">
        <f t="shared" si="28"/>
        <v>1045598963.2209182</v>
      </c>
      <c r="U19" s="9">
        <f t="shared" si="28"/>
        <v>1076161975.2902553</v>
      </c>
      <c r="V19" s="9">
        <f t="shared" si="28"/>
        <v>1107724823.7468672</v>
      </c>
      <c r="W19" s="9">
        <f t="shared" si="28"/>
        <v>1140320201.5951805</v>
      </c>
      <c r="X19" s="9">
        <f t="shared" si="28"/>
        <v>1173981870.3594444</v>
      </c>
      <c r="Y19" s="9">
        <f t="shared" si="28"/>
        <v>1208744694.991363</v>
      </c>
      <c r="Z19" s="9">
        <f t="shared" si="28"/>
        <v>1244644679.9176521</v>
      </c>
      <c r="AA19" s="9">
        <f t="shared" si="28"/>
        <v>1281719006.2647278</v>
      </c>
      <c r="AB19" s="9">
        <f t="shared" si="28"/>
        <v>1320006070.2989559</v>
      </c>
      <c r="AC19" s="9">
        <f t="shared" si="28"/>
        <v>1359545523.1221354</v>
      </c>
      <c r="AD19" s="9">
        <f t="shared" si="28"/>
        <v>1400378311.6631877</v>
      </c>
      <c r="AE19" s="9">
        <f t="shared" si="28"/>
        <v>1442546721.0083656</v>
      </c>
      <c r="AF19" s="9">
        <f t="shared" si="28"/>
        <v>1486094418.1136672</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631315709.34185457</v>
      </c>
      <c r="D20" s="9">
        <f>D19-D8-D9</f>
        <v>647974141.3640312</v>
      </c>
      <c r="E20" s="9">
        <f t="shared" ref="E20:AF20" si="29">E19-E8-E9</f>
        <v>665165643.21091735</v>
      </c>
      <c r="F20" s="9">
        <f t="shared" si="29"/>
        <v>682907273.11690402</v>
      </c>
      <c r="G20" s="9">
        <f t="shared" si="29"/>
        <v>701213118.43167543</v>
      </c>
      <c r="H20" s="9">
        <f t="shared" si="29"/>
        <v>720101122.20946038</v>
      </c>
      <c r="I20" s="9">
        <f t="shared" si="29"/>
        <v>739589798.12554848</v>
      </c>
      <c r="J20" s="9">
        <f t="shared" si="29"/>
        <v>759698248.6230551</v>
      </c>
      <c r="K20" s="9">
        <f t="shared" si="29"/>
        <v>780446183.6367873</v>
      </c>
      <c r="L20" s="9">
        <f t="shared" si="29"/>
        <v>801856406.30612481</v>
      </c>
      <c r="M20" s="9">
        <f t="shared" si="29"/>
        <v>823950057.28619671</v>
      </c>
      <c r="N20" s="9">
        <f t="shared" si="29"/>
        <v>846748952.05567062</v>
      </c>
      <c r="O20" s="9">
        <f t="shared" si="29"/>
        <v>870275602.45756173</v>
      </c>
      <c r="P20" s="9">
        <f t="shared" si="29"/>
        <v>894553238.92763758</v>
      </c>
      <c r="Q20" s="9">
        <f t="shared" si="29"/>
        <v>919606475.115165</v>
      </c>
      <c r="R20" s="9">
        <f t="shared" si="29"/>
        <v>945460089.17029285</v>
      </c>
      <c r="S20" s="9">
        <f t="shared" si="29"/>
        <v>972139650.8328402</v>
      </c>
      <c r="T20" s="9">
        <f t="shared" si="29"/>
        <v>999671546.7212795</v>
      </c>
      <c r="U20" s="9">
        <f t="shared" si="29"/>
        <v>1028083006.4296278</v>
      </c>
      <c r="V20" s="9">
        <f t="shared" si="29"/>
        <v>1057403632.8486432</v>
      </c>
      <c r="W20" s="9">
        <f t="shared" si="29"/>
        <v>1087662519.3130672</v>
      </c>
      <c r="X20" s="9">
        <f t="shared" si="29"/>
        <v>1118889690.1443524</v>
      </c>
      <c r="Y20" s="9">
        <f t="shared" si="29"/>
        <v>1151116130.442239</v>
      </c>
      <c r="Z20" s="9">
        <f t="shared" si="29"/>
        <v>1184373816.829658</v>
      </c>
      <c r="AA20" s="9">
        <f t="shared" si="29"/>
        <v>1218695749.1814742</v>
      </c>
      <c r="AB20" s="9">
        <f t="shared" si="29"/>
        <v>1254115983.3685486</v>
      </c>
      <c r="AC20" s="9">
        <f t="shared" si="29"/>
        <v>1290669665.0496097</v>
      </c>
      <c r="AD20" s="9">
        <f t="shared" si="29"/>
        <v>1328393064.5444646</v>
      </c>
      <c r="AE20" s="9">
        <f t="shared" si="29"/>
        <v>1367323612.8231547</v>
      </c>
      <c r="AF20" s="9">
        <f t="shared" si="29"/>
        <v>1407499938.6467631</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36</v>
      </c>
      <c r="C22" s="9">
        <f>'Balance Sheet'!B11</f>
        <v>31519008.710000001</v>
      </c>
      <c r="D22" s="9">
        <f ca="1">'Balance Sheet'!C11</f>
        <v>61027374.145002678</v>
      </c>
      <c r="E22" s="9">
        <f ca="1">'Balance Sheet'!D11</f>
        <v>88036734.076596409</v>
      </c>
      <c r="F22" s="9">
        <f ca="1">'Balance Sheet'!E11</f>
        <v>110893129.40152238</v>
      </c>
      <c r="G22" s="9">
        <f ca="1">'Balance Sheet'!F11</f>
        <v>127437321.43437037</v>
      </c>
      <c r="H22" s="9">
        <f ca="1">'Balance Sheet'!G11</f>
        <v>141558581.68258688</v>
      </c>
      <c r="I22" s="9">
        <f ca="1">'Balance Sheet'!H11</f>
        <v>153606043.53207463</v>
      </c>
      <c r="J22" s="9">
        <f ca="1">'Balance Sheet'!I11</f>
        <v>164216372.82344899</v>
      </c>
      <c r="K22" s="9">
        <f ca="1">'Balance Sheet'!J11</f>
        <v>174322760.98280954</v>
      </c>
      <c r="L22" s="9">
        <f ca="1">'Balance Sheet'!K11</f>
        <v>183759914.76992506</v>
      </c>
      <c r="M22" s="9">
        <f ca="1">'Balance Sheet'!L11</f>
        <v>193085332.90706995</v>
      </c>
      <c r="N22" s="9">
        <f ca="1">'Balance Sheet'!M11</f>
        <v>202210240.24531192</v>
      </c>
      <c r="O22" s="9">
        <f ca="1">'Balance Sheet'!N11</f>
        <v>211035202.82435268</v>
      </c>
      <c r="P22" s="9">
        <f ca="1">'Balance Sheet'!O11</f>
        <v>220316469.50097436</v>
      </c>
      <c r="Q22" s="9">
        <f ca="1">'Balance Sheet'!P11</f>
        <v>230050033.76805627</v>
      </c>
      <c r="R22" s="9">
        <f ca="1">'Balance Sheet'!Q11</f>
        <v>240230917.08303124</v>
      </c>
      <c r="S22" s="9">
        <f ca="1">'Balance Sheet'!R11</f>
        <v>250850051.11253721</v>
      </c>
      <c r="T22" s="9">
        <f ca="1">'Balance Sheet'!S11</f>
        <v>261895336.72287956</v>
      </c>
      <c r="U22" s="9">
        <f ca="1">'Balance Sheet'!T11</f>
        <v>273351348.20587289</v>
      </c>
      <c r="V22" s="9">
        <f ca="1">'Balance Sheet'!U11</f>
        <v>285199015.97380835</v>
      </c>
      <c r="W22" s="9">
        <f ca="1">'Balance Sheet'!V11</f>
        <v>297419103.99533546</v>
      </c>
      <c r="X22" s="9">
        <f ca="1">'Balance Sheet'!W11</f>
        <v>309984750.04974836</v>
      </c>
      <c r="Y22" s="9">
        <f ca="1">'Balance Sheet'!X11</f>
        <v>322864396.14216781</v>
      </c>
      <c r="Z22" s="9">
        <f ca="1">'Balance Sheet'!Y11</f>
        <v>336699325.08634758</v>
      </c>
      <c r="AA22" s="9">
        <f ca="1">'Balance Sheet'!Z11</f>
        <v>351530429.84265202</v>
      </c>
      <c r="AB22" s="9">
        <f ca="1">'Balance Sheet'!AA11</f>
        <v>367399381.97946292</v>
      </c>
      <c r="AC22" s="9">
        <f ca="1">'Balance Sheet'!AB11</f>
        <v>384348589.88593006</v>
      </c>
      <c r="AD22" s="9">
        <f ca="1">'Balance Sheet'!AC11</f>
        <v>402421151.05361927</v>
      </c>
      <c r="AE22" s="9">
        <f ca="1">'Balance Sheet'!AD11</f>
        <v>421660797.97580981</v>
      </c>
      <c r="AF22" s="9">
        <f ca="1">'Balance Sheet'!AE11</f>
        <v>442111837.18522215</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37</v>
      </c>
      <c r="C23" s="9">
        <f>C20-C22</f>
        <v>599796700.63185453</v>
      </c>
      <c r="D23" s="9">
        <f t="shared" ref="D23:AF23" ca="1" si="30">D20-D22</f>
        <v>586946767.21902847</v>
      </c>
      <c r="E23" s="9">
        <f t="shared" ca="1" si="30"/>
        <v>577128909.13432097</v>
      </c>
      <c r="F23" s="9">
        <f t="shared" ca="1" si="30"/>
        <v>572014143.71538162</v>
      </c>
      <c r="G23" s="9">
        <f t="shared" ca="1" si="30"/>
        <v>573775796.99730504</v>
      </c>
      <c r="H23" s="9">
        <f t="shared" ca="1" si="30"/>
        <v>578542540.52687347</v>
      </c>
      <c r="I23" s="9">
        <f t="shared" ca="1" si="30"/>
        <v>585983754.59347391</v>
      </c>
      <c r="J23" s="9">
        <f ca="1">J20-J22</f>
        <v>595481875.79960608</v>
      </c>
      <c r="K23" s="9">
        <f t="shared" ca="1" si="30"/>
        <v>606123422.65397775</v>
      </c>
      <c r="L23" s="9">
        <f t="shared" ca="1" si="30"/>
        <v>618096491.53619981</v>
      </c>
      <c r="M23" s="9">
        <f t="shared" ca="1" si="30"/>
        <v>630864724.37912679</v>
      </c>
      <c r="N23" s="9">
        <f t="shared" ca="1" si="30"/>
        <v>644538711.81035876</v>
      </c>
      <c r="O23" s="9">
        <f t="shared" ca="1" si="30"/>
        <v>659240399.63320899</v>
      </c>
      <c r="P23" s="9">
        <f t="shared" ca="1" si="30"/>
        <v>674236769.42666316</v>
      </c>
      <c r="Q23" s="9">
        <f t="shared" ca="1" si="30"/>
        <v>689556441.34710872</v>
      </c>
      <c r="R23" s="9">
        <f t="shared" ca="1" si="30"/>
        <v>705229172.08726168</v>
      </c>
      <c r="S23" s="9">
        <f t="shared" ca="1" si="30"/>
        <v>721289599.72030306</v>
      </c>
      <c r="T23" s="9">
        <f t="shared" ca="1" si="30"/>
        <v>737776209.99839997</v>
      </c>
      <c r="U23" s="9">
        <f t="shared" ca="1" si="30"/>
        <v>754731658.22375488</v>
      </c>
      <c r="V23" s="9">
        <f t="shared" ca="1" si="30"/>
        <v>772204616.87483478</v>
      </c>
      <c r="W23" s="9">
        <f t="shared" ca="1" si="30"/>
        <v>790243415.31773174</v>
      </c>
      <c r="X23" s="9">
        <f t="shared" ca="1" si="30"/>
        <v>808904940.09460402</v>
      </c>
      <c r="Y23" s="9">
        <f t="shared" ca="1" si="30"/>
        <v>828251734.30007124</v>
      </c>
      <c r="Z23" s="9">
        <f t="shared" ca="1" si="30"/>
        <v>847674491.74331045</v>
      </c>
      <c r="AA23" s="9">
        <f t="shared" ca="1" si="30"/>
        <v>867165319.33882213</v>
      </c>
      <c r="AB23" s="9">
        <f t="shared" ca="1" si="30"/>
        <v>886716601.38908577</v>
      </c>
      <c r="AC23" s="9">
        <f t="shared" ca="1" si="30"/>
        <v>906321075.1636796</v>
      </c>
      <c r="AD23" s="9">
        <f t="shared" ca="1" si="30"/>
        <v>925971913.49084532</v>
      </c>
      <c r="AE23" s="9">
        <f t="shared" ca="1" si="30"/>
        <v>945662814.84734488</v>
      </c>
      <c r="AF23" s="9">
        <f t="shared" ca="1" si="30"/>
        <v>965388101.46154094</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120" zoomScaleNormal="120" workbookViewId="0">
      <pane xSplit="1" topLeftCell="B1" activePane="topRight" state="frozen"/>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161</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31519008.710000001</v>
      </c>
      <c r="D5" s="1">
        <f ca="1">C5+C6</f>
        <v>61027374.145002678</v>
      </c>
      <c r="E5" s="1">
        <f t="shared" ref="E5:AF5" ca="1" si="1">D5+D6</f>
        <v>88036734.076596409</v>
      </c>
      <c r="F5" s="1">
        <f t="shared" ca="1" si="1"/>
        <v>110893129.40152238</v>
      </c>
      <c r="G5" s="1">
        <f t="shared" ca="1" si="1"/>
        <v>127437321.43437037</v>
      </c>
      <c r="H5" s="1">
        <f t="shared" ca="1" si="1"/>
        <v>141558581.68258688</v>
      </c>
      <c r="I5" s="1">
        <f t="shared" ca="1" si="1"/>
        <v>153606043.53207463</v>
      </c>
      <c r="J5" s="1">
        <f t="shared" ca="1" si="1"/>
        <v>164216372.82344899</v>
      </c>
      <c r="K5" s="1">
        <f t="shared" ca="1" si="1"/>
        <v>174322760.98280954</v>
      </c>
      <c r="L5" s="1">
        <f t="shared" ca="1" si="1"/>
        <v>183759914.76992506</v>
      </c>
      <c r="M5" s="1">
        <f t="shared" ca="1" si="1"/>
        <v>193085332.90706995</v>
      </c>
      <c r="N5" s="1">
        <f t="shared" ca="1" si="1"/>
        <v>202210240.24531192</v>
      </c>
      <c r="O5" s="1">
        <f t="shared" ca="1" si="1"/>
        <v>211035202.82435268</v>
      </c>
      <c r="P5" s="1">
        <f t="shared" ca="1" si="1"/>
        <v>220316469.50097436</v>
      </c>
      <c r="Q5" s="1">
        <f t="shared" ca="1" si="1"/>
        <v>230050033.76805627</v>
      </c>
      <c r="R5" s="1">
        <f t="shared" ca="1" si="1"/>
        <v>240230917.08303124</v>
      </c>
      <c r="S5" s="1">
        <f t="shared" ca="1" si="1"/>
        <v>250850051.11253721</v>
      </c>
      <c r="T5" s="1">
        <f t="shared" ca="1" si="1"/>
        <v>261895336.72287956</v>
      </c>
      <c r="U5" s="1">
        <f t="shared" ca="1" si="1"/>
        <v>273351348.20587289</v>
      </c>
      <c r="V5" s="1">
        <f t="shared" ca="1" si="1"/>
        <v>285199015.97380835</v>
      </c>
      <c r="W5" s="1">
        <f t="shared" ca="1" si="1"/>
        <v>297419103.99533546</v>
      </c>
      <c r="X5" s="1">
        <f t="shared" ca="1" si="1"/>
        <v>309984750.04974836</v>
      </c>
      <c r="Y5" s="1">
        <f t="shared" ca="1" si="1"/>
        <v>322864396.14216781</v>
      </c>
      <c r="Z5" s="1">
        <f t="shared" ca="1" si="1"/>
        <v>336699325.08634758</v>
      </c>
      <c r="AA5" s="1">
        <f t="shared" ca="1" si="1"/>
        <v>351530429.84265202</v>
      </c>
      <c r="AB5" s="1">
        <f t="shared" ca="1" si="1"/>
        <v>367399381.97946292</v>
      </c>
      <c r="AC5" s="1">
        <f t="shared" ca="1" si="1"/>
        <v>384348589.88593006</v>
      </c>
      <c r="AD5" s="1">
        <f t="shared" ca="1" si="1"/>
        <v>402421151.05361927</v>
      </c>
      <c r="AE5" s="1">
        <f t="shared" ca="1" si="1"/>
        <v>421660797.97580981</v>
      </c>
      <c r="AF5" s="1">
        <f t="shared" ca="1" si="1"/>
        <v>442111837.18522215</v>
      </c>
      <c r="AG5" s="1"/>
      <c r="AH5" s="1"/>
      <c r="AI5" s="1"/>
      <c r="AJ5" s="1"/>
      <c r="AK5" s="1"/>
      <c r="AL5" s="1"/>
      <c r="AM5" s="1"/>
      <c r="AN5" s="1"/>
      <c r="AO5" s="1"/>
      <c r="AP5" s="1"/>
    </row>
    <row r="6" spans="1:42" x14ac:dyDescent="0.35">
      <c r="A6" s="63" t="s">
        <v>3</v>
      </c>
      <c r="C6" s="1">
        <f ca="1">-'Cash Flow'!C13</f>
        <v>29508365.435002681</v>
      </c>
      <c r="D6" s="1">
        <f ca="1">-'Cash Flow'!D13</f>
        <v>27009359.931593724</v>
      </c>
      <c r="E6" s="1">
        <f ca="1">-'Cash Flow'!E13</f>
        <v>22856395.324925974</v>
      </c>
      <c r="F6" s="1">
        <f ca="1">-'Cash Flow'!F13</f>
        <v>16544192.032847986</v>
      </c>
      <c r="G6" s="1">
        <f ca="1">-'Cash Flow'!G13</f>
        <v>14121260.248216502</v>
      </c>
      <c r="H6" s="1">
        <f ca="1">-'Cash Flow'!H13</f>
        <v>12047461.849487763</v>
      </c>
      <c r="I6" s="1">
        <f ca="1">-'Cash Flow'!I13</f>
        <v>10610329.291374363</v>
      </c>
      <c r="J6" s="1">
        <f ca="1">-'Cash Flow'!J13</f>
        <v>10106388.159360558</v>
      </c>
      <c r="K6" s="1">
        <f ca="1">-'Cash Flow'!K13</f>
        <v>9437153.7871155217</v>
      </c>
      <c r="L6" s="1">
        <f ca="1">-'Cash Flow'!L13</f>
        <v>9325418.1371448934</v>
      </c>
      <c r="M6" s="1">
        <f ca="1">-'Cash Flow'!M13</f>
        <v>9124907.3382419497</v>
      </c>
      <c r="N6" s="1">
        <f ca="1">-'Cash Flow'!N13</f>
        <v>8824962.5790407807</v>
      </c>
      <c r="O6" s="1">
        <f ca="1">-'Cash Flow'!O13</f>
        <v>9281266.6766216755</v>
      </c>
      <c r="P6" s="1">
        <f ca="1">-'Cash Flow'!P13</f>
        <v>9733564.2670819089</v>
      </c>
      <c r="Q6" s="1">
        <f ca="1">-'Cash Flow'!Q13</f>
        <v>10180883.314974964</v>
      </c>
      <c r="R6" s="1">
        <f ca="1">-'Cash Flow'!R13</f>
        <v>10619134.029505961</v>
      </c>
      <c r="S6" s="1">
        <f ca="1">-'Cash Flow'!S13</f>
        <v>11045285.610342361</v>
      </c>
      <c r="T6" s="1">
        <f ca="1">-'Cash Flow'!T13</f>
        <v>11456011.482993349</v>
      </c>
      <c r="U6" s="1">
        <f ca="1">-'Cash Flow'!U13</f>
        <v>11847667.767935432</v>
      </c>
      <c r="V6" s="1">
        <f ca="1">-'Cash Flow'!V13</f>
        <v>12220088.021527141</v>
      </c>
      <c r="W6" s="1">
        <f ca="1">-'Cash Flow'!W13</f>
        <v>12565646.054412901</v>
      </c>
      <c r="X6" s="1">
        <f ca="1">-'Cash Flow'!X13</f>
        <v>12879646.09241946</v>
      </c>
      <c r="Y6" s="1">
        <f ca="1">-'Cash Flow'!Y13</f>
        <v>13834928.944179744</v>
      </c>
      <c r="Z6" s="1">
        <f ca="1">-'Cash Flow'!Z13</f>
        <v>14831104.756304443</v>
      </c>
      <c r="AA6" s="1">
        <f ca="1">-'Cash Flow'!AA13</f>
        <v>15868952.136810914</v>
      </c>
      <c r="AB6" s="1">
        <f ca="1">-'Cash Flow'!AB13</f>
        <v>16949207.90646711</v>
      </c>
      <c r="AC6" s="1">
        <f ca="1">-'Cash Flow'!AC13</f>
        <v>18072561.167689219</v>
      </c>
      <c r="AD6" s="1">
        <f ca="1">-'Cash Flow'!AD13</f>
        <v>19239646.922190517</v>
      </c>
      <c r="AE6" s="1">
        <f ca="1">-'Cash Flow'!AE13</f>
        <v>20451039.209412366</v>
      </c>
      <c r="AF6" s="1">
        <f ca="1">-'Cash Flow'!AF13</f>
        <v>22244790.310529038</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2135958.0950750941</v>
      </c>
      <c r="D8" s="1">
        <f ca="1">IF(SUM(D5:D6)&gt;0,Assumptions!$C$26*SUM(D5:D6),Assumptions!$C$27*(SUM(D5:D6)))</f>
        <v>3081285.6926808748</v>
      </c>
      <c r="E8" s="1">
        <f ca="1">IF(SUM(E5:E6)&gt;0,Assumptions!$C$26*SUM(E5:E6),Assumptions!$C$27*(SUM(E5:E6)))</f>
        <v>3881259.5290532839</v>
      </c>
      <c r="F8" s="1">
        <f ca="1">IF(SUM(F5:F6)&gt;0,Assumptions!$C$26*SUM(F5:F6),Assumptions!$C$27*(SUM(F5:F6)))</f>
        <v>4460306.2502029631</v>
      </c>
      <c r="G8" s="1">
        <f ca="1">IF(SUM(G5:G6)&gt;0,Assumptions!$C$26*SUM(G5:G6),Assumptions!$C$27*(SUM(G5:G6)))</f>
        <v>4954550.3588905409</v>
      </c>
      <c r="H8" s="1">
        <f ca="1">IF(SUM(H5:H6)&gt;0,Assumptions!$C$26*SUM(H5:H6),Assumptions!$C$27*(SUM(H5:H6)))</f>
        <v>5376211.5236226125</v>
      </c>
      <c r="I8" s="1">
        <f ca="1">IF(SUM(I5:I6)&gt;0,Assumptions!$C$26*SUM(I5:I6),Assumptions!$C$27*(SUM(I5:I6)))</f>
        <v>5747573.0488207154</v>
      </c>
      <c r="J8" s="1">
        <f ca="1">IF(SUM(J5:J6)&gt;0,Assumptions!$C$26*SUM(J5:J6),Assumptions!$C$27*(SUM(J5:J6)))</f>
        <v>6101296.6343983347</v>
      </c>
      <c r="K8" s="1">
        <f ca="1">IF(SUM(K5:K6)&gt;0,Assumptions!$C$26*SUM(K5:K6),Assumptions!$C$27*(SUM(K5:K6)))</f>
        <v>6431597.0169473775</v>
      </c>
      <c r="L8" s="1">
        <f ca="1">IF(SUM(L5:L6)&gt;0,Assumptions!$C$26*SUM(L5:L6),Assumptions!$C$27*(SUM(L5:L6)))</f>
        <v>6757986.6517474493</v>
      </c>
      <c r="M8" s="1">
        <f ca="1">IF(SUM(M5:M6)&gt;0,Assumptions!$C$26*SUM(M5:M6),Assumptions!$C$27*(SUM(M5:M6)))</f>
        <v>7077358.4085859181</v>
      </c>
      <c r="N8" s="1">
        <f ca="1">IF(SUM(N5:N6)&gt;0,Assumptions!$C$26*SUM(N5:N6),Assumptions!$C$27*(SUM(N5:N6)))</f>
        <v>7386232.0988523448</v>
      </c>
      <c r="O8" s="1">
        <f ca="1">IF(SUM(O5:O6)&gt;0,Assumptions!$C$26*SUM(O5:O6),Assumptions!$C$27*(SUM(O5:O6)))</f>
        <v>7711076.4325341033</v>
      </c>
      <c r="P8" s="1">
        <f ca="1">IF(SUM(P5:P6)&gt;0,Assumptions!$C$26*SUM(P5:P6),Assumptions!$C$27*(SUM(P5:P6)))</f>
        <v>8051751.1818819707</v>
      </c>
      <c r="Q8" s="1">
        <f ca="1">IF(SUM(Q5:Q6)&gt;0,Assumptions!$C$26*SUM(Q5:Q6),Assumptions!$C$27*(SUM(Q5:Q6)))</f>
        <v>8408082.097906094</v>
      </c>
      <c r="R8" s="1">
        <f ca="1">IF(SUM(R5:R6)&gt;0,Assumptions!$C$26*SUM(R5:R6),Assumptions!$C$27*(SUM(R5:R6)))</f>
        <v>8779751.7889388036</v>
      </c>
      <c r="S8" s="1">
        <f ca="1">IF(SUM(S5:S6)&gt;0,Assumptions!$C$26*SUM(S5:S6),Assumptions!$C$27*(SUM(S5:S6)))</f>
        <v>9166336.7853007857</v>
      </c>
      <c r="T8" s="1">
        <f ca="1">IF(SUM(T5:T6)&gt;0,Assumptions!$C$26*SUM(T5:T6),Assumptions!$C$27*(SUM(T5:T6)))</f>
        <v>9567297.1872055531</v>
      </c>
      <c r="U8" s="1">
        <f ca="1">IF(SUM(U5:U6)&gt;0,Assumptions!$C$26*SUM(U5:U6),Assumptions!$C$27*(SUM(U5:U6)))</f>
        <v>9981965.5590832923</v>
      </c>
      <c r="V8" s="1">
        <f ca="1">IF(SUM(V5:V6)&gt;0,Assumptions!$C$26*SUM(V5:V6),Assumptions!$C$27*(SUM(V5:V6)))</f>
        <v>10409668.639836742</v>
      </c>
      <c r="W8" s="1">
        <f ca="1">IF(SUM(W5:W6)&gt;0,Assumptions!$C$26*SUM(W5:W6),Assumptions!$C$27*(SUM(W5:W6)))</f>
        <v>10849466.251741193</v>
      </c>
      <c r="X8" s="1">
        <f ca="1">IF(SUM(X5:X6)&gt;0,Assumptions!$C$26*SUM(X5:X6),Assumptions!$C$27*(SUM(X5:X6)))</f>
        <v>11300253.864975873</v>
      </c>
      <c r="Y8" s="1">
        <f ca="1">IF(SUM(Y5:Y6)&gt;0,Assumptions!$C$26*SUM(Y5:Y6),Assumptions!$C$27*(SUM(Y5:Y6)))</f>
        <v>11784476.378022166</v>
      </c>
      <c r="Z8" s="1">
        <f ca="1">IF(SUM(Z5:Z6)&gt;0,Assumptions!$C$26*SUM(Z5:Z6),Assumptions!$C$27*(SUM(Z5:Z6)))</f>
        <v>12303565.044492822</v>
      </c>
      <c r="AA8" s="1">
        <f ca="1">IF(SUM(AA5:AA6)&gt;0,Assumptions!$C$26*SUM(AA5:AA6),Assumptions!$C$27*(SUM(AA5:AA6)))</f>
        <v>12858978.369281203</v>
      </c>
      <c r="AB8" s="1">
        <f ca="1">IF(SUM(AB5:AB6)&gt;0,Assumptions!$C$26*SUM(AB5:AB6),Assumptions!$C$27*(SUM(AB5:AB6)))</f>
        <v>13452200.646007553</v>
      </c>
      <c r="AC8" s="1">
        <f ca="1">IF(SUM(AC5:AC6)&gt;0,Assumptions!$C$26*SUM(AC5:AC6),Assumptions!$C$27*(SUM(AC5:AC6)))</f>
        <v>14084740.286876675</v>
      </c>
      <c r="AD8" s="1">
        <f ca="1">IF(SUM(AD5:AD6)&gt;0,Assumptions!$C$26*SUM(AD5:AD6),Assumptions!$C$27*(SUM(AD5:AD6)))</f>
        <v>14758127.929153346</v>
      </c>
      <c r="AE8" s="1">
        <f ca="1">IF(SUM(AE5:AE6)&gt;0,Assumptions!$C$26*SUM(AE5:AE6),Assumptions!$C$27*(SUM(AE5:AE6)))</f>
        <v>15473914.301482776</v>
      </c>
      <c r="AF8" s="1">
        <f ca="1">IF(SUM(AF5:AF6)&gt;0,Assumptions!$C$26*SUM(AF5:AF6),Assumptions!$C$27*(SUM(AF5:AF6)))</f>
        <v>16252481.962351294</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workbookViewId="0">
      <selection sqref="A1:XFD1048576"/>
    </sheetView>
  </sheetViews>
  <sheetFormatPr defaultRowHeight="15.5" x14ac:dyDescent="0.35"/>
  <cols>
    <col min="1" max="16384" width="8.6640625" style="172"/>
  </cols>
  <sheetData>
    <row r="1" spans="1:1" x14ac:dyDescent="0.35">
      <c r="A1" s="173" t="s">
        <v>170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2"/>
  <sheetViews>
    <sheetView zoomScale="70" zoomScaleNormal="70" workbookViewId="0">
      <selection sqref="A1:XFD1048576"/>
    </sheetView>
  </sheetViews>
  <sheetFormatPr defaultRowHeight="15.5" x14ac:dyDescent="0.35"/>
  <cols>
    <col min="1" max="1" width="107.9140625" style="63" customWidth="1"/>
    <col min="2" max="2" width="18.1640625" style="63" bestFit="1" customWidth="1"/>
    <col min="3" max="3" width="62.25" style="63" customWidth="1"/>
    <col min="4" max="16384" width="8.6640625" style="63"/>
  </cols>
  <sheetData>
    <row r="1" spans="1:3" ht="26" x14ac:dyDescent="0.6">
      <c r="A1" s="13" t="s">
        <v>189</v>
      </c>
      <c r="C1" s="63" t="s">
        <v>189</v>
      </c>
    </row>
    <row r="2" spans="1:3" ht="26" x14ac:dyDescent="0.6">
      <c r="A2" s="13"/>
    </row>
    <row r="3" spans="1:3" ht="186" x14ac:dyDescent="0.35">
      <c r="A3" s="171" t="s">
        <v>181</v>
      </c>
    </row>
    <row r="4" spans="1:3" ht="26" x14ac:dyDescent="0.6">
      <c r="A4" s="13"/>
    </row>
    <row r="5" spans="1:3" ht="18.5" x14ac:dyDescent="0.45">
      <c r="A5" s="89" t="s">
        <v>171</v>
      </c>
      <c r="B5" s="90"/>
    </row>
    <row r="6" spans="1:3" ht="18.5" x14ac:dyDescent="0.45">
      <c r="A6" s="90"/>
      <c r="B6" s="90"/>
    </row>
    <row r="7" spans="1:3" ht="18.5" x14ac:dyDescent="0.45">
      <c r="A7" s="90" t="s">
        <v>96</v>
      </c>
      <c r="B7" s="91">
        <f>Assumptions!C24</f>
        <v>17538490.420000002</v>
      </c>
      <c r="C7" s="181" t="s">
        <v>192</v>
      </c>
    </row>
    <row r="8" spans="1:3" ht="34" x14ac:dyDescent="0.45">
      <c r="A8" s="90" t="s">
        <v>169</v>
      </c>
      <c r="B8" s="92">
        <f>Assumptions!$C$133</f>
        <v>0.7</v>
      </c>
      <c r="C8" s="181" t="s">
        <v>198</v>
      </c>
    </row>
    <row r="9" spans="1:3" ht="18.5" x14ac:dyDescent="0.45">
      <c r="A9" s="90"/>
      <c r="B9" s="93"/>
      <c r="C9" s="181"/>
    </row>
    <row r="10" spans="1:3" ht="51" x14ac:dyDescent="0.45">
      <c r="A10" s="94" t="s">
        <v>102</v>
      </c>
      <c r="B10" s="95">
        <f>Assumptions!C135</f>
        <v>15555.555555555555</v>
      </c>
      <c r="C10" s="181" t="s">
        <v>199</v>
      </c>
    </row>
    <row r="11" spans="1:3" ht="18.5" x14ac:dyDescent="0.45">
      <c r="A11" s="94"/>
      <c r="B11" s="94"/>
      <c r="C11" s="181"/>
    </row>
    <row r="12" spans="1:3" ht="18.5" x14ac:dyDescent="0.45">
      <c r="A12" s="94" t="s">
        <v>178</v>
      </c>
      <c r="B12" s="91">
        <f>(B7*B8)/B10</f>
        <v>789.23206890000006</v>
      </c>
      <c r="C12" s="181"/>
    </row>
    <row r="13" spans="1:3" ht="18.5" x14ac:dyDescent="0.45">
      <c r="A13" s="96"/>
      <c r="B13" s="97"/>
      <c r="C13" s="181"/>
    </row>
    <row r="14" spans="1:3" ht="18.5" x14ac:dyDescent="0.45">
      <c r="A14" s="94" t="s">
        <v>103</v>
      </c>
      <c r="B14" s="98">
        <v>1</v>
      </c>
      <c r="C14" s="181"/>
    </row>
    <row r="15" spans="1:3" ht="18.5" x14ac:dyDescent="0.45">
      <c r="A15" s="96"/>
      <c r="B15" s="99"/>
      <c r="C15" s="181"/>
    </row>
    <row r="16" spans="1:3" ht="18.5" x14ac:dyDescent="0.45">
      <c r="A16" s="96" t="s">
        <v>173</v>
      </c>
      <c r="B16" s="100">
        <f>B12/B14</f>
        <v>789.23206890000006</v>
      </c>
      <c r="C16" s="181"/>
    </row>
    <row r="17" spans="1:3" ht="18.5" x14ac:dyDescent="0.45">
      <c r="A17" s="94"/>
      <c r="B17" s="101"/>
      <c r="C17" s="181"/>
    </row>
    <row r="18" spans="1:3" ht="18.5" x14ac:dyDescent="0.45">
      <c r="A18" s="102" t="s">
        <v>172</v>
      </c>
      <c r="B18" s="101"/>
      <c r="C18" s="181"/>
    </row>
    <row r="19" spans="1:3" ht="18.5" x14ac:dyDescent="0.45">
      <c r="A19" s="94"/>
      <c r="B19" s="101"/>
      <c r="C19" s="181"/>
    </row>
    <row r="20" spans="1:3" ht="34" x14ac:dyDescent="0.45">
      <c r="A20" s="94" t="s">
        <v>65</v>
      </c>
      <c r="B20" s="91">
        <f>'Profit and Loss'!L5</f>
        <v>73941858.197751775</v>
      </c>
      <c r="C20" s="181" t="s">
        <v>200</v>
      </c>
    </row>
    <row r="21" spans="1:3" ht="34" x14ac:dyDescent="0.45">
      <c r="A21" s="94" t="str">
        <f>A8</f>
        <v>Assumed revenue from households</v>
      </c>
      <c r="B21" s="92">
        <f>B8</f>
        <v>0.7</v>
      </c>
      <c r="C21" s="181" t="s">
        <v>198</v>
      </c>
    </row>
    <row r="22" spans="1:3" ht="18.5" x14ac:dyDescent="0.45">
      <c r="A22" s="94"/>
      <c r="B22" s="94"/>
      <c r="C22" s="181"/>
    </row>
    <row r="23" spans="1:3" ht="34" x14ac:dyDescent="0.45">
      <c r="A23" s="94" t="s">
        <v>101</v>
      </c>
      <c r="B23" s="95">
        <f>Assumptions!M135</f>
        <v>18096.6602484959</v>
      </c>
      <c r="C23" s="181" t="s">
        <v>203</v>
      </c>
    </row>
    <row r="24" spans="1:3" ht="18.5" x14ac:dyDescent="0.45">
      <c r="A24" s="94"/>
      <c r="B24" s="94"/>
      <c r="C24" s="181"/>
    </row>
    <row r="25" spans="1:3" ht="18.5" x14ac:dyDescent="0.45">
      <c r="A25" s="94" t="s">
        <v>177</v>
      </c>
      <c r="B25" s="91">
        <f>(B20*B21)/B23</f>
        <v>2860.1576217759962</v>
      </c>
      <c r="C25" s="181"/>
    </row>
    <row r="26" spans="1:3" ht="18.5" x14ac:dyDescent="0.45">
      <c r="A26" s="94"/>
      <c r="B26" s="91"/>
      <c r="C26" s="181"/>
    </row>
    <row r="27" spans="1:3" ht="34" x14ac:dyDescent="0.45">
      <c r="A27" s="94" t="s">
        <v>103</v>
      </c>
      <c r="B27" s="103">
        <f>1.022^11</f>
        <v>1.2704566586717592</v>
      </c>
      <c r="C27" s="181" t="s">
        <v>202</v>
      </c>
    </row>
    <row r="28" spans="1:3" ht="18.5" x14ac:dyDescent="0.45">
      <c r="A28" s="96"/>
      <c r="B28" s="97"/>
      <c r="C28" s="181"/>
    </row>
    <row r="29" spans="1:3" ht="18.5" x14ac:dyDescent="0.45">
      <c r="A29" s="96" t="s">
        <v>174</v>
      </c>
      <c r="B29" s="91">
        <f>B25/B27</f>
        <v>2251.2831132438964</v>
      </c>
      <c r="C29" s="181"/>
    </row>
    <row r="30" spans="1:3" ht="18.5" x14ac:dyDescent="0.45">
      <c r="A30" s="96"/>
      <c r="B30" s="97"/>
      <c r="C30" s="181"/>
    </row>
    <row r="31" spans="1:3" ht="18.5" x14ac:dyDescent="0.45">
      <c r="A31" s="102" t="s">
        <v>179</v>
      </c>
      <c r="B31" s="96"/>
      <c r="C31" s="181"/>
    </row>
    <row r="32" spans="1:3" ht="18.5" x14ac:dyDescent="0.45">
      <c r="A32" s="94"/>
      <c r="B32" s="91"/>
      <c r="C32" s="181"/>
    </row>
    <row r="33" spans="1:3" ht="34" x14ac:dyDescent="0.45">
      <c r="A33" s="94" t="s">
        <v>66</v>
      </c>
      <c r="B33" s="91">
        <f>'Profit and Loss'!AF5</f>
        <v>176714852.66412631</v>
      </c>
      <c r="C33" s="181" t="s">
        <v>200</v>
      </c>
    </row>
    <row r="34" spans="1:3" ht="34" x14ac:dyDescent="0.45">
      <c r="A34" s="94" t="str">
        <f>A21</f>
        <v>Assumed revenue from households</v>
      </c>
      <c r="B34" s="92">
        <f>B21</f>
        <v>0.7</v>
      </c>
      <c r="C34" s="181" t="s">
        <v>198</v>
      </c>
    </row>
    <row r="35" spans="1:3" ht="18.5" x14ac:dyDescent="0.45">
      <c r="A35" s="94"/>
      <c r="B35" s="94"/>
      <c r="C35" s="181"/>
    </row>
    <row r="36" spans="1:3" ht="34" x14ac:dyDescent="0.45">
      <c r="A36" s="94" t="s">
        <v>100</v>
      </c>
      <c r="B36" s="95">
        <f>Assumptions!AG135</f>
        <v>24491.999745394136</v>
      </c>
      <c r="C36" s="181" t="s">
        <v>201</v>
      </c>
    </row>
    <row r="37" spans="1:3" ht="18.5" x14ac:dyDescent="0.45">
      <c r="A37" s="94"/>
      <c r="B37" s="94"/>
      <c r="C37" s="181"/>
    </row>
    <row r="38" spans="1:3" ht="18.5" x14ac:dyDescent="0.45">
      <c r="A38" s="94" t="s">
        <v>176</v>
      </c>
      <c r="B38" s="91">
        <f>(B33*B34)/B36</f>
        <v>5050.6450331051874</v>
      </c>
      <c r="C38" s="181"/>
    </row>
    <row r="39" spans="1:3" ht="18.5" x14ac:dyDescent="0.45">
      <c r="A39" s="94"/>
      <c r="B39" s="94"/>
      <c r="C39" s="181"/>
    </row>
    <row r="40" spans="1:3" ht="34" x14ac:dyDescent="0.45">
      <c r="A40" s="94" t="s">
        <v>103</v>
      </c>
      <c r="B40" s="103">
        <f>1.022^31</f>
        <v>1.9632597808456462</v>
      </c>
      <c r="C40" s="181" t="s">
        <v>202</v>
      </c>
    </row>
    <row r="41" spans="1:3" ht="18.5" x14ac:dyDescent="0.45">
      <c r="A41" s="96"/>
      <c r="B41" s="97"/>
      <c r="C41" s="182"/>
    </row>
    <row r="42" spans="1:3" ht="18.5" x14ac:dyDescent="0.45">
      <c r="A42" s="96" t="s">
        <v>175</v>
      </c>
      <c r="B42" s="91">
        <f>B38/B40</f>
        <v>2572.5811135038348</v>
      </c>
      <c r="C42" s="18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workbookViewId="0">
      <selection sqref="A1:XFD1048576"/>
    </sheetView>
  </sheetViews>
  <sheetFormatPr defaultRowHeight="15.5" x14ac:dyDescent="0.35"/>
  <cols>
    <col min="1" max="16384" width="8.6640625" style="172"/>
  </cols>
  <sheetData>
    <row r="1" spans="1:1" x14ac:dyDescent="0.35">
      <c r="A1" s="173"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70" zoomScaleNormal="70" workbookViewId="0">
      <pane ySplit="4" topLeftCell="A5" activePane="bottomLeft" state="frozen"/>
      <selection pane="bottomLeft" sqref="A1:XFD1048576"/>
    </sheetView>
  </sheetViews>
  <sheetFormatPr defaultColWidth="10.83203125" defaultRowHeight="15.5" x14ac:dyDescent="0.35"/>
  <cols>
    <col min="1" max="1" width="89.9140625" style="76" bestFit="1" customWidth="1"/>
    <col min="2" max="2" width="94.6640625" style="76" customWidth="1"/>
    <col min="3" max="3" width="21.58203125" style="108" bestFit="1" customWidth="1"/>
    <col min="4" max="4" width="29.58203125" style="109"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7" t="s">
        <v>156</v>
      </c>
    </row>
    <row r="2" spans="1:33" ht="26.5" thickBot="1" x14ac:dyDescent="0.4">
      <c r="A2" s="110"/>
      <c r="B2" s="110"/>
      <c r="D2" s="111"/>
    </row>
    <row r="3" spans="1:33" s="113" customFormat="1" ht="21.5" thickBot="1" x14ac:dyDescent="0.4">
      <c r="A3" s="84"/>
      <c r="B3" s="84"/>
      <c r="C3" s="112"/>
      <c r="D3" s="184" t="s">
        <v>27</v>
      </c>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row>
    <row r="4" spans="1:33" s="119" customFormat="1" ht="16" thickBot="1" x14ac:dyDescent="0.4">
      <c r="A4" s="114" t="s">
        <v>25</v>
      </c>
      <c r="B4" s="114" t="s">
        <v>188</v>
      </c>
      <c r="C4" s="115" t="s">
        <v>26</v>
      </c>
      <c r="D4" s="116">
        <v>2022</v>
      </c>
      <c r="E4" s="117">
        <f t="shared" ref="E4:AG4" si="0">D4+1</f>
        <v>2023</v>
      </c>
      <c r="F4" s="118">
        <f t="shared" si="0"/>
        <v>2024</v>
      </c>
      <c r="G4" s="117">
        <f t="shared" si="0"/>
        <v>2025</v>
      </c>
      <c r="H4" s="118">
        <f t="shared" si="0"/>
        <v>2026</v>
      </c>
      <c r="I4" s="117">
        <f t="shared" si="0"/>
        <v>2027</v>
      </c>
      <c r="J4" s="118">
        <f t="shared" si="0"/>
        <v>2028</v>
      </c>
      <c r="K4" s="117">
        <f t="shared" si="0"/>
        <v>2029</v>
      </c>
      <c r="L4" s="118">
        <f t="shared" si="0"/>
        <v>2030</v>
      </c>
      <c r="M4" s="117">
        <f t="shared" si="0"/>
        <v>2031</v>
      </c>
      <c r="N4" s="118">
        <f t="shared" si="0"/>
        <v>2032</v>
      </c>
      <c r="O4" s="117">
        <f t="shared" si="0"/>
        <v>2033</v>
      </c>
      <c r="P4" s="118">
        <f t="shared" si="0"/>
        <v>2034</v>
      </c>
      <c r="Q4" s="117">
        <f t="shared" si="0"/>
        <v>2035</v>
      </c>
      <c r="R4" s="118">
        <f t="shared" si="0"/>
        <v>2036</v>
      </c>
      <c r="S4" s="117">
        <f t="shared" si="0"/>
        <v>2037</v>
      </c>
      <c r="T4" s="118">
        <f t="shared" si="0"/>
        <v>2038</v>
      </c>
      <c r="U4" s="117">
        <f t="shared" si="0"/>
        <v>2039</v>
      </c>
      <c r="V4" s="118">
        <f t="shared" si="0"/>
        <v>2040</v>
      </c>
      <c r="W4" s="117">
        <f t="shared" si="0"/>
        <v>2041</v>
      </c>
      <c r="X4" s="118">
        <f t="shared" si="0"/>
        <v>2042</v>
      </c>
      <c r="Y4" s="117">
        <f t="shared" si="0"/>
        <v>2043</v>
      </c>
      <c r="Z4" s="118">
        <f t="shared" si="0"/>
        <v>2044</v>
      </c>
      <c r="AA4" s="117">
        <f t="shared" si="0"/>
        <v>2045</v>
      </c>
      <c r="AB4" s="118">
        <f t="shared" si="0"/>
        <v>2046</v>
      </c>
      <c r="AC4" s="117">
        <f t="shared" si="0"/>
        <v>2047</v>
      </c>
      <c r="AD4" s="118">
        <f t="shared" si="0"/>
        <v>2048</v>
      </c>
      <c r="AE4" s="117">
        <f t="shared" si="0"/>
        <v>2049</v>
      </c>
      <c r="AF4" s="118">
        <f t="shared" si="0"/>
        <v>2050</v>
      </c>
      <c r="AG4" s="117">
        <f t="shared" si="0"/>
        <v>2051</v>
      </c>
    </row>
    <row r="5" spans="1:33" s="119" customFormat="1" x14ac:dyDescent="0.35">
      <c r="A5" s="120"/>
      <c r="B5" s="120"/>
      <c r="C5" s="121"/>
      <c r="D5" s="122"/>
      <c r="E5" s="123"/>
      <c r="F5" s="122"/>
      <c r="G5" s="123"/>
      <c r="H5" s="122"/>
      <c r="I5" s="123"/>
      <c r="J5" s="122"/>
      <c r="K5" s="123"/>
      <c r="L5" s="122"/>
      <c r="M5" s="123"/>
      <c r="N5" s="122"/>
      <c r="O5" s="123"/>
      <c r="P5" s="122"/>
      <c r="Q5" s="123"/>
      <c r="R5" s="122"/>
      <c r="S5" s="123"/>
      <c r="T5" s="122"/>
      <c r="U5" s="123"/>
      <c r="V5" s="122"/>
      <c r="W5" s="123"/>
      <c r="X5" s="122"/>
      <c r="Y5" s="123"/>
      <c r="Z5" s="122"/>
      <c r="AA5" s="123"/>
      <c r="AB5" s="122"/>
      <c r="AC5" s="123"/>
      <c r="AD5" s="122"/>
      <c r="AE5" s="123"/>
      <c r="AF5" s="122"/>
      <c r="AG5" s="123"/>
    </row>
    <row r="6" spans="1:33" s="119" customFormat="1" x14ac:dyDescent="0.35">
      <c r="A6" s="124" t="s">
        <v>28</v>
      </c>
      <c r="B6" s="124"/>
      <c r="C6" s="115"/>
      <c r="D6" s="116"/>
      <c r="E6" s="117"/>
      <c r="F6" s="116"/>
      <c r="G6" s="117"/>
      <c r="H6" s="116"/>
      <c r="I6" s="117"/>
      <c r="J6" s="116"/>
      <c r="K6" s="117"/>
      <c r="L6" s="116"/>
      <c r="M6" s="117"/>
      <c r="N6" s="116"/>
      <c r="O6" s="117"/>
      <c r="P6" s="116"/>
      <c r="Q6" s="117"/>
      <c r="R6" s="116"/>
      <c r="S6" s="117"/>
      <c r="T6" s="116"/>
      <c r="U6" s="117"/>
      <c r="V6" s="116"/>
      <c r="W6" s="117"/>
      <c r="X6" s="116"/>
      <c r="Y6" s="117"/>
      <c r="Z6" s="116"/>
      <c r="AA6" s="117"/>
      <c r="AB6" s="116"/>
      <c r="AC6" s="117"/>
      <c r="AD6" s="116"/>
      <c r="AE6" s="117"/>
      <c r="AF6" s="116"/>
      <c r="AG6" s="117"/>
    </row>
    <row r="7" spans="1:33" s="119" customFormat="1" x14ac:dyDescent="0.35">
      <c r="A7" s="124"/>
      <c r="B7" s="124"/>
      <c r="C7" s="115"/>
      <c r="D7" s="116"/>
      <c r="E7" s="117"/>
      <c r="F7" s="116"/>
      <c r="G7" s="117"/>
      <c r="H7" s="116"/>
      <c r="I7" s="117"/>
      <c r="J7" s="116"/>
      <c r="K7" s="117"/>
      <c r="L7" s="116"/>
      <c r="M7" s="117"/>
      <c r="N7" s="116"/>
      <c r="O7" s="117"/>
      <c r="P7" s="116"/>
      <c r="Q7" s="117"/>
      <c r="R7" s="116"/>
      <c r="S7" s="117"/>
      <c r="T7" s="116"/>
      <c r="U7" s="117"/>
      <c r="V7" s="116"/>
      <c r="W7" s="117"/>
      <c r="X7" s="116"/>
      <c r="Y7" s="117"/>
      <c r="Z7" s="116"/>
      <c r="AA7" s="117"/>
      <c r="AB7" s="116"/>
      <c r="AC7" s="117"/>
      <c r="AD7" s="116"/>
      <c r="AE7" s="117"/>
      <c r="AF7" s="116"/>
      <c r="AG7" s="117"/>
    </row>
    <row r="8" spans="1:33" x14ac:dyDescent="0.35">
      <c r="A8" s="77" t="s">
        <v>29</v>
      </c>
      <c r="B8" s="77"/>
      <c r="C8" s="125"/>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19" customFormat="1" x14ac:dyDescent="0.35">
      <c r="A9" s="78" t="s">
        <v>62</v>
      </c>
      <c r="B9" s="78" t="s">
        <v>128</v>
      </c>
      <c r="C9" s="126">
        <v>2.1999999999999999E-2</v>
      </c>
      <c r="D9" s="127">
        <f t="shared" ref="D9:AG9" si="1">(1+$C$9)^D8</f>
        <v>1.022</v>
      </c>
      <c r="E9" s="127">
        <f t="shared" si="1"/>
        <v>1.044484</v>
      </c>
      <c r="F9" s="127">
        <f t="shared" si="1"/>
        <v>1.067462648</v>
      </c>
      <c r="G9" s="127">
        <f t="shared" si="1"/>
        <v>1.090946826256</v>
      </c>
      <c r="H9" s="127">
        <f t="shared" si="1"/>
        <v>1.114947656433632</v>
      </c>
      <c r="I9" s="127">
        <f t="shared" si="1"/>
        <v>1.1394765048751718</v>
      </c>
      <c r="J9" s="127">
        <f t="shared" si="1"/>
        <v>1.1645449879824257</v>
      </c>
      <c r="K9" s="127">
        <f t="shared" si="1"/>
        <v>1.1901649777180392</v>
      </c>
      <c r="L9" s="127">
        <f t="shared" si="1"/>
        <v>1.216348607227836</v>
      </c>
      <c r="M9" s="127">
        <f t="shared" si="1"/>
        <v>1.2431082765868484</v>
      </c>
      <c r="N9" s="127">
        <f t="shared" si="1"/>
        <v>1.2704566586717592</v>
      </c>
      <c r="O9" s="127">
        <f t="shared" si="1"/>
        <v>1.2984067051625379</v>
      </c>
      <c r="P9" s="127">
        <f t="shared" si="1"/>
        <v>1.3269716526761137</v>
      </c>
      <c r="Q9" s="127">
        <f t="shared" si="1"/>
        <v>1.356165029034988</v>
      </c>
      <c r="R9" s="127">
        <f t="shared" si="1"/>
        <v>1.386000659673758</v>
      </c>
      <c r="S9" s="127">
        <f t="shared" si="1"/>
        <v>1.4164926741865806</v>
      </c>
      <c r="T9" s="127">
        <f t="shared" si="1"/>
        <v>1.4476555130186854</v>
      </c>
      <c r="U9" s="127">
        <f t="shared" si="1"/>
        <v>1.4795039343050964</v>
      </c>
      <c r="V9" s="127">
        <f t="shared" si="1"/>
        <v>1.5120530208598086</v>
      </c>
      <c r="W9" s="127">
        <f t="shared" si="1"/>
        <v>1.5453181873187245</v>
      </c>
      <c r="X9" s="127">
        <f t="shared" si="1"/>
        <v>1.5793151874397364</v>
      </c>
      <c r="Y9" s="127">
        <f t="shared" si="1"/>
        <v>1.6140601215634105</v>
      </c>
      <c r="Z9" s="127">
        <f t="shared" si="1"/>
        <v>1.6495694442378055</v>
      </c>
      <c r="AA9" s="127">
        <f t="shared" si="1"/>
        <v>1.6858599720110374</v>
      </c>
      <c r="AB9" s="127">
        <f t="shared" si="1"/>
        <v>1.7229488913952802</v>
      </c>
      <c r="AC9" s="127">
        <f t="shared" si="1"/>
        <v>1.7608537670059765</v>
      </c>
      <c r="AD9" s="127">
        <f t="shared" si="1"/>
        <v>1.799592549880108</v>
      </c>
      <c r="AE9" s="127">
        <f t="shared" si="1"/>
        <v>1.8391835859774703</v>
      </c>
      <c r="AF9" s="127">
        <f t="shared" si="1"/>
        <v>1.8796456248689748</v>
      </c>
      <c r="AG9" s="127">
        <f t="shared" si="1"/>
        <v>1.920997828616092</v>
      </c>
    </row>
    <row r="10" spans="1:33" s="119" customFormat="1" x14ac:dyDescent="0.35">
      <c r="A10" s="78"/>
      <c r="B10" s="78"/>
      <c r="C10" s="126"/>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row>
    <row r="11" spans="1:33" s="119" customFormat="1" x14ac:dyDescent="0.35">
      <c r="A11" s="77" t="s">
        <v>63</v>
      </c>
      <c r="B11" s="78" t="s">
        <v>128</v>
      </c>
      <c r="C11" s="126">
        <v>0.01</v>
      </c>
      <c r="D11" s="127">
        <f t="shared" ref="D11:AG11" si="2">(1+$C$9+$C$11)^D8</f>
        <v>1.032</v>
      </c>
      <c r="E11" s="127">
        <f t="shared" si="2"/>
        <v>1.065024</v>
      </c>
      <c r="F11" s="127">
        <f t="shared" si="2"/>
        <v>1.0991047679999999</v>
      </c>
      <c r="G11" s="127">
        <f t="shared" si="2"/>
        <v>1.1342761205759999</v>
      </c>
      <c r="H11" s="127">
        <f t="shared" si="2"/>
        <v>1.170572956434432</v>
      </c>
      <c r="I11" s="127">
        <f t="shared" si="2"/>
        <v>1.2080312910403337</v>
      </c>
      <c r="J11" s="127">
        <f t="shared" si="2"/>
        <v>1.2466882923536242</v>
      </c>
      <c r="K11" s="127">
        <f t="shared" si="2"/>
        <v>1.2865823177089404</v>
      </c>
      <c r="L11" s="127">
        <f t="shared" si="2"/>
        <v>1.3277529518756266</v>
      </c>
      <c r="M11" s="127">
        <f t="shared" si="2"/>
        <v>1.3702410463356465</v>
      </c>
      <c r="N11" s="127">
        <f t="shared" si="2"/>
        <v>1.4140887598183871</v>
      </c>
      <c r="O11" s="127">
        <f t="shared" si="2"/>
        <v>1.4593396001325756</v>
      </c>
      <c r="P11" s="127">
        <f t="shared" si="2"/>
        <v>1.5060384673368181</v>
      </c>
      <c r="Q11" s="127">
        <f t="shared" si="2"/>
        <v>1.554231698291596</v>
      </c>
      <c r="R11" s="127">
        <f t="shared" si="2"/>
        <v>1.6039671126369268</v>
      </c>
      <c r="S11" s="127">
        <f t="shared" si="2"/>
        <v>1.6552940602413089</v>
      </c>
      <c r="T11" s="127">
        <f t="shared" si="2"/>
        <v>1.7082634701690309</v>
      </c>
      <c r="U11" s="127">
        <f t="shared" si="2"/>
        <v>1.7629279012144397</v>
      </c>
      <c r="V11" s="127">
        <f t="shared" si="2"/>
        <v>1.8193415940533015</v>
      </c>
      <c r="W11" s="127">
        <f t="shared" si="2"/>
        <v>1.8775605250630074</v>
      </c>
      <c r="X11" s="127">
        <f t="shared" si="2"/>
        <v>1.9376424618650239</v>
      </c>
      <c r="Y11" s="127">
        <f t="shared" si="2"/>
        <v>1.9996470206447043</v>
      </c>
      <c r="Z11" s="127">
        <f t="shared" si="2"/>
        <v>2.0636357253053346</v>
      </c>
      <c r="AA11" s="127">
        <f t="shared" si="2"/>
        <v>2.1296720685151054</v>
      </c>
      <c r="AB11" s="127">
        <f t="shared" si="2"/>
        <v>2.1978215747075893</v>
      </c>
      <c r="AC11" s="127">
        <f t="shared" si="2"/>
        <v>2.2681518650982317</v>
      </c>
      <c r="AD11" s="127">
        <f t="shared" si="2"/>
        <v>2.340732724781375</v>
      </c>
      <c r="AE11" s="127">
        <f t="shared" si="2"/>
        <v>2.4156361719743793</v>
      </c>
      <c r="AF11" s="127">
        <f t="shared" si="2"/>
        <v>2.4929365294775594</v>
      </c>
      <c r="AG11" s="127">
        <f t="shared" si="2"/>
        <v>2.5727104984208409</v>
      </c>
    </row>
    <row r="12" spans="1:33" s="119" customFormat="1" x14ac:dyDescent="0.35">
      <c r="A12" s="77"/>
      <c r="B12" s="77"/>
      <c r="C12" s="126"/>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row>
    <row r="13" spans="1:33" s="119" customFormat="1" ht="31" x14ac:dyDescent="0.35">
      <c r="A13" s="77" t="s">
        <v>31</v>
      </c>
      <c r="B13" s="178" t="s">
        <v>190</v>
      </c>
      <c r="C13" s="126">
        <v>1.5246008397444832E-2</v>
      </c>
      <c r="D13" s="127">
        <f t="shared" ref="D13:AG13" si="3">(1+$C$13)^D8</f>
        <v>1.0152460083974448</v>
      </c>
      <c r="E13" s="127">
        <f t="shared" si="3"/>
        <v>1.0307244575669445</v>
      </c>
      <c r="F13" s="127">
        <f t="shared" si="3"/>
        <v>1.046438891302462</v>
      </c>
      <c r="G13" s="127">
        <f t="shared" si="3"/>
        <v>1.062392907426672</v>
      </c>
      <c r="H13" s="127">
        <f t="shared" si="3"/>
        <v>1.0785901586146849</v>
      </c>
      <c r="I13" s="127">
        <f t="shared" si="3"/>
        <v>1.0950343532303257</v>
      </c>
      <c r="J13" s="127">
        <f t="shared" si="3"/>
        <v>1.1117292561751659</v>
      </c>
      <c r="K13" s="127">
        <f t="shared" si="3"/>
        <v>1.1286786897504972</v>
      </c>
      <c r="L13" s="127">
        <f t="shared" si="3"/>
        <v>1.1458865345324503</v>
      </c>
      <c r="M13" s="127">
        <f t="shared" si="3"/>
        <v>1.1633567302604508</v>
      </c>
      <c r="N13" s="127">
        <f t="shared" si="3"/>
        <v>1.1810932767392259</v>
      </c>
      <c r="O13" s="127">
        <f t="shared" si="3"/>
        <v>1.1991002347545574</v>
      </c>
      <c r="P13" s="127">
        <f t="shared" si="3"/>
        <v>1.2173817270030036</v>
      </c>
      <c r="Q13" s="127">
        <f t="shared" si="3"/>
        <v>1.2359419390357873</v>
      </c>
      <c r="R13" s="127">
        <f t="shared" si="3"/>
        <v>1.2547851202170812</v>
      </c>
      <c r="S13" s="127">
        <f t="shared" si="3"/>
        <v>1.2739155846968993</v>
      </c>
      <c r="T13" s="127">
        <f t="shared" si="3"/>
        <v>1.2933377123988241</v>
      </c>
      <c r="U13" s="127">
        <f t="shared" si="3"/>
        <v>1.3130559500227885</v>
      </c>
      <c r="V13" s="127">
        <f t="shared" si="3"/>
        <v>1.3330748120631508</v>
      </c>
      <c r="W13" s="127">
        <f t="shared" si="3"/>
        <v>1.3533988818422877</v>
      </c>
      <c r="X13" s="127">
        <f t="shared" si="3"/>
        <v>1.3740328125599477</v>
      </c>
      <c r="Y13" s="127">
        <f t="shared" si="3"/>
        <v>1.3949813283586012</v>
      </c>
      <c r="Z13" s="127">
        <f t="shared" si="3"/>
        <v>1.4162492254050354</v>
      </c>
      <c r="AA13" s="127">
        <f t="shared" si="3"/>
        <v>1.4378413729884347</v>
      </c>
      <c r="AB13" s="127">
        <f t="shared" si="3"/>
        <v>1.4597627146352099</v>
      </c>
      <c r="AC13" s="127">
        <f t="shared" si="3"/>
        <v>1.482018269240815</v>
      </c>
      <c r="AD13" s="127">
        <f t="shared" si="3"/>
        <v>1.5046131322188276</v>
      </c>
      <c r="AE13" s="127">
        <f t="shared" si="3"/>
        <v>1.5275524766675412</v>
      </c>
      <c r="AF13" s="127">
        <f t="shared" si="3"/>
        <v>1.5508415545543524</v>
      </c>
      <c r="AG13" s="127">
        <f t="shared" si="3"/>
        <v>1.5744856979181945</v>
      </c>
    </row>
    <row r="14" spans="1:33" ht="16" thickBot="1" x14ac:dyDescent="0.4">
      <c r="A14" s="79"/>
      <c r="B14" s="79"/>
      <c r="C14" s="128"/>
      <c r="D14" s="179"/>
      <c r="E14" s="130"/>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row>
    <row r="15" spans="1:33" x14ac:dyDescent="0.35">
      <c r="A15" s="80" t="s">
        <v>185</v>
      </c>
      <c r="B15" s="176" t="s">
        <v>186</v>
      </c>
      <c r="C15" s="132"/>
      <c r="D15" s="133"/>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row>
    <row r="16" spans="1:33" x14ac:dyDescent="0.35">
      <c r="A16" s="77"/>
      <c r="B16" s="77"/>
      <c r="C16" s="125"/>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132</v>
      </c>
      <c r="B17" s="77" t="s">
        <v>165</v>
      </c>
      <c r="C17" s="135">
        <f>AVERAGE(C49:C50)</f>
        <v>1230347635.6949949</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124</v>
      </c>
      <c r="C18" s="135">
        <f>C17/2</f>
        <v>615173817.84749746</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5"/>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ht="46.5" x14ac:dyDescent="0.35">
      <c r="A20" s="77" t="s">
        <v>64</v>
      </c>
      <c r="B20" s="180" t="s">
        <v>194</v>
      </c>
      <c r="C20" s="136">
        <v>31519008.710000001</v>
      </c>
      <c r="D20" s="139"/>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6"/>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7" customFormat="1" x14ac:dyDescent="0.35">
      <c r="A22" s="80" t="s">
        <v>154</v>
      </c>
      <c r="B22" s="176" t="s">
        <v>186</v>
      </c>
      <c r="C22" s="132"/>
      <c r="D22" s="133"/>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row>
    <row r="23" spans="1:33" x14ac:dyDescent="0.35">
      <c r="A23" s="77"/>
      <c r="B23" s="77"/>
      <c r="C23" s="125"/>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192</v>
      </c>
      <c r="C24" s="135">
        <v>17538490.420000002</v>
      </c>
      <c r="D24" s="139"/>
      <c r="E24" s="166"/>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ht="77.5" x14ac:dyDescent="0.35">
      <c r="A25" s="77" t="s">
        <v>1</v>
      </c>
      <c r="B25" s="180" t="s">
        <v>193</v>
      </c>
      <c r="C25" s="135">
        <v>12242945.311289145</v>
      </c>
      <c r="D25" s="139"/>
      <c r="E25" s="166"/>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128</v>
      </c>
      <c r="C26" s="138">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46</v>
      </c>
      <c r="B27" s="78" t="s">
        <v>128</v>
      </c>
      <c r="C27" s="138">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5"/>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7" customFormat="1" x14ac:dyDescent="0.35">
      <c r="A29" s="80" t="s">
        <v>50</v>
      </c>
      <c r="B29" s="80"/>
      <c r="C29" s="132"/>
      <c r="D29" s="133"/>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row>
    <row r="30" spans="1:33" x14ac:dyDescent="0.35">
      <c r="A30" s="77"/>
      <c r="B30" s="77"/>
      <c r="C30" s="125"/>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51</v>
      </c>
      <c r="B31" s="70" t="s">
        <v>131</v>
      </c>
      <c r="C31" s="126">
        <v>-1.6428360492107869E-3</v>
      </c>
      <c r="D31" s="18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52</v>
      </c>
      <c r="B32" s="70" t="s">
        <v>131</v>
      </c>
      <c r="C32" s="126">
        <v>-1.6000000000000001E-3</v>
      </c>
      <c r="D32" s="18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104</v>
      </c>
      <c r="B33" s="82" t="s">
        <v>126</v>
      </c>
      <c r="C33" s="126">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6"/>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53</v>
      </c>
      <c r="B35" s="69" t="s">
        <v>127</v>
      </c>
      <c r="C35" s="177">
        <v>-1.9721810052353295E-4</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54</v>
      </c>
      <c r="B36" s="69" t="s">
        <v>127</v>
      </c>
      <c r="C36" s="177">
        <v>-7.894639975514206E-5</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55</v>
      </c>
      <c r="B37" s="69" t="s">
        <v>127</v>
      </c>
      <c r="C37" s="177">
        <v>-5.2648944065425418E-5</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6"/>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56</v>
      </c>
      <c r="B39" s="69" t="s">
        <v>127</v>
      </c>
      <c r="C39" s="126">
        <v>-1.9207377049590413E-4</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57</v>
      </c>
      <c r="B40" s="69" t="s">
        <v>127</v>
      </c>
      <c r="C40" s="126">
        <v>-7.6885620735267501E-5</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58</v>
      </c>
      <c r="B41" s="69" t="s">
        <v>127</v>
      </c>
      <c r="C41" s="126">
        <v>-5.1274163218928415E-5</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6"/>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59</v>
      </c>
      <c r="B43" s="69" t="s">
        <v>86</v>
      </c>
      <c r="C43" s="140">
        <v>1</v>
      </c>
      <c r="D43" s="141">
        <v>1</v>
      </c>
      <c r="E43" s="141">
        <v>1</v>
      </c>
      <c r="F43" s="141">
        <v>1</v>
      </c>
      <c r="G43" s="141">
        <v>1</v>
      </c>
      <c r="H43" s="141">
        <f>G43*(1+$C$35)</f>
        <v>0.99980278189947647</v>
      </c>
      <c r="I43" s="141">
        <f>H43*(1+$C$35)</f>
        <v>0.99960560269393206</v>
      </c>
      <c r="J43" s="141">
        <f>I43*(1+$C$35)</f>
        <v>0.99940846237569603</v>
      </c>
      <c r="K43" s="141">
        <f>J43*(1+$C$35)</f>
        <v>0.99921136093709917</v>
      </c>
      <c r="L43" s="141">
        <f>K43*(1+$C$35)</f>
        <v>0.99901429837047362</v>
      </c>
      <c r="M43" s="141">
        <f>L43*(1+$C$36)</f>
        <v>0.9989354297883134</v>
      </c>
      <c r="N43" s="141">
        <f>M43*(1+$C$36)</f>
        <v>0.99885656743254381</v>
      </c>
      <c r="O43" s="141">
        <f>N43*(1+$C$36)</f>
        <v>0.99877771130267323</v>
      </c>
      <c r="P43" s="141">
        <f>O43*(1+$C$36)</f>
        <v>0.99869886139821018</v>
      </c>
      <c r="Q43" s="141">
        <f>P43*(1+$C$36)</f>
        <v>0.99862001771866327</v>
      </c>
      <c r="R43" s="141">
        <f>Q43*(1+$C$37)</f>
        <v>0.99856744142920784</v>
      </c>
      <c r="S43" s="141">
        <f>R43*(1+$C$37)</f>
        <v>0.9985148679078385</v>
      </c>
      <c r="T43" s="141">
        <f>S43*(1+$C$37)</f>
        <v>0.99846229715440948</v>
      </c>
      <c r="U43" s="141">
        <f>T43*(1+$C$37)</f>
        <v>0.99840972916877513</v>
      </c>
      <c r="V43" s="141">
        <f>U43*(1+$C$37)</f>
        <v>0.99835716395078977</v>
      </c>
      <c r="W43" s="141">
        <f t="shared" ref="W43:AG43" si="4">V43</f>
        <v>0.99835716395078977</v>
      </c>
      <c r="X43" s="141">
        <f t="shared" si="4"/>
        <v>0.99835716395078977</v>
      </c>
      <c r="Y43" s="141">
        <f t="shared" si="4"/>
        <v>0.99835716395078977</v>
      </c>
      <c r="Z43" s="141">
        <f t="shared" si="4"/>
        <v>0.99835716395078977</v>
      </c>
      <c r="AA43" s="141">
        <f t="shared" si="4"/>
        <v>0.99835716395078977</v>
      </c>
      <c r="AB43" s="141">
        <f t="shared" si="4"/>
        <v>0.99835716395078977</v>
      </c>
      <c r="AC43" s="141">
        <f t="shared" si="4"/>
        <v>0.99835716395078977</v>
      </c>
      <c r="AD43" s="141">
        <f t="shared" si="4"/>
        <v>0.99835716395078977</v>
      </c>
      <c r="AE43" s="141">
        <f t="shared" si="4"/>
        <v>0.99835716395078977</v>
      </c>
      <c r="AF43" s="141">
        <f t="shared" si="4"/>
        <v>0.99835716395078977</v>
      </c>
      <c r="AG43" s="141">
        <f t="shared" si="4"/>
        <v>0.99835716395078977</v>
      </c>
    </row>
    <row r="44" spans="1:33" x14ac:dyDescent="0.35">
      <c r="A44" s="69" t="s">
        <v>60</v>
      </c>
      <c r="B44" s="69" t="s">
        <v>86</v>
      </c>
      <c r="C44" s="140">
        <v>1</v>
      </c>
      <c r="D44" s="141">
        <v>1</v>
      </c>
      <c r="E44" s="141">
        <v>1</v>
      </c>
      <c r="F44" s="141">
        <v>1</v>
      </c>
      <c r="G44" s="141">
        <v>1</v>
      </c>
      <c r="H44" s="141">
        <f>G44*(1+$C$39)</f>
        <v>0.9998079262295041</v>
      </c>
      <c r="I44" s="141">
        <f>H44*(1+$C$39)</f>
        <v>0.99961588935134149</v>
      </c>
      <c r="J44" s="141">
        <f>I44*(1+$C$39)</f>
        <v>0.99942388935842619</v>
      </c>
      <c r="K44" s="141">
        <f>J44*(1+$C$39)</f>
        <v>0.99923192624367341</v>
      </c>
      <c r="L44" s="141">
        <f>K44*(1+$C$39)</f>
        <v>0.99903999999999993</v>
      </c>
      <c r="M44" s="141">
        <f>L44*(1+$C$40)</f>
        <v>0.99896318818946062</v>
      </c>
      <c r="N44" s="141">
        <f>M44*(1+$C$40)</f>
        <v>0.99888638228464499</v>
      </c>
      <c r="O44" s="141">
        <f>N44*(1+$C$40)</f>
        <v>0.99880958228509908</v>
      </c>
      <c r="P44" s="141">
        <f>O44*(1+$C$40)</f>
        <v>0.99873278819036881</v>
      </c>
      <c r="Q44" s="141">
        <f>P44*(1+$C$40)</f>
        <v>0.9986560000000001</v>
      </c>
      <c r="R44" s="141">
        <f>Q44*(1+$C$41)</f>
        <v>0.99860479474925656</v>
      </c>
      <c r="S44" s="141">
        <f>R44*(1+$C$41)</f>
        <v>0.9985535921240194</v>
      </c>
      <c r="T44" s="141">
        <f>S44*(1+$C$41)</f>
        <v>0.99850239212415404</v>
      </c>
      <c r="U44" s="141">
        <f>T44*(1+$C$41)</f>
        <v>0.99845119474952582</v>
      </c>
      <c r="V44" s="141">
        <f>U44*(1+$C$41)</f>
        <v>0.99840000000000007</v>
      </c>
      <c r="W44" s="141">
        <f t="shared" ref="W44:AG44" si="5">V44</f>
        <v>0.99840000000000007</v>
      </c>
      <c r="X44" s="141">
        <f t="shared" si="5"/>
        <v>0.99840000000000007</v>
      </c>
      <c r="Y44" s="141">
        <f t="shared" si="5"/>
        <v>0.99840000000000007</v>
      </c>
      <c r="Z44" s="141">
        <f t="shared" si="5"/>
        <v>0.99840000000000007</v>
      </c>
      <c r="AA44" s="141">
        <f t="shared" si="5"/>
        <v>0.99840000000000007</v>
      </c>
      <c r="AB44" s="141">
        <f t="shared" si="5"/>
        <v>0.99840000000000007</v>
      </c>
      <c r="AC44" s="141">
        <f t="shared" si="5"/>
        <v>0.99840000000000007</v>
      </c>
      <c r="AD44" s="141">
        <f t="shared" si="5"/>
        <v>0.99840000000000007</v>
      </c>
      <c r="AE44" s="141">
        <f t="shared" si="5"/>
        <v>0.99840000000000007</v>
      </c>
      <c r="AF44" s="141">
        <f t="shared" si="5"/>
        <v>0.99840000000000007</v>
      </c>
      <c r="AG44" s="141">
        <f t="shared" si="5"/>
        <v>0.99840000000000007</v>
      </c>
    </row>
    <row r="45" spans="1:33" x14ac:dyDescent="0.35">
      <c r="A45" s="69" t="s">
        <v>87</v>
      </c>
      <c r="B45" s="69" t="s">
        <v>86</v>
      </c>
      <c r="C45" s="140">
        <v>1</v>
      </c>
      <c r="D45" s="141">
        <f t="shared" ref="D45:AG45" si="6">C45*(1+$C$33)</f>
        <v>1</v>
      </c>
      <c r="E45" s="141">
        <f t="shared" si="6"/>
        <v>1</v>
      </c>
      <c r="F45" s="141">
        <f t="shared" si="6"/>
        <v>1</v>
      </c>
      <c r="G45" s="141">
        <f t="shared" si="6"/>
        <v>1</v>
      </c>
      <c r="H45" s="141">
        <f t="shared" si="6"/>
        <v>1</v>
      </c>
      <c r="I45" s="141">
        <f t="shared" si="6"/>
        <v>1</v>
      </c>
      <c r="J45" s="141">
        <f t="shared" si="6"/>
        <v>1</v>
      </c>
      <c r="K45" s="141">
        <f t="shared" si="6"/>
        <v>1</v>
      </c>
      <c r="L45" s="141">
        <f t="shared" si="6"/>
        <v>1</v>
      </c>
      <c r="M45" s="141">
        <f t="shared" si="6"/>
        <v>1</v>
      </c>
      <c r="N45" s="141">
        <f t="shared" si="6"/>
        <v>1</v>
      </c>
      <c r="O45" s="141">
        <f t="shared" si="6"/>
        <v>1</v>
      </c>
      <c r="P45" s="141">
        <f t="shared" si="6"/>
        <v>1</v>
      </c>
      <c r="Q45" s="141">
        <f t="shared" si="6"/>
        <v>1</v>
      </c>
      <c r="R45" s="141">
        <f t="shared" si="6"/>
        <v>1</v>
      </c>
      <c r="S45" s="141">
        <f t="shared" si="6"/>
        <v>1</v>
      </c>
      <c r="T45" s="141">
        <f t="shared" si="6"/>
        <v>1</v>
      </c>
      <c r="U45" s="141">
        <f t="shared" si="6"/>
        <v>1</v>
      </c>
      <c r="V45" s="141">
        <f t="shared" si="6"/>
        <v>1</v>
      </c>
      <c r="W45" s="141">
        <f t="shared" si="6"/>
        <v>1</v>
      </c>
      <c r="X45" s="141">
        <f t="shared" si="6"/>
        <v>1</v>
      </c>
      <c r="Y45" s="141">
        <f t="shared" si="6"/>
        <v>1</v>
      </c>
      <c r="Z45" s="141">
        <f t="shared" si="6"/>
        <v>1</v>
      </c>
      <c r="AA45" s="141">
        <f t="shared" si="6"/>
        <v>1</v>
      </c>
      <c r="AB45" s="141">
        <f t="shared" si="6"/>
        <v>1</v>
      </c>
      <c r="AC45" s="141">
        <f t="shared" si="6"/>
        <v>1</v>
      </c>
      <c r="AD45" s="141">
        <f t="shared" si="6"/>
        <v>1</v>
      </c>
      <c r="AE45" s="141">
        <f t="shared" si="6"/>
        <v>1</v>
      </c>
      <c r="AF45" s="141">
        <f t="shared" si="6"/>
        <v>1</v>
      </c>
      <c r="AG45" s="141">
        <f t="shared" si="6"/>
        <v>1</v>
      </c>
    </row>
    <row r="46" spans="1:33" ht="16" thickBot="1" x14ac:dyDescent="0.4">
      <c r="A46" s="83"/>
      <c r="B46" s="83"/>
      <c r="C46" s="142"/>
      <c r="D46" s="129"/>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row>
    <row r="47" spans="1:33" x14ac:dyDescent="0.35">
      <c r="A47" s="84" t="s">
        <v>155</v>
      </c>
      <c r="B47" s="84"/>
      <c r="C47" s="132"/>
      <c r="D47" s="133"/>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row>
    <row r="48" spans="1:33" x14ac:dyDescent="0.35">
      <c r="A48" s="69"/>
      <c r="B48" s="69"/>
      <c r="C48" s="125"/>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ht="46.5" x14ac:dyDescent="0.35">
      <c r="A49" s="69" t="s">
        <v>106</v>
      </c>
      <c r="B49" s="180" t="s">
        <v>195</v>
      </c>
      <c r="C49" s="71">
        <v>754910907.35562003</v>
      </c>
      <c r="D49" s="139"/>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ht="46.5" x14ac:dyDescent="0.35">
      <c r="A50" s="69" t="s">
        <v>107</v>
      </c>
      <c r="B50" s="180" t="s">
        <v>196</v>
      </c>
      <c r="C50" s="71">
        <v>1705784364.0343697</v>
      </c>
      <c r="D50" s="139"/>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5"/>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119</v>
      </c>
      <c r="B52" s="77" t="s">
        <v>114</v>
      </c>
      <c r="C52" s="143">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120</v>
      </c>
      <c r="B53" s="77" t="s">
        <v>114</v>
      </c>
      <c r="C53" s="143">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3"/>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118</v>
      </c>
      <c r="B55" s="85"/>
      <c r="C55" s="143"/>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108</v>
      </c>
      <c r="B56" s="77" t="s">
        <v>166</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109</v>
      </c>
      <c r="B57" s="77" t="s">
        <v>166</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110</v>
      </c>
      <c r="B58" s="69" t="s">
        <v>86</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116</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108</v>
      </c>
      <c r="B61" s="77" t="s">
        <v>114</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109</v>
      </c>
      <c r="B62" s="77" t="s">
        <v>114</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110</v>
      </c>
      <c r="B63" s="69" t="s">
        <v>86</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5"/>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115</v>
      </c>
      <c r="B65" s="85"/>
      <c r="C65" s="125"/>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108</v>
      </c>
      <c r="B66" s="86" t="s">
        <v>86</v>
      </c>
      <c r="C66" s="71">
        <f>C49*C52/C57</f>
        <v>2229662.5130232582</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109</v>
      </c>
      <c r="B67" s="86" t="s">
        <v>86</v>
      </c>
      <c r="C67" s="71">
        <f>C50*C52/C56</f>
        <v>7125340.7613431262</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110</v>
      </c>
      <c r="B68" s="86" t="s">
        <v>86</v>
      </c>
      <c r="C68" s="144">
        <f>AVERAGE(C66:C67)</f>
        <v>4677501.6371831922</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5"/>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117</v>
      </c>
      <c r="B70" s="85"/>
      <c r="C70" s="125"/>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108</v>
      </c>
      <c r="B71" s="86" t="s">
        <v>86</v>
      </c>
      <c r="C71" s="71">
        <f>C49*C53/C62</f>
        <v>6077437.6486792676</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109</v>
      </c>
      <c r="B72" s="86" t="s">
        <v>86</v>
      </c>
      <c r="C72" s="71">
        <f>C50*C53/C61</f>
        <v>18272358.575287774</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110</v>
      </c>
      <c r="B73" s="86" t="s">
        <v>86</v>
      </c>
      <c r="C73" s="144">
        <f>AVERAGE(C71:C72)</f>
        <v>12174898.111983521</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4"/>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111</v>
      </c>
      <c r="B75" s="70" t="s">
        <v>121</v>
      </c>
      <c r="C75" s="71">
        <f>C67+C73</f>
        <v>19300238.873326648</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5"/>
      <c r="D76" s="146"/>
      <c r="E76" s="146"/>
      <c r="F76" s="147"/>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ht="124" x14ac:dyDescent="0.35">
      <c r="A77" s="69" t="s">
        <v>136</v>
      </c>
      <c r="B77" s="70" t="s">
        <v>197</v>
      </c>
      <c r="C77" s="87">
        <v>84603339.491989538</v>
      </c>
      <c r="D77" s="170"/>
      <c r="E77" s="167"/>
      <c r="F77" s="147"/>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5"/>
      <c r="D78" s="146"/>
      <c r="E78" s="146"/>
      <c r="F78" s="147"/>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137</v>
      </c>
      <c r="B79" s="69" t="s">
        <v>150</v>
      </c>
      <c r="C79" s="87">
        <v>226646208.69337499</v>
      </c>
      <c r="D79" s="146"/>
      <c r="E79" s="146"/>
      <c r="F79" s="147"/>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138</v>
      </c>
      <c r="B80" s="69" t="s">
        <v>150</v>
      </c>
      <c r="C80" s="87">
        <v>542629175.9480629</v>
      </c>
      <c r="D80" s="146"/>
      <c r="E80" s="146"/>
      <c r="F80" s="147"/>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6"/>
      <c r="E81" s="146"/>
      <c r="F81" s="147"/>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139</v>
      </c>
      <c r="B82" s="69" t="s">
        <v>86</v>
      </c>
      <c r="C82" s="87">
        <f>C79+$C$77</f>
        <v>311249548.18536454</v>
      </c>
      <c r="D82" s="146"/>
      <c r="E82" s="148"/>
      <c r="F82" s="147"/>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140</v>
      </c>
      <c r="B83" s="69" t="s">
        <v>86</v>
      </c>
      <c r="C83" s="87">
        <f>C80+$C$77</f>
        <v>627232515.44005239</v>
      </c>
      <c r="D83" s="146"/>
      <c r="E83" s="146"/>
      <c r="F83" s="147"/>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6"/>
      <c r="E84" s="146"/>
      <c r="F84" s="147"/>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145</v>
      </c>
      <c r="B85" s="69" t="s">
        <v>191</v>
      </c>
      <c r="C85" s="149">
        <v>42000</v>
      </c>
      <c r="D85" s="146"/>
      <c r="E85" s="146"/>
      <c r="F85" s="147"/>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146</v>
      </c>
      <c r="B86" s="69" t="s">
        <v>133</v>
      </c>
      <c r="C86" s="149">
        <v>42000</v>
      </c>
      <c r="D86" s="146"/>
      <c r="E86" s="146"/>
      <c r="F86" s="147"/>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113</v>
      </c>
      <c r="B87" s="69" t="s">
        <v>86</v>
      </c>
      <c r="C87" s="149">
        <f>AVERAGE(C85:C86)</f>
        <v>42000</v>
      </c>
      <c r="D87" s="146"/>
      <c r="E87" s="146"/>
      <c r="F87" s="147"/>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49"/>
      <c r="D88" s="146"/>
      <c r="E88" s="146"/>
      <c r="F88" s="147"/>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141</v>
      </c>
      <c r="B89" s="69" t="s">
        <v>86</v>
      </c>
      <c r="C89" s="149">
        <f>C82/$C$87</f>
        <v>7410.7035282229654</v>
      </c>
      <c r="D89" s="146"/>
      <c r="E89" s="146"/>
      <c r="F89" s="147"/>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141</v>
      </c>
      <c r="B90" s="69" t="s">
        <v>86</v>
      </c>
      <c r="C90" s="149">
        <f>C83/$C$87</f>
        <v>14934.107510477437</v>
      </c>
      <c r="D90" s="146"/>
      <c r="E90" s="146"/>
      <c r="F90" s="147"/>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49"/>
      <c r="D91" s="146"/>
      <c r="E91" s="146"/>
      <c r="F91" s="147"/>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142</v>
      </c>
      <c r="B92" s="69" t="s">
        <v>149</v>
      </c>
      <c r="C92" s="87">
        <v>70000</v>
      </c>
      <c r="D92" s="146"/>
      <c r="E92" s="146"/>
      <c r="F92" s="147"/>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6"/>
      <c r="E93" s="146"/>
      <c r="F93" s="147"/>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143</v>
      </c>
      <c r="B94" s="69" t="s">
        <v>86</v>
      </c>
      <c r="C94" s="87">
        <f>IF(C89&lt;$C$92,C89*$C$87,$C$92*$C$87)</f>
        <v>311249548.18536454</v>
      </c>
      <c r="D94" s="146"/>
      <c r="E94" s="146"/>
      <c r="F94" s="147"/>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144</v>
      </c>
      <c r="B95" s="69" t="s">
        <v>86</v>
      </c>
      <c r="C95" s="87">
        <f>IF(C90&lt;$C$92,C90*$C$87,$C$92*$C$87)</f>
        <v>627232515.44005239</v>
      </c>
      <c r="D95" s="146"/>
      <c r="E95" s="74"/>
      <c r="F95" s="147"/>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148</v>
      </c>
      <c r="B96" s="69" t="s">
        <v>86</v>
      </c>
      <c r="C96" s="87">
        <f>AVERAGE(C94:C95)</f>
        <v>469241031.8127085</v>
      </c>
      <c r="D96" s="146"/>
      <c r="E96" s="74"/>
      <c r="F96" s="147"/>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6"/>
      <c r="E97" s="74"/>
      <c r="F97" s="147"/>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98</v>
      </c>
      <c r="B98" s="69"/>
      <c r="C98" s="71">
        <v>469241031.8127085</v>
      </c>
      <c r="D98" s="167"/>
      <c r="E98" s="168"/>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6"/>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48</v>
      </c>
      <c r="B100" s="69"/>
      <c r="C100" s="125">
        <v>30</v>
      </c>
      <c r="D100" s="146"/>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5"/>
      <c r="D101" s="146"/>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49</v>
      </c>
      <c r="B102" s="69" t="s">
        <v>86</v>
      </c>
      <c r="C102" s="71">
        <f>C96/C100</f>
        <v>15641367.727090282</v>
      </c>
      <c r="D102" s="146"/>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6"/>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40</v>
      </c>
      <c r="B104" s="70" t="s">
        <v>130</v>
      </c>
      <c r="C104" s="150">
        <v>0.6</v>
      </c>
      <c r="D104" s="72"/>
      <c r="E104" s="73"/>
      <c r="F104" s="74"/>
      <c r="G104" s="73"/>
      <c r="H104" s="75"/>
      <c r="I104" s="73"/>
      <c r="J104" s="73"/>
      <c r="K104" s="73"/>
      <c r="L104" s="148"/>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41</v>
      </c>
      <c r="B105" s="70" t="s">
        <v>129</v>
      </c>
      <c r="C105" s="150">
        <v>0.4</v>
      </c>
      <c r="D105" s="72"/>
      <c r="E105" s="73"/>
      <c r="F105" s="74"/>
      <c r="G105" s="73"/>
      <c r="H105" s="75"/>
      <c r="I105" s="73"/>
      <c r="J105" s="73"/>
      <c r="K105" s="73"/>
      <c r="L105" s="151"/>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42</v>
      </c>
      <c r="B106" s="69" t="s">
        <v>164</v>
      </c>
      <c r="C106" s="144">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43</v>
      </c>
      <c r="B107" s="69" t="s">
        <v>164</v>
      </c>
      <c r="C107" s="144">
        <f>ROUND(C63/100,1)*100</f>
        <v>100</v>
      </c>
      <c r="D107" s="72"/>
      <c r="E107" s="148"/>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5"/>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112</v>
      </c>
      <c r="B109" s="69" t="s">
        <v>125</v>
      </c>
      <c r="C109" s="138">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0"/>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67</v>
      </c>
      <c r="B111" s="69" t="s">
        <v>127</v>
      </c>
      <c r="C111" s="71"/>
      <c r="D111" s="148">
        <f t="shared" ref="D111:AG111" si="7">$C$75</f>
        <v>19300238.873326648</v>
      </c>
      <c r="E111" s="148">
        <f t="shared" si="7"/>
        <v>19300238.873326648</v>
      </c>
      <c r="F111" s="148">
        <f t="shared" si="7"/>
        <v>19300238.873326648</v>
      </c>
      <c r="G111" s="148">
        <f t="shared" si="7"/>
        <v>19300238.873326648</v>
      </c>
      <c r="H111" s="148">
        <f t="shared" si="7"/>
        <v>19300238.873326648</v>
      </c>
      <c r="I111" s="148">
        <f t="shared" si="7"/>
        <v>19300238.873326648</v>
      </c>
      <c r="J111" s="148">
        <f t="shared" si="7"/>
        <v>19300238.873326648</v>
      </c>
      <c r="K111" s="148">
        <f t="shared" si="7"/>
        <v>19300238.873326648</v>
      </c>
      <c r="L111" s="148">
        <f t="shared" si="7"/>
        <v>19300238.873326648</v>
      </c>
      <c r="M111" s="148">
        <f t="shared" si="7"/>
        <v>19300238.873326648</v>
      </c>
      <c r="N111" s="148">
        <f t="shared" si="7"/>
        <v>19300238.873326648</v>
      </c>
      <c r="O111" s="148">
        <f t="shared" si="7"/>
        <v>19300238.873326648</v>
      </c>
      <c r="P111" s="148">
        <f t="shared" si="7"/>
        <v>19300238.873326648</v>
      </c>
      <c r="Q111" s="148">
        <f t="shared" si="7"/>
        <v>19300238.873326648</v>
      </c>
      <c r="R111" s="148">
        <f t="shared" si="7"/>
        <v>19300238.873326648</v>
      </c>
      <c r="S111" s="148">
        <f t="shared" si="7"/>
        <v>19300238.873326648</v>
      </c>
      <c r="T111" s="148">
        <f t="shared" si="7"/>
        <v>19300238.873326648</v>
      </c>
      <c r="U111" s="148">
        <f t="shared" si="7"/>
        <v>19300238.873326648</v>
      </c>
      <c r="V111" s="148">
        <f t="shared" si="7"/>
        <v>19300238.873326648</v>
      </c>
      <c r="W111" s="148">
        <f t="shared" si="7"/>
        <v>19300238.873326648</v>
      </c>
      <c r="X111" s="148">
        <f t="shared" si="7"/>
        <v>19300238.873326648</v>
      </c>
      <c r="Y111" s="148">
        <f t="shared" si="7"/>
        <v>19300238.873326648</v>
      </c>
      <c r="Z111" s="148">
        <f t="shared" si="7"/>
        <v>19300238.873326648</v>
      </c>
      <c r="AA111" s="148">
        <f t="shared" si="7"/>
        <v>19300238.873326648</v>
      </c>
      <c r="AB111" s="148">
        <f t="shared" si="7"/>
        <v>19300238.873326648</v>
      </c>
      <c r="AC111" s="148">
        <f t="shared" si="7"/>
        <v>19300238.873326648</v>
      </c>
      <c r="AD111" s="148">
        <f t="shared" si="7"/>
        <v>19300238.873326648</v>
      </c>
      <c r="AE111" s="148">
        <f t="shared" si="7"/>
        <v>19300238.873326648</v>
      </c>
      <c r="AF111" s="148">
        <f t="shared" si="7"/>
        <v>19300238.873326648</v>
      </c>
      <c r="AG111" s="148">
        <f t="shared" si="7"/>
        <v>19300238.873326648</v>
      </c>
    </row>
    <row r="112" spans="1:33" x14ac:dyDescent="0.35">
      <c r="A112" s="69"/>
      <c r="B112" s="69"/>
      <c r="C112" s="71"/>
      <c r="D112" s="148"/>
      <c r="E112" s="148"/>
      <c r="F112" s="148"/>
      <c r="G112" s="148"/>
      <c r="H112" s="148"/>
      <c r="I112" s="148"/>
      <c r="J112" s="148"/>
      <c r="K112" s="148"/>
      <c r="L112" s="148"/>
      <c r="M112" s="148"/>
      <c r="N112" s="148"/>
      <c r="O112" s="148"/>
      <c r="P112" s="148"/>
      <c r="Q112" s="148"/>
      <c r="R112" s="148"/>
      <c r="S112" s="148"/>
      <c r="T112" s="148"/>
      <c r="U112" s="148"/>
      <c r="V112" s="148"/>
      <c r="W112" s="148"/>
      <c r="X112" s="148"/>
      <c r="Y112" s="148"/>
      <c r="Z112" s="148"/>
      <c r="AA112" s="148"/>
      <c r="AB112" s="148"/>
      <c r="AC112" s="148"/>
      <c r="AD112" s="148"/>
      <c r="AE112" s="148"/>
      <c r="AF112" s="148"/>
      <c r="AG112" s="148"/>
    </row>
    <row r="113" spans="1:33" s="152" customFormat="1" x14ac:dyDescent="0.35">
      <c r="A113" s="69" t="s">
        <v>68</v>
      </c>
      <c r="B113" s="69" t="s">
        <v>86</v>
      </c>
      <c r="C113" s="71">
        <f>SUM(D113:AG113)</f>
        <v>469241031.81270856</v>
      </c>
      <c r="D113" s="148">
        <f t="shared" ref="D113:AG113" si="8">$C$102</f>
        <v>15641367.727090282</v>
      </c>
      <c r="E113" s="148">
        <f t="shared" si="8"/>
        <v>15641367.727090282</v>
      </c>
      <c r="F113" s="148">
        <f t="shared" si="8"/>
        <v>15641367.727090282</v>
      </c>
      <c r="G113" s="148">
        <f t="shared" si="8"/>
        <v>15641367.727090282</v>
      </c>
      <c r="H113" s="148">
        <f t="shared" si="8"/>
        <v>15641367.727090282</v>
      </c>
      <c r="I113" s="148">
        <f t="shared" si="8"/>
        <v>15641367.727090282</v>
      </c>
      <c r="J113" s="148">
        <f t="shared" si="8"/>
        <v>15641367.727090282</v>
      </c>
      <c r="K113" s="148">
        <f t="shared" si="8"/>
        <v>15641367.727090282</v>
      </c>
      <c r="L113" s="148">
        <f t="shared" si="8"/>
        <v>15641367.727090282</v>
      </c>
      <c r="M113" s="148">
        <f t="shared" si="8"/>
        <v>15641367.727090282</v>
      </c>
      <c r="N113" s="148">
        <f t="shared" si="8"/>
        <v>15641367.727090282</v>
      </c>
      <c r="O113" s="148">
        <f t="shared" si="8"/>
        <v>15641367.727090282</v>
      </c>
      <c r="P113" s="148">
        <f t="shared" si="8"/>
        <v>15641367.727090282</v>
      </c>
      <c r="Q113" s="148">
        <f t="shared" si="8"/>
        <v>15641367.727090282</v>
      </c>
      <c r="R113" s="148">
        <f t="shared" si="8"/>
        <v>15641367.727090282</v>
      </c>
      <c r="S113" s="148">
        <f t="shared" si="8"/>
        <v>15641367.727090282</v>
      </c>
      <c r="T113" s="148">
        <f t="shared" si="8"/>
        <v>15641367.727090282</v>
      </c>
      <c r="U113" s="148">
        <f t="shared" si="8"/>
        <v>15641367.727090282</v>
      </c>
      <c r="V113" s="148">
        <f t="shared" si="8"/>
        <v>15641367.727090282</v>
      </c>
      <c r="W113" s="148">
        <f t="shared" si="8"/>
        <v>15641367.727090282</v>
      </c>
      <c r="X113" s="148">
        <f t="shared" si="8"/>
        <v>15641367.727090282</v>
      </c>
      <c r="Y113" s="148">
        <f t="shared" si="8"/>
        <v>15641367.727090282</v>
      </c>
      <c r="Z113" s="148">
        <f t="shared" si="8"/>
        <v>15641367.727090282</v>
      </c>
      <c r="AA113" s="148">
        <f t="shared" si="8"/>
        <v>15641367.727090282</v>
      </c>
      <c r="AB113" s="148">
        <f t="shared" si="8"/>
        <v>15641367.727090282</v>
      </c>
      <c r="AC113" s="148">
        <f t="shared" si="8"/>
        <v>15641367.727090282</v>
      </c>
      <c r="AD113" s="148">
        <f t="shared" si="8"/>
        <v>15641367.727090282</v>
      </c>
      <c r="AE113" s="148">
        <f t="shared" si="8"/>
        <v>15641367.727090282</v>
      </c>
      <c r="AF113" s="148">
        <f t="shared" si="8"/>
        <v>15641367.727090282</v>
      </c>
      <c r="AG113" s="148">
        <f t="shared" si="8"/>
        <v>15641367.727090282</v>
      </c>
    </row>
    <row r="114" spans="1:33" s="152" customFormat="1" x14ac:dyDescent="0.35">
      <c r="A114" s="69"/>
      <c r="B114" s="69"/>
      <c r="C114" s="153">
        <f>C113-C98</f>
        <v>0</v>
      </c>
      <c r="D114" s="148"/>
      <c r="E114" s="148"/>
      <c r="F114" s="148"/>
      <c r="G114" s="148"/>
      <c r="H114" s="148"/>
      <c r="I114" s="148"/>
      <c r="J114" s="148"/>
      <c r="K114" s="148"/>
      <c r="L114" s="148"/>
      <c r="M114" s="148"/>
      <c r="N114" s="148"/>
      <c r="O114" s="148"/>
      <c r="P114" s="148"/>
      <c r="Q114" s="148"/>
      <c r="R114" s="148"/>
      <c r="S114" s="148"/>
      <c r="T114" s="148"/>
      <c r="U114" s="148"/>
      <c r="V114" s="148"/>
      <c r="W114" s="148"/>
      <c r="X114" s="148"/>
      <c r="Y114" s="148"/>
      <c r="Z114" s="148"/>
      <c r="AA114" s="148"/>
      <c r="AB114" s="148"/>
      <c r="AC114" s="148"/>
      <c r="AD114" s="148"/>
      <c r="AE114" s="148"/>
      <c r="AF114" s="148"/>
      <c r="AG114" s="148"/>
    </row>
    <row r="115" spans="1:33" s="152" customFormat="1" x14ac:dyDescent="0.35">
      <c r="A115" s="69" t="s">
        <v>88</v>
      </c>
      <c r="B115" s="69" t="s">
        <v>86</v>
      </c>
      <c r="C115" s="125"/>
      <c r="D115" s="148">
        <f>(D113*D$44)-D113</f>
        <v>0</v>
      </c>
      <c r="E115" s="148">
        <f t="shared" ref="E115:AG115" si="9">(E113*E$44)-E113</f>
        <v>0</v>
      </c>
      <c r="F115" s="148">
        <f t="shared" si="9"/>
        <v>0</v>
      </c>
      <c r="G115" s="148">
        <f t="shared" si="9"/>
        <v>0</v>
      </c>
      <c r="H115" s="148">
        <f>(H113*H$44)-H113</f>
        <v>-3004.2964750546962</v>
      </c>
      <c r="I115" s="148">
        <f t="shared" si="9"/>
        <v>-6008.0159035585821</v>
      </c>
      <c r="J115" s="148">
        <f t="shared" si="9"/>
        <v>-9011.1583963464946</v>
      </c>
      <c r="K115" s="148">
        <f t="shared" si="9"/>
        <v>-12013.724064230919</v>
      </c>
      <c r="L115" s="148">
        <f t="shared" si="9"/>
        <v>-15015.713018007576</v>
      </c>
      <c r="M115" s="148">
        <f t="shared" si="9"/>
        <v>-16217.15479243733</v>
      </c>
      <c r="N115" s="148">
        <f t="shared" si="9"/>
        <v>-17418.504193270579</v>
      </c>
      <c r="O115" s="148">
        <f t="shared" si="9"/>
        <v>-18619.761227607727</v>
      </c>
      <c r="P115" s="148">
        <f t="shared" si="9"/>
        <v>-19820.925902552903</v>
      </c>
      <c r="Q115" s="148">
        <f t="shared" si="9"/>
        <v>-21021.998225208372</v>
      </c>
      <c r="R115" s="148">
        <f t="shared" si="9"/>
        <v>-21822.918381644413</v>
      </c>
      <c r="S115" s="148">
        <f t="shared" si="9"/>
        <v>-22623.797471571714</v>
      </c>
      <c r="T115" s="148">
        <f t="shared" si="9"/>
        <v>-23424.635497093201</v>
      </c>
      <c r="U115" s="148">
        <f t="shared" si="9"/>
        <v>-24225.432460315526</v>
      </c>
      <c r="V115" s="148">
        <f t="shared" si="9"/>
        <v>-25026.188363343477</v>
      </c>
      <c r="W115" s="148">
        <f t="shared" si="9"/>
        <v>-25026.188363343477</v>
      </c>
      <c r="X115" s="148">
        <f t="shared" si="9"/>
        <v>-25026.188363343477</v>
      </c>
      <c r="Y115" s="148">
        <f t="shared" si="9"/>
        <v>-25026.188363343477</v>
      </c>
      <c r="Z115" s="148">
        <f t="shared" si="9"/>
        <v>-25026.188363343477</v>
      </c>
      <c r="AA115" s="148">
        <f t="shared" si="9"/>
        <v>-25026.188363343477</v>
      </c>
      <c r="AB115" s="148">
        <f t="shared" si="9"/>
        <v>-25026.188363343477</v>
      </c>
      <c r="AC115" s="148">
        <f t="shared" si="9"/>
        <v>-25026.188363343477</v>
      </c>
      <c r="AD115" s="148">
        <f t="shared" si="9"/>
        <v>-25026.188363343477</v>
      </c>
      <c r="AE115" s="148">
        <f t="shared" si="9"/>
        <v>-25026.188363343477</v>
      </c>
      <c r="AF115" s="148">
        <f t="shared" si="9"/>
        <v>-25026.188363343477</v>
      </c>
      <c r="AG115" s="148">
        <f t="shared" si="9"/>
        <v>-25026.188363343477</v>
      </c>
    </row>
    <row r="116" spans="1:33" s="152" customFormat="1" x14ac:dyDescent="0.35">
      <c r="A116" s="69" t="s">
        <v>89</v>
      </c>
      <c r="B116" s="69" t="s">
        <v>86</v>
      </c>
      <c r="C116" s="125"/>
      <c r="D116" s="148">
        <f t="shared" ref="D116:AG116" si="10">(D113*D$45)-D113</f>
        <v>0</v>
      </c>
      <c r="E116" s="148">
        <f t="shared" si="10"/>
        <v>0</v>
      </c>
      <c r="F116" s="148">
        <f t="shared" si="10"/>
        <v>0</v>
      </c>
      <c r="G116" s="148">
        <f t="shared" si="10"/>
        <v>0</v>
      </c>
      <c r="H116" s="148">
        <f t="shared" si="10"/>
        <v>0</v>
      </c>
      <c r="I116" s="148">
        <f t="shared" si="10"/>
        <v>0</v>
      </c>
      <c r="J116" s="148">
        <f t="shared" si="10"/>
        <v>0</v>
      </c>
      <c r="K116" s="148">
        <f t="shared" si="10"/>
        <v>0</v>
      </c>
      <c r="L116" s="148">
        <f t="shared" si="10"/>
        <v>0</v>
      </c>
      <c r="M116" s="148">
        <f t="shared" si="10"/>
        <v>0</v>
      </c>
      <c r="N116" s="148">
        <f t="shared" si="10"/>
        <v>0</v>
      </c>
      <c r="O116" s="148">
        <f t="shared" si="10"/>
        <v>0</v>
      </c>
      <c r="P116" s="148">
        <f t="shared" si="10"/>
        <v>0</v>
      </c>
      <c r="Q116" s="148">
        <f t="shared" si="10"/>
        <v>0</v>
      </c>
      <c r="R116" s="148">
        <f t="shared" si="10"/>
        <v>0</v>
      </c>
      <c r="S116" s="148">
        <f t="shared" si="10"/>
        <v>0</v>
      </c>
      <c r="T116" s="148">
        <f t="shared" si="10"/>
        <v>0</v>
      </c>
      <c r="U116" s="148">
        <f t="shared" si="10"/>
        <v>0</v>
      </c>
      <c r="V116" s="148">
        <f t="shared" si="10"/>
        <v>0</v>
      </c>
      <c r="W116" s="148">
        <f t="shared" si="10"/>
        <v>0</v>
      </c>
      <c r="X116" s="148">
        <f t="shared" si="10"/>
        <v>0</v>
      </c>
      <c r="Y116" s="148">
        <f t="shared" si="10"/>
        <v>0</v>
      </c>
      <c r="Z116" s="148">
        <f t="shared" si="10"/>
        <v>0</v>
      </c>
      <c r="AA116" s="148">
        <f t="shared" si="10"/>
        <v>0</v>
      </c>
      <c r="AB116" s="148">
        <f t="shared" si="10"/>
        <v>0</v>
      </c>
      <c r="AC116" s="148">
        <f t="shared" si="10"/>
        <v>0</v>
      </c>
      <c r="AD116" s="148">
        <f t="shared" si="10"/>
        <v>0</v>
      </c>
      <c r="AE116" s="148">
        <f t="shared" si="10"/>
        <v>0</v>
      </c>
      <c r="AF116" s="148">
        <f t="shared" si="10"/>
        <v>0</v>
      </c>
      <c r="AG116" s="148">
        <f t="shared" si="10"/>
        <v>0</v>
      </c>
    </row>
    <row r="117" spans="1:33" s="152" customFormat="1" x14ac:dyDescent="0.35">
      <c r="A117" s="69"/>
      <c r="B117" s="69"/>
      <c r="C117" s="125"/>
      <c r="D117" s="148"/>
      <c r="E117" s="148"/>
      <c r="F117" s="148"/>
      <c r="G117" s="148"/>
      <c r="H117" s="148"/>
      <c r="I117" s="148"/>
      <c r="J117" s="148"/>
      <c r="K117" s="148"/>
      <c r="L117" s="148"/>
      <c r="M117" s="148"/>
      <c r="N117" s="148"/>
      <c r="O117" s="148"/>
      <c r="P117" s="148"/>
      <c r="Q117" s="148"/>
      <c r="R117" s="148"/>
      <c r="S117" s="148"/>
      <c r="T117" s="148"/>
      <c r="U117" s="148"/>
      <c r="V117" s="148"/>
      <c r="W117" s="148"/>
      <c r="X117" s="148"/>
      <c r="Y117" s="148"/>
      <c r="Z117" s="148"/>
      <c r="AA117" s="148"/>
      <c r="AB117" s="148"/>
      <c r="AC117" s="148"/>
      <c r="AD117" s="148"/>
      <c r="AE117" s="148"/>
      <c r="AF117" s="148"/>
      <c r="AG117" s="148"/>
    </row>
    <row r="118" spans="1:33" s="152" customFormat="1" x14ac:dyDescent="0.35">
      <c r="A118" s="69" t="s">
        <v>90</v>
      </c>
      <c r="B118" s="69" t="s">
        <v>86</v>
      </c>
      <c r="C118" s="125"/>
      <c r="D118" s="148">
        <f>D113+D115+D116</f>
        <v>15641367.727090282</v>
      </c>
      <c r="E118" s="148">
        <f t="shared" ref="E118:AG118" si="11">E113+E115+E116</f>
        <v>15641367.727090282</v>
      </c>
      <c r="F118" s="148">
        <f>F113+F115+F116</f>
        <v>15641367.727090282</v>
      </c>
      <c r="G118" s="148">
        <f t="shared" si="11"/>
        <v>15641367.727090282</v>
      </c>
      <c r="H118" s="148">
        <f t="shared" si="11"/>
        <v>15638363.430615228</v>
      </c>
      <c r="I118" s="148">
        <f t="shared" si="11"/>
        <v>15635359.711186724</v>
      </c>
      <c r="J118" s="148">
        <f t="shared" si="11"/>
        <v>15632356.568693936</v>
      </c>
      <c r="K118" s="148">
        <f t="shared" si="11"/>
        <v>15629354.003026051</v>
      </c>
      <c r="L118" s="148">
        <f t="shared" si="11"/>
        <v>15626352.014072275</v>
      </c>
      <c r="M118" s="148">
        <f t="shared" si="11"/>
        <v>15625150.572297845</v>
      </c>
      <c r="N118" s="148">
        <f t="shared" si="11"/>
        <v>15623949.222897012</v>
      </c>
      <c r="O118" s="148">
        <f t="shared" si="11"/>
        <v>15622747.965862675</v>
      </c>
      <c r="P118" s="148">
        <f t="shared" si="11"/>
        <v>15621546.801187729</v>
      </c>
      <c r="Q118" s="148">
        <f t="shared" si="11"/>
        <v>15620345.728865074</v>
      </c>
      <c r="R118" s="148">
        <f t="shared" si="11"/>
        <v>15619544.808708638</v>
      </c>
      <c r="S118" s="148">
        <f t="shared" si="11"/>
        <v>15618743.929618711</v>
      </c>
      <c r="T118" s="148">
        <f t="shared" si="11"/>
        <v>15617943.091593189</v>
      </c>
      <c r="U118" s="148">
        <f t="shared" si="11"/>
        <v>15617142.294629967</v>
      </c>
      <c r="V118" s="148">
        <f t="shared" si="11"/>
        <v>15616341.538726939</v>
      </c>
      <c r="W118" s="148">
        <f t="shared" si="11"/>
        <v>15616341.538726939</v>
      </c>
      <c r="X118" s="148">
        <f t="shared" si="11"/>
        <v>15616341.538726939</v>
      </c>
      <c r="Y118" s="148">
        <f t="shared" si="11"/>
        <v>15616341.538726939</v>
      </c>
      <c r="Z118" s="148">
        <f t="shared" si="11"/>
        <v>15616341.538726939</v>
      </c>
      <c r="AA118" s="148">
        <f t="shared" si="11"/>
        <v>15616341.538726939</v>
      </c>
      <c r="AB118" s="148">
        <f t="shared" si="11"/>
        <v>15616341.538726939</v>
      </c>
      <c r="AC118" s="148">
        <f t="shared" si="11"/>
        <v>15616341.538726939</v>
      </c>
      <c r="AD118" s="148">
        <f t="shared" si="11"/>
        <v>15616341.538726939</v>
      </c>
      <c r="AE118" s="148">
        <f t="shared" si="11"/>
        <v>15616341.538726939</v>
      </c>
      <c r="AF118" s="148">
        <f t="shared" si="11"/>
        <v>15616341.538726939</v>
      </c>
      <c r="AG118" s="148">
        <f t="shared" si="11"/>
        <v>15616341.538726939</v>
      </c>
    </row>
    <row r="119" spans="1:33" s="152" customFormat="1" x14ac:dyDescent="0.35">
      <c r="A119" s="69"/>
      <c r="B119" s="69"/>
      <c r="C119" s="125"/>
      <c r="D119" s="148"/>
      <c r="E119" s="148"/>
      <c r="F119" s="148"/>
      <c r="G119" s="148"/>
      <c r="H119" s="148"/>
      <c r="I119" s="148"/>
      <c r="J119" s="148"/>
      <c r="K119" s="148"/>
      <c r="L119" s="148"/>
      <c r="M119" s="148"/>
      <c r="N119" s="148"/>
      <c r="O119" s="148"/>
      <c r="P119" s="148"/>
      <c r="Q119" s="148"/>
      <c r="R119" s="148"/>
      <c r="S119" s="148"/>
      <c r="T119" s="148"/>
      <c r="U119" s="148"/>
      <c r="V119" s="148"/>
      <c r="W119" s="148"/>
      <c r="X119" s="148"/>
      <c r="Y119" s="148"/>
      <c r="Z119" s="148"/>
      <c r="AA119" s="148"/>
      <c r="AB119" s="148"/>
      <c r="AC119" s="148"/>
      <c r="AD119" s="148"/>
      <c r="AE119" s="148"/>
      <c r="AF119" s="148"/>
      <c r="AG119" s="148"/>
    </row>
    <row r="120" spans="1:33" s="152" customFormat="1" x14ac:dyDescent="0.35">
      <c r="A120" s="69" t="s">
        <v>69</v>
      </c>
      <c r="B120" s="69" t="s">
        <v>86</v>
      </c>
      <c r="C120" s="125"/>
      <c r="D120" s="148">
        <f>(SUM($D$118:D118)*$C$104/$C$106)+(SUM($D$118:D118)*$C$105/$C$107)</f>
        <v>375392.82545016677</v>
      </c>
      <c r="E120" s="148">
        <f>(SUM($D$118:E118)*$C$104/$C$106)+(SUM($D$118:E118)*$C$105/$C$107)</f>
        <v>750785.65090033354</v>
      </c>
      <c r="F120" s="148">
        <f>(SUM($D$118:F118)*$C$104/$C$106)+(SUM($D$118:F118)*$C$105/$C$107)</f>
        <v>1126178.4763505002</v>
      </c>
      <c r="G120" s="148">
        <f>(SUM($D$118:G118)*$C$104/$C$106)+(SUM($D$118:G118)*$C$105/$C$107)</f>
        <v>1501571.3018006671</v>
      </c>
      <c r="H120" s="148">
        <f>(SUM($D$118:H118)*$C$104/$C$106)+(SUM($D$118:H118)*$C$105/$C$107)</f>
        <v>1876892.0241354327</v>
      </c>
      <c r="I120" s="148">
        <f>(SUM($D$118:I118)*$C$104/$C$106)+(SUM($D$118:I118)*$C$105/$C$107)</f>
        <v>2252140.6572039137</v>
      </c>
      <c r="J120" s="148">
        <f>(SUM($D$118:J118)*$C$104/$C$106)+(SUM($D$118:J118)*$C$105/$C$107)</f>
        <v>2627317.2148525682</v>
      </c>
      <c r="K120" s="148">
        <f>(SUM($D$118:K118)*$C$104/$C$106)+(SUM($D$118:K118)*$C$105/$C$107)</f>
        <v>3002421.7109251935</v>
      </c>
      <c r="L120" s="148">
        <f>(SUM($D$118:L118)*$C$104/$C$106)+(SUM($D$118:L118)*$C$105/$C$107)</f>
        <v>3377454.1592629282</v>
      </c>
      <c r="M120" s="148">
        <f>(SUM($D$118:M118)*$C$104/$C$106)+(SUM($D$118:M118)*$C$105/$C$107)</f>
        <v>3752457.7729980759</v>
      </c>
      <c r="N120" s="148">
        <f>(SUM($D$118:N118)*$C$104/$C$106)+(SUM($D$118:N118)*$C$105/$C$107)</f>
        <v>4127432.5543476045</v>
      </c>
      <c r="O120" s="148">
        <f>(SUM($D$118:O118)*$C$104/$C$106)+(SUM($D$118:O118)*$C$105/$C$107)</f>
        <v>4502378.5055283085</v>
      </c>
      <c r="P120" s="148">
        <f>(SUM($D$118:P118)*$C$104/$C$106)+(SUM($D$118:P118)*$C$105/$C$107)</f>
        <v>4877295.6287568137</v>
      </c>
      <c r="Q120" s="148">
        <f>(SUM($D$118:Q118)*$C$104/$C$106)+(SUM($D$118:Q118)*$C$105/$C$107)</f>
        <v>5252183.9262495758</v>
      </c>
      <c r="R120" s="148">
        <f>(SUM($D$118:R118)*$C$104/$C$106)+(SUM($D$118:R118)*$C$105/$C$107)</f>
        <v>5627053.0016585831</v>
      </c>
      <c r="S120" s="148">
        <f>(SUM($D$118:S118)*$C$104/$C$106)+(SUM($D$118:S118)*$C$105/$C$107)</f>
        <v>6001902.8559694327</v>
      </c>
      <c r="T120" s="148">
        <f>(SUM($D$118:T118)*$C$104/$C$106)+(SUM($D$118:T118)*$C$105/$C$107)</f>
        <v>6376733.49016767</v>
      </c>
      <c r="U120" s="148">
        <f>(SUM($D$118:U118)*$C$104/$C$106)+(SUM($D$118:U118)*$C$105/$C$107)</f>
        <v>6751544.9052387886</v>
      </c>
      <c r="V120" s="148">
        <f>(SUM($D$118:V118)*$C$104/$C$106)+(SUM($D$118:V118)*$C$105/$C$107)</f>
        <v>7126337.1021682341</v>
      </c>
      <c r="W120" s="148">
        <f>(SUM($D$118:W118)*$C$104/$C$106)+(SUM($D$118:W118)*$C$105/$C$107)</f>
        <v>7501129.2990976814</v>
      </c>
      <c r="X120" s="148">
        <f>(SUM($D$118:X118)*$C$104/$C$106)+(SUM($D$118:X118)*$C$105/$C$107)</f>
        <v>7875921.4960271278</v>
      </c>
      <c r="Y120" s="148">
        <f>(SUM($D$118:Y118)*$C$104/$C$106)+(SUM($D$118:Y118)*$C$105/$C$107)</f>
        <v>8250713.6929565733</v>
      </c>
      <c r="Z120" s="148">
        <f>(SUM($D$118:Z118)*$C$104/$C$106)+(SUM($D$118:Z118)*$C$105/$C$107)</f>
        <v>8625505.8898860198</v>
      </c>
      <c r="AA120" s="148">
        <f>(SUM($D$118:AA118)*$C$104/$C$106)+(SUM($D$118:AA118)*$C$105/$C$107)</f>
        <v>9000298.0868154652</v>
      </c>
      <c r="AB120" s="148">
        <f>(SUM($D$118:AB118)*$C$104/$C$106)+(SUM($D$118:AB118)*$C$105/$C$107)</f>
        <v>9375090.2837449126</v>
      </c>
      <c r="AC120" s="148">
        <f>(SUM($D$118:AC118)*$C$104/$C$106)+(SUM($D$118:AC118)*$C$105/$C$107)</f>
        <v>9749882.4806743581</v>
      </c>
      <c r="AD120" s="148">
        <f>(SUM($D$118:AD118)*$C$104/$C$106)+(SUM($D$118:AD118)*$C$105/$C$107)</f>
        <v>10124674.677603804</v>
      </c>
      <c r="AE120" s="148">
        <f>(SUM($D$118:AE118)*$C$104/$C$106)+(SUM($D$118:AE118)*$C$105/$C$107)</f>
        <v>10499466.874533251</v>
      </c>
      <c r="AF120" s="148">
        <f>(SUM($D$118:AF118)*$C$104/$C$106)+(SUM($D$118:AF118)*$C$105/$C$107)</f>
        <v>10874259.071462696</v>
      </c>
      <c r="AG120" s="148">
        <f>(SUM($D$118:AG118)*$C$104/$C$106)+(SUM($D$118:AG118)*$C$105/$C$107)</f>
        <v>11249051.268392144</v>
      </c>
    </row>
    <row r="121" spans="1:33" s="152" customFormat="1" x14ac:dyDescent="0.35">
      <c r="A121" s="87"/>
      <c r="B121" s="87"/>
      <c r="C121" s="125"/>
      <c r="D121" s="148"/>
      <c r="E121" s="148"/>
      <c r="F121" s="148"/>
      <c r="G121" s="148"/>
      <c r="H121" s="148"/>
      <c r="I121" s="148"/>
      <c r="J121" s="148"/>
      <c r="K121" s="148"/>
      <c r="L121" s="148"/>
      <c r="M121" s="148"/>
      <c r="N121" s="148"/>
      <c r="O121" s="148"/>
      <c r="P121" s="148"/>
      <c r="Q121" s="148"/>
      <c r="R121" s="148"/>
      <c r="S121" s="148"/>
      <c r="T121" s="148"/>
      <c r="U121" s="148"/>
      <c r="V121" s="148"/>
      <c r="W121" s="148"/>
      <c r="X121" s="148"/>
      <c r="Y121" s="148"/>
      <c r="Z121" s="148"/>
      <c r="AA121" s="148"/>
      <c r="AB121" s="148"/>
      <c r="AC121" s="148"/>
      <c r="AD121" s="148"/>
      <c r="AE121" s="148"/>
      <c r="AF121" s="148"/>
      <c r="AG121" s="148"/>
    </row>
    <row r="122" spans="1:33" x14ac:dyDescent="0.35">
      <c r="A122" s="69" t="s">
        <v>91</v>
      </c>
      <c r="B122" s="69" t="s">
        <v>86</v>
      </c>
      <c r="C122" s="125"/>
      <c r="D122" s="72">
        <f>(SUM($D$118:D118)*$C$109)</f>
        <v>469241.03181270848</v>
      </c>
      <c r="E122" s="72">
        <f>(SUM($D$118:E118)*$C$109)</f>
        <v>938482.06362541695</v>
      </c>
      <c r="F122" s="72">
        <f>(SUM($D$118:F118)*$C$109)</f>
        <v>1407723.0954381253</v>
      </c>
      <c r="G122" s="72">
        <f>(SUM($D$118:G118)*$C$109)</f>
        <v>1876964.1272508339</v>
      </c>
      <c r="H122" s="72">
        <f>(SUM($D$118:H118)*$C$109)</f>
        <v>2346115.0301692905</v>
      </c>
      <c r="I122" s="72">
        <f>(SUM($D$118:I118)*$C$109)</f>
        <v>2815175.8215048923</v>
      </c>
      <c r="J122" s="72">
        <f>(SUM($D$118:J118)*$C$109)</f>
        <v>3284146.5185657102</v>
      </c>
      <c r="K122" s="72">
        <f>(SUM($D$118:K118)*$C$109)</f>
        <v>3753027.1386564919</v>
      </c>
      <c r="L122" s="72">
        <f>(SUM($D$118:L118)*$C$109)</f>
        <v>4221817.6990786595</v>
      </c>
      <c r="M122" s="72">
        <f>(SUM($D$118:M118)*$C$109)</f>
        <v>4690572.2162475949</v>
      </c>
      <c r="N122" s="72">
        <f>(SUM($D$118:N118)*$C$109)</f>
        <v>5159290.6929345056</v>
      </c>
      <c r="O122" s="72">
        <f>(SUM($D$118:O118)*$C$109)</f>
        <v>5627973.1319103856</v>
      </c>
      <c r="P122" s="72">
        <f>(SUM($D$118:P118)*$C$109)</f>
        <v>6096619.5359460171</v>
      </c>
      <c r="Q122" s="72">
        <f>(SUM($D$118:Q118)*$C$109)</f>
        <v>6565229.9078119695</v>
      </c>
      <c r="R122" s="72">
        <f>(SUM($D$118:R118)*$C$109)</f>
        <v>7033816.2520732293</v>
      </c>
      <c r="S122" s="72">
        <f>(SUM($D$118:S118)*$C$109)</f>
        <v>7502378.5699617909</v>
      </c>
      <c r="T122" s="72">
        <f>(SUM($D$118:T118)*$C$109)</f>
        <v>7970916.8627095856</v>
      </c>
      <c r="U122" s="72">
        <f>(SUM($D$118:U118)*$C$109)</f>
        <v>8439431.1315484848</v>
      </c>
      <c r="V122" s="72">
        <f>(SUM($D$118:V118)*$C$109)</f>
        <v>8907921.377710294</v>
      </c>
      <c r="W122" s="72">
        <f>(SUM($D$118:W118)*$C$109)</f>
        <v>9376411.6238721013</v>
      </c>
      <c r="X122" s="72">
        <f>(SUM($D$118:X118)*$C$109)</f>
        <v>9844901.8700339086</v>
      </c>
      <c r="Y122" s="72">
        <f>(SUM($D$118:Y118)*$C$109)</f>
        <v>10313392.116195716</v>
      </c>
      <c r="Z122" s="72">
        <f>(SUM($D$118:Z118)*$C$109)</f>
        <v>10781882.362357525</v>
      </c>
      <c r="AA122" s="72">
        <f>(SUM($D$118:AA118)*$C$109)</f>
        <v>11250372.608519332</v>
      </c>
      <c r="AB122" s="72">
        <f>(SUM($D$118:AB118)*$C$109)</f>
        <v>11718862.85468114</v>
      </c>
      <c r="AC122" s="72">
        <f>(SUM($D$118:AC118)*$C$109)</f>
        <v>12187353.100842947</v>
      </c>
      <c r="AD122" s="72">
        <f>(SUM($D$118:AD118)*$C$109)</f>
        <v>12655843.347004754</v>
      </c>
      <c r="AE122" s="72">
        <f>(SUM($D$118:AE118)*$C$109)</f>
        <v>13124333.593166564</v>
      </c>
      <c r="AF122" s="72">
        <f>(SUM($D$118:AF118)*$C$109)</f>
        <v>13592823.839328371</v>
      </c>
      <c r="AG122" s="72">
        <f>(SUM($D$118:AG118)*$C$109)</f>
        <v>14061314.085490178</v>
      </c>
    </row>
    <row r="123" spans="1:33" ht="16" thickBot="1" x14ac:dyDescent="0.4">
      <c r="A123" s="83"/>
      <c r="B123" s="83"/>
      <c r="C123" s="128"/>
      <c r="D123" s="129"/>
      <c r="E123" s="131"/>
      <c r="F123" s="131"/>
      <c r="G123" s="131"/>
      <c r="H123" s="131"/>
      <c r="I123" s="131"/>
      <c r="J123" s="131"/>
      <c r="K123" s="131"/>
      <c r="L123" s="131"/>
      <c r="M123" s="131"/>
      <c r="N123" s="131"/>
      <c r="O123" s="131"/>
      <c r="P123" s="131"/>
      <c r="Q123" s="131"/>
      <c r="R123" s="131"/>
      <c r="S123" s="131"/>
      <c r="T123" s="131"/>
      <c r="U123" s="131"/>
      <c r="V123" s="131"/>
      <c r="W123" s="131"/>
      <c r="X123" s="131"/>
      <c r="Y123" s="131"/>
      <c r="Z123" s="131"/>
      <c r="AA123" s="131"/>
      <c r="AB123" s="131"/>
      <c r="AC123" s="131"/>
      <c r="AD123" s="131"/>
      <c r="AE123" s="131"/>
      <c r="AF123" s="131"/>
      <c r="AG123" s="131"/>
    </row>
    <row r="124" spans="1:33" s="137" customFormat="1" x14ac:dyDescent="0.35">
      <c r="A124" s="80" t="s">
        <v>47</v>
      </c>
      <c r="B124" s="80"/>
      <c r="C124" s="132"/>
      <c r="D124" s="133"/>
      <c r="E124" s="134"/>
      <c r="F124" s="134"/>
      <c r="G124" s="134"/>
      <c r="H124" s="134"/>
      <c r="I124" s="134"/>
      <c r="J124" s="134"/>
      <c r="K124" s="134"/>
      <c r="L124" s="134"/>
      <c r="M124" s="134"/>
      <c r="N124" s="134"/>
      <c r="O124" s="134"/>
      <c r="P124" s="134"/>
      <c r="Q124" s="134"/>
      <c r="R124" s="134"/>
      <c r="S124" s="134"/>
      <c r="T124" s="134"/>
      <c r="U124" s="134"/>
      <c r="V124" s="134"/>
      <c r="W124" s="134"/>
      <c r="X124" s="134"/>
      <c r="Y124" s="134"/>
      <c r="Z124" s="134"/>
      <c r="AA124" s="134"/>
      <c r="AB124" s="134"/>
      <c r="AC124" s="134"/>
      <c r="AD124" s="134"/>
      <c r="AE124" s="134"/>
      <c r="AF124" s="134"/>
      <c r="AG124" s="134"/>
    </row>
    <row r="125" spans="1:33" s="73" customFormat="1" x14ac:dyDescent="0.35">
      <c r="A125" s="88"/>
      <c r="B125" s="88"/>
      <c r="C125" s="125"/>
      <c r="D125" s="72"/>
    </row>
    <row r="126" spans="1:33" s="73" customFormat="1" x14ac:dyDescent="0.35">
      <c r="A126" s="77" t="s">
        <v>147</v>
      </c>
      <c r="B126" s="77" t="s">
        <v>191</v>
      </c>
      <c r="C126" s="125">
        <v>42000</v>
      </c>
      <c r="D126" s="139"/>
    </row>
    <row r="127" spans="1:33" x14ac:dyDescent="0.35">
      <c r="A127" s="77" t="s">
        <v>146</v>
      </c>
      <c r="B127" s="77" t="s">
        <v>133</v>
      </c>
      <c r="C127" s="125">
        <v>42000</v>
      </c>
      <c r="D127" s="139"/>
      <c r="E127" s="73"/>
      <c r="F127" s="73"/>
      <c r="G127" s="73"/>
      <c r="H127" s="73"/>
      <c r="I127" s="73"/>
      <c r="J127" s="73"/>
      <c r="K127" s="73"/>
      <c r="L127" s="73"/>
      <c r="M127" s="73"/>
      <c r="N127" s="73"/>
      <c r="O127" s="73"/>
      <c r="P127" s="73"/>
      <c r="Q127" s="154"/>
      <c r="R127" s="73"/>
      <c r="S127" s="73"/>
      <c r="T127" s="73"/>
      <c r="U127" s="73"/>
      <c r="V127" s="73"/>
      <c r="W127" s="73"/>
      <c r="X127" s="73"/>
      <c r="Y127" s="73"/>
      <c r="Z127" s="73"/>
      <c r="AA127" s="73"/>
      <c r="AB127" s="73"/>
      <c r="AC127" s="73"/>
      <c r="AD127" s="73"/>
      <c r="AE127" s="73"/>
      <c r="AF127" s="73"/>
      <c r="AG127" s="73"/>
    </row>
    <row r="128" spans="1:33" x14ac:dyDescent="0.35">
      <c r="A128" s="77"/>
      <c r="B128" s="77"/>
      <c r="C128" s="125"/>
      <c r="D128" s="72"/>
      <c r="E128" s="73"/>
      <c r="F128" s="73"/>
      <c r="G128" s="73"/>
      <c r="H128" s="73"/>
      <c r="I128" s="73"/>
      <c r="J128" s="73"/>
      <c r="K128" s="73"/>
      <c r="L128" s="73"/>
      <c r="M128" s="73"/>
      <c r="N128" s="73"/>
      <c r="O128" s="73"/>
      <c r="P128" s="73"/>
      <c r="Q128" s="154"/>
      <c r="R128" s="73"/>
      <c r="S128" s="73"/>
      <c r="T128" s="73"/>
      <c r="U128" s="73"/>
      <c r="V128" s="73"/>
      <c r="W128" s="73"/>
      <c r="X128" s="73"/>
      <c r="Y128" s="73"/>
      <c r="Z128" s="73"/>
      <c r="AA128" s="73"/>
      <c r="AB128" s="73"/>
      <c r="AC128" s="73"/>
      <c r="AD128" s="73"/>
      <c r="AE128" s="73"/>
      <c r="AF128" s="73"/>
      <c r="AG128" s="73"/>
    </row>
    <row r="129" spans="1:33" x14ac:dyDescent="0.35">
      <c r="A129" s="77" t="s">
        <v>113</v>
      </c>
      <c r="B129" s="77" t="s">
        <v>86</v>
      </c>
      <c r="C129" s="125">
        <f>AVERAGE(C126:C127)</f>
        <v>42000</v>
      </c>
      <c r="D129" s="72"/>
      <c r="E129" s="73"/>
      <c r="F129" s="73"/>
      <c r="G129" s="73"/>
      <c r="H129" s="73"/>
      <c r="I129" s="73"/>
      <c r="J129" s="73"/>
      <c r="K129" s="73"/>
      <c r="L129" s="73"/>
      <c r="M129" s="73"/>
      <c r="N129" s="73"/>
      <c r="O129" s="73"/>
      <c r="P129" s="73"/>
      <c r="Q129" s="154"/>
      <c r="R129" s="73"/>
      <c r="S129" s="73"/>
      <c r="T129" s="73"/>
      <c r="U129" s="73"/>
      <c r="V129" s="73"/>
      <c r="W129" s="73"/>
      <c r="X129" s="73"/>
      <c r="Y129" s="73"/>
      <c r="Z129" s="73"/>
      <c r="AA129" s="73"/>
      <c r="AB129" s="73"/>
      <c r="AC129" s="73"/>
      <c r="AD129" s="73"/>
      <c r="AE129" s="73"/>
      <c r="AF129" s="73"/>
      <c r="AG129" s="73"/>
    </row>
    <row r="130" spans="1:33" x14ac:dyDescent="0.35">
      <c r="A130" s="77"/>
      <c r="B130" s="77"/>
      <c r="C130" s="125"/>
      <c r="D130" s="72"/>
      <c r="E130" s="73"/>
      <c r="F130" s="73"/>
      <c r="G130" s="73"/>
      <c r="H130" s="73"/>
      <c r="I130" s="73"/>
      <c r="J130" s="73"/>
      <c r="K130" s="73"/>
      <c r="L130" s="73"/>
      <c r="M130" s="73"/>
      <c r="N130" s="73"/>
      <c r="O130" s="73"/>
      <c r="P130" s="73"/>
      <c r="Q130" s="154"/>
      <c r="R130" s="73"/>
      <c r="S130" s="73"/>
      <c r="T130" s="73"/>
      <c r="U130" s="73"/>
      <c r="V130" s="73"/>
      <c r="W130" s="73"/>
      <c r="X130" s="73"/>
      <c r="Y130" s="73"/>
      <c r="Z130" s="73"/>
      <c r="AA130" s="73"/>
      <c r="AB130" s="73"/>
      <c r="AC130" s="73"/>
      <c r="AD130" s="73"/>
      <c r="AE130" s="73"/>
      <c r="AF130" s="73"/>
      <c r="AG130" s="73"/>
    </row>
    <row r="131" spans="1:33" x14ac:dyDescent="0.35">
      <c r="A131" s="77" t="s">
        <v>123</v>
      </c>
      <c r="B131" s="77" t="s">
        <v>122</v>
      </c>
      <c r="C131" s="125">
        <v>2.7</v>
      </c>
      <c r="D131" s="72"/>
      <c r="E131" s="73"/>
      <c r="F131" s="73"/>
      <c r="G131" s="73"/>
      <c r="H131" s="73"/>
      <c r="I131" s="73"/>
      <c r="J131" s="73"/>
      <c r="K131" s="73"/>
      <c r="L131" s="73"/>
      <c r="M131" s="73"/>
      <c r="N131" s="73"/>
      <c r="O131" s="73"/>
      <c r="P131" s="73"/>
      <c r="Q131" s="154"/>
      <c r="R131" s="73"/>
      <c r="S131" s="73"/>
      <c r="T131" s="73"/>
      <c r="U131" s="73"/>
      <c r="V131" s="73"/>
      <c r="W131" s="73"/>
      <c r="X131" s="73"/>
      <c r="Y131" s="73"/>
      <c r="Z131" s="73"/>
      <c r="AA131" s="73"/>
      <c r="AB131" s="73"/>
      <c r="AC131" s="73"/>
      <c r="AD131" s="73"/>
      <c r="AE131" s="73"/>
      <c r="AF131" s="73"/>
      <c r="AG131" s="73"/>
    </row>
    <row r="132" spans="1:33" x14ac:dyDescent="0.35">
      <c r="A132" s="77"/>
      <c r="B132" s="77"/>
      <c r="C132" s="125"/>
      <c r="D132" s="72"/>
      <c r="E132" s="73"/>
      <c r="F132" s="73"/>
      <c r="G132" s="73"/>
      <c r="H132" s="73"/>
      <c r="I132" s="73"/>
      <c r="J132" s="73"/>
      <c r="K132" s="73"/>
      <c r="L132" s="73"/>
      <c r="M132" s="73"/>
      <c r="N132" s="73"/>
      <c r="O132" s="73"/>
      <c r="P132" s="73"/>
      <c r="Q132" s="154"/>
      <c r="R132" s="73"/>
      <c r="S132" s="73"/>
      <c r="T132" s="73"/>
      <c r="U132" s="73"/>
      <c r="V132" s="73"/>
      <c r="W132" s="73"/>
      <c r="X132" s="73"/>
      <c r="Y132" s="73"/>
      <c r="Z132" s="73"/>
      <c r="AA132" s="73"/>
      <c r="AB132" s="73"/>
      <c r="AC132" s="73"/>
      <c r="AD132" s="73"/>
      <c r="AE132" s="73"/>
      <c r="AF132" s="73"/>
      <c r="AG132" s="73"/>
    </row>
    <row r="133" spans="1:33" x14ac:dyDescent="0.35">
      <c r="A133" s="77" t="s">
        <v>151</v>
      </c>
      <c r="B133" s="77" t="s">
        <v>152</v>
      </c>
      <c r="C133" s="143">
        <v>0.7</v>
      </c>
      <c r="D133" s="72"/>
      <c r="E133" s="73"/>
      <c r="F133" s="73"/>
      <c r="G133" s="73"/>
      <c r="H133" s="73"/>
      <c r="I133" s="73"/>
      <c r="J133" s="73"/>
      <c r="K133" s="73"/>
      <c r="L133" s="73"/>
      <c r="M133" s="73"/>
      <c r="N133" s="73"/>
      <c r="O133" s="73"/>
      <c r="P133" s="73"/>
      <c r="Q133" s="154"/>
      <c r="R133" s="73"/>
      <c r="S133" s="73"/>
      <c r="T133" s="73"/>
      <c r="U133" s="73"/>
      <c r="V133" s="73"/>
      <c r="W133" s="73"/>
      <c r="X133" s="73"/>
      <c r="Y133" s="73"/>
      <c r="Z133" s="73"/>
      <c r="AA133" s="73"/>
      <c r="AB133" s="73"/>
      <c r="AC133" s="73"/>
      <c r="AD133" s="73"/>
      <c r="AE133" s="73"/>
      <c r="AF133" s="73"/>
      <c r="AG133" s="73"/>
    </row>
    <row r="134" spans="1:33" x14ac:dyDescent="0.35">
      <c r="A134" s="77"/>
      <c r="B134" s="77"/>
      <c r="C134" s="125"/>
      <c r="D134" s="72"/>
      <c r="E134" s="73"/>
      <c r="F134" s="73"/>
      <c r="G134" s="73"/>
      <c r="H134" s="73"/>
      <c r="I134" s="73"/>
      <c r="J134" s="73"/>
      <c r="K134" s="73"/>
      <c r="L134" s="73"/>
      <c r="M134" s="73"/>
      <c r="N134" s="73"/>
      <c r="O134" s="73"/>
      <c r="P134" s="73"/>
      <c r="Q134" s="154"/>
      <c r="R134" s="73"/>
      <c r="S134" s="73"/>
      <c r="T134" s="73"/>
      <c r="U134" s="73"/>
      <c r="V134" s="73"/>
      <c r="W134" s="73"/>
      <c r="X134" s="73"/>
      <c r="Y134" s="73"/>
      <c r="Z134" s="73"/>
      <c r="AA134" s="73"/>
      <c r="AB134" s="73"/>
      <c r="AC134" s="73"/>
      <c r="AD134" s="73"/>
      <c r="AE134" s="73"/>
      <c r="AF134" s="73"/>
      <c r="AG134" s="73"/>
    </row>
    <row r="135" spans="1:33" ht="16" thickBot="1" x14ac:dyDescent="0.4">
      <c r="A135" s="79" t="s">
        <v>99</v>
      </c>
      <c r="B135" s="79" t="s">
        <v>86</v>
      </c>
      <c r="C135" s="155">
        <f>C129/C131</f>
        <v>15555.555555555555</v>
      </c>
      <c r="D135" s="156">
        <f t="shared" ref="D135:AG135" si="12">$C$135*D13</f>
        <v>15792.715686182475</v>
      </c>
      <c r="E135" s="156">
        <f t="shared" si="12"/>
        <v>16033.491562152469</v>
      </c>
      <c r="F135" s="156">
        <f t="shared" si="12"/>
        <v>16277.938309149409</v>
      </c>
      <c r="G135" s="156">
        <f t="shared" si="12"/>
        <v>16526.111893303787</v>
      </c>
      <c r="H135" s="156">
        <f t="shared" si="12"/>
        <v>16778.069134006208</v>
      </c>
      <c r="I135" s="156">
        <f t="shared" si="12"/>
        <v>17033.867716916178</v>
      </c>
      <c r="J135" s="156">
        <f t="shared" si="12"/>
        <v>17293.566207169246</v>
      </c>
      <c r="K135" s="156">
        <f t="shared" si="12"/>
        <v>17557.22406278551</v>
      </c>
      <c r="L135" s="156">
        <f t="shared" si="12"/>
        <v>17824.901648282557</v>
      </c>
      <c r="M135" s="156">
        <f t="shared" si="12"/>
        <v>18096.6602484959</v>
      </c>
      <c r="N135" s="156">
        <f t="shared" si="12"/>
        <v>18372.56208261018</v>
      </c>
      <c r="O135" s="156">
        <f t="shared" si="12"/>
        <v>18652.670318404224</v>
      </c>
      <c r="P135" s="156">
        <f t="shared" si="12"/>
        <v>18937.049086713389</v>
      </c>
      <c r="Q135" s="156">
        <f t="shared" si="12"/>
        <v>19225.763496112246</v>
      </c>
      <c r="R135" s="156">
        <f t="shared" si="12"/>
        <v>19518.879647821261</v>
      </c>
      <c r="S135" s="156">
        <f t="shared" si="12"/>
        <v>19816.464650840655</v>
      </c>
      <c r="T135" s="156">
        <f t="shared" si="12"/>
        <v>20118.586637315042</v>
      </c>
      <c r="U135" s="156">
        <f t="shared" si="12"/>
        <v>20425.314778132266</v>
      </c>
      <c r="V135" s="156">
        <f t="shared" si="12"/>
        <v>20736.719298760123</v>
      </c>
      <c r="W135" s="156">
        <f t="shared" si="12"/>
        <v>21052.871495324474</v>
      </c>
      <c r="X135" s="156">
        <f t="shared" si="12"/>
        <v>21373.843750932519</v>
      </c>
      <c r="Y135" s="156">
        <f t="shared" si="12"/>
        <v>21699.709552244905</v>
      </c>
      <c r="Z135" s="156">
        <f t="shared" si="12"/>
        <v>22030.54350630055</v>
      </c>
      <c r="AA135" s="156">
        <f t="shared" si="12"/>
        <v>22366.421357597872</v>
      </c>
      <c r="AB135" s="156">
        <f t="shared" si="12"/>
        <v>22707.420005436597</v>
      </c>
      <c r="AC135" s="156">
        <f t="shared" si="12"/>
        <v>23053.617521523789</v>
      </c>
      <c r="AD135" s="156">
        <f t="shared" si="12"/>
        <v>23405.09316784843</v>
      </c>
      <c r="AE135" s="156">
        <f t="shared" si="12"/>
        <v>23761.927414828417</v>
      </c>
      <c r="AF135" s="156">
        <f t="shared" si="12"/>
        <v>24124.201959734368</v>
      </c>
      <c r="AG135" s="156">
        <f t="shared" si="12"/>
        <v>24491.999745394136</v>
      </c>
    </row>
    <row r="146" spans="4:33" x14ac:dyDescent="0.35">
      <c r="D146" s="157"/>
    </row>
    <row r="153" spans="4:33" x14ac:dyDescent="0.35">
      <c r="E153" s="158"/>
      <c r="F153" s="158"/>
      <c r="G153" s="158"/>
      <c r="H153" s="158"/>
      <c r="I153" s="158"/>
      <c r="J153" s="158"/>
      <c r="K153" s="158"/>
      <c r="L153" s="158"/>
      <c r="M153" s="158"/>
      <c r="N153" s="158"/>
      <c r="O153" s="158"/>
      <c r="P153" s="158"/>
      <c r="Q153" s="158"/>
      <c r="R153" s="158"/>
      <c r="S153" s="158"/>
      <c r="T153" s="158"/>
      <c r="U153" s="158"/>
      <c r="V153" s="158"/>
      <c r="W153" s="158"/>
      <c r="X153" s="158"/>
      <c r="Y153" s="158"/>
      <c r="Z153" s="158"/>
      <c r="AA153" s="158"/>
      <c r="AB153" s="158"/>
      <c r="AC153" s="158"/>
      <c r="AD153" s="158"/>
      <c r="AE153" s="158"/>
      <c r="AF153" s="158"/>
      <c r="AG153" s="158"/>
    </row>
    <row r="156" spans="4:33" x14ac:dyDescent="0.35">
      <c r="D156" s="159"/>
    </row>
    <row r="159" spans="4:33" x14ac:dyDescent="0.35">
      <c r="D159" s="160"/>
    </row>
    <row r="162" spans="4:33" x14ac:dyDescent="0.35">
      <c r="D162" s="157"/>
      <c r="E162" s="161"/>
      <c r="F162" s="161"/>
      <c r="G162" s="161"/>
      <c r="H162" s="161"/>
      <c r="I162" s="161"/>
      <c r="J162" s="161"/>
      <c r="K162" s="161"/>
      <c r="L162" s="161"/>
      <c r="M162" s="161"/>
      <c r="N162" s="161"/>
      <c r="O162" s="161"/>
      <c r="P162" s="161"/>
      <c r="Q162" s="161"/>
      <c r="R162" s="161"/>
      <c r="S162" s="161"/>
      <c r="T162" s="161"/>
      <c r="U162" s="161"/>
      <c r="V162" s="161"/>
      <c r="W162" s="161"/>
      <c r="X162" s="161"/>
      <c r="Y162" s="161"/>
      <c r="Z162" s="161"/>
      <c r="AA162" s="161"/>
      <c r="AB162" s="161"/>
      <c r="AC162" s="161"/>
      <c r="AD162" s="161"/>
      <c r="AE162" s="161"/>
      <c r="AF162" s="161"/>
      <c r="AG162" s="161"/>
    </row>
    <row r="163" spans="4:33" x14ac:dyDescent="0.35">
      <c r="D163" s="157"/>
    </row>
    <row r="166" spans="4:33" x14ac:dyDescent="0.35">
      <c r="M166" s="162"/>
    </row>
    <row r="174" spans="4:33" x14ac:dyDescent="0.35">
      <c r="D174" s="163"/>
    </row>
    <row r="175" spans="4:33" x14ac:dyDescent="0.35">
      <c r="D175" s="163"/>
    </row>
    <row r="176" spans="4:33" x14ac:dyDescent="0.35">
      <c r="D176" s="157"/>
    </row>
    <row r="177" spans="4:4" x14ac:dyDescent="0.35">
      <c r="D177" s="157"/>
    </row>
    <row r="179" spans="4:4" x14ac:dyDescent="0.35">
      <c r="D179" s="164"/>
    </row>
    <row r="180" spans="4:4" x14ac:dyDescent="0.35">
      <c r="D180" s="163"/>
    </row>
    <row r="181" spans="4:4" x14ac:dyDescent="0.35">
      <c r="D181" s="163"/>
    </row>
    <row r="186" spans="4:4" x14ac:dyDescent="0.35">
      <c r="D186" s="165"/>
    </row>
    <row r="195" spans="4:4" x14ac:dyDescent="0.35">
      <c r="D195" s="157"/>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Normal="100" workbookViewId="0">
      <pane xSplit="1" topLeftCell="B1" activePane="topRight" state="frozen"/>
      <selection pane="topRight" sqref="A1:XFD1048576"/>
    </sheetView>
  </sheetViews>
  <sheetFormatPr defaultColWidth="12.6640625" defaultRowHeight="15.5" x14ac:dyDescent="0.35"/>
  <cols>
    <col min="1" max="1" width="38.08203125" style="63" bestFit="1" customWidth="1"/>
    <col min="2" max="2" width="14" style="63" bestFit="1" customWidth="1"/>
    <col min="3" max="4" width="5.582031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30</v>
      </c>
    </row>
    <row r="2" spans="1:35" ht="16" thickBot="1" x14ac:dyDescent="0.4"/>
    <row r="3" spans="1:35" s="15" customFormat="1" ht="21.5" thickBot="1" x14ac:dyDescent="0.55000000000000004">
      <c r="A3" s="49" t="s">
        <v>25</v>
      </c>
      <c r="B3" s="50" t="s">
        <v>34</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105</v>
      </c>
      <c r="B4" s="35"/>
      <c r="C4" s="34"/>
      <c r="D4" s="53"/>
      <c r="E4" s="65">
        <v>0.25</v>
      </c>
      <c r="F4" s="65">
        <v>0.25</v>
      </c>
      <c r="G4" s="65">
        <v>0.25</v>
      </c>
      <c r="H4" s="65">
        <v>0.25</v>
      </c>
      <c r="I4" s="65">
        <v>0.11</v>
      </c>
      <c r="J4" s="65">
        <v>0.09</v>
      </c>
      <c r="K4" s="65">
        <v>7.0000000000000007E-2</v>
      </c>
      <c r="L4" s="65">
        <v>0.05</v>
      </c>
      <c r="M4" s="65">
        <v>0.05</v>
      </c>
      <c r="N4" s="65">
        <v>0.04</v>
      </c>
      <c r="O4" s="65">
        <v>0.04</v>
      </c>
      <c r="P4" s="65">
        <v>0.04</v>
      </c>
      <c r="Q4" s="65">
        <v>0.03</v>
      </c>
      <c r="R4" s="65">
        <v>0.03</v>
      </c>
      <c r="S4" s="65">
        <v>0.03</v>
      </c>
      <c r="T4" s="65">
        <v>0.03</v>
      </c>
      <c r="U4" s="65">
        <v>0.03</v>
      </c>
      <c r="V4" s="65">
        <v>0.03</v>
      </c>
      <c r="W4" s="65">
        <v>0.03</v>
      </c>
      <c r="X4" s="65">
        <v>0.03</v>
      </c>
      <c r="Y4" s="65">
        <v>0.03</v>
      </c>
      <c r="Z4" s="65">
        <v>0.03</v>
      </c>
      <c r="AA4" s="65">
        <v>2.5000000000000001E-2</v>
      </c>
      <c r="AB4" s="65">
        <v>2.5000000000000001E-2</v>
      </c>
      <c r="AC4" s="65">
        <v>2.5000000000000001E-2</v>
      </c>
      <c r="AD4" s="65">
        <v>2.5000000000000001E-2</v>
      </c>
      <c r="AE4" s="65">
        <v>2.5000000000000001E-2</v>
      </c>
      <c r="AF4" s="65">
        <v>2.5000000000000001E-2</v>
      </c>
      <c r="AG4" s="65">
        <v>2.5000000000000001E-2</v>
      </c>
      <c r="AH4" s="65">
        <v>2.1999999999999999E-2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39</v>
      </c>
      <c r="B6" s="68">
        <f ca="1">MAX(E6:AH6)</f>
        <v>2.5018374546338986</v>
      </c>
      <c r="C6" s="25"/>
      <c r="D6" s="25"/>
      <c r="E6" s="27">
        <f>'Debt worksheet'!C5/'Profit and Loss'!C5</f>
        <v>1.4161166749598886</v>
      </c>
      <c r="F6" s="28">
        <f ca="1">'Debt worksheet'!D5/'Profit and Loss'!D5</f>
        <v>2.1605775868068684</v>
      </c>
      <c r="G6" s="28">
        <f ca="1">'Debt worksheet'!E5/'Profit and Loss'!E5</f>
        <v>2.4559968312655411</v>
      </c>
      <c r="H6" s="28">
        <f ca="1">'Debt worksheet'!F5/'Profit and Loss'!F5</f>
        <v>2.4377390530103455</v>
      </c>
      <c r="I6" s="28">
        <f ca="1">'Debt worksheet'!G5/'Profit and Loss'!G5</f>
        <v>2.4859073623249648</v>
      </c>
      <c r="J6" s="28">
        <f ca="1">'Debt worksheet'!H5/'Profit and Loss'!H5</f>
        <v>2.4953227151118402</v>
      </c>
      <c r="K6" s="28">
        <f ca="1">'Debt worksheet'!I5/'Profit and Loss'!I5</f>
        <v>2.4925492720643501</v>
      </c>
      <c r="L6" s="28">
        <f ca="1">'Debt worksheet'!J5/'Profit and Loss'!J5</f>
        <v>2.4997197099581427</v>
      </c>
      <c r="M6" s="28">
        <f ca="1">'Debt worksheet'!K5/'Profit and Loss'!K5</f>
        <v>2.4892491375966044</v>
      </c>
      <c r="N6" s="28">
        <f ca="1">'Debt worksheet'!L5/'Profit and Loss'!L5</f>
        <v>2.4851947090438733</v>
      </c>
      <c r="O6" s="28">
        <f ca="1">'Debt worksheet'!M5/'Profit and Loss'!M5</f>
        <v>2.4731718513553669</v>
      </c>
      <c r="P6" s="28">
        <f ca="1">'Debt worksheet'!N5/'Profit and Loss'!N5</f>
        <v>2.4530337575577734</v>
      </c>
      <c r="Q6" s="28">
        <f ca="1">'Debt worksheet'!O5/'Profit and Loss'!O5</f>
        <v>2.4481993052949815</v>
      </c>
      <c r="R6" s="28">
        <f ca="1">'Debt worksheet'!P5/'Profit and Loss'!P5</f>
        <v>2.4441638274517312</v>
      </c>
      <c r="S6" s="28">
        <f ca="1">'Debt worksheet'!Q5/'Profit and Loss'!Q5</f>
        <v>2.4406029668751876</v>
      </c>
      <c r="T6" s="28">
        <f ca="1">'Debt worksheet'!R5/'Profit and Loss'!R5</f>
        <v>2.4372227164587197</v>
      </c>
      <c r="U6" s="28">
        <f ca="1">'Debt worksheet'!S5/'Profit and Loss'!S5</f>
        <v>2.4337277643839594</v>
      </c>
      <c r="V6" s="28">
        <f ca="1">'Debt worksheet'!T5/'Profit and Loss'!T5</f>
        <v>2.429836507520756</v>
      </c>
      <c r="W6" s="28">
        <f ca="1">'Debt worksheet'!U5/'Profit and Loss'!U5</f>
        <v>2.4252805968998503</v>
      </c>
      <c r="X6" s="28">
        <f ca="1">'Debt worksheet'!V5/'Profit and Loss'!V5</f>
        <v>2.4198044964822256</v>
      </c>
      <c r="Y6" s="28">
        <f ca="1">'Debt worksheet'!W5/'Profit and Loss'!W5</f>
        <v>2.4131960302978022</v>
      </c>
      <c r="Z6" s="28">
        <f ca="1">'Debt worksheet'!X5/'Profit and Loss'!X5</f>
        <v>2.4052241445947704</v>
      </c>
      <c r="AA6" s="28">
        <f ca="1">'Debt worksheet'!Y5/'Profit and Loss'!Y5</f>
        <v>2.4073554855384853</v>
      </c>
      <c r="AB6" s="28">
        <f ca="1">'Debt worksheet'!Z5/'Profit and Loss'!Z5</f>
        <v>2.4124990980724768</v>
      </c>
      <c r="AC6" s="28">
        <f ca="1">'Debt worksheet'!AA5/'Profit and Loss'!AA5</f>
        <v>2.4204308683047411</v>
      </c>
      <c r="AD6" s="28">
        <f ca="1">'Debt worksheet'!AB5/'Profit and Loss'!AB5</f>
        <v>2.4309331896502053</v>
      </c>
      <c r="AE6" s="28">
        <f ca="1">'Debt worksheet'!AC5/'Profit and Loss'!AC5</f>
        <v>2.4437948074185956</v>
      </c>
      <c r="AF6" s="28">
        <f ca="1">'Debt worksheet'!AD5/'Profit and Loss'!AD5</f>
        <v>2.4588106668671812</v>
      </c>
      <c r="AG6" s="28">
        <f ca="1">'Debt worksheet'!AE5/'Profit and Loss'!AE5</f>
        <v>2.4757817646438012</v>
      </c>
      <c r="AH6" s="28">
        <f ca="1">'Debt worksheet'!AF5/'Profit and Loss'!AF5</f>
        <v>2.5018374546338986</v>
      </c>
      <c r="AI6" s="31"/>
    </row>
    <row r="7" spans="1:35" ht="21" x14ac:dyDescent="0.5">
      <c r="A7" s="19" t="s">
        <v>38</v>
      </c>
      <c r="B7" s="26">
        <f ca="1">MIN('Price and Financial ratios'!E7:AH7)</f>
        <v>0.18031079638667782</v>
      </c>
      <c r="C7" s="26"/>
      <c r="D7" s="26"/>
      <c r="E7" s="56">
        <f ca="1">'Cash Flow'!C7/'Debt worksheet'!C5</f>
        <v>0.22014581855458873</v>
      </c>
      <c r="F7" s="32">
        <f ca="1">'Cash Flow'!D7/'Debt worksheet'!D5</f>
        <v>0.18031079638667782</v>
      </c>
      <c r="G7" s="32">
        <f ca="1">'Cash Flow'!E7/'Debt worksheet'!E5</f>
        <v>0.19066903605878646</v>
      </c>
      <c r="H7" s="32">
        <f ca="1">'Cash Flow'!F7/'Debt worksheet'!F5</f>
        <v>0.22357051833005659</v>
      </c>
      <c r="I7" s="32">
        <f ca="1">'Cash Flow'!G7/'Debt worksheet'!G5</f>
        <v>0.22735852781492646</v>
      </c>
      <c r="J7" s="32">
        <f ca="1">'Cash Flow'!H7/'Debt worksheet'!H5</f>
        <v>0.23224653996091413</v>
      </c>
      <c r="K7" s="32">
        <f ca="1">'Cash Flow'!I7/'Debt worksheet'!I5</f>
        <v>0.23576659646345219</v>
      </c>
      <c r="L7" s="32">
        <f ca="1">'Cash Flow'!J7/'Debt worksheet'!J5</f>
        <v>0.23564197904499815</v>
      </c>
      <c r="M7" s="17">
        <f ca="1">'Cash Flow'!K7/'Debt worksheet'!K5</f>
        <v>0.23761185779091337</v>
      </c>
      <c r="N7" s="17">
        <f ca="1">'Cash Flow'!L7/'Debt worksheet'!L5</f>
        <v>0.23766094885487185</v>
      </c>
      <c r="O7" s="17">
        <f ca="1">'Cash Flow'!M7/'Debt worksheet'!M5</f>
        <v>0.23874185461103242</v>
      </c>
      <c r="P7" s="17">
        <f ca="1">'Cash Flow'!N7/'Debt worksheet'!N5</f>
        <v>0.24088806906666763</v>
      </c>
      <c r="Q7" s="17">
        <f ca="1">'Cash Flow'!O7/'Debt worksheet'!O5</f>
        <v>0.24004374650675381</v>
      </c>
      <c r="R7" s="17">
        <f ca="1">'Cash Flow'!P7/'Debt worksheet'!P5</f>
        <v>0.23922054536971188</v>
      </c>
      <c r="S7" s="17">
        <f ca="1">'Cash Flow'!Q7/'Debt worksheet'!Q5</f>
        <v>0.23844773395007179</v>
      </c>
      <c r="T7" s="17">
        <f ca="1">'Cash Flow'!R7/'Debt worksheet'!R5</f>
        <v>0.23775859341938096</v>
      </c>
      <c r="U7" s="17">
        <f ca="1">'Cash Flow'!S7/'Debt worksheet'!S5</f>
        <v>0.23718276995132159</v>
      </c>
      <c r="V7" s="17">
        <f ca="1">'Cash Flow'!T7/'Debt worksheet'!T5</f>
        <v>0.2367483960613338</v>
      </c>
      <c r="W7" s="17">
        <f ca="1">'Cash Flow'!U7/'Debt worksheet'!U5</f>
        <v>0.23648231927634422</v>
      </c>
      <c r="X7" s="17">
        <f ca="1">'Cash Flow'!V7/'Debt worksheet'!V5</f>
        <v>0.23640239103035346</v>
      </c>
      <c r="Y7" s="17">
        <f ca="1">'Cash Flow'!W7/'Debt worksheet'!W5</f>
        <v>0.23653800898152016</v>
      </c>
      <c r="Z7" s="17">
        <f ca="1">'Cash Flow'!X7/'Debt worksheet'!X5</f>
        <v>0.23691392864381794</v>
      </c>
      <c r="AA7" s="17">
        <f ca="1">'Cash Flow'!Y7/'Debt worksheet'!Y5</f>
        <v>0.23545512237080712</v>
      </c>
      <c r="AB7" s="17">
        <f ca="1">'Cash Flow'!Z7/'Debt worksheet'!Z5</f>
        <v>0.23373211306237804</v>
      </c>
      <c r="AC7" s="17">
        <f ca="1">'Cash Flow'!AA7/'Debt worksheet'!AA5</f>
        <v>0.23177577353610149</v>
      </c>
      <c r="AD7" s="17">
        <f ca="1">'Cash Flow'!AB7/'Debt worksheet'!AB5</f>
        <v>0.22961691649152088</v>
      </c>
      <c r="AE7" s="17">
        <f ca="1">'Cash Flow'!AC7/'Debt worksheet'!AC5</f>
        <v>0.22728580482583266</v>
      </c>
      <c r="AF7" s="17">
        <f ca="1">'Cash Flow'!AD7/'Debt worksheet'!AD5</f>
        <v>0.22481174126787701</v>
      </c>
      <c r="AG7" s="17">
        <f ca="1">'Cash Flow'!AE7/'Debt worksheet'!AE5</f>
        <v>0.2222227385242114</v>
      </c>
      <c r="AH7" s="17">
        <f ca="1">'Cash Flow'!AF7/'Debt worksheet'!AF5</f>
        <v>0.21832940641112947</v>
      </c>
      <c r="AI7" s="29"/>
    </row>
    <row r="8" spans="1:35" ht="21" x14ac:dyDescent="0.5">
      <c r="A8" s="19" t="s">
        <v>33</v>
      </c>
      <c r="B8" s="26">
        <f ca="1">MAX('Price and Financial ratios'!E8:AH8)</f>
        <v>0.35109954381952518</v>
      </c>
      <c r="C8" s="26"/>
      <c r="D8" s="174"/>
      <c r="E8" s="17">
        <f>'Balance Sheet'!B11/'Balance Sheet'!B8</f>
        <v>5.2984828103150999E-2</v>
      </c>
      <c r="F8" s="17">
        <f ca="1">'Balance Sheet'!C11/'Balance Sheet'!C8</f>
        <v>0.10513758124535581</v>
      </c>
      <c r="G8" s="17">
        <f ca="1">'Balance Sheet'!D11/'Balance Sheet'!D8</f>
        <v>0.14770892276194938</v>
      </c>
      <c r="H8" s="17">
        <f ca="1">'Balance Sheet'!E11/'Balance Sheet'!E8</f>
        <v>0.18117948581761942</v>
      </c>
      <c r="I8" s="17">
        <f ca="1">'Balance Sheet'!F11/'Balance Sheet'!F8</f>
        <v>0.20272890428508575</v>
      </c>
      <c r="J8" s="17">
        <f ca="1">'Balance Sheet'!G11/'Balance Sheet'!G8</f>
        <v>0.21924333462864964</v>
      </c>
      <c r="K8" s="17">
        <f ca="1">'Balance Sheet'!H11/'Balance Sheet'!H8</f>
        <v>0.2315939243689808</v>
      </c>
      <c r="L8" s="17">
        <f ca="1">'Balance Sheet'!I11/'Balance Sheet'!I8</f>
        <v>0.24100301128732071</v>
      </c>
      <c r="M8" s="17">
        <f ca="1">'Balance Sheet'!J11/'Balance Sheet'!J8</f>
        <v>0.24900423260717774</v>
      </c>
      <c r="N8" s="17">
        <f ca="1">'Balance Sheet'!K11/'Balance Sheet'!K8</f>
        <v>0.25545269708399737</v>
      </c>
      <c r="O8" s="17">
        <f ca="1">'Balance Sheet'!L11/'Balance Sheet'!L8</f>
        <v>0.26120171664462977</v>
      </c>
      <c r="P8" s="17">
        <f ca="1">'Balance Sheet'!M11/'Balance Sheet'!M8</f>
        <v>0.26616921473346933</v>
      </c>
      <c r="Q8" s="17">
        <f ca="1">'Balance Sheet'!N11/'Balance Sheet'!N8</f>
        <v>0.27027094897952753</v>
      </c>
      <c r="R8" s="17">
        <f ca="1">'Balance Sheet'!O11/'Balance Sheet'!O8</f>
        <v>0.27450102808992111</v>
      </c>
      <c r="S8" s="17">
        <f ca="1">'Balance Sheet'!P11/'Balance Sheet'!P8</f>
        <v>0.27882746429581345</v>
      </c>
      <c r="T8" s="17">
        <f ca="1">'Balance Sheet'!Q11/'Balance Sheet'!Q8</f>
        <v>0.28321916039897643</v>
      </c>
      <c r="U8" s="17">
        <f ca="1">'Balance Sheet'!R11/'Balance Sheet'!R8</f>
        <v>0.2876428212406722</v>
      </c>
      <c r="V8" s="17">
        <f ca="1">'Balance Sheet'!S11/'Balance Sheet'!S8</f>
        <v>0.2920644661037054</v>
      </c>
      <c r="W8" s="17">
        <f ca="1">'Balance Sheet'!T11/'Balance Sheet'!T8</f>
        <v>0.29644943978250143</v>
      </c>
      <c r="X8" s="17">
        <f ca="1">'Balance Sheet'!U11/'Balance Sheet'!U8</f>
        <v>0.3007624342888649</v>
      </c>
      <c r="Y8" s="17">
        <f ca="1">'Balance Sheet'!V11/'Balance Sheet'!V8</f>
        <v>0.30497092045034691</v>
      </c>
      <c r="Z8" s="17">
        <f ca="1">'Balance Sheet'!W11/'Balance Sheet'!W8</f>
        <v>0.30903848235592946</v>
      </c>
      <c r="AA8" s="17">
        <f ca="1">'Balance Sheet'!X11/'Balance Sheet'!X8</f>
        <v>0.31292806630537012</v>
      </c>
      <c r="AB8" s="17">
        <f ca="1">'Balance Sheet'!Y11/'Balance Sheet'!Y8</f>
        <v>0.31724075972246479</v>
      </c>
      <c r="AC8" s="17">
        <f ca="1">'Balance Sheet'!Z11/'Balance Sheet'!Z8</f>
        <v>0.32196083983029594</v>
      </c>
      <c r="AD8" s="17">
        <f ca="1">'Balance Sheet'!AA11/'Balance Sheet'!AA8</f>
        <v>0.32707225684673152</v>
      </c>
      <c r="AE8" s="17">
        <f ca="1">'Balance Sheet'!AB11/'Balance Sheet'!AB8</f>
        <v>0.33255864659473322</v>
      </c>
      <c r="AF8" s="17">
        <f ca="1">'Balance Sheet'!AC11/'Balance Sheet'!AC8</f>
        <v>0.33840334255723015</v>
      </c>
      <c r="AG8" s="17">
        <f ca="1">'Balance Sheet'!AD11/'Balance Sheet'!AD8</f>
        <v>0.34458938737900802</v>
      </c>
      <c r="AH8" s="17">
        <f ca="1">'Balance Sheet'!AE11/'Balance Sheet'!AE8</f>
        <v>0.35109954381952518</v>
      </c>
      <c r="AI8" s="29"/>
    </row>
    <row r="9" spans="1:35" ht="21.5" thickBot="1" x14ac:dyDescent="0.55000000000000004">
      <c r="A9" s="20" t="s">
        <v>32</v>
      </c>
      <c r="B9" s="21">
        <f ca="1">MIN('Price and Financial ratios'!E9:AH9)</f>
        <v>4.2485552916468681</v>
      </c>
      <c r="C9" s="21"/>
      <c r="D9" s="175"/>
      <c r="E9" s="21">
        <f ca="1">('Cash Flow'!C7+'Profit and Loss'!C8)/('Profit and Loss'!C8)</f>
        <v>4.2485552916468681</v>
      </c>
      <c r="F9" s="21">
        <f ca="1">('Cash Flow'!D7+'Profit and Loss'!D8)/('Profit and Loss'!D8)</f>
        <v>4.5712022613194421</v>
      </c>
      <c r="G9" s="21">
        <f ca="1">('Cash Flow'!E7+'Profit and Loss'!E8)/('Profit and Loss'!E8)</f>
        <v>5.3248535941740451</v>
      </c>
      <c r="H9" s="21">
        <f ca="1">('Cash Flow'!F7+'Profit and Loss'!F8)/('Profit and Loss'!F8)</f>
        <v>6.5584601210762674</v>
      </c>
      <c r="I9" s="21">
        <f ca="1">('Cash Flow'!G7+'Profit and Loss'!G8)/('Profit and Loss'!G8)</f>
        <v>6.8479498019441021</v>
      </c>
      <c r="J9" s="21">
        <f ca="1">('Cash Flow'!H7+'Profit and Loss'!H8)/('Profit and Loss'!H8)</f>
        <v>7.1151780678827015</v>
      </c>
      <c r="K9" s="21">
        <f ca="1">('Cash Flow'!I7+'Profit and Loss'!I8)/('Profit and Loss'!I8)</f>
        <v>7.3009506398887316</v>
      </c>
      <c r="L9" s="21">
        <f ca="1">('Cash Flow'!J7+'Profit and Loss'!J8)/('Profit and Loss'!J8)</f>
        <v>7.3423028583045964</v>
      </c>
      <c r="M9" s="21">
        <f ca="1">('Cash Flow'!K7+'Profit and Loss'!K8)/('Profit and Loss'!K8)</f>
        <v>7.4402597027178805</v>
      </c>
      <c r="N9" s="21">
        <f ca="1">('Cash Flow'!L7+'Profit and Loss'!L8)/('Profit and Loss'!L8)</f>
        <v>7.462361936512278</v>
      </c>
      <c r="O9" s="21">
        <f ca="1">('Cash Flow'!M7+'Profit and Loss'!M8)/('Profit and Loss'!M8)</f>
        <v>7.513383640497719</v>
      </c>
      <c r="P9" s="21">
        <f ca="1">('Cash Flow'!N7+'Profit and Loss'!N8)/('Profit and Loss'!N8)</f>
        <v>7.5947067011025275</v>
      </c>
      <c r="Q9" s="21">
        <f ca="1">('Cash Flow'!O7+'Profit and Loss'!O8)/('Profit and Loss'!O8)</f>
        <v>7.569469408581984</v>
      </c>
      <c r="R9" s="21">
        <f ca="1">('Cash Flow'!P7+'Profit and Loss'!P8)/('Profit and Loss'!P8)</f>
        <v>7.5456848823827904</v>
      </c>
      <c r="S9" s="21">
        <f ca="1">('Cash Flow'!Q7+'Profit and Loss'!Q8)/('Profit and Loss'!Q8)</f>
        <v>7.5240691763453764</v>
      </c>
      <c r="T9" s="21">
        <f ca="1">('Cash Flow'!R7+'Profit and Loss'!R8)/('Profit and Loss'!R8)</f>
        <v>7.5055329939359368</v>
      </c>
      <c r="U9" s="21">
        <f ca="1">('Cash Flow'!S7+'Profit and Loss'!S8)/('Profit and Loss'!S8)</f>
        <v>7.4908492191463614</v>
      </c>
      <c r="V9" s="21">
        <f ca="1">('Cash Flow'!T7+'Profit and Loss'!T8)/('Profit and Loss'!T8)</f>
        <v>7.4807541452775537</v>
      </c>
      <c r="W9" s="21">
        <f ca="1">('Cash Flow'!U7+'Profit and Loss'!U8)/('Profit and Loss'!U8)</f>
        <v>7.4759551030725984</v>
      </c>
      <c r="X9" s="21">
        <f ca="1">('Cash Flow'!V7+'Profit and Loss'!V8)/('Profit and Loss'!V8)</f>
        <v>7.4768372201297719</v>
      </c>
      <c r="Y9" s="21">
        <f ca="1">('Cash Flow'!W7+'Profit and Loss'!W8)/('Profit and Loss'!W8)</f>
        <v>7.484274991945707</v>
      </c>
      <c r="Z9" s="21">
        <f ca="1">('Cash Flow'!X7+'Profit and Loss'!X8)/('Profit and Loss'!X8)</f>
        <v>7.498942929200699</v>
      </c>
      <c r="AA9" s="21">
        <f ca="1">('Cash Flow'!Y7+'Profit and Loss'!Y8)/('Profit and Loss'!Y8)</f>
        <v>7.4508658224821023</v>
      </c>
      <c r="AB9" s="21">
        <f ca="1">('Cash Flow'!Z7+'Profit and Loss'!Z8)/('Profit and Loss'!Z8)</f>
        <v>7.3963123236654242</v>
      </c>
      <c r="AC9" s="21">
        <f ca="1">('Cash Flow'!AA7+'Profit and Loss'!AA8)/('Profit and Loss'!AA8)</f>
        <v>7.3361361189390761</v>
      </c>
      <c r="AD9" s="21">
        <f ca="1">('Cash Flow'!AB7+'Profit and Loss'!AB8)/('Profit and Loss'!AB8)</f>
        <v>7.2711756560107554</v>
      </c>
      <c r="AE9" s="21">
        <f ca="1">('Cash Flow'!AC7+'Profit and Loss'!AC8)/('Profit and Loss'!AC8)</f>
        <v>7.2022427681745445</v>
      </c>
      <c r="AF9" s="21">
        <f ca="1">('Cash Flow'!AD7+'Profit and Loss'!AD8)/('Profit and Loss'!AD8)</f>
        <v>7.1301135296892362</v>
      </c>
      <c r="AG9" s="21">
        <f ca="1">('Cash Flow'!AE7+'Profit and Loss'!AE8)/('Profit and Loss'!AE8)</f>
        <v>7.0555212746337705</v>
      </c>
      <c r="AH9" s="21">
        <f ca="1">('Cash Flow'!AF7+'Profit and Loss'!AF8)/('Profit and Loss'!AF8)</f>
        <v>6.9391553366178149</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workbookViewId="0">
      <selection sqref="A1:XFD1048576"/>
    </sheetView>
  </sheetViews>
  <sheetFormatPr defaultRowHeight="15.5" x14ac:dyDescent="0.35"/>
  <cols>
    <col min="1" max="16384" width="8.6640625" style="172"/>
  </cols>
  <sheetData>
    <row r="1" spans="1:1" x14ac:dyDescent="0.35">
      <c r="A1" s="173" t="s">
        <v>170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120" zoomScaleNormal="120" workbookViewId="0">
      <pane xSplit="1" topLeftCell="B1" activePane="topRight" state="frozen"/>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157</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72</v>
      </c>
      <c r="C5" s="1">
        <f>Assumptions!D111</f>
        <v>19300238.873326648</v>
      </c>
      <c r="D5" s="1">
        <f>Assumptions!E111</f>
        <v>19300238.873326648</v>
      </c>
      <c r="E5" s="1">
        <f>Assumptions!F111</f>
        <v>19300238.873326648</v>
      </c>
      <c r="F5" s="1">
        <f>Assumptions!G111</f>
        <v>19300238.873326648</v>
      </c>
      <c r="G5" s="1">
        <f>Assumptions!H111</f>
        <v>19300238.873326648</v>
      </c>
      <c r="H5" s="1">
        <f>Assumptions!I111</f>
        <v>19300238.873326648</v>
      </c>
      <c r="I5" s="1">
        <f>Assumptions!J111</f>
        <v>19300238.873326648</v>
      </c>
      <c r="J5" s="1">
        <f>Assumptions!K111</f>
        <v>19300238.873326648</v>
      </c>
      <c r="K5" s="1">
        <f>Assumptions!L111</f>
        <v>19300238.873326648</v>
      </c>
      <c r="L5" s="1">
        <f>Assumptions!M111</f>
        <v>19300238.873326648</v>
      </c>
      <c r="M5" s="1">
        <f>Assumptions!N111</f>
        <v>19300238.873326648</v>
      </c>
      <c r="N5" s="1">
        <f>Assumptions!O111</f>
        <v>19300238.873326648</v>
      </c>
      <c r="O5" s="1">
        <f>Assumptions!P111</f>
        <v>19300238.873326648</v>
      </c>
      <c r="P5" s="1">
        <f>Assumptions!Q111</f>
        <v>19300238.873326648</v>
      </c>
      <c r="Q5" s="1">
        <f>Assumptions!R111</f>
        <v>19300238.873326648</v>
      </c>
      <c r="R5" s="1">
        <f>Assumptions!S111</f>
        <v>19300238.873326648</v>
      </c>
      <c r="S5" s="1">
        <f>Assumptions!T111</f>
        <v>19300238.873326648</v>
      </c>
      <c r="T5" s="1">
        <f>Assumptions!U111</f>
        <v>19300238.873326648</v>
      </c>
      <c r="U5" s="1">
        <f>Assumptions!V111</f>
        <v>19300238.873326648</v>
      </c>
      <c r="V5" s="1">
        <f>Assumptions!W111</f>
        <v>19300238.873326648</v>
      </c>
      <c r="W5" s="1">
        <f>Assumptions!X111</f>
        <v>19300238.873326648</v>
      </c>
      <c r="X5" s="1">
        <f>Assumptions!Y111</f>
        <v>19300238.873326648</v>
      </c>
      <c r="Y5" s="1">
        <f>Assumptions!Z111</f>
        <v>19300238.873326648</v>
      </c>
      <c r="Z5" s="1">
        <f>Assumptions!AA111</f>
        <v>19300238.873326648</v>
      </c>
      <c r="AA5" s="1">
        <f>Assumptions!AB111</f>
        <v>19300238.873326648</v>
      </c>
      <c r="AB5" s="1">
        <f>Assumptions!AC111</f>
        <v>19300238.873326648</v>
      </c>
      <c r="AC5" s="1">
        <f>Assumptions!AD111</f>
        <v>19300238.873326648</v>
      </c>
      <c r="AD5" s="1">
        <f>Assumptions!AE111</f>
        <v>19300238.873326648</v>
      </c>
      <c r="AE5" s="1">
        <f>Assumptions!AF111</f>
        <v>19300238.873326648</v>
      </c>
      <c r="AF5" s="1">
        <f>Assumptions!AG111</f>
        <v>19300238.873326648</v>
      </c>
    </row>
    <row r="6" spans="1:32" x14ac:dyDescent="0.35">
      <c r="A6" t="s">
        <v>68</v>
      </c>
      <c r="C6" s="1">
        <f>Assumptions!D113</f>
        <v>15641367.727090282</v>
      </c>
      <c r="D6" s="1">
        <f>Assumptions!E113</f>
        <v>15641367.727090282</v>
      </c>
      <c r="E6" s="1">
        <f>Assumptions!F113</f>
        <v>15641367.727090282</v>
      </c>
      <c r="F6" s="1">
        <f>Assumptions!G113</f>
        <v>15641367.727090282</v>
      </c>
      <c r="G6" s="1">
        <f>Assumptions!H113</f>
        <v>15641367.727090282</v>
      </c>
      <c r="H6" s="1">
        <f>Assumptions!I113</f>
        <v>15641367.727090282</v>
      </c>
      <c r="I6" s="1">
        <f>Assumptions!J113</f>
        <v>15641367.727090282</v>
      </c>
      <c r="J6" s="1">
        <f>Assumptions!K113</f>
        <v>15641367.727090282</v>
      </c>
      <c r="K6" s="1">
        <f>Assumptions!L113</f>
        <v>15641367.727090282</v>
      </c>
      <c r="L6" s="1">
        <f>Assumptions!M113</f>
        <v>15641367.727090282</v>
      </c>
      <c r="M6" s="1">
        <f>Assumptions!N113</f>
        <v>15641367.727090282</v>
      </c>
      <c r="N6" s="1">
        <f>Assumptions!O113</f>
        <v>15641367.727090282</v>
      </c>
      <c r="O6" s="1">
        <f>Assumptions!P113</f>
        <v>15641367.727090282</v>
      </c>
      <c r="P6" s="1">
        <f>Assumptions!Q113</f>
        <v>15641367.727090282</v>
      </c>
      <c r="Q6" s="1">
        <f>Assumptions!R113</f>
        <v>15641367.727090282</v>
      </c>
      <c r="R6" s="1">
        <f>Assumptions!S113</f>
        <v>15641367.727090282</v>
      </c>
      <c r="S6" s="1">
        <f>Assumptions!T113</f>
        <v>15641367.727090282</v>
      </c>
      <c r="T6" s="1">
        <f>Assumptions!U113</f>
        <v>15641367.727090282</v>
      </c>
      <c r="U6" s="1">
        <f>Assumptions!V113</f>
        <v>15641367.727090282</v>
      </c>
      <c r="V6" s="1">
        <f>Assumptions!W113</f>
        <v>15641367.727090282</v>
      </c>
      <c r="W6" s="1">
        <f>Assumptions!X113</f>
        <v>15641367.727090282</v>
      </c>
      <c r="X6" s="1">
        <f>Assumptions!Y113</f>
        <v>15641367.727090282</v>
      </c>
      <c r="Y6" s="1">
        <f>Assumptions!Z113</f>
        <v>15641367.727090282</v>
      </c>
      <c r="Z6" s="1">
        <f>Assumptions!AA113</f>
        <v>15641367.727090282</v>
      </c>
      <c r="AA6" s="1">
        <f>Assumptions!AB113</f>
        <v>15641367.727090282</v>
      </c>
      <c r="AB6" s="1">
        <f>Assumptions!AC113</f>
        <v>15641367.727090282</v>
      </c>
      <c r="AC6" s="1">
        <f>Assumptions!AD113</f>
        <v>15641367.727090282</v>
      </c>
      <c r="AD6" s="1">
        <f>Assumptions!AE113</f>
        <v>15641367.727090282</v>
      </c>
      <c r="AE6" s="1">
        <f>Assumptions!AF113</f>
        <v>15641367.727090282</v>
      </c>
      <c r="AF6" s="1">
        <f>Assumptions!AG113</f>
        <v>15641367.727090282</v>
      </c>
    </row>
    <row r="7" spans="1:32" x14ac:dyDescent="0.35">
      <c r="A7" t="s">
        <v>73</v>
      </c>
      <c r="C7" s="1">
        <f>Assumptions!D120</f>
        <v>375392.82545016677</v>
      </c>
      <c r="D7" s="1">
        <f>Assumptions!E120</f>
        <v>750785.65090033354</v>
      </c>
      <c r="E7" s="1">
        <f>Assumptions!F120</f>
        <v>1126178.4763505002</v>
      </c>
      <c r="F7" s="1">
        <f>Assumptions!G120</f>
        <v>1501571.3018006671</v>
      </c>
      <c r="G7" s="1">
        <f>Assumptions!H120</f>
        <v>1876892.0241354327</v>
      </c>
      <c r="H7" s="1">
        <f>Assumptions!I120</f>
        <v>2252140.6572039137</v>
      </c>
      <c r="I7" s="1">
        <f>Assumptions!J120</f>
        <v>2627317.2148525682</v>
      </c>
      <c r="J7" s="1">
        <f>Assumptions!K120</f>
        <v>3002421.7109251935</v>
      </c>
      <c r="K7" s="1">
        <f>Assumptions!L120</f>
        <v>3377454.1592629282</v>
      </c>
      <c r="L7" s="1">
        <f>Assumptions!M120</f>
        <v>3752457.7729980759</v>
      </c>
      <c r="M7" s="1">
        <f>Assumptions!N120</f>
        <v>4127432.5543476045</v>
      </c>
      <c r="N7" s="1">
        <f>Assumptions!O120</f>
        <v>4502378.5055283085</v>
      </c>
      <c r="O7" s="1">
        <f>Assumptions!P120</f>
        <v>4877295.6287568137</v>
      </c>
      <c r="P7" s="1">
        <f>Assumptions!Q120</f>
        <v>5252183.9262495758</v>
      </c>
      <c r="Q7" s="1">
        <f>Assumptions!R120</f>
        <v>5627053.0016585831</v>
      </c>
      <c r="R7" s="1">
        <f>Assumptions!S120</f>
        <v>6001902.8559694327</v>
      </c>
      <c r="S7" s="1">
        <f>Assumptions!T120</f>
        <v>6376733.49016767</v>
      </c>
      <c r="T7" s="1">
        <f>Assumptions!U120</f>
        <v>6751544.9052387886</v>
      </c>
      <c r="U7" s="1">
        <f>Assumptions!V120</f>
        <v>7126337.1021682341</v>
      </c>
      <c r="V7" s="1">
        <f>Assumptions!W120</f>
        <v>7501129.2990976814</v>
      </c>
      <c r="W7" s="1">
        <f>Assumptions!X120</f>
        <v>7875921.4960271278</v>
      </c>
      <c r="X7" s="1">
        <f>Assumptions!Y120</f>
        <v>8250713.6929565733</v>
      </c>
      <c r="Y7" s="1">
        <f>Assumptions!Z120</f>
        <v>8625505.8898860198</v>
      </c>
      <c r="Z7" s="1">
        <f>Assumptions!AA120</f>
        <v>9000298.0868154652</v>
      </c>
      <c r="AA7" s="1">
        <f>Assumptions!AB120</f>
        <v>9375090.2837449126</v>
      </c>
      <c r="AB7" s="1">
        <f>Assumptions!AC120</f>
        <v>9749882.4806743581</v>
      </c>
      <c r="AC7" s="1">
        <f>Assumptions!AD120</f>
        <v>10124674.677603804</v>
      </c>
      <c r="AD7" s="1">
        <f>Assumptions!AE120</f>
        <v>10499466.874533251</v>
      </c>
      <c r="AE7" s="1">
        <f>Assumptions!AF120</f>
        <v>10874259.071462696</v>
      </c>
      <c r="AF7" s="1">
        <f>Assumptions!AG120</f>
        <v>11249051.268392144</v>
      </c>
    </row>
    <row r="9" spans="1:32" x14ac:dyDescent="0.35">
      <c r="A9" t="s">
        <v>92</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70</v>
      </c>
      <c r="C11" s="1">
        <f>C5*C$9</f>
        <v>19917846.517273102</v>
      </c>
      <c r="D11" s="1">
        <f>D5*D$9</f>
        <v>20555217.605825838</v>
      </c>
      <c r="E11" s="1">
        <f t="shared" ref="D11:AF13" si="1">E5*E$9</f>
        <v>21212984.569212265</v>
      </c>
      <c r="F11" s="1">
        <f t="shared" si="1"/>
        <v>21891800.075427059</v>
      </c>
      <c r="G11" s="1">
        <f t="shared" si="1"/>
        <v>22592337.677840725</v>
      </c>
      <c r="H11" s="1">
        <f t="shared" si="1"/>
        <v>23315292.483531624</v>
      </c>
      <c r="I11" s="1">
        <f t="shared" si="1"/>
        <v>24061381.843004636</v>
      </c>
      <c r="J11" s="1">
        <f t="shared" si="1"/>
        <v>24831346.061980788</v>
      </c>
      <c r="K11" s="1">
        <f t="shared" si="1"/>
        <v>25625949.135964174</v>
      </c>
      <c r="L11" s="1">
        <f t="shared" si="1"/>
        <v>26445979.508315023</v>
      </c>
      <c r="M11" s="1">
        <f t="shared" si="1"/>
        <v>27292250.852581106</v>
      </c>
      <c r="N11" s="1">
        <f t="shared" si="1"/>
        <v>28165602.879863702</v>
      </c>
      <c r="O11" s="1">
        <f t="shared" si="1"/>
        <v>29066902.172019344</v>
      </c>
      <c r="P11" s="1">
        <f t="shared" si="1"/>
        <v>29997043.041523956</v>
      </c>
      <c r="Q11" s="1">
        <f t="shared" si="1"/>
        <v>30956948.418852717</v>
      </c>
      <c r="R11" s="1">
        <f t="shared" si="1"/>
        <v>31947570.768256012</v>
      </c>
      <c r="S11" s="1">
        <f t="shared" si="1"/>
        <v>32969893.032840207</v>
      </c>
      <c r="T11" s="1">
        <f t="shared" si="1"/>
        <v>34024929.609891087</v>
      </c>
      <c r="U11" s="1">
        <f t="shared" si="1"/>
        <v>35113727.3574076</v>
      </c>
      <c r="V11" s="1">
        <f t="shared" si="1"/>
        <v>36237366.632844649</v>
      </c>
      <c r="W11" s="1">
        <f t="shared" si="1"/>
        <v>37396962.365095682</v>
      </c>
      <c r="X11" s="1">
        <f t="shared" si="1"/>
        <v>38593665.160778739</v>
      </c>
      <c r="Y11" s="1">
        <f t="shared" si="1"/>
        <v>39828662.445923649</v>
      </c>
      <c r="Z11" s="1">
        <f t="shared" si="1"/>
        <v>41103179.64419321</v>
      </c>
      <c r="AA11" s="1">
        <f t="shared" si="1"/>
        <v>42418481.392807402</v>
      </c>
      <c r="AB11" s="1">
        <f t="shared" si="1"/>
        <v>43775872.797377229</v>
      </c>
      <c r="AC11" s="1">
        <f t="shared" si="1"/>
        <v>45176700.726893298</v>
      </c>
      <c r="AD11" s="1">
        <f t="shared" si="1"/>
        <v>46622355.15015389</v>
      </c>
      <c r="AE11" s="1">
        <f t="shared" si="1"/>
        <v>48114270.514958814</v>
      </c>
      <c r="AF11" s="1">
        <f t="shared" si="1"/>
        <v>49653927.171437487</v>
      </c>
    </row>
    <row r="12" spans="1:32" x14ac:dyDescent="0.35">
      <c r="A12" t="s">
        <v>71</v>
      </c>
      <c r="C12" s="1">
        <f t="shared" ref="C12:R12" si="2">C6*C$9</f>
        <v>16141891.494357172</v>
      </c>
      <c r="D12" s="1">
        <f t="shared" si="2"/>
        <v>16658432.022176601</v>
      </c>
      <c r="E12" s="1">
        <f t="shared" si="2"/>
        <v>17191501.846886251</v>
      </c>
      <c r="F12" s="1">
        <f t="shared" si="2"/>
        <v>17741629.905986611</v>
      </c>
      <c r="G12" s="1">
        <f t="shared" si="2"/>
        <v>18309362.062978186</v>
      </c>
      <c r="H12" s="1">
        <f t="shared" si="2"/>
        <v>18895261.648993485</v>
      </c>
      <c r="I12" s="1">
        <f t="shared" si="2"/>
        <v>19499910.021761272</v>
      </c>
      <c r="J12" s="1">
        <f t="shared" si="2"/>
        <v>20123907.142457638</v>
      </c>
      <c r="K12" s="1">
        <f t="shared" si="2"/>
        <v>20767872.171016283</v>
      </c>
      <c r="L12" s="1">
        <f t="shared" si="2"/>
        <v>21432444.080488801</v>
      </c>
      <c r="M12" s="1">
        <f t="shared" si="2"/>
        <v>22118282.291064441</v>
      </c>
      <c r="N12" s="1">
        <f t="shared" si="2"/>
        <v>22826067.324378505</v>
      </c>
      <c r="O12" s="1">
        <f t="shared" si="2"/>
        <v>23556501.478758618</v>
      </c>
      <c r="P12" s="1">
        <f t="shared" si="2"/>
        <v>24310309.526078891</v>
      </c>
      <c r="Q12" s="1">
        <f t="shared" si="2"/>
        <v>25088239.430913411</v>
      </c>
      <c r="R12" s="1">
        <f t="shared" si="2"/>
        <v>25891063.092702646</v>
      </c>
      <c r="S12" s="1">
        <f t="shared" si="1"/>
        <v>26719577.111669134</v>
      </c>
      <c r="T12" s="1">
        <f t="shared" si="1"/>
        <v>27574603.579242542</v>
      </c>
      <c r="U12" s="1">
        <f t="shared" si="1"/>
        <v>28456990.893778302</v>
      </c>
      <c r="V12" s="1">
        <f t="shared" si="1"/>
        <v>29367614.60237921</v>
      </c>
      <c r="W12" s="1">
        <f t="shared" si="1"/>
        <v>30307378.269655347</v>
      </c>
      <c r="X12" s="1">
        <f t="shared" si="1"/>
        <v>31277214.374284316</v>
      </c>
      <c r="Y12" s="1">
        <f t="shared" si="1"/>
        <v>32278085.234261408</v>
      </c>
      <c r="Z12" s="1">
        <f t="shared" si="1"/>
        <v>33310983.961757775</v>
      </c>
      <c r="AA12" s="1">
        <f t="shared" si="1"/>
        <v>34376935.448534034</v>
      </c>
      <c r="AB12" s="1">
        <f t="shared" si="1"/>
        <v>35476997.38288711</v>
      </c>
      <c r="AC12" s="1">
        <f t="shared" si="1"/>
        <v>36612261.2991395</v>
      </c>
      <c r="AD12" s="1">
        <f t="shared" si="1"/>
        <v>37783853.660711966</v>
      </c>
      <c r="AE12" s="1">
        <f t="shared" si="1"/>
        <v>38992936.977854751</v>
      </c>
      <c r="AF12" s="1">
        <f t="shared" si="1"/>
        <v>40240710.961146094</v>
      </c>
    </row>
    <row r="13" spans="1:32" x14ac:dyDescent="0.35">
      <c r="A13" t="s">
        <v>74</v>
      </c>
      <c r="C13" s="1">
        <f>C7*C$9</f>
        <v>387405.39586457214</v>
      </c>
      <c r="D13" s="1">
        <f t="shared" si="1"/>
        <v>799604.73706447682</v>
      </c>
      <c r="E13" s="1">
        <f t="shared" si="1"/>
        <v>1237788.13297581</v>
      </c>
      <c r="F13" s="1">
        <f t="shared" si="1"/>
        <v>1703196.4709747145</v>
      </c>
      <c r="G13" s="1">
        <f t="shared" si="1"/>
        <v>2197039.0456004189</v>
      </c>
      <c r="H13" s="1">
        <f t="shared" si="1"/>
        <v>2720656.3857264696</v>
      </c>
      <c r="I13" s="1">
        <f t="shared" si="1"/>
        <v>3275445.6120558283</v>
      </c>
      <c r="J13" s="1">
        <f t="shared" si="1"/>
        <v>3862862.6835817778</v>
      </c>
      <c r="K13" s="1">
        <f t="shared" si="1"/>
        <v>4484424.7297859658</v>
      </c>
      <c r="L13" s="1">
        <f t="shared" si="1"/>
        <v>5141771.6652032137</v>
      </c>
      <c r="M13" s="1">
        <f t="shared" si="1"/>
        <v>5836555.9820114421</v>
      </c>
      <c r="N13" s="1">
        <f t="shared" si="1"/>
        <v>6570499.247903185</v>
      </c>
      <c r="O13" s="1">
        <f t="shared" si="1"/>
        <v>7345394.8334814748</v>
      </c>
      <c r="P13" s="1">
        <f t="shared" si="1"/>
        <v>8163110.7434347011</v>
      </c>
      <c r="Q13" s="1">
        <f t="shared" si="1"/>
        <v>9025607.9557252694</v>
      </c>
      <c r="R13" s="1">
        <f t="shared" si="1"/>
        <v>9934914.1476315502</v>
      </c>
      <c r="S13" s="1">
        <f t="shared" si="1"/>
        <v>10893140.880256901</v>
      </c>
      <c r="T13" s="1">
        <f t="shared" si="1"/>
        <v>11902486.889747661</v>
      </c>
      <c r="U13" s="1">
        <f t="shared" si="1"/>
        <v>12965241.50321994</v>
      </c>
      <c r="V13" s="1">
        <f t="shared" si="1"/>
        <v>14083824.265379351</v>
      </c>
      <c r="W13" s="1">
        <f t="shared" si="1"/>
        <v>15260719.917017667</v>
      </c>
      <c r="X13" s="1">
        <f t="shared" si="1"/>
        <v>16498515.054313079</v>
      </c>
      <c r="Y13" s="1">
        <f t="shared" si="1"/>
        <v>17799902.103200372</v>
      </c>
      <c r="Z13" s="1">
        <f t="shared" si="1"/>
        <v>19167683.443800837</v>
      </c>
      <c r="AA13" s="1">
        <f t="shared" si="1"/>
        <v>20604775.690446064</v>
      </c>
      <c r="AB13" s="1">
        <f t="shared" si="1"/>
        <v>22114214.13303012</v>
      </c>
      <c r="AC13" s="1">
        <f t="shared" si="1"/>
        <v>23699157.345632542</v>
      </c>
      <c r="AD13" s="1">
        <f t="shared" si="1"/>
        <v>25362891.968569301</v>
      </c>
      <c r="AE13" s="1">
        <f t="shared" si="1"/>
        <v>27108837.670252081</v>
      </c>
      <c r="AF13" s="1">
        <f t="shared" si="1"/>
        <v>28940552.295466743</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81</v>
      </c>
      <c r="C15" s="38">
        <f>Assumptions!D44</f>
        <v>1</v>
      </c>
      <c r="D15" s="38">
        <f>Assumptions!E44</f>
        <v>1</v>
      </c>
      <c r="E15" s="38">
        <f>Assumptions!F44</f>
        <v>1</v>
      </c>
      <c r="F15" s="38">
        <f>Assumptions!G44</f>
        <v>1</v>
      </c>
      <c r="G15" s="38">
        <f>Assumptions!H44</f>
        <v>0.9998079262295041</v>
      </c>
      <c r="H15" s="38">
        <f>Assumptions!I44</f>
        <v>0.99961588935134149</v>
      </c>
      <c r="I15" s="38">
        <f>Assumptions!J44</f>
        <v>0.99942388935842619</v>
      </c>
      <c r="J15" s="38">
        <f>Assumptions!K44</f>
        <v>0.99923192624367341</v>
      </c>
      <c r="K15" s="38">
        <f>Assumptions!L44</f>
        <v>0.99903999999999993</v>
      </c>
      <c r="L15" s="38">
        <f>Assumptions!M44</f>
        <v>0.99896318818946062</v>
      </c>
      <c r="M15" s="38">
        <f>Assumptions!N44</f>
        <v>0.99888638228464499</v>
      </c>
      <c r="N15" s="38">
        <f>Assumptions!O44</f>
        <v>0.99880958228509908</v>
      </c>
      <c r="O15" s="38">
        <f>Assumptions!P44</f>
        <v>0.99873278819036881</v>
      </c>
      <c r="P15" s="38">
        <f>Assumptions!Q44</f>
        <v>0.9986560000000001</v>
      </c>
      <c r="Q15" s="38">
        <f>Assumptions!R44</f>
        <v>0.99860479474925656</v>
      </c>
      <c r="R15" s="38">
        <f>Assumptions!S44</f>
        <v>0.9985535921240194</v>
      </c>
      <c r="S15" s="38">
        <f>Assumptions!T44</f>
        <v>0.99850239212415404</v>
      </c>
      <c r="T15" s="38">
        <f>Assumptions!U44</f>
        <v>0.99845119474952582</v>
      </c>
      <c r="U15" s="38">
        <f>Assumptions!V44</f>
        <v>0.99840000000000007</v>
      </c>
      <c r="V15" s="38">
        <f>Assumptions!W44</f>
        <v>0.99840000000000007</v>
      </c>
      <c r="W15" s="38">
        <f>Assumptions!X44</f>
        <v>0.99840000000000007</v>
      </c>
      <c r="X15" s="38">
        <f>Assumptions!Y44</f>
        <v>0.99840000000000007</v>
      </c>
      <c r="Y15" s="38">
        <f>Assumptions!Z44</f>
        <v>0.99840000000000007</v>
      </c>
      <c r="Z15" s="38">
        <f>Assumptions!AA44</f>
        <v>0.99840000000000007</v>
      </c>
      <c r="AA15" s="38">
        <f>Assumptions!AB44</f>
        <v>0.99840000000000007</v>
      </c>
      <c r="AB15" s="38">
        <f>Assumptions!AC44</f>
        <v>0.99840000000000007</v>
      </c>
      <c r="AC15" s="38">
        <f>Assumptions!AD44</f>
        <v>0.99840000000000007</v>
      </c>
      <c r="AD15" s="38">
        <f>Assumptions!AE44</f>
        <v>0.99840000000000007</v>
      </c>
      <c r="AE15" s="38">
        <f>Assumptions!AF44</f>
        <v>0.99840000000000007</v>
      </c>
      <c r="AF15" s="38">
        <f>Assumptions!AG44</f>
        <v>0.99840000000000007</v>
      </c>
    </row>
    <row r="16" spans="1:32" x14ac:dyDescent="0.35">
      <c r="A16" t="s">
        <v>61</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78</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75</v>
      </c>
      <c r="C20" s="1">
        <f>(C12*C15)-C12</f>
        <v>0</v>
      </c>
      <c r="D20" s="1">
        <f t="shared" ref="D20:AF20" si="4">(D12*D15)-D12</f>
        <v>0</v>
      </c>
      <c r="E20" s="1">
        <f t="shared" si="4"/>
        <v>0</v>
      </c>
      <c r="F20" s="1">
        <f t="shared" si="4"/>
        <v>0</v>
      </c>
      <c r="G20" s="1">
        <f t="shared" si="4"/>
        <v>-3516.7482068091631</v>
      </c>
      <c r="H20" s="1">
        <f t="shared" si="4"/>
        <v>-7257.8712085671723</v>
      </c>
      <c r="I20" s="1">
        <f t="shared" si="4"/>
        <v>-11234.105673268437</v>
      </c>
      <c r="J20" s="1">
        <f t="shared" si="4"/>
        <v>-15456.64495087415</v>
      </c>
      <c r="K20" s="1">
        <f t="shared" si="4"/>
        <v>-19937.15728417784</v>
      </c>
      <c r="L20" s="1">
        <f t="shared" si="4"/>
        <v>-22221.411151375622</v>
      </c>
      <c r="M20" s="1">
        <f t="shared" si="4"/>
        <v>-24631.31099255383</v>
      </c>
      <c r="N20" s="1">
        <f t="shared" si="4"/>
        <v>-27172.554904460907</v>
      </c>
      <c r="O20" s="1">
        <f t="shared" si="4"/>
        <v>-29851.076867476106</v>
      </c>
      <c r="P20" s="1">
        <f t="shared" si="4"/>
        <v>-32673.056003049016</v>
      </c>
      <c r="Q20" s="1">
        <f t="shared" si="4"/>
        <v>-35003.243385918438</v>
      </c>
      <c r="R20" s="1">
        <f t="shared" si="4"/>
        <v>-37449.037574794143</v>
      </c>
      <c r="S20" s="1">
        <f t="shared" si="4"/>
        <v>-40015.449121709913</v>
      </c>
      <c r="T20" s="1">
        <f t="shared" si="4"/>
        <v>-42707.690803274512</v>
      </c>
      <c r="U20" s="1">
        <f t="shared" si="4"/>
        <v>-45531.185430042446</v>
      </c>
      <c r="V20" s="1">
        <f t="shared" si="4"/>
        <v>-46988.183363806456</v>
      </c>
      <c r="W20" s="1">
        <f t="shared" si="4"/>
        <v>-48491.805231448263</v>
      </c>
      <c r="X20" s="1">
        <f t="shared" si="4"/>
        <v>-50043.542998854071</v>
      </c>
      <c r="Y20" s="1">
        <f t="shared" si="4"/>
        <v>-51644.936374817044</v>
      </c>
      <c r="Z20" s="1">
        <f t="shared" si="4"/>
        <v>-53297.574338808656</v>
      </c>
      <c r="AA20" s="1">
        <f t="shared" si="4"/>
        <v>-55003.096717655659</v>
      </c>
      <c r="AB20" s="1">
        <f t="shared" si="4"/>
        <v>-56763.195812620223</v>
      </c>
      <c r="AC20" s="1">
        <f t="shared" si="4"/>
        <v>-58579.618078619242</v>
      </c>
      <c r="AD20" s="1">
        <f t="shared" si="4"/>
        <v>-60454.16585713625</v>
      </c>
      <c r="AE20" s="1">
        <f t="shared" si="4"/>
        <v>-62388.699164561927</v>
      </c>
      <c r="AF20" s="1">
        <f t="shared" si="4"/>
        <v>-64385.137537829578</v>
      </c>
    </row>
    <row r="21" spans="1:32" x14ac:dyDescent="0.35">
      <c r="A21" t="s">
        <v>76</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77</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97</v>
      </c>
      <c r="C25" s="40">
        <f>SUM(C11:C13,C18:C23)</f>
        <v>36447143.407494843</v>
      </c>
      <c r="D25" s="40">
        <f>SUM(D11:D13,D18:D23)</f>
        <v>38013254.365066908</v>
      </c>
      <c r="E25" s="40">
        <f t="shared" ref="E25:AF25" si="7">SUM(E11:E13,E18:E23)</f>
        <v>39642274.549074329</v>
      </c>
      <c r="F25" s="40">
        <f t="shared" si="7"/>
        <v>41336626.452388383</v>
      </c>
      <c r="G25" s="40">
        <f t="shared" si="7"/>
        <v>43095222.038212523</v>
      </c>
      <c r="H25" s="40">
        <f t="shared" si="7"/>
        <v>44923952.647043005</v>
      </c>
      <c r="I25" s="40">
        <f t="shared" si="7"/>
        <v>46825503.371148475</v>
      </c>
      <c r="J25" s="40">
        <f t="shared" si="7"/>
        <v>48802659.243069328</v>
      </c>
      <c r="K25" s="40">
        <f t="shared" si="7"/>
        <v>50858308.879482247</v>
      </c>
      <c r="L25" s="40">
        <f t="shared" si="7"/>
        <v>52997973.842855662</v>
      </c>
      <c r="M25" s="40">
        <f t="shared" si="7"/>
        <v>55222457.814664438</v>
      </c>
      <c r="N25" s="40">
        <f t="shared" si="7"/>
        <v>57534996.897240929</v>
      </c>
      <c r="O25" s="40">
        <f t="shared" si="7"/>
        <v>59938947.407391965</v>
      </c>
      <c r="P25" s="40">
        <f t="shared" si="7"/>
        <v>62437790.255034491</v>
      </c>
      <c r="Q25" s="40">
        <f t="shared" si="7"/>
        <v>65035792.562105477</v>
      </c>
      <c r="R25" s="40">
        <f t="shared" si="7"/>
        <v>67736098.971015409</v>
      </c>
      <c r="S25" s="40">
        <f t="shared" si="7"/>
        <v>70542595.575644538</v>
      </c>
      <c r="T25" s="40">
        <f t="shared" si="7"/>
        <v>73459312.388078019</v>
      </c>
      <c r="U25" s="40">
        <f t="shared" si="7"/>
        <v>76490428.568975806</v>
      </c>
      <c r="V25" s="40">
        <f t="shared" si="7"/>
        <v>79641817.317239404</v>
      </c>
      <c r="W25" s="40">
        <f t="shared" si="7"/>
        <v>82916568.746537238</v>
      </c>
      <c r="X25" s="40">
        <f t="shared" si="7"/>
        <v>86319351.046377286</v>
      </c>
      <c r="Y25" s="40">
        <f t="shared" si="7"/>
        <v>89855004.847010612</v>
      </c>
      <c r="Z25" s="40">
        <f t="shared" si="7"/>
        <v>93528549.47541301</v>
      </c>
      <c r="AA25" s="40">
        <f t="shared" si="7"/>
        <v>97345189.435069844</v>
      </c>
      <c r="AB25" s="40">
        <f t="shared" si="7"/>
        <v>101310321.11748183</v>
      </c>
      <c r="AC25" s="40">
        <f t="shared" si="7"/>
        <v>105429539.75358672</v>
      </c>
      <c r="AD25" s="40">
        <f t="shared" si="7"/>
        <v>109708646.61357802</v>
      </c>
      <c r="AE25" s="40">
        <f t="shared" si="7"/>
        <v>114153656.46390107</v>
      </c>
      <c r="AF25" s="40">
        <f t="shared" si="7"/>
        <v>118770805.2905125</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120" zoomScaleNormal="120" workbookViewId="0">
      <pane xSplit="1" topLeftCell="B1" activePane="topRight" state="frozen"/>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158</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22257352.990277283</v>
      </c>
      <c r="D5" s="59">
        <f>C5*('Price and Financial ratios'!F4+1)*(1+Assumptions!$C$13)</f>
        <v>28245860.976089932</v>
      </c>
      <c r="E5" s="59">
        <f>D5*('Price and Financial ratios'!G4+1)*(1+Assumptions!$C$13)</f>
        <v>35845622.01215557</v>
      </c>
      <c r="F5" s="59">
        <f>E5*('Price and Financial ratios'!H4+1)*(1+Assumptions!$C$13)</f>
        <v>45490155.832955658</v>
      </c>
      <c r="G5" s="59">
        <f>F5*('Price and Financial ratios'!I4+1)*(1+Assumptions!$C$13)</f>
        <v>51263906.03517244</v>
      </c>
      <c r="H5" s="59">
        <f>G5*('Price and Financial ratios'!J4+1)*(1+Assumptions!$C$13)</f>
        <v>56729568.815006852</v>
      </c>
      <c r="I5" s="59">
        <f>H5*('Price and Financial ratios'!K4+1)*(1+Assumptions!$C$13)</f>
        <v>61626081.078371949</v>
      </c>
      <c r="J5" s="59">
        <f>I5*('Price and Financial ratios'!L4+1)*(1+Assumptions!$C$13)</f>
        <v>65693914.469394147</v>
      </c>
      <c r="K5" s="59">
        <f>J5*('Price and Financial ratios'!M4+1)*(1+Assumptions!$C$13)</f>
        <v>70030258.663108334</v>
      </c>
      <c r="L5" s="59">
        <f>K5*('Price and Financial ratios'!N4+1)*(1+Assumptions!$C$13)</f>
        <v>73941858.197751775</v>
      </c>
      <c r="M5" s="59">
        <f>L5*('Price and Financial ratios'!O4+1)*(1+Assumptions!$C$13)</f>
        <v>78071943.444307685</v>
      </c>
      <c r="N5" s="59">
        <f>M5*('Price and Financial ratios'!P4+1)*(1+Assumptions!$C$13)</f>
        <v>82432718.107651025</v>
      </c>
      <c r="O5" s="59">
        <f>N5*('Price and Financial ratios'!Q4+1)*(1+Assumptions!$C$13)</f>
        <v>86200172.66074881</v>
      </c>
      <c r="P5" s="59">
        <f>O5*('Price and Financial ratios'!R4+1)*(1+Assumptions!$C$13)</f>
        <v>90139812.653505653</v>
      </c>
      <c r="Q5" s="59">
        <f>P5*('Price and Financial ratios'!S4+1)*(1+Assumptions!$C$13)</f>
        <v>94259507.543990061</v>
      </c>
      <c r="R5" s="59">
        <f>Q5*('Price and Financial ratios'!T4+1)*(1+Assumptions!$C$13)</f>
        <v>98567486.451171085</v>
      </c>
      <c r="S5" s="59">
        <f>R5*('Price and Financial ratios'!U4+1)*(1+Assumptions!$C$13)</f>
        <v>103072354.5926403</v>
      </c>
      <c r="T5" s="59">
        <f>S5*('Price and Financial ratios'!V4+1)*(1+Assumptions!$C$13)</f>
        <v>107783110.47359322</v>
      </c>
      <c r="U5" s="59">
        <f>T5*('Price and Financial ratios'!W4+1)*(1+Assumptions!$C$13)</f>
        <v>112709163.86140563</v>
      </c>
      <c r="V5" s="59">
        <f>U5*('Price and Financial ratios'!X4+1)*(1+Assumptions!$C$13)</f>
        <v>117860354.58170877</v>
      </c>
      <c r="W5" s="59">
        <f>V5*('Price and Financial ratios'!Y4+1)*(1+Assumptions!$C$13)</f>
        <v>123246972.17350894</v>
      </c>
      <c r="X5" s="59">
        <f>W5*('Price and Financial ratios'!Z4+1)*(1+Assumptions!$C$13)</f>
        <v>128879776.44261269</v>
      </c>
      <c r="Y5" s="59">
        <f>X5*('Price and Financial ratios'!AA4+1)*(1+Assumptions!$C$13)</f>
        <v>134115795.56143051</v>
      </c>
      <c r="Z5" s="59">
        <f>Y5*('Price and Financial ratios'!AB4+1)*(1+Assumptions!$C$13)</f>
        <v>139564539.25945982</v>
      </c>
      <c r="AA5" s="59">
        <f>Z5*('Price and Financial ratios'!AC4+1)*(1+Assumptions!$C$13)</f>
        <v>145234649.9319199</v>
      </c>
      <c r="AB5" s="59">
        <f>AA5*('Price and Financial ratios'!AD4+1)*(1+Assumptions!$C$13)</f>
        <v>151135121.08999145</v>
      </c>
      <c r="AC5" s="59">
        <f>AB5*('Price and Financial ratios'!AE4+1)*(1+Assumptions!$C$13)</f>
        <v>157275311.62566027</v>
      </c>
      <c r="AD5" s="59">
        <f>AC5*('Price and Financial ratios'!AF4+1)*(1+Assumptions!$C$13)</f>
        <v>163664960.65610123</v>
      </c>
      <c r="AE5" s="59">
        <f>AD5*('Price and Financial ratios'!AG4+1)*(1+Assumptions!$C$13)</f>
        <v>170314202.97114739</v>
      </c>
      <c r="AF5" s="59">
        <f>AE5*('Price and Financial ratios'!AH4+1)*(1+Assumptions!$C$13)</f>
        <v>176714852.66412631</v>
      </c>
    </row>
    <row r="6" spans="1:32" s="11" customFormat="1" x14ac:dyDescent="0.35">
      <c r="A6" s="11" t="s">
        <v>20</v>
      </c>
      <c r="C6" s="59">
        <f>C27</f>
        <v>13182616.922710026</v>
      </c>
      <c r="D6" s="59">
        <f t="shared" ref="D6:AF6" si="1">D27</f>
        <v>14160680.849935872</v>
      </c>
      <c r="E6" s="59">
        <f>E27</f>
        <v>15178483.258953931</v>
      </c>
      <c r="F6" s="59">
        <f t="shared" si="1"/>
        <v>16237415.163212299</v>
      </c>
      <c r="G6" s="59">
        <f t="shared" si="1"/>
        <v>17335393.886285875</v>
      </c>
      <c r="H6" s="59">
        <f t="shared" si="1"/>
        <v>18476866.493828997</v>
      </c>
      <c r="I6" s="59">
        <f t="shared" si="1"/>
        <v>19663333.949777119</v>
      </c>
      <c r="J6" s="59">
        <f t="shared" si="1"/>
        <v>20896346.751287043</v>
      </c>
      <c r="K6" s="59">
        <f t="shared" si="1"/>
        <v>22177506.553794235</v>
      </c>
      <c r="L6" s="59">
        <f t="shared" si="1"/>
        <v>23511315.840293556</v>
      </c>
      <c r="M6" s="59">
        <f t="shared" si="1"/>
        <v>24897034.559299283</v>
      </c>
      <c r="N6" s="59">
        <f t="shared" si="1"/>
        <v>26336451.690598536</v>
      </c>
      <c r="O6" s="59">
        <f t="shared" si="1"/>
        <v>27831415.497444425</v>
      </c>
      <c r="P6" s="59">
        <f t="shared" si="1"/>
        <v>29383835.483671099</v>
      </c>
      <c r="Q6" s="59">
        <f t="shared" si="1"/>
        <v>30996516.19895345</v>
      </c>
      <c r="R6" s="59">
        <f t="shared" si="1"/>
        <v>32670769.720722832</v>
      </c>
      <c r="S6" s="59">
        <f t="shared" si="1"/>
        <v>34408707.842037335</v>
      </c>
      <c r="T6" s="59">
        <f t="shared" si="1"/>
        <v>36212512.381302997</v>
      </c>
      <c r="U6" s="59">
        <f t="shared" si="1"/>
        <v>38084437.501281954</v>
      </c>
      <c r="V6" s="59">
        <f t="shared" si="1"/>
        <v>40028956.646159768</v>
      </c>
      <c r="W6" s="59">
        <f t="shared" si="1"/>
        <v>42046583.229643404</v>
      </c>
      <c r="X6" s="59">
        <f t="shared" si="1"/>
        <v>44139817.623678997</v>
      </c>
      <c r="Y6" s="59">
        <f t="shared" si="1"/>
        <v>46311243.280577488</v>
      </c>
      <c r="Z6" s="59">
        <f t="shared" si="1"/>
        <v>48563529.495858431</v>
      </c>
      <c r="AA6" s="59">
        <f t="shared" si="1"/>
        <v>50899434.26437977</v>
      </c>
      <c r="AB6" s="59">
        <f t="shared" si="1"/>
        <v>53321807.23296918</v>
      </c>
      <c r="AC6" s="59">
        <f t="shared" si="1"/>
        <v>55833592.752886079</v>
      </c>
      <c r="AD6" s="59">
        <f t="shared" si="1"/>
        <v>58437833.035560369</v>
      </c>
      <c r="AE6" s="59">
        <f t="shared" si="1"/>
        <v>61137671.4151759</v>
      </c>
      <c r="AF6" s="59">
        <f t="shared" si="1"/>
        <v>63936355.721791551</v>
      </c>
    </row>
    <row r="7" spans="1:32" x14ac:dyDescent="0.35">
      <c r="A7" t="s">
        <v>21</v>
      </c>
      <c r="C7" s="4">
        <f>Depreciation!C8+Depreciation!C9</f>
        <v>20305251.913137674</v>
      </c>
      <c r="D7" s="4">
        <f>Depreciation!D8+Depreciation!D9</f>
        <v>21354822.342890315</v>
      </c>
      <c r="E7" s="4">
        <f>Depreciation!E8+Depreciation!E9</f>
        <v>22450772.702188075</v>
      </c>
      <c r="F7" s="4">
        <f>Depreciation!F8+Depreciation!F9</f>
        <v>23594996.546401773</v>
      </c>
      <c r="G7" s="4">
        <f>Depreciation!G8+Depreciation!G9</f>
        <v>24789376.723441143</v>
      </c>
      <c r="H7" s="4">
        <f>Depreciation!H8+Depreciation!H9</f>
        <v>26035948.869258095</v>
      </c>
      <c r="I7" s="4">
        <f>Depreciation!I8+Depreciation!I9</f>
        <v>27336827.455060463</v>
      </c>
      <c r="J7" s="4">
        <f>Depreciation!J8+Depreciation!J9</f>
        <v>28694208.745562565</v>
      </c>
      <c r="K7" s="4">
        <f>Depreciation!K8+Depreciation!K9</f>
        <v>30110373.865750141</v>
      </c>
      <c r="L7" s="4">
        <f>Depreciation!L8+Depreciation!L9</f>
        <v>31587751.173518237</v>
      </c>
      <c r="M7" s="4">
        <f>Depreciation!M8+Depreciation!M9</f>
        <v>33128806.834592547</v>
      </c>
      <c r="N7" s="4">
        <f>Depreciation!N8+Depreciation!N9</f>
        <v>34736102.127766885</v>
      </c>
      <c r="O7" s="4">
        <f>Depreciation!O8+Depreciation!O9</f>
        <v>36412297.005500816</v>
      </c>
      <c r="P7" s="4">
        <f>Depreciation!P8+Depreciation!P9</f>
        <v>38160153.784958661</v>
      </c>
      <c r="Q7" s="4">
        <f>Depreciation!Q8+Depreciation!Q9</f>
        <v>39982556.374577984</v>
      </c>
      <c r="R7" s="4">
        <f>Depreciation!R8+Depreciation!R9</f>
        <v>41882484.915887564</v>
      </c>
      <c r="S7" s="4">
        <f>Depreciation!S8+Depreciation!S9</f>
        <v>43863033.913097106</v>
      </c>
      <c r="T7" s="4">
        <f>Depreciation!T8+Depreciation!T9</f>
        <v>45927416.499638751</v>
      </c>
      <c r="U7" s="4">
        <f>Depreciation!U8+Depreciation!U9</f>
        <v>48078968.860627539</v>
      </c>
      <c r="V7" s="4">
        <f>Depreciation!V8+Depreciation!V9</f>
        <v>50321190.898223996</v>
      </c>
      <c r="W7" s="4">
        <f>Depreciation!W8+Depreciation!W9</f>
        <v>52657682.282113351</v>
      </c>
      <c r="X7" s="4">
        <f>Depreciation!X8+Depreciation!X9</f>
        <v>55092180.215091817</v>
      </c>
      <c r="Y7" s="4">
        <f>Depreciation!Y8+Depreciation!Y9</f>
        <v>57628564.549124017</v>
      </c>
      <c r="Z7" s="4">
        <f>Depreciation!Z8+Depreciation!Z9</f>
        <v>60270863.087994047</v>
      </c>
      <c r="AA7" s="4">
        <f>Depreciation!AA8+Depreciation!AA9</f>
        <v>63023257.083253466</v>
      </c>
      <c r="AB7" s="4">
        <f>Depreciation!AB8+Depreciation!AB9</f>
        <v>65890086.930407345</v>
      </c>
      <c r="AC7" s="4">
        <f>Depreciation!AC8+Depreciation!AC9</f>
        <v>68875858.072525844</v>
      </c>
      <c r="AD7" s="4">
        <f>Depreciation!AD8+Depreciation!AD9</f>
        <v>71985247.118723184</v>
      </c>
      <c r="AE7" s="4">
        <f>Depreciation!AE8+Depreciation!AE9</f>
        <v>75223108.185210899</v>
      </c>
      <c r="AF7" s="4">
        <f>Depreciation!AF8+Depreciation!AF9</f>
        <v>78594479.466904223</v>
      </c>
    </row>
    <row r="8" spans="1:32" x14ac:dyDescent="0.35">
      <c r="A8" t="s">
        <v>6</v>
      </c>
      <c r="C8" s="4">
        <f ca="1">'Debt worksheet'!C8</f>
        <v>2135958.0950750941</v>
      </c>
      <c r="D8" s="4">
        <f ca="1">'Debt worksheet'!D8</f>
        <v>3081285.6926808748</v>
      </c>
      <c r="E8" s="4">
        <f ca="1">'Debt worksheet'!E8</f>
        <v>3881259.5290532839</v>
      </c>
      <c r="F8" s="4">
        <f ca="1">'Debt worksheet'!F8</f>
        <v>4460306.2502029631</v>
      </c>
      <c r="G8" s="4">
        <f ca="1">'Debt worksheet'!G8</f>
        <v>4954550.3588905409</v>
      </c>
      <c r="H8" s="4">
        <f ca="1">'Debt worksheet'!H8</f>
        <v>5376211.5236226125</v>
      </c>
      <c r="I8" s="4">
        <f ca="1">'Debt worksheet'!I8</f>
        <v>5747573.0488207154</v>
      </c>
      <c r="J8" s="4">
        <f ca="1">'Debt worksheet'!J8</f>
        <v>6101296.6343983347</v>
      </c>
      <c r="K8" s="4">
        <f ca="1">'Debt worksheet'!K8</f>
        <v>6431597.0169473775</v>
      </c>
      <c r="L8" s="4">
        <f ca="1">'Debt worksheet'!L8</f>
        <v>6757986.6517474493</v>
      </c>
      <c r="M8" s="4">
        <f ca="1">'Debt worksheet'!M8</f>
        <v>7077358.4085859181</v>
      </c>
      <c r="N8" s="4">
        <f ca="1">'Debt worksheet'!N8</f>
        <v>7386232.0988523448</v>
      </c>
      <c r="O8" s="4">
        <f ca="1">'Debt worksheet'!O8</f>
        <v>7711076.4325341033</v>
      </c>
      <c r="P8" s="4">
        <f ca="1">'Debt worksheet'!P8</f>
        <v>8051751.1818819707</v>
      </c>
      <c r="Q8" s="4">
        <f ca="1">'Debt worksheet'!Q8</f>
        <v>8408082.097906094</v>
      </c>
      <c r="R8" s="4">
        <f ca="1">'Debt worksheet'!R8</f>
        <v>8779751.7889388036</v>
      </c>
      <c r="S8" s="4">
        <f ca="1">'Debt worksheet'!S8</f>
        <v>9166336.7853007857</v>
      </c>
      <c r="T8" s="4">
        <f ca="1">'Debt worksheet'!T8</f>
        <v>9567297.1872055531</v>
      </c>
      <c r="U8" s="4">
        <f ca="1">'Debt worksheet'!U8</f>
        <v>9981965.5590832923</v>
      </c>
      <c r="V8" s="4">
        <f ca="1">'Debt worksheet'!V8</f>
        <v>10409668.639836742</v>
      </c>
      <c r="W8" s="4">
        <f ca="1">'Debt worksheet'!W8</f>
        <v>10849466.251741193</v>
      </c>
      <c r="X8" s="4">
        <f ca="1">'Debt worksheet'!X8</f>
        <v>11300253.864975873</v>
      </c>
      <c r="Y8" s="4">
        <f ca="1">'Debt worksheet'!Y8</f>
        <v>11784476.378022166</v>
      </c>
      <c r="Z8" s="4">
        <f ca="1">'Debt worksheet'!Z8</f>
        <v>12303565.044492822</v>
      </c>
      <c r="AA8" s="4">
        <f ca="1">'Debt worksheet'!AA8</f>
        <v>12858978.369281203</v>
      </c>
      <c r="AB8" s="4">
        <f ca="1">'Debt worksheet'!AB8</f>
        <v>13452200.646007553</v>
      </c>
      <c r="AC8" s="4">
        <f ca="1">'Debt worksheet'!AC8</f>
        <v>14084740.286876675</v>
      </c>
      <c r="AD8" s="4">
        <f ca="1">'Debt worksheet'!AD8</f>
        <v>14758127.929153346</v>
      </c>
      <c r="AE8" s="4">
        <f ca="1">'Debt worksheet'!AE8</f>
        <v>15473914.301482776</v>
      </c>
      <c r="AF8" s="4">
        <f ca="1">'Debt worksheet'!AF8</f>
        <v>16252481.962351294</v>
      </c>
    </row>
    <row r="9" spans="1:32" x14ac:dyDescent="0.35">
      <c r="A9" t="s">
        <v>22</v>
      </c>
      <c r="C9" s="4">
        <f ca="1">C5-C6-C7-C8</f>
        <v>-13366473.940645512</v>
      </c>
      <c r="D9" s="4">
        <f t="shared" ref="D9:AF9" ca="1" si="2">D5-D6-D7-D8</f>
        <v>-10350927.90941713</v>
      </c>
      <c r="E9" s="4">
        <f t="shared" ca="1" si="2"/>
        <v>-5664893.4780397173</v>
      </c>
      <c r="F9" s="4">
        <f t="shared" ca="1" si="2"/>
        <v>1197437.8731386233</v>
      </c>
      <c r="G9" s="4">
        <f t="shared" ca="1" si="2"/>
        <v>4184585.0665548779</v>
      </c>
      <c r="H9" s="4">
        <f t="shared" ca="1" si="2"/>
        <v>6840541.9282971481</v>
      </c>
      <c r="I9" s="4">
        <f t="shared" ca="1" si="2"/>
        <v>8878346.6247136518</v>
      </c>
      <c r="J9" s="4">
        <f t="shared" ca="1" si="2"/>
        <v>10002062.338146206</v>
      </c>
      <c r="K9" s="4">
        <f t="shared" ca="1" si="2"/>
        <v>11310781.22661658</v>
      </c>
      <c r="L9" s="4">
        <f t="shared" ca="1" si="2"/>
        <v>12084804.532192532</v>
      </c>
      <c r="M9" s="4">
        <f t="shared" ca="1" si="2"/>
        <v>12968743.641829938</v>
      </c>
      <c r="N9" s="4">
        <f t="shared" ca="1" si="2"/>
        <v>13973932.190433264</v>
      </c>
      <c r="O9" s="4">
        <f t="shared" ca="1" si="2"/>
        <v>14245383.72526947</v>
      </c>
      <c r="P9" s="4">
        <f t="shared" ca="1" si="2"/>
        <v>14544072.202993922</v>
      </c>
      <c r="Q9" s="4">
        <f t="shared" ca="1" si="2"/>
        <v>14872352.872552533</v>
      </c>
      <c r="R9" s="4">
        <f t="shared" ca="1" si="2"/>
        <v>15234480.025621885</v>
      </c>
      <c r="S9" s="4">
        <f t="shared" ca="1" si="2"/>
        <v>15634276.052205069</v>
      </c>
      <c r="T9" s="4">
        <f t="shared" ca="1" si="2"/>
        <v>16075884.405445918</v>
      </c>
      <c r="U9" s="4">
        <f t="shared" ca="1" si="2"/>
        <v>16563791.940412832</v>
      </c>
      <c r="V9" s="4">
        <f t="shared" ca="1" si="2"/>
        <v>17100538.397488266</v>
      </c>
      <c r="W9" s="4">
        <f t="shared" ca="1" si="2"/>
        <v>17693240.410010993</v>
      </c>
      <c r="X9" s="4">
        <f t="shared" ca="1" si="2"/>
        <v>18347524.738866005</v>
      </c>
      <c r="Y9" s="4">
        <f t="shared" ca="1" si="2"/>
        <v>18391511.353706852</v>
      </c>
      <c r="Z9" s="4">
        <f t="shared" ca="1" si="2"/>
        <v>18426581.631114524</v>
      </c>
      <c r="AA9" s="4">
        <f t="shared" ca="1" si="2"/>
        <v>18452980.215005465</v>
      </c>
      <c r="AB9" s="4">
        <f t="shared" ca="1" si="2"/>
        <v>18471026.280607373</v>
      </c>
      <c r="AC9" s="4">
        <f t="shared" ca="1" si="2"/>
        <v>18481120.513371665</v>
      </c>
      <c r="AD9" s="4">
        <f t="shared" ca="1" si="2"/>
        <v>18483752.572664328</v>
      </c>
      <c r="AE9" s="4">
        <f t="shared" ca="1" si="2"/>
        <v>18479509.069277816</v>
      </c>
      <c r="AF9" s="4">
        <f t="shared" ca="1" si="2"/>
        <v>17931535.513079241</v>
      </c>
    </row>
    <row r="12" spans="1:32" x14ac:dyDescent="0.35">
      <c r="A12" t="s">
        <v>79</v>
      </c>
      <c r="C12" s="2">
        <f>Assumptions!$C$25*Assumptions!D9*Assumptions!D13</f>
        <v>12703052.588197438</v>
      </c>
      <c r="D12" s="2">
        <f>Assumptions!$C$25*Assumptions!E9*Assumptions!E13</f>
        <v>13180451.350192143</v>
      </c>
      <c r="E12" s="2">
        <f>Assumptions!$C$25*Assumptions!F9*Assumptions!F13</f>
        <v>13675791.435846793</v>
      </c>
      <c r="F12" s="2">
        <f>Assumptions!$C$25*Assumptions!G9*Assumptions!G13</f>
        <v>14189747.10559164</v>
      </c>
      <c r="G12" s="2">
        <f>Assumptions!$C$25*Assumptions!H9*Assumptions!H13</f>
        <v>14723017.959521772</v>
      </c>
      <c r="H12" s="2">
        <f>Assumptions!$C$25*Assumptions!I9*Assumptions!I13</f>
        <v>15276329.889697675</v>
      </c>
      <c r="I12" s="2">
        <f>Assumptions!$C$25*Assumptions!J9*Assumptions!J13</f>
        <v>15850436.068234665</v>
      </c>
      <c r="J12" s="2">
        <f>Assumptions!$C$25*Assumptions!K9*Assumptions!K13</f>
        <v>16446117.972526081</v>
      </c>
      <c r="K12" s="2">
        <f>Assumptions!$C$25*Assumptions!L9*Assumptions!L13</f>
        <v>17064186.448995873</v>
      </c>
      <c r="L12" s="2">
        <f>Assumptions!$C$25*Assumptions!M9*Assumptions!M13</f>
        <v>17705482.816828467</v>
      </c>
      <c r="M12" s="2">
        <f>Assumptions!$C$25*Assumptions!N9*Assumptions!N13</f>
        <v>18370880.013178419</v>
      </c>
      <c r="N12" s="2">
        <f>Assumptions!$C$25*Assumptions!O9*Assumptions!O13</f>
        <v>19061283.781418592</v>
      </c>
      <c r="O12" s="2">
        <f>Assumptions!$C$25*Assumptions!P9*Assumptions!P13</f>
        <v>19777633.904044539</v>
      </c>
      <c r="P12" s="2">
        <f>Assumptions!$C$25*Assumptions!Q9*Assumptions!Q13</f>
        <v>20520905.481912989</v>
      </c>
      <c r="Q12" s="2">
        <f>Assumptions!$C$25*Assumptions!R9*Assumptions!R13</f>
        <v>21292110.2615561</v>
      </c>
      <c r="R12" s="2">
        <f>Assumptions!$C$25*Assumptions!S9*Assumptions!S13</f>
        <v>22092298.01237797</v>
      </c>
      <c r="S12" s="2">
        <f>Assumptions!$C$25*Assumptions!T9*Assumptions!T13</f>
        <v>22922557.9556082</v>
      </c>
      <c r="T12" s="2">
        <f>Assumptions!$C$25*Assumptions!U9*Assumptions!U13</f>
        <v>23784020.246957496</v>
      </c>
      <c r="U12" s="2">
        <f>Assumptions!$C$25*Assumptions!V9*Assumptions!V13</f>
        <v>24677857.514993697</v>
      </c>
      <c r="V12" s="2">
        <f>Assumptions!$C$25*Assumptions!W9*Assumptions!W13</f>
        <v>25605286.457332004</v>
      </c>
      <c r="W12" s="2">
        <f>Assumptions!$C$25*Assumptions!X9*Assumptions!X13</f>
        <v>26567569.496812414</v>
      </c>
      <c r="X12" s="2">
        <f>Assumptions!$C$25*Assumptions!Y9*Assumptions!Y13</f>
        <v>27566016.49991864</v>
      </c>
      <c r="Y12" s="2">
        <f>Assumptions!$C$25*Assumptions!Z9*Assumptions!Z13</f>
        <v>28601986.55977764</v>
      </c>
      <c r="Z12" s="2">
        <f>Assumptions!$C$25*Assumptions!AA9*Assumptions!AA13</f>
        <v>29676889.846166741</v>
      </c>
      <c r="AA12" s="2">
        <f>Assumptions!$C$25*Assumptions!AB9*Assumptions!AB13</f>
        <v>30792189.525046807</v>
      </c>
      <c r="AB12" s="2">
        <f>Assumptions!$C$25*Assumptions!AC9*Assumptions!AC13</f>
        <v>31949403.750234053</v>
      </c>
      <c r="AC12" s="2">
        <f>Assumptions!$C$25*Assumptions!AD9*Assumptions!AD13</f>
        <v>33150107.729921766</v>
      </c>
      <c r="AD12" s="2">
        <f>Assumptions!$C$25*Assumptions!AE9*Assumptions!AE13</f>
        <v>34395935.870864809</v>
      </c>
      <c r="AE12" s="2">
        <f>Assumptions!$C$25*Assumptions!AF9*Assumptions!AF13</f>
        <v>35688584.003145777</v>
      </c>
      <c r="AF12" s="2">
        <f>Assumptions!$C$25*Assumptions!AG9*Assumptions!AG13</f>
        <v>37029811.688550755</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80</v>
      </c>
      <c r="C14" s="5">
        <f>Assumptions!D122*Assumptions!D9</f>
        <v>479564.33451258804</v>
      </c>
      <c r="D14" s="5">
        <f>Assumptions!E122*Assumptions!E9</f>
        <v>980229.49974372995</v>
      </c>
      <c r="E14" s="5">
        <f>Assumptions!F122*Assumptions!F9</f>
        <v>1502691.823107138</v>
      </c>
      <c r="F14" s="5">
        <f>Assumptions!G122*Assumptions!G9</f>
        <v>2047668.0576206602</v>
      </c>
      <c r="G14" s="5">
        <f>Assumptions!H122*Assumptions!H9</f>
        <v>2615795.4546109703</v>
      </c>
      <c r="H14" s="5">
        <f>Assumptions!I122*Assumptions!I9</f>
        <v>3207826.7056974852</v>
      </c>
      <c r="I14" s="5">
        <f>Assumptions!J122*Assumptions!J9</f>
        <v>3824536.36799563</v>
      </c>
      <c r="J14" s="5">
        <f>Assumptions!K122*Assumptions!K9</f>
        <v>4466721.4608543003</v>
      </c>
      <c r="K14" s="5">
        <f>Assumptions!L122*Assumptions!L9</f>
        <v>5135202.0782441543</v>
      </c>
      <c r="L14" s="5">
        <f>Assumptions!M122*Assumptions!M9</f>
        <v>5830889.1439457014</v>
      </c>
      <c r="M14" s="5">
        <f>Assumptions!N122*Assumptions!N9</f>
        <v>6554655.2148618773</v>
      </c>
      <c r="N14" s="5">
        <f>Assumptions!O122*Assumptions!O9</f>
        <v>7307398.0509470524</v>
      </c>
      <c r="O14" s="5">
        <f>Assumptions!P122*Assumptions!P9</f>
        <v>8090041.301351768</v>
      </c>
      <c r="P14" s="5">
        <f>Assumptions!Q122*Assumptions!Q9</f>
        <v>8903535.2085491922</v>
      </c>
      <c r="Q14" s="5">
        <f>Assumptions!R122*Assumptions!R9</f>
        <v>9748873.9653974958</v>
      </c>
      <c r="R14" s="5">
        <f>Assumptions!S122*Assumptions!S9</f>
        <v>10627064.283325272</v>
      </c>
      <c r="S14" s="5">
        <f>Assumptions!T122*Assumptions!T9</f>
        <v>11539141.740115136</v>
      </c>
      <c r="T14" s="5">
        <f>Assumptions!U122*Assumptions!U9</f>
        <v>12486171.562422896</v>
      </c>
      <c r="U14" s="5">
        <f>Assumptions!V122*Assumptions!V9</f>
        <v>13469249.428748518</v>
      </c>
      <c r="V14" s="5">
        <f>Assumptions!W122*Assumptions!W9</f>
        <v>14489539.414156254</v>
      </c>
      <c r="W14" s="5">
        <f>Assumptions!X122*Assumptions!X9</f>
        <v>15548203.042198414</v>
      </c>
      <c r="X14" s="5">
        <f>Assumptions!Y122*Assumptions!Y9</f>
        <v>16646434.932797976</v>
      </c>
      <c r="Y14" s="5">
        <f>Assumptions!Z122*Assumptions!Z9</f>
        <v>17785463.6963115</v>
      </c>
      <c r="Z14" s="5">
        <f>Assumptions!AA122*Assumptions!AA9</f>
        <v>18966552.850912143</v>
      </c>
      <c r="AA14" s="5">
        <f>Assumptions!AB122*Assumptions!AB9</f>
        <v>20191001.763886198</v>
      </c>
      <c r="AB14" s="5">
        <f>Assumptions!AC122*Assumptions!AC9</f>
        <v>21460146.617451273</v>
      </c>
      <c r="AC14" s="5">
        <f>Assumptions!AD122*Assumptions!AD9</f>
        <v>22775361.399719488</v>
      </c>
      <c r="AD14" s="5">
        <f>Assumptions!AE122*Assumptions!AE9</f>
        <v>24138058.921444658</v>
      </c>
      <c r="AE14" s="5">
        <f>Assumptions!AF122*Assumptions!AF9</f>
        <v>25549691.859208275</v>
      </c>
      <c r="AF14" s="5">
        <f>Assumptions!AG122*Assumptions!AG9</f>
        <v>27011753.825715501</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187</v>
      </c>
      <c r="C16" s="37">
        <f>Assumptions!D43</f>
        <v>1</v>
      </c>
      <c r="D16" s="37">
        <f>Assumptions!E43</f>
        <v>1</v>
      </c>
      <c r="E16" s="37">
        <f>Assumptions!F43</f>
        <v>1</v>
      </c>
      <c r="F16" s="37">
        <f>Assumptions!G43</f>
        <v>1</v>
      </c>
      <c r="G16" s="37">
        <f>Assumptions!H43</f>
        <v>0.99980278189947647</v>
      </c>
      <c r="H16" s="37">
        <f>Assumptions!I43</f>
        <v>0.99960560269393206</v>
      </c>
      <c r="I16" s="37">
        <f>Assumptions!J43</f>
        <v>0.99940846237569603</v>
      </c>
      <c r="J16" s="37">
        <f>Assumptions!K43</f>
        <v>0.99921136093709917</v>
      </c>
      <c r="K16" s="37">
        <f>Assumptions!L43</f>
        <v>0.99901429837047362</v>
      </c>
      <c r="L16" s="37">
        <f>Assumptions!M43</f>
        <v>0.9989354297883134</v>
      </c>
      <c r="M16" s="37">
        <f>Assumptions!N43</f>
        <v>0.99885656743254381</v>
      </c>
      <c r="N16" s="37">
        <f>Assumptions!O43</f>
        <v>0.99877771130267323</v>
      </c>
      <c r="O16" s="37">
        <f>Assumptions!P43</f>
        <v>0.99869886139821018</v>
      </c>
      <c r="P16" s="37">
        <f>Assumptions!Q43</f>
        <v>0.99862001771866327</v>
      </c>
      <c r="Q16" s="37">
        <f>Assumptions!R43</f>
        <v>0.99856744142920784</v>
      </c>
      <c r="R16" s="37">
        <f>Assumptions!S43</f>
        <v>0.9985148679078385</v>
      </c>
      <c r="S16" s="37">
        <f>Assumptions!T43</f>
        <v>0.99846229715440948</v>
      </c>
      <c r="T16" s="37">
        <f>Assumptions!U43</f>
        <v>0.99840972916877513</v>
      </c>
      <c r="U16" s="37">
        <f>Assumptions!V43</f>
        <v>0.99835716395078977</v>
      </c>
      <c r="V16" s="37">
        <f>Assumptions!W43</f>
        <v>0.99835716395078977</v>
      </c>
      <c r="W16" s="37">
        <f>Assumptions!X43</f>
        <v>0.99835716395078977</v>
      </c>
      <c r="X16" s="37">
        <f>Assumptions!Y43</f>
        <v>0.99835716395078977</v>
      </c>
      <c r="Y16" s="37">
        <f>Assumptions!Z43</f>
        <v>0.99835716395078977</v>
      </c>
      <c r="Z16" s="37">
        <f>Assumptions!AA43</f>
        <v>0.99835716395078977</v>
      </c>
      <c r="AA16" s="37">
        <f>Assumptions!AB43</f>
        <v>0.99835716395078977</v>
      </c>
      <c r="AB16" s="37">
        <f>Assumptions!AC43</f>
        <v>0.99835716395078977</v>
      </c>
      <c r="AC16" s="37">
        <f>Assumptions!AD43</f>
        <v>0.99835716395078977</v>
      </c>
      <c r="AD16" s="37">
        <f>Assumptions!AE43</f>
        <v>0.99835716395078977</v>
      </c>
      <c r="AE16" s="37">
        <f>Assumptions!AF43</f>
        <v>0.99835716395078977</v>
      </c>
      <c r="AF16" s="37">
        <f>Assumptions!AG43</f>
        <v>0.99835716395078977</v>
      </c>
    </row>
    <row r="17" spans="1:32" x14ac:dyDescent="0.35">
      <c r="A17" t="s">
        <v>61</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82</v>
      </c>
      <c r="C19" s="44">
        <f>(C12*C16)-C12</f>
        <v>0</v>
      </c>
      <c r="D19" s="44">
        <f t="shared" ref="D19:AF19" si="3">(D12*D16)-D12</f>
        <v>0</v>
      </c>
      <c r="E19" s="44">
        <f t="shared" si="3"/>
        <v>0</v>
      </c>
      <c r="F19" s="44">
        <f t="shared" si="3"/>
        <v>0</v>
      </c>
      <c r="G19" s="44">
        <f t="shared" si="3"/>
        <v>-2903.6456359513104</v>
      </c>
      <c r="H19" s="44">
        <f t="shared" si="3"/>
        <v>-6024.943355102092</v>
      </c>
      <c r="I19" s="44">
        <f t="shared" si="3"/>
        <v>-9376.1292959861457</v>
      </c>
      <c r="J19" s="44">
        <f t="shared" si="3"/>
        <v>-12970.051066208631</v>
      </c>
      <c r="K19" s="44">
        <f t="shared" si="3"/>
        <v>-16820.196389317513</v>
      </c>
      <c r="L19" s="44">
        <f t="shared" si="3"/>
        <v>-18848.729590322822</v>
      </c>
      <c r="M19" s="44">
        <f t="shared" si="3"/>
        <v>-21005.862499896437</v>
      </c>
      <c r="N19" s="44">
        <f t="shared" si="3"/>
        <v>-23298.391722567379</v>
      </c>
      <c r="O19" s="44">
        <f t="shared" si="3"/>
        <v>-25733.442924618721</v>
      </c>
      <c r="P19" s="44">
        <f t="shared" si="3"/>
        <v>-28318.485962025821</v>
      </c>
      <c r="Q19" s="44">
        <f t="shared" si="3"/>
        <v>-30502.195045445114</v>
      </c>
      <c r="R19" s="44">
        <f t="shared" si="3"/>
        <v>-32809.980767779052</v>
      </c>
      <c r="S19" s="44">
        <f t="shared" si="3"/>
        <v>-35248.082596551627</v>
      </c>
      <c r="T19" s="44">
        <f t="shared" si="3"/>
        <v>-37823.033647999167</v>
      </c>
      <c r="U19" s="44">
        <f t="shared" si="3"/>
        <v>-40541.673942904919</v>
      </c>
      <c r="V19" s="44">
        <f t="shared" si="3"/>
        <v>-42065.287642460316</v>
      </c>
      <c r="W19" s="44">
        <f t="shared" si="3"/>
        <v>-43646.160909261554</v>
      </c>
      <c r="X19" s="44">
        <f t="shared" si="3"/>
        <v>-45286.445639189333</v>
      </c>
      <c r="Y19" s="44">
        <f t="shared" si="3"/>
        <v>-46988.37459943071</v>
      </c>
      <c r="Z19" s="44">
        <f t="shared" si="3"/>
        <v>-48754.264467723668</v>
      </c>
      <c r="AA19" s="44">
        <f t="shared" si="3"/>
        <v>-50586.51898586005</v>
      </c>
      <c r="AB19" s="44">
        <f t="shared" si="3"/>
        <v>-52487.632231656462</v>
      </c>
      <c r="AC19" s="44">
        <f t="shared" si="3"/>
        <v>-54460.192013919353</v>
      </c>
      <c r="AD19" s="44">
        <f t="shared" si="3"/>
        <v>-56506.88339497894</v>
      </c>
      <c r="AE19" s="44">
        <f t="shared" si="3"/>
        <v>-58630.492345638573</v>
      </c>
      <c r="AF19" s="44">
        <f t="shared" si="3"/>
        <v>-60833.909537419677</v>
      </c>
    </row>
    <row r="20" spans="1:32" x14ac:dyDescent="0.35">
      <c r="A20" t="s">
        <v>83</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93</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84</v>
      </c>
      <c r="C24" s="44">
        <f>(C14*C16)-C14</f>
        <v>0</v>
      </c>
      <c r="D24" s="44">
        <f t="shared" ref="D24:AF24" si="6">(D14*D16)-D14</f>
        <v>0</v>
      </c>
      <c r="E24" s="44">
        <f t="shared" si="6"/>
        <v>0</v>
      </c>
      <c r="F24" s="44">
        <f t="shared" si="6"/>
        <v>0</v>
      </c>
      <c r="G24" s="44">
        <f t="shared" si="6"/>
        <v>-515.88221091637388</v>
      </c>
      <c r="H24" s="44">
        <f t="shared" si="6"/>
        <v>-1265.1582110598683</v>
      </c>
      <c r="I24" s="44">
        <f t="shared" si="6"/>
        <v>-2262.3571571884677</v>
      </c>
      <c r="J24" s="44">
        <f t="shared" si="6"/>
        <v>-3522.6310271276161</v>
      </c>
      <c r="K24" s="44">
        <f t="shared" si="6"/>
        <v>-5061.777056472376</v>
      </c>
      <c r="L24" s="44">
        <f t="shared" si="6"/>
        <v>-6207.3908902909607</v>
      </c>
      <c r="M24" s="44">
        <f t="shared" si="6"/>
        <v>-7494.8062411192805</v>
      </c>
      <c r="N24" s="44">
        <f t="shared" si="6"/>
        <v>-8931.7500445405021</v>
      </c>
      <c r="O24" s="44">
        <f t="shared" si="6"/>
        <v>-10526.26502726227</v>
      </c>
      <c r="P24" s="44">
        <f t="shared" si="6"/>
        <v>-12286.720829054713</v>
      </c>
      <c r="Q24" s="44">
        <f t="shared" si="6"/>
        <v>-13965.832954702899</v>
      </c>
      <c r="R24" s="44">
        <f t="shared" si="6"/>
        <v>-15782.594212628901</v>
      </c>
      <c r="S24" s="44">
        <f t="shared" si="6"/>
        <v>-17743.771089447662</v>
      </c>
      <c r="T24" s="44">
        <f t="shared" si="6"/>
        <v>-19856.39442939125</v>
      </c>
      <c r="U24" s="44">
        <f t="shared" si="6"/>
        <v>-22127.768517352641</v>
      </c>
      <c r="V24" s="44">
        <f t="shared" si="6"/>
        <v>-23803.937686027959</v>
      </c>
      <c r="W24" s="44">
        <f t="shared" si="6"/>
        <v>-25543.148458164185</v>
      </c>
      <c r="X24" s="44">
        <f t="shared" si="6"/>
        <v>-27347.363398432732</v>
      </c>
      <c r="Y24" s="44">
        <f t="shared" si="6"/>
        <v>-29218.600912220776</v>
      </c>
      <c r="Z24" s="44">
        <f t="shared" si="6"/>
        <v>-31158.936752729118</v>
      </c>
      <c r="AA24" s="44">
        <f t="shared" si="6"/>
        <v>-33170.505567379296</v>
      </c>
      <c r="AB24" s="44">
        <f t="shared" si="6"/>
        <v>-35255.502484485507</v>
      </c>
      <c r="AC24" s="44">
        <f t="shared" si="6"/>
        <v>-37416.184741251171</v>
      </c>
      <c r="AD24" s="44">
        <f t="shared" si="6"/>
        <v>-39654.873354110867</v>
      </c>
      <c r="AE24" s="44">
        <f t="shared" si="6"/>
        <v>-41973.954832520336</v>
      </c>
      <c r="AF24" s="44">
        <f t="shared" si="6"/>
        <v>-44375.882937278599</v>
      </c>
    </row>
    <row r="25" spans="1:32" x14ac:dyDescent="0.35">
      <c r="A25" t="s">
        <v>85</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45</v>
      </c>
      <c r="C27" s="2">
        <f>C12+C13+C14+C19+C20+C22+C24+C25</f>
        <v>13182616.922710026</v>
      </c>
      <c r="D27" s="2">
        <f t="shared" ref="D27:AF27" si="8">D12+D13+D14+D19+D20+D22+D24+D25</f>
        <v>14160680.849935872</v>
      </c>
      <c r="E27" s="2">
        <f t="shared" si="8"/>
        <v>15178483.258953931</v>
      </c>
      <c r="F27" s="2">
        <f t="shared" si="8"/>
        <v>16237415.163212299</v>
      </c>
      <c r="G27" s="2">
        <f t="shared" si="8"/>
        <v>17335393.886285875</v>
      </c>
      <c r="H27" s="2">
        <f t="shared" si="8"/>
        <v>18476866.493828997</v>
      </c>
      <c r="I27" s="2">
        <f t="shared" si="8"/>
        <v>19663333.949777119</v>
      </c>
      <c r="J27" s="2">
        <f t="shared" si="8"/>
        <v>20896346.751287043</v>
      </c>
      <c r="K27" s="2">
        <f t="shared" si="8"/>
        <v>22177506.553794235</v>
      </c>
      <c r="L27" s="2">
        <f t="shared" si="8"/>
        <v>23511315.840293556</v>
      </c>
      <c r="M27" s="2">
        <f t="shared" si="8"/>
        <v>24897034.559299283</v>
      </c>
      <c r="N27" s="2">
        <f t="shared" si="8"/>
        <v>26336451.690598536</v>
      </c>
      <c r="O27" s="2">
        <f t="shared" si="8"/>
        <v>27831415.497444425</v>
      </c>
      <c r="P27" s="2">
        <f t="shared" si="8"/>
        <v>29383835.483671099</v>
      </c>
      <c r="Q27" s="2">
        <f t="shared" si="8"/>
        <v>30996516.19895345</v>
      </c>
      <c r="R27" s="2">
        <f t="shared" si="8"/>
        <v>32670769.720722832</v>
      </c>
      <c r="S27" s="2">
        <f t="shared" si="8"/>
        <v>34408707.842037335</v>
      </c>
      <c r="T27" s="2">
        <f t="shared" si="8"/>
        <v>36212512.381302997</v>
      </c>
      <c r="U27" s="2">
        <f t="shared" si="8"/>
        <v>38084437.501281954</v>
      </c>
      <c r="V27" s="2">
        <f t="shared" si="8"/>
        <v>40028956.646159768</v>
      </c>
      <c r="W27" s="2">
        <f t="shared" si="8"/>
        <v>42046583.229643404</v>
      </c>
      <c r="X27" s="2">
        <f t="shared" si="8"/>
        <v>44139817.623678997</v>
      </c>
      <c r="Y27" s="2">
        <f t="shared" si="8"/>
        <v>46311243.280577488</v>
      </c>
      <c r="Z27" s="2">
        <f t="shared" si="8"/>
        <v>48563529.495858431</v>
      </c>
      <c r="AA27" s="2">
        <f t="shared" si="8"/>
        <v>50899434.26437977</v>
      </c>
      <c r="AB27" s="2">
        <f t="shared" si="8"/>
        <v>53321807.23296918</v>
      </c>
      <c r="AC27" s="2">
        <f t="shared" si="8"/>
        <v>55833592.752886079</v>
      </c>
      <c r="AD27" s="2">
        <f t="shared" si="8"/>
        <v>58437833.035560369</v>
      </c>
      <c r="AE27" s="2">
        <f t="shared" si="8"/>
        <v>61137671.4151759</v>
      </c>
      <c r="AF27" s="2">
        <f t="shared" si="8"/>
        <v>63936355.721791551</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3W2DU3RAJ5R2-1900874439-871</_dlc_DocId>
    <_dlc_DocIdUrl xmlns="f54e2983-00ce-40fc-8108-18f351fc47bf">
      <Url>https://dia.cohesion.net.nz/Sites/LGV/TWRP/CAE/_layouts/15/DocIdRedir.aspx?ID=3W2DU3RAJ5R2-1900874439-871</Url>
      <Description>3W2DU3RAJ5R2-1900874439-871</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2.xml><?xml version="1.0" encoding="utf-8"?>
<ds:datastoreItem xmlns:ds="http://schemas.openxmlformats.org/officeDocument/2006/customXml" ds:itemID="{0450AB2C-566A-48B6-B5F2-AF4713BCD79B}"/>
</file>

<file path=customXml/itemProps3.xml><?xml version="1.0" encoding="utf-8"?>
<ds:datastoreItem xmlns:ds="http://schemas.openxmlformats.org/officeDocument/2006/customXml" ds:itemID="{CBCC2D2A-763C-48F8-A3E5-6B0A81386C39}">
  <ds:schemaRefs>
    <ds:schemaRef ds:uri="65b6d800-2dda-48d6-88d8-9e2b35e6f7ea"/>
    <ds:schemaRef ds:uri="http://purl.org/dc/elements/1.1/"/>
    <ds:schemaRef ds:uri="http://schemas.microsoft.com/office/2006/metadata/properties"/>
    <ds:schemaRef ds:uri="http://schemas.microsoft.com/office/2006/documentManagement/type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08a23fc5-e034-477c-ac83-93bc1440f322"/>
    <ds:schemaRef ds:uri="http://www.w3.org/XML/1998/namespace"/>
  </ds:schemaRefs>
</ds:datastoreItem>
</file>

<file path=customXml/itemProps4.xml><?xml version="1.0" encoding="utf-8"?>
<ds:datastoreItem xmlns:ds="http://schemas.openxmlformats.org/officeDocument/2006/customXml" ds:itemID="{8A8B4060-5341-4CF1-AAD4-B8E0ACD39FA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2021-07-06T14:28:07Z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de48f9ea-a21a-4c4c-99ac-155eceeecb91</vt:lpwstr>
  </property>
</Properties>
</file>