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5" documentId="8_{52D80E6B-6D29-4CB6-BD92-C88FE5C0219E}" xr6:coauthVersionLast="47" xr6:coauthVersionMax="47" xr10:uidLastSave="{A705EFA8-9383-475E-8501-63628D5B32D6}"/>
  <bookViews>
    <workbookView xWindow="1290" yWindow="-110" windowWidth="37220" windowHeight="2182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5" i="2" l="1"/>
  <c r="C7" i="21"/>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<sst xmlns="http://schemas.openxmlformats.org/spreadsheetml/2006/main" count="276" uniqueCount="204">
  <si>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</si>
  <si>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</si>
  <si>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</si>
  <si>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</si>
  <si>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</si>
  <si>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</si>
  <si>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</si>
  <si>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</si>
  <si>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</si>
  <si>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</si>
  <si>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</si>
  <si>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</si>
  <si>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</si>
  <si>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</si>
  <si>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</si>
  <si>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</si>
  <si>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</si>
  <si>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</si>
  <si>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</si>
  <si>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</si>
  <si>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</si>
  <si>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</si>
  <si>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</si>
  <si>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</si>
  <si>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</si>
  <si>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</si>
  <si>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</si>
  <si>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</si>
  <si>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</si>
  <si>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</si>
  <si>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</si>
  <si>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</si>
  <si>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</si>
  <si>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</si>
  <si>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</si>
  <si>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</si>
  <si>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</si>
  <si>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</si>
  <si>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</si>
  <si>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</si>
  <si>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</si>
  <si>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</si>
  <si>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</si>
  <si>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</si>
  <si>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</si>
  <si>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</si>
  <si>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</si>
  <si>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</si>
  <si>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</si>
  <si>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</si>
  <si>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</si>
  <si>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</si>
  <si>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</si>
  <si>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</si>
  <si>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</si>
  <si>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</si>
  <si>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</si>
  <si>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</si>
  <si>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</si>
  <si>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</si>
  <si>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</si>
  <si>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</si>
  <si>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</si>
  <si>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</si>
  <si>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</si>
  <si>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</si>
  <si>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</si>
  <si>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</si>
  <si>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</si>
  <si>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</si>
  <si>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</si>
  <si>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</si>
  <si>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</si>
  <si>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</si>
  <si>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</si>
  <si>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</si>
  <si>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</si>
  <si>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</si>
  <si>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</si>
  <si>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</si>
  <si>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</si>
  <si>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</si>
  <si>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</si>
  <si>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</si>
  <si>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</si>
  <si>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</si>
  <si>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</si>
  <si>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</si>
  <si>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</si>
  <si>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</si>
  <si>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</si>
  <si>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</si>
  <si>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</si>
  <si>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</si>
  <si>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</si>
  <si>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</si>
  <si>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</si>
  <si>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</si>
  <si>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</si>
  <si>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</si>
  <si>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</si>
  <si>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</si>
  <si>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</si>
  <si>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</si>
  <si>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</si>
  <si>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</si>
  <si>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</si>
  <si>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</si>
  <si>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</si>
  <si>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</si>
  <si>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</si>
  <si>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</si>
  <si>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</si>
  <si>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</si>
  <si>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</si>
  <si>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</si>
  <si>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</si>
  <si>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</si>
  <si>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</si>
  <si>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</si>
  <si>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</si>
  <si>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</si>
  <si>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</si>
  <si>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</si>
  <si>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</si>
  <si>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</si>
  <si>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</si>
  <si>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</si>
  <si>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</si>
  <si>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</si>
  <si>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</si>
  <si>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</si>
  <si>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</si>
  <si>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</si>
  <si>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</si>
  <si>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</si>
  <si>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</si>
  <si>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</si>
  <si>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</si>
  <si>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</si>
  <si>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</si>
  <si>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</si>
  <si>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</si>
  <si>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</si>
  <si>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</si>
  <si>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</si>
  <si>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</si>
  <si>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</si>
  <si>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</si>
  <si>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</si>
  <si>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</si>
  <si>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</si>
  <si>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</si>
  <si>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</si>
  <si>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</si>
  <si>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</si>
  <si>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</si>
  <si>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</si>
  <si>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</si>
  <si>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</si>
  <si>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</si>
  <si>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</si>
  <si>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</si>
  <si>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</si>
  <si>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</si>
  <si>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</si>
  <si>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</si>
  <si>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</si>
  <si>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</si>
  <si>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</si>
  <si>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</si>
  <si>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</si>
  <si>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</si>
  <si>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</si>
  <si>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</si>
  <si>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</si>
  <si>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</si>
  <si>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</si>
  <si>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</si>
  <si>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</si>
  <si>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</si>
  <si>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</si>
  <si>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</si>
  <si>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</si>
  <si>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</si>
  <si>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</si>
  <si>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</si>
  <si>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</si>
  <si>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</si>
  <si>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</si>
  <si>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</si>
  <si>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</si>
  <si>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</si>
  <si>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</si>
  <si>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</si>
  <si>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</si>
  <si>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</si>
  <si>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A1.47</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</si>
  <si>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</si>
  <si>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</si>
  <si>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</si>
  <si>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</si>
  <si>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</si>
  <si>
    <t>Timaru Stand-alone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</si>
</sst>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89">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18"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xf>
    <xf numFmtId="0" fontId="16" fillId="0" borderId="0" xfId="0" applyFont="1" applyFill="1" applyAlignment="1">
      <alignment horizontal="center"/>
    </xf>
    <xf numFmtId="2" fontId="16" fillId="0" borderId="0" xfId="2" applyNumberFormat="1" applyFont="1" applyFill="1" applyAlignment="1">
      <alignment horizontal="center"/>
    </xf>
    <xf numFmtId="1" fontId="17" fillId="0" borderId="0" xfId="2" applyNumberFormat="1" applyFont="1" applyFill="1" applyAlignment="1">
      <alignment horizontal="center"/>
    </xf>
    <xf numFmtId="173" fontId="16" fillId="0" borderId="0" xfId="0" applyNumberFormat="1" applyFont="1" applyFill="1" applyAlignment="1">
      <alignment horizontal="center"/>
    </xf>
    <xf numFmtId="0" fontId="17" fillId="0" borderId="0" xfId="0" applyFont="1" applyFill="1" applyAlignment="1">
      <alignment horizontal="center"/>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203</v>
      </c>
      <c r="C2" s="171"/>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7">
        <v>1</v>
      </c>
      <c r="B7" s="104" t="s">
        <v>168</v>
      </c>
    </row>
    <row r="8" spans="1:6" ht="408" customHeight="1" x14ac:dyDescent="0.35">
      <c r="A8" s="107">
        <v>2</v>
      </c>
      <c r="B8" s="104" t="s">
        <v>189</v>
      </c>
    </row>
    <row r="9" spans="1:6" ht="195.5" customHeight="1" x14ac:dyDescent="0.35">
      <c r="A9" s="107">
        <f>A8+1</f>
        <v>3</v>
      </c>
      <c r="B9" s="105" t="s">
        <v>172</v>
      </c>
    </row>
    <row r="10" spans="1:6" ht="236" customHeight="1" x14ac:dyDescent="0.35">
      <c r="A10" s="107">
        <v>4</v>
      </c>
      <c r="B10" s="105" t="s">
        <v>173</v>
      </c>
    </row>
    <row r="11" spans="1:6" ht="21" x14ac:dyDescent="0.35">
      <c r="A11" s="107">
        <f>A10+1</f>
        <v>5</v>
      </c>
      <c r="B11" s="63" t="s">
        <v>187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150" zoomScaleNormal="15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190</v>
      </c>
      <c r="B6" s="1">
        <f>Assumptions!C17</f>
        <v>966282870.02237308</v>
      </c>
      <c r="C6" s="12">
        <f ca="1">B6+Depreciation!C18+'Cash Flow'!C13</f>
        <v>979801165.96707392</v>
      </c>
      <c r="D6" s="1">
        <f ca="1">C6+Depreciation!D18</f>
        <v>1029686859.2787274</v>
      </c>
      <c r="E6" s="1">
        <f ca="1">D6+Depreciation!E18</f>
        <v>1081999482.9440901</v>
      </c>
      <c r="F6" s="1">
        <f ca="1">E6+Depreciation!F18</f>
        <v>1136843277.5558484</v>
      </c>
      <c r="G6" s="1">
        <f ca="1">F6+Depreciation!G18</f>
        <v>1194326669.9279382</v>
      </c>
      <c r="H6" s="1">
        <f ca="1">G6+Depreciation!H18</f>
        <v>1254562434.2713382</v>
      </c>
      <c r="I6" s="1">
        <f ca="1">H6+Depreciation!I18</f>
        <v>1317667859.3984234</v>
      </c>
      <c r="J6" s="1">
        <f ca="1">I6+Depreciation!J18</f>
        <v>1383764922.176662</v>
      </c>
      <c r="K6" s="1">
        <f ca="1">J6+Depreciation!K18</f>
        <v>1452980467.4603975</v>
      </c>
      <c r="L6" s="1">
        <f ca="1">K6+Depreciation!L18</f>
        <v>1525446394.7376969</v>
      </c>
      <c r="M6" s="1">
        <f ca="1">L6+Depreciation!M18</f>
        <v>1601299851.7377779</v>
      </c>
      <c r="N6" s="1">
        <f ca="1">M6+Depreciation!N18</f>
        <v>1680683435.2533665</v>
      </c>
      <c r="O6" s="1">
        <f ca="1">N6+Depreciation!O18</f>
        <v>1763745399.4414868</v>
      </c>
      <c r="P6" s="1">
        <f ca="1">O6+Depreciation!P18</f>
        <v>1850639871.8756611</v>
      </c>
      <c r="Q6" s="1">
        <f ca="1">P6+Depreciation!Q18</f>
        <v>1941527077.6323082</v>
      </c>
      <c r="R6" s="1">
        <f ca="1">Q6+Depreciation!R18</f>
        <v>2036573571.704294</v>
      </c>
      <c r="S6" s="1">
        <f ca="1">R6+Depreciation!S18</f>
        <v>2135952480.045105</v>
      </c>
      <c r="T6" s="1">
        <f ca="1">S6+Depreciation!T18</f>
        <v>2239843749.5580163</v>
      </c>
      <c r="U6" s="1">
        <f ca="1">T6+Depreciation!U18</f>
        <v>2348434407.3559017</v>
      </c>
      <c r="V6" s="1">
        <f ca="1">U6+Depreciation!V18</f>
        <v>2461918829.6290178</v>
      </c>
      <c r="W6" s="1">
        <f ca="1">V6+Depreciation!W18</f>
        <v>2580499020.4701948</v>
      </c>
      <c r="X6" s="1">
        <f ca="1">W6+Depreciation!X18</f>
        <v>2704384901.019381</v>
      </c>
      <c r="Y6" s="1">
        <f ca="1">X6+Depreciation!Y18</f>
        <v>2833794609.3024673</v>
      </c>
      <c r="Z6" s="1">
        <f ca="1">Y6+Depreciation!Z18</f>
        <v>2968954811.152741</v>
      </c>
      <c r="AA6" s="1">
        <f ca="1">Z6+Depreciation!AA18</f>
        <v>3110101022.6172199</v>
      </c>
      <c r="AB6" s="1">
        <f ca="1">AA6+Depreciation!AB18</f>
        <v>3257477944.2645192</v>
      </c>
      <c r="AC6" s="1">
        <f ca="1">AB6+Depreciation!AC18</f>
        <v>3411339807.825799</v>
      </c>
      <c r="AD6" s="1">
        <f ca="1">AC6+Depreciation!AD18</f>
        <v>3571950735.6157875</v>
      </c>
      <c r="AE6" s="1">
        <f ca="1">AD6+Depreciation!AE18</f>
        <v>3739585113.1968355</v>
      </c>
      <c r="AF6" s="1"/>
      <c r="AG6" s="1"/>
      <c r="AH6" s="1"/>
      <c r="AI6" s="1"/>
      <c r="AJ6" s="1"/>
      <c r="AK6" s="1"/>
      <c r="AL6" s="1"/>
      <c r="AM6" s="1"/>
      <c r="AN6" s="1"/>
      <c r="AO6" s="1"/>
      <c r="AP6" s="1"/>
    </row>
    <row r="7" spans="1:42" x14ac:dyDescent="0.35">
      <c r="A7" t="s">
        <v>12</v>
      </c>
      <c r="B7" s="1">
        <f>Depreciation!C12</f>
        <v>498205515.26434654</v>
      </c>
      <c r="C7" s="1">
        <f>Depreciation!D12</f>
        <v>514556479.58147621</v>
      </c>
      <c r="D7" s="1">
        <f>Depreciation!E12</f>
        <v>532261262.92449045</v>
      </c>
      <c r="E7" s="1">
        <f>Depreciation!F12</f>
        <v>551389766.32358515</v>
      </c>
      <c r="F7" s="1">
        <f>Depreciation!G12</f>
        <v>572014978.16420603</v>
      </c>
      <c r="G7" s="1">
        <f>Depreciation!H12</f>
        <v>594213100.19913018</v>
      </c>
      <c r="H7" s="1">
        <f>Depreciation!I12</f>
        <v>618063678.46386826</v>
      </c>
      <c r="I7" s="1">
        <f>Depreciation!J12</f>
        <v>643649739.2801646</v>
      </c>
      <c r="J7" s="1">
        <f>Depreciation!K12</f>
        <v>671057930.53917575</v>
      </c>
      <c r="K7" s="1">
        <f>Depreciation!L12</f>
        <v>700378668.46295965</v>
      </c>
      <c r="L7" s="1">
        <f>Depreciation!M12</f>
        <v>731706290.05021262</v>
      </c>
      <c r="M7" s="1">
        <f>Depreciation!N12</f>
        <v>765139211.41976249</v>
      </c>
      <c r="N7" s="1">
        <f>Depreciation!O12</f>
        <v>800780092.27317107</v>
      </c>
      <c r="O7" s="1">
        <f>Depreciation!P12</f>
        <v>838736006.70592284</v>
      </c>
      <c r="P7" s="1">
        <f>Depreciation!Q12</f>
        <v>879118620.60510194</v>
      </c>
      <c r="Q7" s="1">
        <f>Depreciation!R12</f>
        <v>922044375.8801806</v>
      </c>
      <c r="R7" s="1">
        <f>Depreciation!S12</f>
        <v>967634681.78258348</v>
      </c>
      <c r="S7" s="1">
        <f>Depreciation!T12</f>
        <v>1016016113.5790577</v>
      </c>
      <c r="T7" s="1">
        <f>Depreciation!U12</f>
        <v>1067320618.8535799</v>
      </c>
      <c r="U7" s="1">
        <f>Depreciation!V12</f>
        <v>1121685731.7225854</v>
      </c>
      <c r="V7" s="1">
        <f>Depreciation!W12</f>
        <v>1179254795.2587202</v>
      </c>
      <c r="W7" s="1">
        <f>Depreciation!X12</f>
        <v>1240177192.4291024</v>
      </c>
      <c r="X7" s="1">
        <f>Depreciation!Y12</f>
        <v>1304608585.8652632</v>
      </c>
      <c r="Y7" s="1">
        <f>Depreciation!Z12</f>
        <v>1372711166.7935097</v>
      </c>
      <c r="Z7" s="1">
        <f>Depreciation!AA12</f>
        <v>1444653913.4664569</v>
      </c>
      <c r="AA7" s="1">
        <f>Depreciation!AB12</f>
        <v>1520612859.448895</v>
      </c>
      <c r="AB7" s="1">
        <f>Depreciation!AC12</f>
        <v>1600771372.1240385</v>
      </c>
      <c r="AC7" s="1">
        <f>Depreciation!AD12</f>
        <v>1685320441.7995343</v>
      </c>
      <c r="AD7" s="1">
        <f>Depreciation!AE12</f>
        <v>1774458981.8064258</v>
      </c>
      <c r="AE7" s="1">
        <f>Depreciation!AF12</f>
        <v>1868394139.9985747</v>
      </c>
      <c r="AF7" s="1"/>
      <c r="AG7" s="1"/>
      <c r="AH7" s="1"/>
      <c r="AI7" s="1"/>
      <c r="AJ7" s="1"/>
      <c r="AK7" s="1"/>
      <c r="AL7" s="1"/>
      <c r="AM7" s="1"/>
      <c r="AN7" s="1"/>
      <c r="AO7" s="1"/>
      <c r="AP7" s="1"/>
    </row>
    <row r="8" spans="1:42" x14ac:dyDescent="0.35">
      <c r="A8" t="s">
        <v>191</v>
      </c>
      <c r="B8" s="1">
        <f t="shared" ref="B8:AE8" si="1">B6-B7</f>
        <v>468077354.75802654</v>
      </c>
      <c r="C8" s="1">
        <f t="shared" ca="1" si="1"/>
        <v>465244686.38559771</v>
      </c>
      <c r="D8" s="1">
        <f ca="1">D6-D7</f>
        <v>497425596.35423696</v>
      </c>
      <c r="E8" s="1">
        <f t="shared" ca="1" si="1"/>
        <v>530609716.62050498</v>
      </c>
      <c r="F8" s="1">
        <f t="shared" ca="1" si="1"/>
        <v>564828299.39164233</v>
      </c>
      <c r="G8" s="1">
        <f t="shared" ca="1" si="1"/>
        <v>600113569.72880805</v>
      </c>
      <c r="H8" s="1">
        <f t="shared" ca="1" si="1"/>
        <v>636498755.80746996</v>
      </c>
      <c r="I8" s="1">
        <f t="shared" ca="1" si="1"/>
        <v>674018120.11825883</v>
      </c>
      <c r="J8" s="1">
        <f t="shared" ca="1" si="1"/>
        <v>712706991.63748622</v>
      </c>
      <c r="K8" s="1">
        <f t="shared" ca="1" si="1"/>
        <v>752601798.99743783</v>
      </c>
      <c r="L8" s="1">
        <f t="shared" ca="1" si="1"/>
        <v>793740104.68748426</v>
      </c>
      <c r="M8" s="1">
        <f t="shared" ca="1" si="1"/>
        <v>836160640.31801546</v>
      </c>
      <c r="N8" s="1">
        <f t="shared" ca="1" si="1"/>
        <v>879903342.9801954</v>
      </c>
      <c r="O8" s="1">
        <f t="shared" ca="1" si="1"/>
        <v>925009392.73556399</v>
      </c>
      <c r="P8" s="1">
        <f t="shared" ca="1" si="1"/>
        <v>971521251.27055919</v>
      </c>
      <c r="Q8" s="1">
        <f t="shared" ca="1" si="1"/>
        <v>1019482701.7521276</v>
      </c>
      <c r="R8" s="1">
        <f t="shared" ca="1" si="1"/>
        <v>1068938889.9217105</v>
      </c>
      <c r="S8" s="1">
        <f t="shared" ca="1" si="1"/>
        <v>1119936366.4660473</v>
      </c>
      <c r="T8" s="1">
        <f t="shared" ca="1" si="1"/>
        <v>1172523130.7044363</v>
      </c>
      <c r="U8" s="1">
        <f t="shared" ca="1" si="1"/>
        <v>1226748675.6333163</v>
      </c>
      <c r="V8" s="1">
        <f t="shared" ca="1" si="1"/>
        <v>1282664034.3702977</v>
      </c>
      <c r="W8" s="1">
        <f t="shared" ca="1" si="1"/>
        <v>1340321828.0410924</v>
      </c>
      <c r="X8" s="1">
        <f t="shared" ca="1" si="1"/>
        <v>1399776315.1541178</v>
      </c>
      <c r="Y8" s="1">
        <f t="shared" ca="1" si="1"/>
        <v>1461083442.5089576</v>
      </c>
      <c r="Z8" s="1">
        <f t="shared" ca="1" si="1"/>
        <v>1524300897.6862841</v>
      </c>
      <c r="AA8" s="1">
        <f t="shared" ca="1" si="1"/>
        <v>1589488163.1683249</v>
      </c>
      <c r="AB8" s="1">
        <f t="shared" ca="1" si="1"/>
        <v>1656706572.1404808</v>
      </c>
      <c r="AC8" s="1">
        <f t="shared" ca="1" si="1"/>
        <v>1726019366.0262647</v>
      </c>
      <c r="AD8" s="1">
        <f t="shared" ca="1" si="1"/>
        <v>1797491753.8093617</v>
      </c>
      <c r="AE8" s="1">
        <f t="shared" ca="1" si="1"/>
        <v>1871190973.1982608</v>
      </c>
      <c r="AF8" s="1"/>
      <c r="AG8" s="1"/>
      <c r="AH8" s="1"/>
      <c r="AI8" s="1"/>
      <c r="AJ8" s="1"/>
      <c r="AK8" s="1"/>
      <c r="AL8" s="1"/>
      <c r="AM8" s="1"/>
      <c r="AN8" s="1"/>
      <c r="AO8" s="1"/>
      <c r="AP8" s="1"/>
    </row>
    <row r="10" spans="1:42" x14ac:dyDescent="0.35">
      <c r="A10" t="s">
        <v>17</v>
      </c>
      <c r="B10" s="1">
        <f>B8-B11</f>
        <v>411181354.75802654</v>
      </c>
      <c r="C10" s="1">
        <f ca="1">C8-C11</f>
        <v>374308009.64058447</v>
      </c>
      <c r="D10" s="1">
        <f ca="1">D8-D11</f>
        <v>376615221.40741998</v>
      </c>
      <c r="E10" s="1">
        <f t="shared" ref="E10:AE10" ca="1" si="2">E8-E11</f>
        <v>386903581.98429328</v>
      </c>
      <c r="F10" s="1">
        <f t="shared" ca="1" si="2"/>
        <v>401790432.69892144</v>
      </c>
      <c r="G10" s="1">
        <f ca="1">G8-G11</f>
        <v>421482062.9650569</v>
      </c>
      <c r="H10" s="1">
        <f t="shared" ca="1" si="2"/>
        <v>443126467.52507883</v>
      </c>
      <c r="I10" s="1">
        <f t="shared" ca="1" si="2"/>
        <v>467109244.86180043</v>
      </c>
      <c r="J10" s="1">
        <f t="shared" ca="1" si="2"/>
        <v>492247924.88809979</v>
      </c>
      <c r="K10" s="1">
        <f t="shared" ca="1" si="2"/>
        <v>518729742.14703506</v>
      </c>
      <c r="L10" s="1">
        <f t="shared" ca="1" si="2"/>
        <v>546764141.02907515</v>
      </c>
      <c r="M10" s="1">
        <f t="shared" ca="1" si="2"/>
        <v>575605250.77741885</v>
      </c>
      <c r="N10" s="1">
        <f t="shared" ca="1" si="2"/>
        <v>605358686.5235312</v>
      </c>
      <c r="O10" s="1">
        <f t="shared" ca="1" si="2"/>
        <v>636142440.12781715</v>
      </c>
      <c r="P10" s="1">
        <f t="shared" ca="1" si="2"/>
        <v>667511659.39276659</v>
      </c>
      <c r="Q10" s="1">
        <f t="shared" ca="1" si="2"/>
        <v>699530216.048733</v>
      </c>
      <c r="R10" s="1">
        <f t="shared" ca="1" si="2"/>
        <v>732270008.59872699</v>
      </c>
      <c r="S10" s="1">
        <f t="shared" ca="1" si="2"/>
        <v>765811684.21202517</v>
      </c>
      <c r="T10" s="1">
        <f t="shared" ca="1" si="2"/>
        <v>800245413.81082201</v>
      </c>
      <c r="U10" s="1">
        <f t="shared" ca="1" si="2"/>
        <v>835671723.83155465</v>
      </c>
      <c r="V10" s="1">
        <f t="shared" ca="1" si="2"/>
        <v>872202388.35389209</v>
      </c>
      <c r="W10" s="1">
        <f t="shared" ca="1" si="2"/>
        <v>909961385.51395214</v>
      </c>
      <c r="X10" s="1">
        <f t="shared" ca="1" si="2"/>
        <v>949085922.35473633</v>
      </c>
      <c r="Y10" s="1">
        <f t="shared" ca="1" si="2"/>
        <v>989727532.5168314</v>
      </c>
      <c r="Z10" s="1">
        <f t="shared" ca="1" si="2"/>
        <v>1031108231.7333351</v>
      </c>
      <c r="AA10" s="1">
        <f t="shared" ca="1" si="2"/>
        <v>1073286468.1806966</v>
      </c>
      <c r="AB10" s="1">
        <f t="shared" ca="1" si="2"/>
        <v>1116327660.210145</v>
      </c>
      <c r="AC10" s="1">
        <f t="shared" ca="1" si="2"/>
        <v>1160304807.0563169</v>
      </c>
      <c r="AD10" s="1">
        <f t="shared" ca="1" si="2"/>
        <v>1205299143.0457561</v>
      </c>
      <c r="AE10" s="1">
        <f t="shared" ca="1" si="2"/>
        <v>1251400838.035342</v>
      </c>
      <c r="AF10" s="1"/>
      <c r="AG10" s="1"/>
      <c r="AH10" s="1"/>
      <c r="AI10" s="1"/>
      <c r="AJ10" s="1"/>
      <c r="AK10" s="1"/>
      <c r="AL10" s="1"/>
      <c r="AM10" s="1"/>
      <c r="AN10" s="1"/>
      <c r="AO10" s="1"/>
    </row>
    <row r="11" spans="1:42" x14ac:dyDescent="0.35">
      <c r="A11" t="s">
        <v>9</v>
      </c>
      <c r="B11" s="1">
        <f>Assumptions!$C$20</f>
        <v>56896000</v>
      </c>
      <c r="C11" s="1">
        <f ca="1">'Debt worksheet'!D5</f>
        <v>90936676.745013222</v>
      </c>
      <c r="D11" s="1">
        <f ca="1">'Debt worksheet'!E5</f>
        <v>120810374.94681697</v>
      </c>
      <c r="E11" s="1">
        <f ca="1">'Debt worksheet'!F5</f>
        <v>143706134.63621169</v>
      </c>
      <c r="F11" s="1">
        <f ca="1">'Debt worksheet'!G5</f>
        <v>163037866.69272086</v>
      </c>
      <c r="G11" s="1">
        <f ca="1">'Debt worksheet'!H5</f>
        <v>178631506.76375115</v>
      </c>
      <c r="H11" s="1">
        <f ca="1">'Debt worksheet'!I5</f>
        <v>193372288.28239113</v>
      </c>
      <c r="I11" s="1">
        <f ca="1">'Debt worksheet'!J5</f>
        <v>206908875.25645843</v>
      </c>
      <c r="J11" s="1">
        <f ca="1">'Debt worksheet'!K5</f>
        <v>220459066.74938643</v>
      </c>
      <c r="K11" s="1">
        <f ca="1">'Debt worksheet'!L5</f>
        <v>233872056.85040277</v>
      </c>
      <c r="L11" s="1">
        <f ca="1">'Debt worksheet'!M5</f>
        <v>246975963.65840906</v>
      </c>
      <c r="M11" s="1">
        <f ca="1">'Debt worksheet'!N5</f>
        <v>260555389.54059654</v>
      </c>
      <c r="N11" s="1">
        <f ca="1">'Debt worksheet'!O5</f>
        <v>274544656.4566642</v>
      </c>
      <c r="O11" s="1">
        <f ca="1">'Debt worksheet'!P5</f>
        <v>288866952.6077469</v>
      </c>
      <c r="P11" s="1">
        <f ca="1">'Debt worksheet'!Q5</f>
        <v>304009591.8777926</v>
      </c>
      <c r="Q11" s="1">
        <f ca="1">'Debt worksheet'!R5</f>
        <v>319952485.70339459</v>
      </c>
      <c r="R11" s="1">
        <f ca="1">'Debt worksheet'!S5</f>
        <v>336668881.3229835</v>
      </c>
      <c r="S11" s="1">
        <f ca="1">'Debt worksheet'!T5</f>
        <v>354124682.25402206</v>
      </c>
      <c r="T11" s="1">
        <f ca="1">'Debt worksheet'!U5</f>
        <v>372277716.89361429</v>
      </c>
      <c r="U11" s="1">
        <f ca="1">'Debt worksheet'!V5</f>
        <v>391076951.80176163</v>
      </c>
      <c r="V11" s="1">
        <f ca="1">'Debt worksheet'!W5</f>
        <v>410461646.01640558</v>
      </c>
      <c r="W11" s="1">
        <f ca="1">'Debt worksheet'!X5</f>
        <v>430360442.52714026</v>
      </c>
      <c r="X11" s="1">
        <f ca="1">'Debt worksheet'!Y5</f>
        <v>450690392.79938143</v>
      </c>
      <c r="Y11" s="1">
        <f ca="1">'Debt worksheet'!Z5</f>
        <v>471355909.99212623</v>
      </c>
      <c r="Z11" s="1">
        <f ca="1">'Debt worksheet'!AA5</f>
        <v>493192665.95294893</v>
      </c>
      <c r="AA11" s="1">
        <f ca="1">'Debt worksheet'!AB5</f>
        <v>516201694.98762834</v>
      </c>
      <c r="AB11" s="1">
        <f ca="1">'Debt worksheet'!AC5</f>
        <v>540378911.93033588</v>
      </c>
      <c r="AC11" s="1">
        <f ca="1">'Debt worksheet'!AD5</f>
        <v>565714558.9699477</v>
      </c>
      <c r="AD11" s="1">
        <f ca="1">'Debt worksheet'!AE5</f>
        <v>592192610.76360559</v>
      </c>
      <c r="AE11" s="1">
        <f ca="1">'Debt worksheet'!AF5</f>
        <v>619790135.16291881</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150" zoomScaleNormal="150"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-1545784.3084591841</v>
      </c>
      <c r="D5" s="4">
        <f ca="1">'Profit and Loss'!D9</f>
        <v>3661030.7927200226</v>
      </c>
      <c r="E5" s="4">
        <f ca="1">'Profit and Loss'!E9</f>
        <v>11712080.632953782</v>
      </c>
      <c r="F5" s="4">
        <f ca="1">'Profit and Loss'!F9</f>
        <v>16383559.156154513</v>
      </c>
      <c r="G5" s="4">
        <f ca="1">'Profit and Loss'!G9</f>
        <v>21264540.460438635</v>
      </c>
      <c r="H5" s="4">
        <f ca="1">'Profit and Loss'!H9</f>
        <v>23296860.789835941</v>
      </c>
      <c r="I5" s="4">
        <f ca="1">'Profit and Loss'!I9</f>
        <v>25718259.888279822</v>
      </c>
      <c r="J5" s="4">
        <f ca="1">'Profit and Loss'!J9</f>
        <v>26960810.46901425</v>
      </c>
      <c r="K5" s="4">
        <f ca="1">'Profit and Loss'!K9</f>
        <v>28394363.923708078</v>
      </c>
      <c r="L5" s="4">
        <f ca="1">'Profit and Loss'!L9</f>
        <v>30041282.545509286</v>
      </c>
      <c r="M5" s="4">
        <f ca="1">'Profit and Loss'!M9</f>
        <v>30946409.530640587</v>
      </c>
      <c r="N5" s="4">
        <f ca="1">'Profit and Loss'!N9</f>
        <v>31961395.229970962</v>
      </c>
      <c r="O5" s="4">
        <f ca="1">'Profit and Loss'!O9</f>
        <v>33098787.183629163</v>
      </c>
      <c r="P5" s="4">
        <f ca="1">'Profit and Loss'!P9</f>
        <v>33795918.731376916</v>
      </c>
      <c r="Q5" s="4">
        <f ca="1">'Profit and Loss'!Q9</f>
        <v>34561698.031866111</v>
      </c>
      <c r="R5" s="4">
        <f ca="1">'Profit and Loss'!R9</f>
        <v>35404343.177318215</v>
      </c>
      <c r="S5" s="4">
        <f ca="1">'Profit and Loss'!S9</f>
        <v>36332801.50736957</v>
      </c>
      <c r="T5" s="4">
        <f ca="1">'Profit and Loss'!T9</f>
        <v>37356803.076844953</v>
      </c>
      <c r="U5" s="4">
        <f ca="1">'Profit and Loss'!U9</f>
        <v>38486917.615215868</v>
      </c>
      <c r="V5" s="4">
        <f ca="1">'Profit and Loss'!V9</f>
        <v>39734615.189466864</v>
      </c>
      <c r="W5" s="4">
        <f ca="1">'Profit and Loss'!W9</f>
        <v>41112330.794307679</v>
      </c>
      <c r="X5" s="4">
        <f ca="1">'Profit and Loss'!X9</f>
        <v>42633533.106562547</v>
      </c>
      <c r="Y5" s="4">
        <f ca="1">'Profit and Loss'!Y9</f>
        <v>44312797.654180653</v>
      </c>
      <c r="Z5" s="4">
        <f ca="1">'Profit and Loss'!Z9</f>
        <v>45220864.96120438</v>
      </c>
      <c r="AA5" s="4">
        <f ca="1">'Profit and Loss'!AA9</f>
        <v>46194435.756852522</v>
      </c>
      <c r="AB5" s="4">
        <f ca="1">'Profit and Loss'!AB9</f>
        <v>47240758.722153381</v>
      </c>
      <c r="AC5" s="4">
        <f ca="1">'Profit and Loss'!AC9</f>
        <v>48367703.846524581</v>
      </c>
      <c r="AD5" s="4">
        <f ca="1">'Profit and Loss'!AD9</f>
        <v>49583806.320834979</v>
      </c>
      <c r="AE5" s="4">
        <f ca="1">'Profit and Loss'!AE9</f>
        <v>50898313.174843386</v>
      </c>
      <c r="AF5" s="4">
        <f ca="1">'Profit and Loss'!AF9</f>
        <v>52321232.817364827</v>
      </c>
      <c r="AG5" s="4"/>
      <c r="AH5" s="4"/>
      <c r="AI5" s="4"/>
      <c r="AJ5" s="4"/>
      <c r="AK5" s="4"/>
      <c r="AL5" s="4"/>
      <c r="AM5" s="4"/>
      <c r="AN5" s="4"/>
      <c r="AO5" s="4"/>
      <c r="AP5" s="4"/>
    </row>
    <row r="6" spans="1:42" x14ac:dyDescent="0.35">
      <c r="A6" t="s">
        <v>21</v>
      </c>
      <c r="C6" s="4">
        <f>Depreciation!C8+Depreciation!C9</f>
        <v>15064080.25316002</v>
      </c>
      <c r="D6" s="4">
        <f>Depreciation!D8+Depreciation!D9</f>
        <v>16350964.317129711</v>
      </c>
      <c r="E6" s="4">
        <f>Depreciation!E8+Depreciation!E9</f>
        <v>17704783.343014225</v>
      </c>
      <c r="F6" s="4">
        <f>Depreciation!F8+Depreciation!F9</f>
        <v>19128503.399094608</v>
      </c>
      <c r="G6" s="4">
        <f>Depreciation!G8+Depreciation!G9</f>
        <v>20625211.840620894</v>
      </c>
      <c r="H6" s="4">
        <f>Depreciation!H8+Depreciation!H9</f>
        <v>22198122.034924179</v>
      </c>
      <c r="I6" s="4">
        <f>Depreciation!I8+Depreciation!I9</f>
        <v>23850578.264738083</v>
      </c>
      <c r="J6" s="4">
        <f>Depreciation!J8+Depreciation!J9</f>
        <v>25586060.81629632</v>
      </c>
      <c r="K6" s="4">
        <f>Depreciation!K8+Depreciation!K9</f>
        <v>27408191.25901119</v>
      </c>
      <c r="L6" s="4">
        <f>Depreciation!L8+Depreciation!L9</f>
        <v>29320737.923783921</v>
      </c>
      <c r="M6" s="4">
        <f>Depreciation!M8+Depreciation!M9</f>
        <v>31327621.587252874</v>
      </c>
      <c r="N6" s="4">
        <f>Depreciation!N8+Depreciation!N9</f>
        <v>33432921.369549897</v>
      </c>
      <c r="O6" s="4">
        <f>Depreciation!O8+Depreciation!O9</f>
        <v>35640880.853408575</v>
      </c>
      <c r="P6" s="4">
        <f>Depreciation!P8+Depreciation!P9</f>
        <v>37955914.43275179</v>
      </c>
      <c r="Q6" s="4">
        <f>Depreciation!Q8+Depreciation!Q9</f>
        <v>40382613.899179079</v>
      </c>
      <c r="R6" s="4">
        <f>Depreciation!R8+Depreciation!R9</f>
        <v>42925755.275078587</v>
      </c>
      <c r="S6" s="4">
        <f>Depreciation!S8+Depreciation!S9</f>
        <v>45590305.902402893</v>
      </c>
      <c r="T6" s="4">
        <f>Depreciation!T8+Depreciation!T9</f>
        <v>48381431.796474278</v>
      </c>
      <c r="U6" s="4">
        <f>Depreciation!U8+Depreciation!U9</f>
        <v>51304505.27452217</v>
      </c>
      <c r="V6" s="4">
        <f>Depreciation!V8+Depreciation!V9</f>
        <v>54365112.869005546</v>
      </c>
      <c r="W6" s="4">
        <f>Depreciation!W8+Depreciation!W9</f>
        <v>57569063.536134742</v>
      </c>
      <c r="X6" s="4">
        <f>Depreciation!X8+Depreciation!X9</f>
        <v>60922397.170382336</v>
      </c>
      <c r="Y6" s="4">
        <f>Depreciation!Y8+Depreciation!Y9</f>
        <v>64431393.436160773</v>
      </c>
      <c r="Z6" s="4">
        <f>Depreciation!Z8+Depreciation!Z9</f>
        <v>68102580.928246558</v>
      </c>
      <c r="AA6" s="4">
        <f>Depreciation!AA8+Depreciation!AA9</f>
        <v>71942746.672947243</v>
      </c>
      <c r="AB6" s="4">
        <f>Depreciation!AB8+Depreciation!AB9</f>
        <v>75958945.982438207</v>
      </c>
      <c r="AC6" s="4">
        <f>Depreciation!AC8+Depreciation!AC9</f>
        <v>80158512.67514348</v>
      </c>
      <c r="AD6" s="4">
        <f>Depreciation!AD8+Depreciation!AD9</f>
        <v>84549069.675495923</v>
      </c>
      <c r="AE6" s="4">
        <f>Depreciation!AE8+Depreciation!AE9</f>
        <v>89138540.006891534</v>
      </c>
      <c r="AF6" s="4">
        <f>Depreciation!AF8+Depreciation!AF9</f>
        <v>93935158.192148775</v>
      </c>
      <c r="AG6" s="4"/>
      <c r="AH6" s="4"/>
      <c r="AI6" s="4"/>
      <c r="AJ6" s="4"/>
      <c r="AK6" s="4"/>
      <c r="AL6" s="4"/>
      <c r="AM6" s="4"/>
      <c r="AN6" s="4"/>
      <c r="AO6" s="4"/>
      <c r="AP6" s="4"/>
    </row>
    <row r="7" spans="1:42" x14ac:dyDescent="0.35">
      <c r="A7" t="s">
        <v>23</v>
      </c>
      <c r="C7" s="4">
        <f ca="1">C6+C5</f>
        <v>13518295.944700837</v>
      </c>
      <c r="D7" s="4">
        <f ca="1">D6+D5</f>
        <v>20011995.109849732</v>
      </c>
      <c r="E7" s="4">
        <f t="shared" ref="E7:AF7" ca="1" si="1">E6+E5</f>
        <v>29416863.975968007</v>
      </c>
      <c r="F7" s="4">
        <f t="shared" ca="1" si="1"/>
        <v>35512062.555249125</v>
      </c>
      <c r="G7" s="4">
        <f ca="1">G6+G5</f>
        <v>41889752.301059529</v>
      </c>
      <c r="H7" s="4">
        <f t="shared" ca="1" si="1"/>
        <v>45494982.824760124</v>
      </c>
      <c r="I7" s="4">
        <f t="shared" ca="1" si="1"/>
        <v>49568838.153017908</v>
      </c>
      <c r="J7" s="4">
        <f t="shared" ca="1" si="1"/>
        <v>52546871.285310566</v>
      </c>
      <c r="K7" s="4">
        <f t="shared" ca="1" si="1"/>
        <v>55802555.182719268</v>
      </c>
      <c r="L7" s="4">
        <f t="shared" ca="1" si="1"/>
        <v>59362020.469293207</v>
      </c>
      <c r="M7" s="4">
        <f t="shared" ca="1" si="1"/>
        <v>62274031.117893457</v>
      </c>
      <c r="N7" s="4">
        <f t="shared" ca="1" si="1"/>
        <v>65394316.599520862</v>
      </c>
      <c r="O7" s="4">
        <f t="shared" ca="1" si="1"/>
        <v>68739668.03703773</v>
      </c>
      <c r="P7" s="4">
        <f t="shared" ca="1" si="1"/>
        <v>71751833.164128706</v>
      </c>
      <c r="Q7" s="4">
        <f t="shared" ca="1" si="1"/>
        <v>74944311.931045189</v>
      </c>
      <c r="R7" s="4">
        <f t="shared" ca="1" si="1"/>
        <v>78330098.45239681</v>
      </c>
      <c r="S7" s="4">
        <f t="shared" ca="1" si="1"/>
        <v>81923107.409772456</v>
      </c>
      <c r="T7" s="4">
        <f t="shared" ca="1" si="1"/>
        <v>85738234.873319238</v>
      </c>
      <c r="U7" s="4">
        <f t="shared" ca="1" si="1"/>
        <v>89791422.889738038</v>
      </c>
      <c r="V7" s="4">
        <f t="shared" ca="1" si="1"/>
        <v>94099728.05847241</v>
      </c>
      <c r="W7" s="4">
        <f t="shared" ca="1" si="1"/>
        <v>98681394.330442429</v>
      </c>
      <c r="X7" s="4">
        <f t="shared" ca="1" si="1"/>
        <v>103555930.27694488</v>
      </c>
      <c r="Y7" s="4">
        <f t="shared" ca="1" si="1"/>
        <v>108744191.09034142</v>
      </c>
      <c r="Z7" s="4">
        <f t="shared" ca="1" si="1"/>
        <v>113323445.88945094</v>
      </c>
      <c r="AA7" s="4">
        <f t="shared" ca="1" si="1"/>
        <v>118137182.42979977</v>
      </c>
      <c r="AB7" s="4">
        <f t="shared" ca="1" si="1"/>
        <v>123199704.70459159</v>
      </c>
      <c r="AC7" s="4">
        <f t="shared" ca="1" si="1"/>
        <v>128526216.52166806</v>
      </c>
      <c r="AD7" s="4">
        <f t="shared" ca="1" si="1"/>
        <v>134132875.9963309</v>
      </c>
      <c r="AE7" s="4">
        <f t="shared" ca="1" si="1"/>
        <v>140036853.18173492</v>
      </c>
      <c r="AF7" s="4">
        <f t="shared" ca="1" si="1"/>
        <v>146256391.00951362</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47558972.689714059</v>
      </c>
      <c r="D10" s="9">
        <f>Investment!D25</f>
        <v>49885693.31165348</v>
      </c>
      <c r="E10" s="9">
        <f>Investment!E25</f>
        <v>52312623.665362746</v>
      </c>
      <c r="F10" s="9">
        <f>Investment!F25</f>
        <v>54843794.611758292</v>
      </c>
      <c r="G10" s="9">
        <f>Investment!G25</f>
        <v>57483392.372089811</v>
      </c>
      <c r="H10" s="9">
        <f>Investment!H25</f>
        <v>60235764.343400098</v>
      </c>
      <c r="I10" s="9">
        <f>Investment!I25</f>
        <v>63105425.127085216</v>
      </c>
      <c r="J10" s="9">
        <f>Investment!J25</f>
        <v>66097062.778238572</v>
      </c>
      <c r="K10" s="9">
        <f>Investment!K25</f>
        <v>69215545.283735603</v>
      </c>
      <c r="L10" s="9">
        <f>Investment!L25</f>
        <v>72465927.277299508</v>
      </c>
      <c r="M10" s="9">
        <f>Investment!M25</f>
        <v>75853457.000080958</v>
      </c>
      <c r="N10" s="9">
        <f>Investment!N25</f>
        <v>79383583.515588492</v>
      </c>
      <c r="O10" s="9">
        <f>Investment!O25</f>
        <v>83061964.18812041</v>
      </c>
      <c r="P10" s="9">
        <f>Investment!P25</f>
        <v>86894472.434174389</v>
      </c>
      <c r="Q10" s="9">
        <f>Investment!Q25</f>
        <v>90887205.756647199</v>
      </c>
      <c r="R10" s="9">
        <f>Investment!R25</f>
        <v>95046494.071985692</v>
      </c>
      <c r="S10" s="9">
        <f>Investment!S25</f>
        <v>99378908.340811029</v>
      </c>
      <c r="T10" s="9">
        <f>Investment!T25</f>
        <v>103891269.51291147</v>
      </c>
      <c r="U10" s="9">
        <f>Investment!U25</f>
        <v>108590657.79788534</v>
      </c>
      <c r="V10" s="9">
        <f>Investment!V25</f>
        <v>113484422.27311635</v>
      </c>
      <c r="W10" s="9">
        <f>Investment!W25</f>
        <v>118580190.84117711</v>
      </c>
      <c r="X10" s="9">
        <f>Investment!X25</f>
        <v>123885880.54918604</v>
      </c>
      <c r="Y10" s="9">
        <f>Investment!Y25</f>
        <v>129409708.28308618</v>
      </c>
      <c r="Z10" s="9">
        <f>Investment!Z25</f>
        <v>135160201.85027361</v>
      </c>
      <c r="AA10" s="9">
        <f>Investment!AA25</f>
        <v>141146211.46447915</v>
      </c>
      <c r="AB10" s="9">
        <f>Investment!AB25</f>
        <v>147376921.64729911</v>
      </c>
      <c r="AC10" s="9">
        <f>Investment!AC25</f>
        <v>153861863.56127992</v>
      </c>
      <c r="AD10" s="9">
        <f>Investment!AD25</f>
        <v>160610927.78998876</v>
      </c>
      <c r="AE10" s="9">
        <f>Investment!AE25</f>
        <v>167634377.58104813</v>
      </c>
      <c r="AF10" s="9">
        <f>Investment!AF25</f>
        <v>174942862.56867838</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-34040676.745013222</v>
      </c>
      <c r="D12" s="1">
        <f t="shared" ref="D12:AF12" ca="1" si="2">D7-D9-D10</f>
        <v>-29873698.201803748</v>
      </c>
      <c r="E12" s="1">
        <f ca="1">E7-E9-E10</f>
        <v>-22895759.689394739</v>
      </c>
      <c r="F12" s="1">
        <f t="shared" ca="1" si="2"/>
        <v>-19331732.056509167</v>
      </c>
      <c r="G12" s="1">
        <f ca="1">G7-G9-G10</f>
        <v>-15593640.071030281</v>
      </c>
      <c r="H12" s="1">
        <f t="shared" ca="1" si="2"/>
        <v>-14740781.518639974</v>
      </c>
      <c r="I12" s="1">
        <f t="shared" ca="1" si="2"/>
        <v>-13536586.974067308</v>
      </c>
      <c r="J12" s="1">
        <f t="shared" ca="1" si="2"/>
        <v>-13550191.492928006</v>
      </c>
      <c r="K12" s="1">
        <f t="shared" ca="1" si="2"/>
        <v>-13412990.101016335</v>
      </c>
      <c r="L12" s="1">
        <f t="shared" ca="1" si="2"/>
        <v>-13103906.808006302</v>
      </c>
      <c r="M12" s="1">
        <f t="shared" ca="1" si="2"/>
        <v>-13579425.882187501</v>
      </c>
      <c r="N12" s="1">
        <f t="shared" ca="1" si="2"/>
        <v>-13989266.91606763</v>
      </c>
      <c r="O12" s="1">
        <f t="shared" ca="1" si="2"/>
        <v>-14322296.15108268</v>
      </c>
      <c r="P12" s="1">
        <f t="shared" ca="1" si="2"/>
        <v>-15142639.270045683</v>
      </c>
      <c r="Q12" s="1">
        <f t="shared" ca="1" si="2"/>
        <v>-15942893.82560201</v>
      </c>
      <c r="R12" s="1">
        <f t="shared" ca="1" si="2"/>
        <v>-16716395.619588882</v>
      </c>
      <c r="S12" s="1">
        <f t="shared" ca="1" si="2"/>
        <v>-17455800.931038573</v>
      </c>
      <c r="T12" s="1">
        <f t="shared" ca="1" si="2"/>
        <v>-18153034.63959223</v>
      </c>
      <c r="U12" s="1">
        <f t="shared" ca="1" si="2"/>
        <v>-18799234.908147305</v>
      </c>
      <c r="V12" s="1">
        <f t="shared" ca="1" si="2"/>
        <v>-19384694.21464394</v>
      </c>
      <c r="W12" s="1">
        <f t="shared" ca="1" si="2"/>
        <v>-19898796.510734677</v>
      </c>
      <c r="X12" s="1">
        <f t="shared" ca="1" si="2"/>
        <v>-20329950.27224116</v>
      </c>
      <c r="Y12" s="1">
        <f t="shared" ca="1" si="2"/>
        <v>-20665517.192744762</v>
      </c>
      <c r="Z12" s="1">
        <f t="shared" ca="1" si="2"/>
        <v>-21836755.960822672</v>
      </c>
      <c r="AA12" s="1">
        <f t="shared" ca="1" si="2"/>
        <v>-23009029.034679383</v>
      </c>
      <c r="AB12" s="1">
        <f t="shared" ca="1" si="2"/>
        <v>-24177216.942707524</v>
      </c>
      <c r="AC12" s="1">
        <f t="shared" ca="1" si="2"/>
        <v>-25335647.039611861</v>
      </c>
      <c r="AD12" s="1">
        <f t="shared" ca="1" si="2"/>
        <v>-26478051.793657854</v>
      </c>
      <c r="AE12" s="1">
        <f t="shared" ca="1" si="2"/>
        <v>-27597524.399313211</v>
      </c>
      <c r="AF12" s="1">
        <f t="shared" ca="1" si="2"/>
        <v>-28686471.559164762</v>
      </c>
      <c r="AG12" s="1"/>
      <c r="AH12" s="1"/>
      <c r="AI12" s="1"/>
      <c r="AJ12" s="1"/>
      <c r="AK12" s="1"/>
      <c r="AL12" s="1"/>
      <c r="AM12" s="1"/>
      <c r="AN12" s="1"/>
      <c r="AO12" s="1"/>
      <c r="AP12" s="1"/>
    </row>
    <row r="13" spans="1:42" x14ac:dyDescent="0.35">
      <c r="A13" t="s">
        <v>19</v>
      </c>
      <c r="C13" s="1">
        <f ca="1">C12</f>
        <v>-34040676.745013222</v>
      </c>
      <c r="D13" s="1">
        <f ca="1">D12</f>
        <v>-29873698.201803748</v>
      </c>
      <c r="E13" s="1">
        <f ca="1">E12</f>
        <v>-22895759.689394739</v>
      </c>
      <c r="F13" s="1">
        <f t="shared" ref="F13:AF13" ca="1" si="3">F12</f>
        <v>-19331732.056509167</v>
      </c>
      <c r="G13" s="1">
        <f ca="1">G12</f>
        <v>-15593640.071030281</v>
      </c>
      <c r="H13" s="1">
        <f t="shared" ca="1" si="3"/>
        <v>-14740781.518639974</v>
      </c>
      <c r="I13" s="1">
        <f t="shared" ca="1" si="3"/>
        <v>-13536586.974067308</v>
      </c>
      <c r="J13" s="1">
        <f t="shared" ca="1" si="3"/>
        <v>-13550191.492928006</v>
      </c>
      <c r="K13" s="1">
        <f t="shared" ca="1" si="3"/>
        <v>-13412990.101016335</v>
      </c>
      <c r="L13" s="1">
        <f t="shared" ca="1" si="3"/>
        <v>-13103906.808006302</v>
      </c>
      <c r="M13" s="1">
        <f t="shared" ca="1" si="3"/>
        <v>-13579425.882187501</v>
      </c>
      <c r="N13" s="1">
        <f t="shared" ca="1" si="3"/>
        <v>-13989266.91606763</v>
      </c>
      <c r="O13" s="1">
        <f t="shared" ca="1" si="3"/>
        <v>-14322296.15108268</v>
      </c>
      <c r="P13" s="1">
        <f t="shared" ca="1" si="3"/>
        <v>-15142639.270045683</v>
      </c>
      <c r="Q13" s="1">
        <f t="shared" ca="1" si="3"/>
        <v>-15942893.82560201</v>
      </c>
      <c r="R13" s="1">
        <f t="shared" ca="1" si="3"/>
        <v>-16716395.619588882</v>
      </c>
      <c r="S13" s="1">
        <f t="shared" ca="1" si="3"/>
        <v>-17455800.931038573</v>
      </c>
      <c r="T13" s="1">
        <f t="shared" ca="1" si="3"/>
        <v>-18153034.63959223</v>
      </c>
      <c r="U13" s="1">
        <f t="shared" ca="1" si="3"/>
        <v>-18799234.908147305</v>
      </c>
      <c r="V13" s="1">
        <f t="shared" ca="1" si="3"/>
        <v>-19384694.21464394</v>
      </c>
      <c r="W13" s="1">
        <f t="shared" ca="1" si="3"/>
        <v>-19898796.510734677</v>
      </c>
      <c r="X13" s="1">
        <f t="shared" ca="1" si="3"/>
        <v>-20329950.27224116</v>
      </c>
      <c r="Y13" s="1">
        <f t="shared" ca="1" si="3"/>
        <v>-20665517.192744762</v>
      </c>
      <c r="Z13" s="1">
        <f t="shared" ca="1" si="3"/>
        <v>-21836755.960822672</v>
      </c>
      <c r="AA13" s="1">
        <f t="shared" ca="1" si="3"/>
        <v>-23009029.034679383</v>
      </c>
      <c r="AB13" s="1">
        <f t="shared" ca="1" si="3"/>
        <v>-24177216.942707524</v>
      </c>
      <c r="AC13" s="1">
        <f t="shared" ca="1" si="3"/>
        <v>-25335647.039611861</v>
      </c>
      <c r="AD13" s="1">
        <f t="shared" ca="1" si="3"/>
        <v>-26478051.793657854</v>
      </c>
      <c r="AE13" s="1">
        <f t="shared" ca="1" si="3"/>
        <v>-27597524.399313211</v>
      </c>
      <c r="AF13" s="1">
        <f t="shared" ca="1" si="3"/>
        <v>-28686471.559164762</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120" zoomScaleNormal="120"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139</v>
      </c>
      <c r="C6" s="9">
        <f>Assumptions!C17</f>
        <v>966282870.02237308</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483141435.01118654</v>
      </c>
      <c r="D7" s="9">
        <f>C12</f>
        <v>498205515.26434654</v>
      </c>
      <c r="E7" s="9">
        <f>D12</f>
        <v>514556479.58147621</v>
      </c>
      <c r="F7" s="9">
        <f t="shared" ref="F7:H7" si="1">E12</f>
        <v>532261262.92449045</v>
      </c>
      <c r="G7" s="9">
        <f t="shared" si="1"/>
        <v>551389766.32358515</v>
      </c>
      <c r="H7" s="9">
        <f t="shared" si="1"/>
        <v>572014978.16420603</v>
      </c>
      <c r="I7" s="9">
        <f t="shared" ref="I7" si="2">H12</f>
        <v>594213100.19913018</v>
      </c>
      <c r="J7" s="9">
        <f t="shared" ref="J7" si="3">I12</f>
        <v>618063678.46386826</v>
      </c>
      <c r="K7" s="9">
        <f t="shared" ref="K7" si="4">J12</f>
        <v>643649739.2801646</v>
      </c>
      <c r="L7" s="9">
        <f t="shared" ref="L7" si="5">K12</f>
        <v>671057930.53917575</v>
      </c>
      <c r="M7" s="9">
        <f t="shared" ref="M7" si="6">L12</f>
        <v>700378668.46295965</v>
      </c>
      <c r="N7" s="9">
        <f t="shared" ref="N7" si="7">M12</f>
        <v>731706290.05021262</v>
      </c>
      <c r="O7" s="9">
        <f t="shared" ref="O7" si="8">N12</f>
        <v>765139211.41976249</v>
      </c>
      <c r="P7" s="9">
        <f t="shared" ref="P7" si="9">O12</f>
        <v>800780092.27317107</v>
      </c>
      <c r="Q7" s="9">
        <f t="shared" ref="Q7" si="10">P12</f>
        <v>838736006.70592284</v>
      </c>
      <c r="R7" s="9">
        <f t="shared" ref="R7" si="11">Q12</f>
        <v>879118620.60510194</v>
      </c>
      <c r="S7" s="9">
        <f t="shared" ref="S7" si="12">R12</f>
        <v>922044375.8801806</v>
      </c>
      <c r="T7" s="9">
        <f t="shared" ref="T7" si="13">S12</f>
        <v>967634681.78258348</v>
      </c>
      <c r="U7" s="9">
        <f t="shared" ref="U7" si="14">T12</f>
        <v>1016016113.5790577</v>
      </c>
      <c r="V7" s="9">
        <f t="shared" ref="V7" si="15">U12</f>
        <v>1067320618.8535799</v>
      </c>
      <c r="W7" s="9">
        <f t="shared" ref="W7" si="16">V12</f>
        <v>1121685731.7225854</v>
      </c>
      <c r="X7" s="9">
        <f t="shared" ref="X7" si="17">W12</f>
        <v>1179254795.2587202</v>
      </c>
      <c r="Y7" s="9">
        <f t="shared" ref="Y7" si="18">X12</f>
        <v>1240177192.4291024</v>
      </c>
      <c r="Z7" s="9">
        <f t="shared" ref="Z7" si="19">Y12</f>
        <v>1304608585.8652632</v>
      </c>
      <c r="AA7" s="9">
        <f t="shared" ref="AA7" si="20">Z12</f>
        <v>1372711166.7935097</v>
      </c>
      <c r="AB7" s="9">
        <f t="shared" ref="AB7" si="21">AA12</f>
        <v>1444653913.4664569</v>
      </c>
      <c r="AC7" s="9">
        <f t="shared" ref="AC7" si="22">AB12</f>
        <v>1520612859.448895</v>
      </c>
      <c r="AD7" s="9">
        <f t="shared" ref="AD7" si="23">AC12</f>
        <v>1600771372.1240385</v>
      </c>
      <c r="AE7" s="9">
        <f t="shared" ref="AE7" si="24">AD12</f>
        <v>1685320441.7995343</v>
      </c>
      <c r="AF7" s="9">
        <f t="shared" ref="AF7" si="25">AE12</f>
        <v>1774458981.8064258</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140</v>
      </c>
      <c r="C8" s="9">
        <f>Assumptions!D111*Assumptions!D11</f>
        <v>14284202.834682724</v>
      </c>
      <c r="D8" s="9">
        <f>Assumptions!E111*Assumptions!E11</f>
        <v>14741297.32539257</v>
      </c>
      <c r="E8" s="9">
        <f>Assumptions!F111*Assumptions!F11</f>
        <v>15213018.839805132</v>
      </c>
      <c r="F8" s="9">
        <f>Assumptions!G111*Assumptions!G11</f>
        <v>15699835.442678895</v>
      </c>
      <c r="G8" s="9">
        <f>Assumptions!H111*Assumptions!H11</f>
        <v>16202230.176844623</v>
      </c>
      <c r="H8" s="9">
        <f>Assumptions!I111*Assumptions!I11</f>
        <v>16720701.542503648</v>
      </c>
      <c r="I8" s="9">
        <f>Assumptions!J111*Assumptions!J11</f>
        <v>17255763.991863761</v>
      </c>
      <c r="J8" s="9">
        <f>Assumptions!K111*Assumptions!K11</f>
        <v>17807948.439603407</v>
      </c>
      <c r="K8" s="9">
        <f>Assumptions!L111*Assumptions!L11</f>
        <v>18377802.789670717</v>
      </c>
      <c r="L8" s="9">
        <f>Assumptions!M111*Assumptions!M11</f>
        <v>18965892.478940178</v>
      </c>
      <c r="M8" s="9">
        <f>Assumptions!N111*Assumptions!N11</f>
        <v>19572801.03826626</v>
      </c>
      <c r="N8" s="9">
        <f>Assumptions!O111*Assumptions!O11</f>
        <v>20199130.671490785</v>
      </c>
      <c r="O8" s="9">
        <f>Assumptions!P111*Assumptions!P11</f>
        <v>20845502.85297849</v>
      </c>
      <c r="P8" s="9">
        <f>Assumptions!Q111*Assumptions!Q11</f>
        <v>21512558.944273796</v>
      </c>
      <c r="Q8" s="9">
        <f>Assumptions!R111*Assumptions!R11</f>
        <v>22200960.830490556</v>
      </c>
      <c r="R8" s="9">
        <f>Assumptions!S111*Assumptions!S11</f>
        <v>22911391.577066258</v>
      </c>
      <c r="S8" s="9">
        <f>Assumptions!T111*Assumptions!T11</f>
        <v>23644556.107532382</v>
      </c>
      <c r="T8" s="9">
        <f>Assumptions!U111*Assumptions!U11</f>
        <v>24401181.902973413</v>
      </c>
      <c r="U8" s="9">
        <f>Assumptions!V111*Assumptions!V11</f>
        <v>25182019.72386856</v>
      </c>
      <c r="V8" s="9">
        <f>Assumptions!W111*Assumptions!W11</f>
        <v>25987844.355032358</v>
      </c>
      <c r="W8" s="9">
        <f>Assumptions!X111*Assumptions!X11</f>
        <v>26819455.374393396</v>
      </c>
      <c r="X8" s="9">
        <f>Assumptions!Y111*Assumptions!Y11</f>
        <v>27677677.94637398</v>
      </c>
      <c r="Y8" s="9">
        <f>Assumptions!Z111*Assumptions!Z11</f>
        <v>28563363.640657943</v>
      </c>
      <c r="Z8" s="9">
        <f>Assumptions!AA111*Assumptions!AA11</f>
        <v>29477391.277158998</v>
      </c>
      <c r="AA8" s="9">
        <f>Assumptions!AB111*Assumptions!AB11</f>
        <v>30420667.798028097</v>
      </c>
      <c r="AB8" s="9">
        <f>Assumptions!AC111*Assumptions!AC11</f>
        <v>31394129.167564988</v>
      </c>
      <c r="AC8" s="9">
        <f>Assumptions!AD111*Assumptions!AD11</f>
        <v>32398741.300927065</v>
      </c>
      <c r="AD8" s="9">
        <f>Assumptions!AE111*Assumptions!AE11</f>
        <v>33435501.022556737</v>
      </c>
      <c r="AE8" s="9">
        <f>Assumptions!AF111*Assumptions!AF11</f>
        <v>34505437.055278547</v>
      </c>
      <c r="AF8" s="9">
        <f>Assumptions!AG111*Assumptions!AG11</f>
        <v>35609611.041047461</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779877.41847729695</v>
      </c>
      <c r="D9" s="9">
        <f>Assumptions!E120*Assumptions!E11</f>
        <v>1609666.9917371408</v>
      </c>
      <c r="E9" s="9">
        <f>Assumptions!F120*Assumptions!F11</f>
        <v>2491764.5032090936</v>
      </c>
      <c r="F9" s="9">
        <f>Assumptions!G120*Assumptions!G11</f>
        <v>3428667.9564157133</v>
      </c>
      <c r="G9" s="9">
        <f>Assumptions!H120*Assumptions!H11</f>
        <v>4422981.6637762701</v>
      </c>
      <c r="H9" s="9">
        <f>Assumptions!I120*Assumptions!I11</f>
        <v>5477420.4924205318</v>
      </c>
      <c r="I9" s="9">
        <f>Assumptions!J120*Assumptions!J11</f>
        <v>6594814.2728743199</v>
      </c>
      <c r="J9" s="9">
        <f>Assumptions!K120*Assumptions!K11</f>
        <v>7778112.3766929144</v>
      </c>
      <c r="K9" s="9">
        <f>Assumptions!L120*Assumptions!L11</f>
        <v>9030388.4693404734</v>
      </c>
      <c r="L9" s="9">
        <f>Assumptions!M120*Assumptions!M11</f>
        <v>10354845.444843741</v>
      </c>
      <c r="M9" s="9">
        <f>Assumptions!N120*Assumptions!N11</f>
        <v>11754820.548986614</v>
      </c>
      <c r="N9" s="9">
        <f>Assumptions!O120*Assumptions!O11</f>
        <v>13233790.698059112</v>
      </c>
      <c r="O9" s="9">
        <f>Assumptions!P120*Assumptions!P11</f>
        <v>14795378.000430088</v>
      </c>
      <c r="P9" s="9">
        <f>Assumptions!Q120*Assumptions!Q11</f>
        <v>16443355.488477992</v>
      </c>
      <c r="Q9" s="9">
        <f>Assumptions!R120*Assumptions!R11</f>
        <v>18181653.068688523</v>
      </c>
      <c r="R9" s="9">
        <f>Assumptions!S120*Assumptions!S11</f>
        <v>20014363.69801233</v>
      </c>
      <c r="S9" s="9">
        <f>Assumptions!T120*Assumptions!T11</f>
        <v>21945749.794870514</v>
      </c>
      <c r="T9" s="9">
        <f>Assumptions!U120*Assumptions!U11</f>
        <v>23980249.893500865</v>
      </c>
      <c r="U9" s="9">
        <f>Assumptions!V120*Assumptions!V11</f>
        <v>26122485.550653607</v>
      </c>
      <c r="V9" s="9">
        <f>Assumptions!W120*Assumptions!W11</f>
        <v>28377268.513973184</v>
      </c>
      <c r="W9" s="9">
        <f>Assumptions!X120*Assumptions!X11</f>
        <v>30749608.161741346</v>
      </c>
      <c r="X9" s="9">
        <f>Assumptions!Y120*Assumptions!Y11</f>
        <v>33244719.224008352</v>
      </c>
      <c r="Y9" s="9">
        <f>Assumptions!Z120*Assumptions!Z11</f>
        <v>35868029.795502827</v>
      </c>
      <c r="Z9" s="9">
        <f>Assumptions!AA120*Assumptions!AA11</f>
        <v>38625189.651087567</v>
      </c>
      <c r="AA9" s="9">
        <f>Assumptions!AB120*Assumptions!AB11</f>
        <v>41522078.874919146</v>
      </c>
      <c r="AB9" s="9">
        <f>Assumptions!AC120*Assumptions!AC11</f>
        <v>44564816.814873211</v>
      </c>
      <c r="AC9" s="9">
        <f>Assumptions!AD120*Assumptions!AD11</f>
        <v>47759771.374216415</v>
      </c>
      <c r="AD9" s="9">
        <f>Assumptions!AE120*Assumptions!AE11</f>
        <v>51113568.652939178</v>
      </c>
      <c r="AE9" s="9">
        <f>Assumptions!AF120*Assumptions!AF11</f>
        <v>54633102.951612987</v>
      </c>
      <c r="AF9" s="9">
        <f>Assumptions!AG120*Assumptions!AG11</f>
        <v>58325547.151101321</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15064080.25316002</v>
      </c>
      <c r="D10" s="9">
        <f>SUM($C$8:D9)</f>
        <v>31415044.570289731</v>
      </c>
      <c r="E10" s="9">
        <f>SUM($C$8:E9)</f>
        <v>49119827.913303956</v>
      </c>
      <c r="F10" s="9">
        <f>SUM($C$8:F9)</f>
        <v>68248331.312398568</v>
      </c>
      <c r="G10" s="9">
        <f>SUM($C$8:G9)</f>
        <v>88873543.153019458</v>
      </c>
      <c r="H10" s="9">
        <f>SUM($C$8:H9)</f>
        <v>111071665.18794364</v>
      </c>
      <c r="I10" s="9">
        <f>SUM($C$8:I9)</f>
        <v>134922243.45268172</v>
      </c>
      <c r="J10" s="9">
        <f>SUM($C$8:J9)</f>
        <v>160508304.26897806</v>
      </c>
      <c r="K10" s="9">
        <f>SUM($C$8:K9)</f>
        <v>187916495.52798921</v>
      </c>
      <c r="L10" s="9">
        <f>SUM($C$8:L9)</f>
        <v>217237233.45177314</v>
      </c>
      <c r="M10" s="9">
        <f>SUM($C$8:M9)</f>
        <v>248564855.03902602</v>
      </c>
      <c r="N10" s="9">
        <f>SUM($C$8:N9)</f>
        <v>281997776.40857589</v>
      </c>
      <c r="O10" s="9">
        <f>SUM($C$8:O9)</f>
        <v>317638657.26198459</v>
      </c>
      <c r="P10" s="9">
        <f>SUM($C$8:P9)</f>
        <v>355594571.6947363</v>
      </c>
      <c r="Q10" s="9">
        <f>SUM($C$8:Q9)</f>
        <v>395977185.5939154</v>
      </c>
      <c r="R10" s="9">
        <f>SUM($C$8:R9)</f>
        <v>438902940.86899406</v>
      </c>
      <c r="S10" s="9">
        <f>SUM($C$8:S9)</f>
        <v>484493246.77139693</v>
      </c>
      <c r="T10" s="9">
        <f>SUM($C$8:T9)</f>
        <v>532874678.56787121</v>
      </c>
      <c r="U10" s="9">
        <f>SUM($C$8:U9)</f>
        <v>584179183.84239328</v>
      </c>
      <c r="V10" s="9">
        <f>SUM($C$8:V9)</f>
        <v>638544296.71139896</v>
      </c>
      <c r="W10" s="9">
        <f>SUM($C$8:W9)</f>
        <v>696113360.2475338</v>
      </c>
      <c r="X10" s="9">
        <f>SUM($C$8:X9)</f>
        <v>757035757.41791606</v>
      </c>
      <c r="Y10" s="9">
        <f>SUM($C$8:Y9)</f>
        <v>821467150.8540765</v>
      </c>
      <c r="Z10" s="9">
        <f>SUM($C$8:Z9)</f>
        <v>889569731.782323</v>
      </c>
      <c r="AA10" s="9">
        <f>SUM($C$8:AA9)</f>
        <v>961512478.45527041</v>
      </c>
      <c r="AB10" s="9">
        <f>SUM($C$8:AB9)</f>
        <v>1037471424.4377087</v>
      </c>
      <c r="AC10" s="9">
        <f>SUM($C$8:AC9)</f>
        <v>1117629937.1128521</v>
      </c>
      <c r="AD10" s="9">
        <f>SUM($C$8:AD9)</f>
        <v>1202179006.7883477</v>
      </c>
      <c r="AE10" s="9">
        <f>SUM($C$8:AE9)</f>
        <v>1291317546.7952392</v>
      </c>
      <c r="AF10" s="9">
        <f>SUM($C$8:AF9)</f>
        <v>1385252704.9873884</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498205515.26434654</v>
      </c>
      <c r="D12" s="9">
        <f>D7+D8+D9</f>
        <v>514556479.58147621</v>
      </c>
      <c r="E12" s="9">
        <f>E7+E8+E9</f>
        <v>532261262.92449045</v>
      </c>
      <c r="F12" s="9">
        <f t="shared" ref="F12:H12" si="26">F7+F8+F9</f>
        <v>551389766.32358515</v>
      </c>
      <c r="G12" s="9">
        <f t="shared" si="26"/>
        <v>572014978.16420603</v>
      </c>
      <c r="H12" s="9">
        <f t="shared" si="26"/>
        <v>594213100.19913018</v>
      </c>
      <c r="I12" s="9">
        <f t="shared" ref="I12:AF12" si="27">I7+I8+I9</f>
        <v>618063678.46386826</v>
      </c>
      <c r="J12" s="9">
        <f t="shared" si="27"/>
        <v>643649739.2801646</v>
      </c>
      <c r="K12" s="9">
        <f t="shared" si="27"/>
        <v>671057930.53917575</v>
      </c>
      <c r="L12" s="9">
        <f t="shared" si="27"/>
        <v>700378668.46295965</v>
      </c>
      <c r="M12" s="9">
        <f t="shared" si="27"/>
        <v>731706290.05021262</v>
      </c>
      <c r="N12" s="9">
        <f t="shared" si="27"/>
        <v>765139211.41976249</v>
      </c>
      <c r="O12" s="9">
        <f t="shared" si="27"/>
        <v>800780092.27317107</v>
      </c>
      <c r="P12" s="9">
        <f t="shared" si="27"/>
        <v>838736006.70592284</v>
      </c>
      <c r="Q12" s="9">
        <f t="shared" si="27"/>
        <v>879118620.60510194</v>
      </c>
      <c r="R12" s="9">
        <f t="shared" si="27"/>
        <v>922044375.8801806</v>
      </c>
      <c r="S12" s="9">
        <f t="shared" si="27"/>
        <v>967634681.78258348</v>
      </c>
      <c r="T12" s="9">
        <f t="shared" si="27"/>
        <v>1016016113.5790577</v>
      </c>
      <c r="U12" s="9">
        <f t="shared" si="27"/>
        <v>1067320618.8535799</v>
      </c>
      <c r="V12" s="9">
        <f t="shared" si="27"/>
        <v>1121685731.7225854</v>
      </c>
      <c r="W12" s="9">
        <f t="shared" si="27"/>
        <v>1179254795.2587202</v>
      </c>
      <c r="X12" s="9">
        <f t="shared" si="27"/>
        <v>1240177192.4291024</v>
      </c>
      <c r="Y12" s="9">
        <f t="shared" si="27"/>
        <v>1304608585.8652632</v>
      </c>
      <c r="Z12" s="9">
        <f t="shared" si="27"/>
        <v>1372711166.7935097</v>
      </c>
      <c r="AA12" s="9">
        <f t="shared" si="27"/>
        <v>1444653913.4664569</v>
      </c>
      <c r="AB12" s="9">
        <f t="shared" si="27"/>
        <v>1520612859.448895</v>
      </c>
      <c r="AC12" s="9">
        <f t="shared" si="27"/>
        <v>1600771372.1240385</v>
      </c>
      <c r="AD12" s="9">
        <f t="shared" si="27"/>
        <v>1685320441.7995343</v>
      </c>
      <c r="AE12" s="9">
        <f t="shared" si="27"/>
        <v>1774458981.8064258</v>
      </c>
      <c r="AF12" s="9">
        <f t="shared" si="27"/>
        <v>1868394139.9985747</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47558972.689714059</v>
      </c>
      <c r="D18" s="9">
        <f>Investment!D25</f>
        <v>49885693.31165348</v>
      </c>
      <c r="E18" s="9">
        <f>Investment!E25</f>
        <v>52312623.665362746</v>
      </c>
      <c r="F18" s="9">
        <f>Investment!F25</f>
        <v>54843794.611758292</v>
      </c>
      <c r="G18" s="9">
        <f>Investment!G25</f>
        <v>57483392.372089811</v>
      </c>
      <c r="H18" s="9">
        <f>Investment!H25</f>
        <v>60235764.343400098</v>
      </c>
      <c r="I18" s="9">
        <f>Investment!I25</f>
        <v>63105425.127085216</v>
      </c>
      <c r="J18" s="9">
        <f>Investment!J25</f>
        <v>66097062.778238572</v>
      </c>
      <c r="K18" s="9">
        <f>Investment!K25</f>
        <v>69215545.283735603</v>
      </c>
      <c r="L18" s="9">
        <f>Investment!L25</f>
        <v>72465927.277299508</v>
      </c>
      <c r="M18" s="9">
        <f>Investment!M25</f>
        <v>75853457.000080958</v>
      </c>
      <c r="N18" s="9">
        <f>Investment!N25</f>
        <v>79383583.515588492</v>
      </c>
      <c r="O18" s="9">
        <f>Investment!O25</f>
        <v>83061964.18812041</v>
      </c>
      <c r="P18" s="9">
        <f>Investment!P25</f>
        <v>86894472.434174389</v>
      </c>
      <c r="Q18" s="9">
        <f>Investment!Q25</f>
        <v>90887205.756647199</v>
      </c>
      <c r="R18" s="9">
        <f>Investment!R25</f>
        <v>95046494.071985692</v>
      </c>
      <c r="S18" s="9">
        <f>Investment!S25</f>
        <v>99378908.340811029</v>
      </c>
      <c r="T18" s="9">
        <f>Investment!T25</f>
        <v>103891269.51291147</v>
      </c>
      <c r="U18" s="9">
        <f>Investment!U25</f>
        <v>108590657.79788534</v>
      </c>
      <c r="V18" s="9">
        <f>Investment!V25</f>
        <v>113484422.27311635</v>
      </c>
      <c r="W18" s="9">
        <f>Investment!W25</f>
        <v>118580190.84117711</v>
      </c>
      <c r="X18" s="9">
        <f>Investment!X25</f>
        <v>123885880.54918604</v>
      </c>
      <c r="Y18" s="9">
        <f>Investment!Y25</f>
        <v>129409708.28308618</v>
      </c>
      <c r="Z18" s="9">
        <f>Investment!Z25</f>
        <v>135160201.85027361</v>
      </c>
      <c r="AA18" s="9">
        <f>Investment!AA25</f>
        <v>141146211.46447915</v>
      </c>
      <c r="AB18" s="9">
        <f>Investment!AB25</f>
        <v>147376921.64729911</v>
      </c>
      <c r="AC18" s="9">
        <f>Investment!AC25</f>
        <v>153861863.56127992</v>
      </c>
      <c r="AD18" s="9">
        <f>Investment!AD25</f>
        <v>160610927.78998876</v>
      </c>
      <c r="AE18" s="9">
        <f>Investment!AE25</f>
        <v>167634377.58104813</v>
      </c>
      <c r="AF18" s="9">
        <f>Investment!AF25</f>
        <v>174942862.56867838</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530700407.70090061</v>
      </c>
      <c r="D19" s="9">
        <f>D18+C20</f>
        <v>565522020.75939405</v>
      </c>
      <c r="E19" s="9">
        <f>E18+D20</f>
        <v>601483680.10762703</v>
      </c>
      <c r="F19" s="9">
        <f t="shared" ref="F19:AF19" si="28">F18+E20</f>
        <v>638622691.37637115</v>
      </c>
      <c r="G19" s="9">
        <f t="shared" si="28"/>
        <v>676977580.34936631</v>
      </c>
      <c r="H19" s="9">
        <f t="shared" si="28"/>
        <v>716588132.85214555</v>
      </c>
      <c r="I19" s="9">
        <f t="shared" si="28"/>
        <v>757495435.94430661</v>
      </c>
      <c r="J19" s="9">
        <f t="shared" si="28"/>
        <v>799741920.45780706</v>
      </c>
      <c r="K19" s="9">
        <f t="shared" si="28"/>
        <v>843371404.92524636</v>
      </c>
      <c r="L19" s="9">
        <f t="shared" si="28"/>
        <v>888429140.94353473</v>
      </c>
      <c r="M19" s="9">
        <f t="shared" si="28"/>
        <v>934961860.01983178</v>
      </c>
      <c r="N19" s="9">
        <f t="shared" si="28"/>
        <v>983017821.94816732</v>
      </c>
      <c r="O19" s="9">
        <f t="shared" si="28"/>
        <v>1032646864.7667378</v>
      </c>
      <c r="P19" s="9">
        <f t="shared" si="28"/>
        <v>1083900456.3475037</v>
      </c>
      <c r="Q19" s="9">
        <f t="shared" si="28"/>
        <v>1136831747.6713991</v>
      </c>
      <c r="R19" s="9">
        <f t="shared" si="28"/>
        <v>1191495627.8442056</v>
      </c>
      <c r="S19" s="9">
        <f t="shared" si="28"/>
        <v>1247948780.9099381</v>
      </c>
      <c r="T19" s="9">
        <f t="shared" si="28"/>
        <v>1306249744.5204468</v>
      </c>
      <c r="U19" s="9">
        <f t="shared" si="28"/>
        <v>1366458970.521858</v>
      </c>
      <c r="V19" s="9">
        <f t="shared" si="28"/>
        <v>1428638887.520452</v>
      </c>
      <c r="W19" s="9">
        <f t="shared" si="28"/>
        <v>1492853965.4926233</v>
      </c>
      <c r="X19" s="9">
        <f t="shared" si="28"/>
        <v>1559170782.5056746</v>
      </c>
      <c r="Y19" s="9">
        <f t="shared" si="28"/>
        <v>1627658093.6183786</v>
      </c>
      <c r="Z19" s="9">
        <f t="shared" si="28"/>
        <v>1698386902.0324914</v>
      </c>
      <c r="AA19" s="9">
        <f t="shared" si="28"/>
        <v>1771430532.5687242</v>
      </c>
      <c r="AB19" s="9">
        <f t="shared" si="28"/>
        <v>1846864707.543076</v>
      </c>
      <c r="AC19" s="9">
        <f t="shared" si="28"/>
        <v>1924767625.121918</v>
      </c>
      <c r="AD19" s="9">
        <f t="shared" si="28"/>
        <v>2005220040.2367632</v>
      </c>
      <c r="AE19" s="9">
        <f t="shared" si="28"/>
        <v>2088305348.1423154</v>
      </c>
      <c r="AF19" s="9">
        <f t="shared" si="28"/>
        <v>2174109670.7041025</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515636327.44774061</v>
      </c>
      <c r="D20" s="9">
        <f>D19-D8-D9</f>
        <v>549171056.44226432</v>
      </c>
      <c r="E20" s="9">
        <f t="shared" ref="E20:AF20" si="29">E19-E8-E9</f>
        <v>583778896.76461279</v>
      </c>
      <c r="F20" s="9">
        <f t="shared" si="29"/>
        <v>619494187.97727644</v>
      </c>
      <c r="G20" s="9">
        <f t="shared" si="29"/>
        <v>656352368.50874543</v>
      </c>
      <c r="H20" s="9">
        <f t="shared" si="29"/>
        <v>694390010.8172214</v>
      </c>
      <c r="I20" s="9">
        <f t="shared" si="29"/>
        <v>733644857.67956853</v>
      </c>
      <c r="J20" s="9">
        <f t="shared" si="29"/>
        <v>774155859.64151073</v>
      </c>
      <c r="K20" s="9">
        <f t="shared" si="29"/>
        <v>815963213.66623521</v>
      </c>
      <c r="L20" s="9">
        <f t="shared" si="29"/>
        <v>859108403.01975083</v>
      </c>
      <c r="M20" s="9">
        <f t="shared" si="29"/>
        <v>903634238.4325788</v>
      </c>
      <c r="N20" s="9">
        <f t="shared" si="29"/>
        <v>949584900.57861745</v>
      </c>
      <c r="O20" s="9">
        <f t="shared" si="29"/>
        <v>997005983.91332924</v>
      </c>
      <c r="P20" s="9">
        <f t="shared" si="29"/>
        <v>1045944541.9147519</v>
      </c>
      <c r="Q20" s="9">
        <f t="shared" si="29"/>
        <v>1096449133.7722199</v>
      </c>
      <c r="R20" s="9">
        <f t="shared" si="29"/>
        <v>1148569872.5691271</v>
      </c>
      <c r="S20" s="9">
        <f t="shared" si="29"/>
        <v>1202358475.0075352</v>
      </c>
      <c r="T20" s="9">
        <f t="shared" si="29"/>
        <v>1257868312.7239726</v>
      </c>
      <c r="U20" s="9">
        <f t="shared" si="29"/>
        <v>1315154465.2473357</v>
      </c>
      <c r="V20" s="9">
        <f t="shared" si="29"/>
        <v>1374273774.6514463</v>
      </c>
      <c r="W20" s="9">
        <f t="shared" si="29"/>
        <v>1435284901.9564886</v>
      </c>
      <c r="X20" s="9">
        <f t="shared" si="29"/>
        <v>1498248385.3352923</v>
      </c>
      <c r="Y20" s="9">
        <f t="shared" si="29"/>
        <v>1563226700.1822178</v>
      </c>
      <c r="Z20" s="9">
        <f t="shared" si="29"/>
        <v>1630284321.1042449</v>
      </c>
      <c r="AA20" s="9">
        <f t="shared" si="29"/>
        <v>1699487785.895777</v>
      </c>
      <c r="AB20" s="9">
        <f t="shared" si="29"/>
        <v>1770905761.560638</v>
      </c>
      <c r="AC20" s="9">
        <f t="shared" si="29"/>
        <v>1844609112.4467745</v>
      </c>
      <c r="AD20" s="9">
        <f t="shared" si="29"/>
        <v>1920670970.5612674</v>
      </c>
      <c r="AE20" s="9">
        <f t="shared" si="29"/>
        <v>1999166808.1354239</v>
      </c>
      <c r="AF20" s="9">
        <f t="shared" si="29"/>
        <v>2080174512.5119536</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56896000</v>
      </c>
      <c r="D22" s="9">
        <f ca="1">'Balance Sheet'!C11</f>
        <v>90936676.745013222</v>
      </c>
      <c r="E22" s="9">
        <f ca="1">'Balance Sheet'!D11</f>
        <v>120810374.94681697</v>
      </c>
      <c r="F22" s="9">
        <f ca="1">'Balance Sheet'!E11</f>
        <v>143706134.63621169</v>
      </c>
      <c r="G22" s="9">
        <f ca="1">'Balance Sheet'!F11</f>
        <v>163037866.69272086</v>
      </c>
      <c r="H22" s="9">
        <f ca="1">'Balance Sheet'!G11</f>
        <v>178631506.76375115</v>
      </c>
      <c r="I22" s="9">
        <f ca="1">'Balance Sheet'!H11</f>
        <v>193372288.28239113</v>
      </c>
      <c r="J22" s="9">
        <f ca="1">'Balance Sheet'!I11</f>
        <v>206908875.25645843</v>
      </c>
      <c r="K22" s="9">
        <f ca="1">'Balance Sheet'!J11</f>
        <v>220459066.74938643</v>
      </c>
      <c r="L22" s="9">
        <f ca="1">'Balance Sheet'!K11</f>
        <v>233872056.85040277</v>
      </c>
      <c r="M22" s="9">
        <f ca="1">'Balance Sheet'!L11</f>
        <v>246975963.65840906</v>
      </c>
      <c r="N22" s="9">
        <f ca="1">'Balance Sheet'!M11</f>
        <v>260555389.54059654</v>
      </c>
      <c r="O22" s="9">
        <f ca="1">'Balance Sheet'!N11</f>
        <v>274544656.4566642</v>
      </c>
      <c r="P22" s="9">
        <f ca="1">'Balance Sheet'!O11</f>
        <v>288866952.6077469</v>
      </c>
      <c r="Q22" s="9">
        <f ca="1">'Balance Sheet'!P11</f>
        <v>304009591.8777926</v>
      </c>
      <c r="R22" s="9">
        <f ca="1">'Balance Sheet'!Q11</f>
        <v>319952485.70339459</v>
      </c>
      <c r="S22" s="9">
        <f ca="1">'Balance Sheet'!R11</f>
        <v>336668881.3229835</v>
      </c>
      <c r="T22" s="9">
        <f ca="1">'Balance Sheet'!S11</f>
        <v>354124682.25402206</v>
      </c>
      <c r="U22" s="9">
        <f ca="1">'Balance Sheet'!T11</f>
        <v>372277716.89361429</v>
      </c>
      <c r="V22" s="9">
        <f ca="1">'Balance Sheet'!U11</f>
        <v>391076951.80176163</v>
      </c>
      <c r="W22" s="9">
        <f ca="1">'Balance Sheet'!V11</f>
        <v>410461646.01640558</v>
      </c>
      <c r="X22" s="9">
        <f ca="1">'Balance Sheet'!W11</f>
        <v>430360442.52714026</v>
      </c>
      <c r="Y22" s="9">
        <f ca="1">'Balance Sheet'!X11</f>
        <v>450690392.79938143</v>
      </c>
      <c r="Z22" s="9">
        <f ca="1">'Balance Sheet'!Y11</f>
        <v>471355909.99212623</v>
      </c>
      <c r="AA22" s="9">
        <f ca="1">'Balance Sheet'!Z11</f>
        <v>493192665.95294893</v>
      </c>
      <c r="AB22" s="9">
        <f ca="1">'Balance Sheet'!AA11</f>
        <v>516201694.98762834</v>
      </c>
      <c r="AC22" s="9">
        <f ca="1">'Balance Sheet'!AB11</f>
        <v>540378911.93033588</v>
      </c>
      <c r="AD22" s="9">
        <f ca="1">'Balance Sheet'!AC11</f>
        <v>565714558.9699477</v>
      </c>
      <c r="AE22" s="9">
        <f ca="1">'Balance Sheet'!AD11</f>
        <v>592192610.76360559</v>
      </c>
      <c r="AF22" s="9">
        <f ca="1">'Balance Sheet'!AE11</f>
        <v>619790135.16291881</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458740327.44774061</v>
      </c>
      <c r="D23" s="9">
        <f t="shared" ref="D23:AF23" ca="1" si="30">D20-D22</f>
        <v>458234379.69725108</v>
      </c>
      <c r="E23" s="9">
        <f t="shared" ca="1" si="30"/>
        <v>462968521.81779581</v>
      </c>
      <c r="F23" s="9">
        <f t="shared" ca="1" si="30"/>
        <v>475788053.34106475</v>
      </c>
      <c r="G23" s="9">
        <f t="shared" ca="1" si="30"/>
        <v>493314501.81602454</v>
      </c>
      <c r="H23" s="9">
        <f t="shared" ca="1" si="30"/>
        <v>515758504.05347025</v>
      </c>
      <c r="I23" s="9">
        <f t="shared" ca="1" si="30"/>
        <v>540272569.39717746</v>
      </c>
      <c r="J23" s="9">
        <f ca="1">J20-J22</f>
        <v>567246984.38505232</v>
      </c>
      <c r="K23" s="9">
        <f t="shared" ca="1" si="30"/>
        <v>595504146.91684878</v>
      </c>
      <c r="L23" s="9">
        <f t="shared" ca="1" si="30"/>
        <v>625236346.169348</v>
      </c>
      <c r="M23" s="9">
        <f t="shared" ca="1" si="30"/>
        <v>656658274.77416968</v>
      </c>
      <c r="N23" s="9">
        <f t="shared" ca="1" si="30"/>
        <v>689029511.03802085</v>
      </c>
      <c r="O23" s="9">
        <f t="shared" ca="1" si="30"/>
        <v>722461327.45666504</v>
      </c>
      <c r="P23" s="9">
        <f t="shared" ca="1" si="30"/>
        <v>757077589.30700493</v>
      </c>
      <c r="Q23" s="9">
        <f t="shared" ca="1" si="30"/>
        <v>792439541.8944273</v>
      </c>
      <c r="R23" s="9">
        <f t="shared" ca="1" si="30"/>
        <v>828617386.86573243</v>
      </c>
      <c r="S23" s="9">
        <f t="shared" ca="1" si="30"/>
        <v>865689593.68455172</v>
      </c>
      <c r="T23" s="9">
        <f t="shared" ca="1" si="30"/>
        <v>903743630.46995044</v>
      </c>
      <c r="U23" s="9">
        <f t="shared" ca="1" si="30"/>
        <v>942876748.35372138</v>
      </c>
      <c r="V23" s="9">
        <f t="shared" ca="1" si="30"/>
        <v>983196822.84968472</v>
      </c>
      <c r="W23" s="9">
        <f t="shared" ca="1" si="30"/>
        <v>1024823255.940083</v>
      </c>
      <c r="X23" s="9">
        <f t="shared" ca="1" si="30"/>
        <v>1067887942.8081521</v>
      </c>
      <c r="Y23" s="9">
        <f t="shared" ca="1" si="30"/>
        <v>1112536307.3828363</v>
      </c>
      <c r="Z23" s="9">
        <f t="shared" ca="1" si="30"/>
        <v>1158928411.1121187</v>
      </c>
      <c r="AA23" s="9">
        <f t="shared" ca="1" si="30"/>
        <v>1206295119.9428282</v>
      </c>
      <c r="AB23" s="9">
        <f t="shared" ca="1" si="30"/>
        <v>1254704066.5730095</v>
      </c>
      <c r="AC23" s="9">
        <f t="shared" ca="1" si="30"/>
        <v>1304230200.5164385</v>
      </c>
      <c r="AD23" s="9">
        <f t="shared" ca="1" si="30"/>
        <v>1354956411.5913196</v>
      </c>
      <c r="AE23" s="9">
        <f t="shared" ca="1" si="30"/>
        <v>1406974197.3718183</v>
      </c>
      <c r="AF23" s="9">
        <f t="shared" ca="1" si="30"/>
        <v>1460384377.3490348</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145" zoomScaleNormal="145"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56896000</v>
      </c>
      <c r="D5" s="1">
        <f ca="1">C5+C6</f>
        <v>90936676.745013222</v>
      </c>
      <c r="E5" s="1">
        <f t="shared" ref="E5:AF5" ca="1" si="1">D5+D6</f>
        <v>120810374.94681697</v>
      </c>
      <c r="F5" s="1">
        <f t="shared" ca="1" si="1"/>
        <v>143706134.63621169</v>
      </c>
      <c r="G5" s="1">
        <f t="shared" ca="1" si="1"/>
        <v>163037866.69272086</v>
      </c>
      <c r="H5" s="1">
        <f t="shared" ca="1" si="1"/>
        <v>178631506.76375115</v>
      </c>
      <c r="I5" s="1">
        <f t="shared" ca="1" si="1"/>
        <v>193372288.28239113</v>
      </c>
      <c r="J5" s="1">
        <f t="shared" ca="1" si="1"/>
        <v>206908875.25645843</v>
      </c>
      <c r="K5" s="1">
        <f t="shared" ca="1" si="1"/>
        <v>220459066.74938643</v>
      </c>
      <c r="L5" s="1">
        <f t="shared" ca="1" si="1"/>
        <v>233872056.85040277</v>
      </c>
      <c r="M5" s="1">
        <f t="shared" ca="1" si="1"/>
        <v>246975963.65840906</v>
      </c>
      <c r="N5" s="1">
        <f t="shared" ca="1" si="1"/>
        <v>260555389.54059654</v>
      </c>
      <c r="O5" s="1">
        <f t="shared" ca="1" si="1"/>
        <v>274544656.4566642</v>
      </c>
      <c r="P5" s="1">
        <f t="shared" ca="1" si="1"/>
        <v>288866952.6077469</v>
      </c>
      <c r="Q5" s="1">
        <f t="shared" ca="1" si="1"/>
        <v>304009591.8777926</v>
      </c>
      <c r="R5" s="1">
        <f t="shared" ca="1" si="1"/>
        <v>319952485.70339459</v>
      </c>
      <c r="S5" s="1">
        <f t="shared" ca="1" si="1"/>
        <v>336668881.3229835</v>
      </c>
      <c r="T5" s="1">
        <f t="shared" ca="1" si="1"/>
        <v>354124682.25402206</v>
      </c>
      <c r="U5" s="1">
        <f t="shared" ca="1" si="1"/>
        <v>372277716.89361429</v>
      </c>
      <c r="V5" s="1">
        <f t="shared" ca="1" si="1"/>
        <v>391076951.80176163</v>
      </c>
      <c r="W5" s="1">
        <f t="shared" ca="1" si="1"/>
        <v>410461646.01640558</v>
      </c>
      <c r="X5" s="1">
        <f t="shared" ca="1" si="1"/>
        <v>430360442.52714026</v>
      </c>
      <c r="Y5" s="1">
        <f t="shared" ca="1" si="1"/>
        <v>450690392.79938143</v>
      </c>
      <c r="Z5" s="1">
        <f t="shared" ca="1" si="1"/>
        <v>471355909.99212623</v>
      </c>
      <c r="AA5" s="1">
        <f t="shared" ca="1" si="1"/>
        <v>493192665.95294893</v>
      </c>
      <c r="AB5" s="1">
        <f t="shared" ca="1" si="1"/>
        <v>516201694.98762834</v>
      </c>
      <c r="AC5" s="1">
        <f t="shared" ca="1" si="1"/>
        <v>540378911.93033588</v>
      </c>
      <c r="AD5" s="1">
        <f t="shared" ca="1" si="1"/>
        <v>565714558.9699477</v>
      </c>
      <c r="AE5" s="1">
        <f t="shared" ca="1" si="1"/>
        <v>592192610.76360559</v>
      </c>
      <c r="AF5" s="1">
        <f t="shared" ca="1" si="1"/>
        <v>619790135.16291881</v>
      </c>
      <c r="AG5" s="1"/>
      <c r="AH5" s="1"/>
      <c r="AI5" s="1"/>
      <c r="AJ5" s="1"/>
      <c r="AK5" s="1"/>
      <c r="AL5" s="1"/>
      <c r="AM5" s="1"/>
      <c r="AN5" s="1"/>
      <c r="AO5" s="1"/>
      <c r="AP5" s="1"/>
    </row>
    <row r="6" spans="1:42" x14ac:dyDescent="0.35">
      <c r="A6" s="63" t="s">
        <v>3</v>
      </c>
      <c r="C6" s="1">
        <f ca="1">-'Cash Flow'!C13</f>
        <v>34040676.745013222</v>
      </c>
      <c r="D6" s="1">
        <f ca="1">-'Cash Flow'!D13</f>
        <v>29873698.201803748</v>
      </c>
      <c r="E6" s="1">
        <f ca="1">-'Cash Flow'!E13</f>
        <v>22895759.689394739</v>
      </c>
      <c r="F6" s="1">
        <f ca="1">-'Cash Flow'!F13</f>
        <v>19331732.056509167</v>
      </c>
      <c r="G6" s="1">
        <f ca="1">-'Cash Flow'!G13</f>
        <v>15593640.071030281</v>
      </c>
      <c r="H6" s="1">
        <f ca="1">-'Cash Flow'!H13</f>
        <v>14740781.518639974</v>
      </c>
      <c r="I6" s="1">
        <f ca="1">-'Cash Flow'!I13</f>
        <v>13536586.974067308</v>
      </c>
      <c r="J6" s="1">
        <f ca="1">-'Cash Flow'!J13</f>
        <v>13550191.492928006</v>
      </c>
      <c r="K6" s="1">
        <f ca="1">-'Cash Flow'!K13</f>
        <v>13412990.101016335</v>
      </c>
      <c r="L6" s="1">
        <f ca="1">-'Cash Flow'!L13</f>
        <v>13103906.808006302</v>
      </c>
      <c r="M6" s="1">
        <f ca="1">-'Cash Flow'!M13</f>
        <v>13579425.882187501</v>
      </c>
      <c r="N6" s="1">
        <f ca="1">-'Cash Flow'!N13</f>
        <v>13989266.91606763</v>
      </c>
      <c r="O6" s="1">
        <f ca="1">-'Cash Flow'!O13</f>
        <v>14322296.15108268</v>
      </c>
      <c r="P6" s="1">
        <f ca="1">-'Cash Flow'!P13</f>
        <v>15142639.270045683</v>
      </c>
      <c r="Q6" s="1">
        <f ca="1">-'Cash Flow'!Q13</f>
        <v>15942893.82560201</v>
      </c>
      <c r="R6" s="1">
        <f ca="1">-'Cash Flow'!R13</f>
        <v>16716395.619588882</v>
      </c>
      <c r="S6" s="1">
        <f ca="1">-'Cash Flow'!S13</f>
        <v>17455800.931038573</v>
      </c>
      <c r="T6" s="1">
        <f ca="1">-'Cash Flow'!T13</f>
        <v>18153034.63959223</v>
      </c>
      <c r="U6" s="1">
        <f ca="1">-'Cash Flow'!U13</f>
        <v>18799234.908147305</v>
      </c>
      <c r="V6" s="1">
        <f ca="1">-'Cash Flow'!V13</f>
        <v>19384694.21464394</v>
      </c>
      <c r="W6" s="1">
        <f ca="1">-'Cash Flow'!W13</f>
        <v>19898796.510734677</v>
      </c>
      <c r="X6" s="1">
        <f ca="1">-'Cash Flow'!X13</f>
        <v>20329950.27224116</v>
      </c>
      <c r="Y6" s="1">
        <f ca="1">-'Cash Flow'!Y13</f>
        <v>20665517.192744762</v>
      </c>
      <c r="Z6" s="1">
        <f ca="1">-'Cash Flow'!Z13</f>
        <v>21836755.960822672</v>
      </c>
      <c r="AA6" s="1">
        <f ca="1">-'Cash Flow'!AA13</f>
        <v>23009029.034679383</v>
      </c>
      <c r="AB6" s="1">
        <f ca="1">-'Cash Flow'!AB13</f>
        <v>24177216.942707524</v>
      </c>
      <c r="AC6" s="1">
        <f ca="1">-'Cash Flow'!AC13</f>
        <v>25335647.039611861</v>
      </c>
      <c r="AD6" s="1">
        <f ca="1">-'Cash Flow'!AD13</f>
        <v>26478051.793657854</v>
      </c>
      <c r="AE6" s="1">
        <f ca="1">-'Cash Flow'!AE13</f>
        <v>27597524.399313211</v>
      </c>
      <c r="AF6" s="1">
        <f ca="1">-'Cash Flow'!AF13</f>
        <v>28686471.559164762</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3182783.686075463</v>
      </c>
      <c r="D8" s="1">
        <f ca="1">IF(SUM(D5:D6)&gt;0,Assumptions!$C$26*SUM(D5:D6),Assumptions!$C$27*(SUM(D5:D6)))</f>
        <v>4228363.1231385944</v>
      </c>
      <c r="E8" s="1">
        <f ca="1">IF(SUM(E5:E6)&gt;0,Assumptions!$C$26*SUM(E5:E6),Assumptions!$C$27*(SUM(E5:E6)))</f>
        <v>5029714.71226741</v>
      </c>
      <c r="F8" s="1">
        <f ca="1">IF(SUM(F5:F6)&gt;0,Assumptions!$C$26*SUM(F5:F6),Assumptions!$C$27*(SUM(F5:F6)))</f>
        <v>5706325.334245231</v>
      </c>
      <c r="G8" s="1">
        <f ca="1">IF(SUM(G5:G6)&gt;0,Assumptions!$C$26*SUM(G5:G6),Assumptions!$C$27*(SUM(G5:G6)))</f>
        <v>6252102.7367312908</v>
      </c>
      <c r="H8" s="1">
        <f ca="1">IF(SUM(H5:H6)&gt;0,Assumptions!$C$26*SUM(H5:H6),Assumptions!$C$27*(SUM(H5:H6)))</f>
        <v>6768030.0898836898</v>
      </c>
      <c r="I8" s="1">
        <f ca="1">IF(SUM(I5:I6)&gt;0,Assumptions!$C$26*SUM(I5:I6),Assumptions!$C$27*(SUM(I5:I6)))</f>
        <v>7241810.633976046</v>
      </c>
      <c r="J8" s="1">
        <f ca="1">IF(SUM(J5:J6)&gt;0,Assumptions!$C$26*SUM(J5:J6),Assumptions!$C$27*(SUM(J5:J6)))</f>
        <v>7716067.3362285262</v>
      </c>
      <c r="K8" s="1">
        <f ca="1">IF(SUM(K5:K6)&gt;0,Assumptions!$C$26*SUM(K5:K6),Assumptions!$C$27*(SUM(K5:K6)))</f>
        <v>8185521.9897640981</v>
      </c>
      <c r="L8" s="1">
        <f ca="1">IF(SUM(L5:L6)&gt;0,Assumptions!$C$26*SUM(L5:L6),Assumptions!$C$27*(SUM(L5:L6)))</f>
        <v>8644158.728044318</v>
      </c>
      <c r="M8" s="1">
        <f ca="1">IF(SUM(M5:M6)&gt;0,Assumptions!$C$26*SUM(M5:M6),Assumptions!$C$27*(SUM(M5:M6)))</f>
        <v>9119438.63392088</v>
      </c>
      <c r="N8" s="1">
        <f ca="1">IF(SUM(N5:N6)&gt;0,Assumptions!$C$26*SUM(N5:N6),Assumptions!$C$27*(SUM(N5:N6)))</f>
        <v>9609062.9759832472</v>
      </c>
      <c r="O8" s="1">
        <f ca="1">IF(SUM(O5:O6)&gt;0,Assumptions!$C$26*SUM(O5:O6),Assumptions!$C$27*(SUM(O5:O6)))</f>
        <v>10110343.341271142</v>
      </c>
      <c r="P8" s="1">
        <f ca="1">IF(SUM(P5:P6)&gt;0,Assumptions!$C$26*SUM(P5:P6),Assumptions!$C$27*(SUM(P5:P6)))</f>
        <v>10640335.715722742</v>
      </c>
      <c r="Q8" s="1">
        <f ca="1">IF(SUM(Q5:Q6)&gt;0,Assumptions!$C$26*SUM(Q5:Q6),Assumptions!$C$27*(SUM(Q5:Q6)))</f>
        <v>11198336.999618812</v>
      </c>
      <c r="R8" s="1">
        <f ca="1">IF(SUM(R5:R6)&gt;0,Assumptions!$C$26*SUM(R5:R6),Assumptions!$C$27*(SUM(R5:R6)))</f>
        <v>11783410.846304424</v>
      </c>
      <c r="S8" s="1">
        <f ca="1">IF(SUM(S5:S6)&gt;0,Assumptions!$C$26*SUM(S5:S6),Assumptions!$C$27*(SUM(S5:S6)))</f>
        <v>12394363.878890773</v>
      </c>
      <c r="T8" s="1">
        <f ca="1">IF(SUM(T5:T6)&gt;0,Assumptions!$C$26*SUM(T5:T6),Assumptions!$C$27*(SUM(T5:T6)))</f>
        <v>13029720.091276502</v>
      </c>
      <c r="U8" s="1">
        <f ca="1">IF(SUM(U5:U6)&gt;0,Assumptions!$C$26*SUM(U5:U6),Assumptions!$C$27*(SUM(U5:U6)))</f>
        <v>13687693.313061658</v>
      </c>
      <c r="V8" s="1">
        <f ca="1">IF(SUM(V5:V6)&gt;0,Assumptions!$C$26*SUM(V5:V6),Assumptions!$C$27*(SUM(V5:V6)))</f>
        <v>14366157.610574197</v>
      </c>
      <c r="W8" s="1">
        <f ca="1">IF(SUM(W5:W6)&gt;0,Assumptions!$C$26*SUM(W5:W6),Assumptions!$C$27*(SUM(W5:W6)))</f>
        <v>15062615.488449911</v>
      </c>
      <c r="X8" s="1">
        <f ca="1">IF(SUM(X5:X6)&gt;0,Assumptions!$C$26*SUM(X5:X6),Assumptions!$C$27*(SUM(X5:X6)))</f>
        <v>15774163.747978352</v>
      </c>
      <c r="Y8" s="1">
        <f ca="1">IF(SUM(Y5:Y6)&gt;0,Assumptions!$C$26*SUM(Y5:Y6),Assumptions!$C$27*(SUM(Y5:Y6)))</f>
        <v>16497456.849724419</v>
      </c>
      <c r="Z8" s="1">
        <f ca="1">IF(SUM(Z5:Z6)&gt;0,Assumptions!$C$26*SUM(Z5:Z6),Assumptions!$C$27*(SUM(Z5:Z6)))</f>
        <v>17261743.308353215</v>
      </c>
      <c r="AA8" s="1">
        <f ca="1">IF(SUM(AA5:AA6)&gt;0,Assumptions!$C$26*SUM(AA5:AA6),Assumptions!$C$27*(SUM(AA5:AA6)))</f>
        <v>18067059.324566994</v>
      </c>
      <c r="AB8" s="1">
        <f ca="1">IF(SUM(AB5:AB6)&gt;0,Assumptions!$C$26*SUM(AB5:AB6),Assumptions!$C$27*(SUM(AB5:AB6)))</f>
        <v>18913261.917561758</v>
      </c>
      <c r="AC8" s="1">
        <f ca="1">IF(SUM(AC5:AC6)&gt;0,Assumptions!$C$26*SUM(AC5:AC6),Assumptions!$C$27*(SUM(AC5:AC6)))</f>
        <v>19800009.563948173</v>
      </c>
      <c r="AD8" s="1">
        <f ca="1">IF(SUM(AD5:AD6)&gt;0,Assumptions!$C$26*SUM(AD5:AD6),Assumptions!$C$27*(SUM(AD5:AD6)))</f>
        <v>20726741.376726199</v>
      </c>
      <c r="AE8" s="1">
        <f ca="1">IF(SUM(AE5:AE6)&gt;0,Assumptions!$C$26*SUM(AE5:AE6),Assumptions!$C$27*(SUM(AE5:AE6)))</f>
        <v>21692654.730702162</v>
      </c>
      <c r="AF8" s="1">
        <f ca="1">IF(SUM(AF5:AF6)&gt;0,Assumptions!$C$26*SUM(AF5:AF6),Assumptions!$C$27*(SUM(AF5:AF6)))</f>
        <v>22696681.235272925</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50" zoomScaleNormal="40" workbookViewId="0">
      <selection sqref="A1:XFD1048576"/>
    </sheetView>
  </sheetViews>
  <sheetFormatPr defaultRowHeight="15.5" x14ac:dyDescent="0.35"/>
  <cols>
    <col min="1" max="1" width="107.9140625" style="63" customWidth="1"/>
    <col min="2" max="2" width="18.1640625" style="180" bestFit="1" customWidth="1"/>
    <col min="3" max="3" width="61.9140625" style="63" customWidth="1"/>
    <col min="4" max="16384" width="8.6640625" style="63"/>
  </cols>
  <sheetData>
    <row r="1" spans="1:3" ht="26" x14ac:dyDescent="0.6">
      <c r="A1" s="13" t="s">
        <v>185</v>
      </c>
    </row>
    <row r="2" spans="1:3" ht="26" x14ac:dyDescent="0.6">
      <c r="A2" s="13"/>
    </row>
    <row r="3" spans="1:3" ht="186" x14ac:dyDescent="0.35">
      <c r="A3" s="173" t="s">
        <v>188</v>
      </c>
    </row>
    <row r="4" spans="1:3" ht="26" x14ac:dyDescent="0.6">
      <c r="A4" s="13"/>
    </row>
    <row r="5" spans="1:3" ht="18.5" x14ac:dyDescent="0.45">
      <c r="A5" s="89" t="s">
        <v>177</v>
      </c>
      <c r="B5" s="181"/>
    </row>
    <row r="6" spans="1:3" ht="18.5" x14ac:dyDescent="0.45">
      <c r="A6" s="90"/>
      <c r="B6" s="181"/>
    </row>
    <row r="7" spans="1:3" ht="18.5" x14ac:dyDescent="0.45">
      <c r="A7" s="90" t="s">
        <v>96</v>
      </c>
      <c r="B7" s="91">
        <f>Assumptions!C24</f>
        <v>22061000</v>
      </c>
      <c r="C7" s="179" t="str">
        <f>Assumptions!B24</f>
        <v>RFI Table F10; Lines F10.62 + F10.70</v>
      </c>
    </row>
    <row r="8" spans="1:3" ht="34" x14ac:dyDescent="0.45">
      <c r="A8" s="90" t="s">
        <v>174</v>
      </c>
      <c r="B8" s="92">
        <f>Assumptions!$C$133</f>
        <v>0.7</v>
      </c>
      <c r="C8" s="179" t="s">
        <v>198</v>
      </c>
    </row>
    <row r="9" spans="1:3" ht="18.5" x14ac:dyDescent="0.45">
      <c r="A9" s="90"/>
      <c r="B9" s="93"/>
      <c r="C9" s="179"/>
    </row>
    <row r="10" spans="1:3" ht="68" x14ac:dyDescent="0.45">
      <c r="A10" s="94" t="s">
        <v>102</v>
      </c>
      <c r="B10" s="95">
        <f>Assumptions!C135</f>
        <v>14933.888888888889</v>
      </c>
      <c r="C10" s="179" t="s">
        <v>199</v>
      </c>
    </row>
    <row r="11" spans="1:3" ht="18.5" x14ac:dyDescent="0.45">
      <c r="A11" s="94"/>
      <c r="B11" s="182"/>
      <c r="C11" s="179"/>
    </row>
    <row r="12" spans="1:3" ht="18.5" x14ac:dyDescent="0.45">
      <c r="A12" s="94" t="s">
        <v>184</v>
      </c>
      <c r="B12" s="91">
        <f>(B7*B8)/B10</f>
        <v>1034.0709051002566</v>
      </c>
      <c r="C12" s="179"/>
    </row>
    <row r="13" spans="1:3" ht="18.5" x14ac:dyDescent="0.45">
      <c r="A13" s="96"/>
      <c r="B13" s="97"/>
      <c r="C13" s="179"/>
    </row>
    <row r="14" spans="1:3" ht="18.5" x14ac:dyDescent="0.45">
      <c r="A14" s="94" t="s">
        <v>103</v>
      </c>
      <c r="B14" s="183">
        <v>1</v>
      </c>
      <c r="C14" s="179"/>
    </row>
    <row r="15" spans="1:3" ht="18.5" x14ac:dyDescent="0.45">
      <c r="A15" s="96"/>
      <c r="B15" s="184"/>
      <c r="C15" s="179"/>
    </row>
    <row r="16" spans="1:3" ht="18.5" x14ac:dyDescent="0.45">
      <c r="A16" s="96" t="s">
        <v>179</v>
      </c>
      <c r="B16" s="185">
        <f>B12/B14</f>
        <v>1034.0709051002566</v>
      </c>
      <c r="C16" s="179"/>
    </row>
    <row r="17" spans="1:3" ht="18.5" x14ac:dyDescent="0.45">
      <c r="A17" s="94"/>
      <c r="B17" s="101"/>
      <c r="C17" s="179"/>
    </row>
    <row r="18" spans="1:3" ht="18.5" x14ac:dyDescent="0.45">
      <c r="A18" s="102" t="s">
        <v>178</v>
      </c>
      <c r="B18" s="101"/>
      <c r="C18" s="179"/>
    </row>
    <row r="19" spans="1:3" ht="18.5" x14ac:dyDescent="0.45">
      <c r="A19" s="94"/>
      <c r="B19" s="101"/>
      <c r="C19" s="179"/>
    </row>
    <row r="20" spans="1:3" ht="34" x14ac:dyDescent="0.45">
      <c r="A20" s="94" t="s">
        <v>65</v>
      </c>
      <c r="B20" s="91">
        <f>'Profit and Loss'!L5</f>
        <v>94015964.08736819</v>
      </c>
      <c r="C20" s="179" t="s">
        <v>200</v>
      </c>
    </row>
    <row r="21" spans="1:3" ht="34" x14ac:dyDescent="0.45">
      <c r="A21" s="94" t="str">
        <f>A8</f>
        <v>Assumed revenue from households</v>
      </c>
      <c r="B21" s="92">
        <f>B8</f>
        <v>0.7</v>
      </c>
      <c r="C21" s="179" t="s">
        <v>198</v>
      </c>
    </row>
    <row r="22" spans="1:3" ht="18.5" x14ac:dyDescent="0.45">
      <c r="A22" s="94"/>
      <c r="B22" s="182"/>
      <c r="C22" s="179"/>
    </row>
    <row r="23" spans="1:3" ht="34" x14ac:dyDescent="0.45">
      <c r="A23" s="94" t="s">
        <v>101</v>
      </c>
      <c r="B23" s="95">
        <f>Assumptions!M135</f>
        <v>15768.534069209632</v>
      </c>
      <c r="C23" s="179" t="s">
        <v>201</v>
      </c>
    </row>
    <row r="24" spans="1:3" ht="18.5" x14ac:dyDescent="0.45">
      <c r="A24" s="94"/>
      <c r="B24" s="182"/>
      <c r="C24" s="179"/>
    </row>
    <row r="25" spans="1:3" ht="18.5" x14ac:dyDescent="0.45">
      <c r="A25" s="94" t="s">
        <v>183</v>
      </c>
      <c r="B25" s="91">
        <f>(B20*B21)/B23</f>
        <v>4173.5759692249176</v>
      </c>
      <c r="C25" s="179"/>
    </row>
    <row r="26" spans="1:3" ht="18.5" x14ac:dyDescent="0.45">
      <c r="A26" s="94"/>
      <c r="B26" s="91"/>
      <c r="C26" s="179"/>
    </row>
    <row r="27" spans="1:3" ht="34" x14ac:dyDescent="0.45">
      <c r="A27" s="94" t="s">
        <v>103</v>
      </c>
      <c r="B27" s="183">
        <f>1.022^11</f>
        <v>1.2704566586717592</v>
      </c>
      <c r="C27" s="179" t="s">
        <v>202</v>
      </c>
    </row>
    <row r="28" spans="1:3" ht="18.5" x14ac:dyDescent="0.45">
      <c r="A28" s="96"/>
      <c r="B28" s="97"/>
      <c r="C28" s="179"/>
    </row>
    <row r="29" spans="1:3" ht="18.5" x14ac:dyDescent="0.45">
      <c r="A29" s="96" t="s">
        <v>180</v>
      </c>
      <c r="B29" s="91">
        <f>B25/B27</f>
        <v>3285.099055317889</v>
      </c>
      <c r="C29" s="179"/>
    </row>
    <row r="30" spans="1:3" ht="18.5" x14ac:dyDescent="0.45">
      <c r="A30" s="96"/>
      <c r="B30" s="97"/>
      <c r="C30" s="179"/>
    </row>
    <row r="31" spans="1:3" ht="18.5" x14ac:dyDescent="0.45">
      <c r="A31" s="102" t="s">
        <v>186</v>
      </c>
      <c r="B31" s="186"/>
      <c r="C31" s="179"/>
    </row>
    <row r="32" spans="1:3" ht="18.5" x14ac:dyDescent="0.45">
      <c r="A32" s="94"/>
      <c r="B32" s="91"/>
      <c r="C32" s="179"/>
    </row>
    <row r="33" spans="1:3" ht="34" x14ac:dyDescent="0.45">
      <c r="A33" s="94" t="s">
        <v>66</v>
      </c>
      <c r="B33" s="91">
        <f>'Profit and Loss'!AF5</f>
        <v>247971969.08166498</v>
      </c>
      <c r="C33" s="179" t="s">
        <v>200</v>
      </c>
    </row>
    <row r="34" spans="1:3" ht="34" x14ac:dyDescent="0.45">
      <c r="A34" s="94" t="str">
        <f>A21</f>
        <v>Assumed revenue from households</v>
      </c>
      <c r="B34" s="92">
        <f>B21</f>
        <v>0.7</v>
      </c>
      <c r="C34" s="179" t="s">
        <v>198</v>
      </c>
    </row>
    <row r="35" spans="1:3" ht="18.5" x14ac:dyDescent="0.45">
      <c r="A35" s="94"/>
      <c r="B35" s="182"/>
      <c r="C35" s="179"/>
    </row>
    <row r="36" spans="1:3" ht="34" x14ac:dyDescent="0.45">
      <c r="A36" s="94" t="s">
        <v>100</v>
      </c>
      <c r="B36" s="95">
        <f>Assumptions!AG135</f>
        <v>17580.374845303431</v>
      </c>
      <c r="C36" s="179" t="s">
        <v>201</v>
      </c>
    </row>
    <row r="37" spans="1:3" ht="18.5" x14ac:dyDescent="0.45">
      <c r="A37" s="94"/>
      <c r="B37" s="182"/>
      <c r="C37" s="179"/>
    </row>
    <row r="38" spans="1:3" ht="18.5" x14ac:dyDescent="0.45">
      <c r="A38" s="94" t="s">
        <v>182</v>
      </c>
      <c r="B38" s="91">
        <f>(B33*B34)/B36</f>
        <v>9873.5311325592811</v>
      </c>
      <c r="C38" s="179"/>
    </row>
    <row r="39" spans="1:3" ht="18.5" x14ac:dyDescent="0.45">
      <c r="A39" s="94"/>
      <c r="B39" s="182"/>
      <c r="C39" s="179"/>
    </row>
    <row r="40" spans="1:3" ht="34" x14ac:dyDescent="0.45">
      <c r="A40" s="94" t="s">
        <v>103</v>
      </c>
      <c r="B40" s="183">
        <f>1.022^31</f>
        <v>1.9632597808456462</v>
      </c>
      <c r="C40" s="179" t="s">
        <v>202</v>
      </c>
    </row>
    <row r="41" spans="1:3" ht="18.5" x14ac:dyDescent="0.45">
      <c r="A41" s="96"/>
      <c r="B41" s="97"/>
    </row>
    <row r="42" spans="1:3" ht="18.5" x14ac:dyDescent="0.45">
      <c r="A42" s="96" t="s">
        <v>181</v>
      </c>
      <c r="B42" s="91">
        <f>B38/B40</f>
        <v>5029.1516328554326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40" zoomScaleNormal="4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161</v>
      </c>
    </row>
    <row r="2" spans="1:33" ht="26.5" thickBot="1" x14ac:dyDescent="0.4">
      <c r="A2" s="111"/>
      <c r="B2" s="111"/>
      <c r="D2" s="112"/>
    </row>
    <row r="3" spans="1:33" s="114" customFormat="1" ht="21.5" thickBot="1" x14ac:dyDescent="0.4">
      <c r="A3" s="84"/>
      <c r="B3" s="84"/>
      <c r="C3" s="113"/>
      <c r="D3" s="187" t="s">
        <v>27</v>
      </c>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row>
    <row r="4" spans="1:33" s="120" customFormat="1" ht="16" thickBot="1" x14ac:dyDescent="0.4">
      <c r="A4" s="115" t="s">
        <v>25</v>
      </c>
      <c r="B4" s="115" t="s">
        <v>196</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138</v>
      </c>
      <c r="C13" s="127">
        <v>5.4531533357162765E-3</v>
      </c>
      <c r="D13" s="128">
        <f t="shared" ref="D13:AG13" si="3">(1+$C$13)^D8</f>
        <v>1.0054531533357163</v>
      </c>
      <c r="E13" s="128">
        <f t="shared" si="3"/>
        <v>1.0109360435527355</v>
      </c>
      <c r="F13" s="128">
        <f t="shared" si="3"/>
        <v>1.016448832810831</v>
      </c>
      <c r="G13" s="128">
        <f t="shared" si="3"/>
        <v>1.0219916841540582</v>
      </c>
      <c r="H13" s="128">
        <f t="shared" si="3"/>
        <v>1.0275647615155772</v>
      </c>
      <c r="I13" s="128">
        <f t="shared" si="3"/>
        <v>1.0331682297225004</v>
      </c>
      <c r="J13" s="128">
        <f t="shared" si="3"/>
        <v>1.0388022545007678</v>
      </c>
      <c r="K13" s="128">
        <f t="shared" si="3"/>
        <v>1.0444670024800482</v>
      </c>
      <c r="L13" s="128">
        <f t="shared" si="3"/>
        <v>1.0501626411986678</v>
      </c>
      <c r="M13" s="128">
        <f t="shared" si="3"/>
        <v>1.0558893391085651</v>
      </c>
      <c r="N13" s="128">
        <f t="shared" si="3"/>
        <v>1.0616472655802722</v>
      </c>
      <c r="O13" s="128">
        <f t="shared" si="3"/>
        <v>1.0674365909079253</v>
      </c>
      <c r="P13" s="128">
        <f t="shared" si="3"/>
        <v>1.0732574863143005</v>
      </c>
      <c r="Q13" s="128">
        <f t="shared" si="3"/>
        <v>1.0791101239558778</v>
      </c>
      <c r="R13" s="128">
        <f t="shared" si="3"/>
        <v>1.0849946769279331</v>
      </c>
      <c r="S13" s="128">
        <f t="shared" si="3"/>
        <v>1.0909113192696571</v>
      </c>
      <c r="T13" s="128">
        <f t="shared" si="3"/>
        <v>1.096860225969303</v>
      </c>
      <c r="U13" s="128">
        <f t="shared" si="3"/>
        <v>1.1028415729693621</v>
      </c>
      <c r="V13" s="128">
        <f t="shared" si="3"/>
        <v>1.1088555371717668</v>
      </c>
      <c r="W13" s="128">
        <f t="shared" si="3"/>
        <v>1.1149022964431223</v>
      </c>
      <c r="X13" s="128">
        <f t="shared" si="3"/>
        <v>1.1209820296199688</v>
      </c>
      <c r="Y13" s="128">
        <f t="shared" si="3"/>
        <v>1.1270949165140691</v>
      </c>
      <c r="Z13" s="128">
        <f t="shared" si="3"/>
        <v>1.1332411379177267</v>
      </c>
      <c r="AA13" s="128">
        <f t="shared" si="3"/>
        <v>1.1394208756091335</v>
      </c>
      <c r="AB13" s="128">
        <f t="shared" si="3"/>
        <v>1.1456343123577462</v>
      </c>
      <c r="AC13" s="128">
        <f t="shared" si="3"/>
        <v>1.1518816319296912</v>
      </c>
      <c r="AD13" s="128">
        <f t="shared" si="3"/>
        <v>1.1581630190931989</v>
      </c>
      <c r="AE13" s="128">
        <f t="shared" si="3"/>
        <v>1.1644786596240702</v>
      </c>
      <c r="AF13" s="128">
        <f t="shared" si="3"/>
        <v>1.1708287403111695</v>
      </c>
      <c r="AG13" s="128">
        <f t="shared" si="3"/>
        <v>1.1772134489619499</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192</v>
      </c>
      <c r="B15" s="178" t="s">
        <v>193</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170</v>
      </c>
      <c r="C17" s="136">
        <f>AVERAGE(C49:C50)</f>
        <v>966282870.02237308</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483141435.01118654</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137</v>
      </c>
      <c r="C20" s="137">
        <v>56896000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159</v>
      </c>
      <c r="B22" s="178" t="s">
        <v>193</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136</v>
      </c>
      <c r="C24" s="136">
        <v>22061000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195</v>
      </c>
      <c r="C25" s="136">
        <v>10869506.178599998</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160</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831929855.5098896</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1100635884.5348566</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171</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171</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2457141.3582999776</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4597536.4159892974</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3527338.8871446373</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6697481.4851288777</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11790009.31599858</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9243745.4005637281</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13841281.816553026</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141</v>
      </c>
      <c r="B77" s="70" t="s">
        <v>176</v>
      </c>
      <c r="C77" s="87">
        <v>173173000</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142</v>
      </c>
      <c r="B79" s="69" t="s">
        <v>155</v>
      </c>
      <c r="C79" s="87">
        <v>768834084.59107387</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143</v>
      </c>
      <c r="B80" s="69" t="s">
        <v>155</v>
      </c>
      <c r="C80" s="87">
        <v>774057847.76671886</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144</v>
      </c>
      <c r="B82" s="69" t="s">
        <v>86</v>
      </c>
      <c r="C82" s="87">
        <f>C79+$C$77</f>
        <v>942007084.59107387</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145</v>
      </c>
      <c r="B83" s="69" t="s">
        <v>86</v>
      </c>
      <c r="C83" s="87">
        <f>C80+$C$77</f>
        <v>947230847.76671886</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150</v>
      </c>
      <c r="B85" s="69" t="s">
        <v>197</v>
      </c>
      <c r="C85" s="150">
        <v>44556</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151</v>
      </c>
      <c r="B86" s="69" t="s">
        <v>133</v>
      </c>
      <c r="C86" s="150">
        <v>36087</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40321.5</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146</v>
      </c>
      <c r="B89" s="69" t="s">
        <v>86</v>
      </c>
      <c r="C89" s="150">
        <f>C82/$C$87</f>
        <v>23362.401810227148</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146</v>
      </c>
      <c r="B90" s="69" t="s">
        <v>86</v>
      </c>
      <c r="C90" s="150">
        <f>C83/$C$87</f>
        <v>23491.954608998149</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147</v>
      </c>
      <c r="B92" s="69" t="s">
        <v>154</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148</v>
      </c>
      <c r="B94" s="69" t="s">
        <v>86</v>
      </c>
      <c r="C94" s="87">
        <f>IF(C89&lt;$C$92,C89*$C$87,$C$92*$C$87)</f>
        <v>942007084.59107387</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149</v>
      </c>
      <c r="B95" s="69" t="s">
        <v>86</v>
      </c>
      <c r="C95" s="87">
        <f>IF(C90&lt;$C$92,C90*$C$87,$C$92*$C$87)</f>
        <v>947230847.76671886</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153</v>
      </c>
      <c r="B96" s="69" t="s">
        <v>86</v>
      </c>
      <c r="C96" s="87">
        <f>AVERAGE(C94:C95)</f>
        <v>944618966.17889643</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944618966.17889643</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31487298.872629881</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169</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169</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13841281.816553026</v>
      </c>
      <c r="E111" s="149">
        <f t="shared" si="9"/>
        <v>13841281.816553026</v>
      </c>
      <c r="F111" s="149">
        <f t="shared" si="9"/>
        <v>13841281.816553026</v>
      </c>
      <c r="G111" s="149">
        <f t="shared" si="9"/>
        <v>13841281.816553026</v>
      </c>
      <c r="H111" s="149">
        <f t="shared" si="9"/>
        <v>13841281.816553026</v>
      </c>
      <c r="I111" s="149">
        <f t="shared" si="9"/>
        <v>13841281.816553026</v>
      </c>
      <c r="J111" s="149">
        <f t="shared" si="9"/>
        <v>13841281.816553026</v>
      </c>
      <c r="K111" s="149">
        <f t="shared" si="9"/>
        <v>13841281.816553026</v>
      </c>
      <c r="L111" s="149">
        <f t="shared" si="9"/>
        <v>13841281.816553026</v>
      </c>
      <c r="M111" s="149">
        <f t="shared" si="9"/>
        <v>13841281.816553026</v>
      </c>
      <c r="N111" s="149">
        <f t="shared" si="9"/>
        <v>13841281.816553026</v>
      </c>
      <c r="O111" s="149">
        <f t="shared" si="9"/>
        <v>13841281.816553026</v>
      </c>
      <c r="P111" s="149">
        <f t="shared" si="9"/>
        <v>13841281.816553026</v>
      </c>
      <c r="Q111" s="149">
        <f t="shared" si="9"/>
        <v>13841281.816553026</v>
      </c>
      <c r="R111" s="149">
        <f t="shared" si="9"/>
        <v>13841281.816553026</v>
      </c>
      <c r="S111" s="149">
        <f t="shared" si="9"/>
        <v>13841281.816553026</v>
      </c>
      <c r="T111" s="149">
        <f t="shared" si="9"/>
        <v>13841281.816553026</v>
      </c>
      <c r="U111" s="149">
        <f t="shared" si="9"/>
        <v>13841281.816553026</v>
      </c>
      <c r="V111" s="149">
        <f t="shared" si="9"/>
        <v>13841281.816553026</v>
      </c>
      <c r="W111" s="149">
        <f t="shared" si="9"/>
        <v>13841281.816553026</v>
      </c>
      <c r="X111" s="149">
        <f t="shared" si="9"/>
        <v>13841281.816553026</v>
      </c>
      <c r="Y111" s="149">
        <f t="shared" si="9"/>
        <v>13841281.816553026</v>
      </c>
      <c r="Z111" s="149">
        <f t="shared" si="9"/>
        <v>13841281.816553026</v>
      </c>
      <c r="AA111" s="149">
        <f t="shared" si="9"/>
        <v>13841281.816553026</v>
      </c>
      <c r="AB111" s="149">
        <f t="shared" si="9"/>
        <v>13841281.816553026</v>
      </c>
      <c r="AC111" s="149">
        <f t="shared" si="9"/>
        <v>13841281.816553026</v>
      </c>
      <c r="AD111" s="149">
        <f t="shared" si="9"/>
        <v>13841281.816553026</v>
      </c>
      <c r="AE111" s="149">
        <f t="shared" si="9"/>
        <v>13841281.816553026</v>
      </c>
      <c r="AF111" s="149">
        <f t="shared" si="9"/>
        <v>13841281.816553026</v>
      </c>
      <c r="AG111" s="149">
        <f t="shared" si="9"/>
        <v>13841281.816553026</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944618966.17889643</v>
      </c>
      <c r="D113" s="149">
        <f t="shared" ref="D113:AG113" si="10">$C$102</f>
        <v>31487298.872629881</v>
      </c>
      <c r="E113" s="149">
        <f t="shared" si="10"/>
        <v>31487298.872629881</v>
      </c>
      <c r="F113" s="149">
        <f t="shared" si="10"/>
        <v>31487298.872629881</v>
      </c>
      <c r="G113" s="149">
        <f t="shared" si="10"/>
        <v>31487298.872629881</v>
      </c>
      <c r="H113" s="149">
        <f t="shared" si="10"/>
        <v>31487298.872629881</v>
      </c>
      <c r="I113" s="149">
        <f t="shared" si="10"/>
        <v>31487298.872629881</v>
      </c>
      <c r="J113" s="149">
        <f t="shared" si="10"/>
        <v>31487298.872629881</v>
      </c>
      <c r="K113" s="149">
        <f t="shared" si="10"/>
        <v>31487298.872629881</v>
      </c>
      <c r="L113" s="149">
        <f t="shared" si="10"/>
        <v>31487298.872629881</v>
      </c>
      <c r="M113" s="149">
        <f t="shared" si="10"/>
        <v>31487298.872629881</v>
      </c>
      <c r="N113" s="149">
        <f t="shared" si="10"/>
        <v>31487298.872629881</v>
      </c>
      <c r="O113" s="149">
        <f t="shared" si="10"/>
        <v>31487298.872629881</v>
      </c>
      <c r="P113" s="149">
        <f t="shared" si="10"/>
        <v>31487298.872629881</v>
      </c>
      <c r="Q113" s="149">
        <f t="shared" si="10"/>
        <v>31487298.872629881</v>
      </c>
      <c r="R113" s="149">
        <f t="shared" si="10"/>
        <v>31487298.872629881</v>
      </c>
      <c r="S113" s="149">
        <f t="shared" si="10"/>
        <v>31487298.872629881</v>
      </c>
      <c r="T113" s="149">
        <f t="shared" si="10"/>
        <v>31487298.872629881</v>
      </c>
      <c r="U113" s="149">
        <f t="shared" si="10"/>
        <v>31487298.872629881</v>
      </c>
      <c r="V113" s="149">
        <f t="shared" si="10"/>
        <v>31487298.872629881</v>
      </c>
      <c r="W113" s="149">
        <f t="shared" si="10"/>
        <v>31487298.872629881</v>
      </c>
      <c r="X113" s="149">
        <f t="shared" si="10"/>
        <v>31487298.872629881</v>
      </c>
      <c r="Y113" s="149">
        <f t="shared" si="10"/>
        <v>31487298.872629881</v>
      </c>
      <c r="Z113" s="149">
        <f t="shared" si="10"/>
        <v>31487298.872629881</v>
      </c>
      <c r="AA113" s="149">
        <f t="shared" si="10"/>
        <v>31487298.872629881</v>
      </c>
      <c r="AB113" s="149">
        <f t="shared" si="10"/>
        <v>31487298.872629881</v>
      </c>
      <c r="AC113" s="149">
        <f t="shared" si="10"/>
        <v>31487298.872629881</v>
      </c>
      <c r="AD113" s="149">
        <f t="shared" si="10"/>
        <v>31487298.872629881</v>
      </c>
      <c r="AE113" s="149">
        <f t="shared" si="10"/>
        <v>31487298.872629881</v>
      </c>
      <c r="AF113" s="149">
        <f t="shared" si="10"/>
        <v>31487298.872629881</v>
      </c>
      <c r="AG113" s="149">
        <f t="shared" si="10"/>
        <v>31487298.872629881</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31487298.872629881</v>
      </c>
      <c r="E118" s="149">
        <f t="shared" ref="E118:AG118" si="13">E113+E115+E116</f>
        <v>31487298.872629881</v>
      </c>
      <c r="F118" s="149">
        <f>F113+F115+F116</f>
        <v>31487298.872629881</v>
      </c>
      <c r="G118" s="149">
        <f t="shared" si="13"/>
        <v>31487298.872629881</v>
      </c>
      <c r="H118" s="149">
        <f t="shared" si="13"/>
        <v>31487298.872629881</v>
      </c>
      <c r="I118" s="149">
        <f t="shared" si="13"/>
        <v>31487298.872629881</v>
      </c>
      <c r="J118" s="149">
        <f t="shared" si="13"/>
        <v>31487298.872629881</v>
      </c>
      <c r="K118" s="149">
        <f t="shared" si="13"/>
        <v>31487298.872629881</v>
      </c>
      <c r="L118" s="149">
        <f t="shared" si="13"/>
        <v>31487298.872629881</v>
      </c>
      <c r="M118" s="149">
        <f t="shared" si="13"/>
        <v>31487298.872629881</v>
      </c>
      <c r="N118" s="149">
        <f t="shared" si="13"/>
        <v>31487298.872629881</v>
      </c>
      <c r="O118" s="149">
        <f t="shared" si="13"/>
        <v>31487298.872629881</v>
      </c>
      <c r="P118" s="149">
        <f t="shared" si="13"/>
        <v>31487298.872629881</v>
      </c>
      <c r="Q118" s="149">
        <f t="shared" si="13"/>
        <v>31487298.872629881</v>
      </c>
      <c r="R118" s="149">
        <f t="shared" si="13"/>
        <v>31487298.872629881</v>
      </c>
      <c r="S118" s="149">
        <f t="shared" si="13"/>
        <v>31487298.872629881</v>
      </c>
      <c r="T118" s="149">
        <f t="shared" si="13"/>
        <v>31487298.872629881</v>
      </c>
      <c r="U118" s="149">
        <f t="shared" si="13"/>
        <v>31487298.872629881</v>
      </c>
      <c r="V118" s="149">
        <f t="shared" si="13"/>
        <v>31487298.872629881</v>
      </c>
      <c r="W118" s="149">
        <f t="shared" si="13"/>
        <v>31487298.872629881</v>
      </c>
      <c r="X118" s="149">
        <f t="shared" si="13"/>
        <v>31487298.872629881</v>
      </c>
      <c r="Y118" s="149">
        <f t="shared" si="13"/>
        <v>31487298.872629881</v>
      </c>
      <c r="Z118" s="149">
        <f t="shared" si="13"/>
        <v>31487298.872629881</v>
      </c>
      <c r="AA118" s="149">
        <f t="shared" si="13"/>
        <v>31487298.872629881</v>
      </c>
      <c r="AB118" s="149">
        <f t="shared" si="13"/>
        <v>31487298.872629881</v>
      </c>
      <c r="AC118" s="149">
        <f t="shared" si="13"/>
        <v>31487298.872629881</v>
      </c>
      <c r="AD118" s="149">
        <f t="shared" si="13"/>
        <v>31487298.872629881</v>
      </c>
      <c r="AE118" s="149">
        <f t="shared" si="13"/>
        <v>31487298.872629881</v>
      </c>
      <c r="AF118" s="149">
        <f t="shared" si="13"/>
        <v>31487298.872629881</v>
      </c>
      <c r="AG118" s="149">
        <f t="shared" si="13"/>
        <v>31487298.872629881</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755695.17294311721</v>
      </c>
      <c r="E120" s="149">
        <f>(SUM($D$118:E118)*$C$104/$C$106)+(SUM($D$118:E118)*$C$105/$C$107)</f>
        <v>1511390.3458862344</v>
      </c>
      <c r="F120" s="149">
        <f>(SUM($D$118:F118)*$C$104/$C$106)+(SUM($D$118:F118)*$C$105/$C$107)</f>
        <v>2267085.5188293513</v>
      </c>
      <c r="G120" s="149">
        <f>(SUM($D$118:G118)*$C$104/$C$106)+(SUM($D$118:G118)*$C$105/$C$107)</f>
        <v>3022780.6917724689</v>
      </c>
      <c r="H120" s="149">
        <f>(SUM($D$118:H118)*$C$104/$C$106)+(SUM($D$118:H118)*$C$105/$C$107)</f>
        <v>3778475.8647155855</v>
      </c>
      <c r="I120" s="149">
        <f>(SUM($D$118:I118)*$C$104/$C$106)+(SUM($D$118:I118)*$C$105/$C$107)</f>
        <v>4534171.0376587026</v>
      </c>
      <c r="J120" s="149">
        <f>(SUM($D$118:J118)*$C$104/$C$106)+(SUM($D$118:J118)*$C$105/$C$107)</f>
        <v>5289866.2106018197</v>
      </c>
      <c r="K120" s="149">
        <f>(SUM($D$118:K118)*$C$104/$C$106)+(SUM($D$118:K118)*$C$105/$C$107)</f>
        <v>6045561.3835449377</v>
      </c>
      <c r="L120" s="149">
        <f>(SUM($D$118:L118)*$C$104/$C$106)+(SUM($D$118:L118)*$C$105/$C$107)</f>
        <v>6801256.5564880539</v>
      </c>
      <c r="M120" s="149">
        <f>(SUM($D$118:M118)*$C$104/$C$106)+(SUM($D$118:M118)*$C$105/$C$107)</f>
        <v>7556951.729431171</v>
      </c>
      <c r="N120" s="149">
        <f>(SUM($D$118:N118)*$C$104/$C$106)+(SUM($D$118:N118)*$C$105/$C$107)</f>
        <v>8312646.9023742881</v>
      </c>
      <c r="O120" s="149">
        <f>(SUM($D$118:O118)*$C$104/$C$106)+(SUM($D$118:O118)*$C$105/$C$107)</f>
        <v>9068342.0753174052</v>
      </c>
      <c r="P120" s="149">
        <f>(SUM($D$118:P118)*$C$104/$C$106)+(SUM($D$118:P118)*$C$105/$C$107)</f>
        <v>9824037.2482605223</v>
      </c>
      <c r="Q120" s="149">
        <f>(SUM($D$118:Q118)*$C$104/$C$106)+(SUM($D$118:Q118)*$C$105/$C$107)</f>
        <v>10579732.421203639</v>
      </c>
      <c r="R120" s="149">
        <f>(SUM($D$118:R118)*$C$104/$C$106)+(SUM($D$118:R118)*$C$105/$C$107)</f>
        <v>11335427.594146758</v>
      </c>
      <c r="S120" s="149">
        <f>(SUM($D$118:S118)*$C$104/$C$106)+(SUM($D$118:S118)*$C$105/$C$107)</f>
        <v>12091122.767089875</v>
      </c>
      <c r="T120" s="149">
        <f>(SUM($D$118:T118)*$C$104/$C$106)+(SUM($D$118:T118)*$C$105/$C$107)</f>
        <v>12846817.940032989</v>
      </c>
      <c r="U120" s="149">
        <f>(SUM($D$118:U118)*$C$104/$C$106)+(SUM($D$118:U118)*$C$105/$C$107)</f>
        <v>13602513.112976108</v>
      </c>
      <c r="V120" s="149">
        <f>(SUM($D$118:V118)*$C$104/$C$106)+(SUM($D$118:V118)*$C$105/$C$107)</f>
        <v>14358208.285919227</v>
      </c>
      <c r="W120" s="149">
        <f>(SUM($D$118:W118)*$C$104/$C$106)+(SUM($D$118:W118)*$C$105/$C$107)</f>
        <v>15113903.458862342</v>
      </c>
      <c r="X120" s="149">
        <f>(SUM($D$118:X118)*$C$104/$C$106)+(SUM($D$118:X118)*$C$105/$C$107)</f>
        <v>15869598.631805461</v>
      </c>
      <c r="Y120" s="149">
        <f>(SUM($D$118:Y118)*$C$104/$C$106)+(SUM($D$118:Y118)*$C$105/$C$107)</f>
        <v>16625293.804748576</v>
      </c>
      <c r="Z120" s="149">
        <f>(SUM($D$118:Z118)*$C$104/$C$106)+(SUM($D$118:Z118)*$C$105/$C$107)</f>
        <v>17380988.977691695</v>
      </c>
      <c r="AA120" s="149">
        <f>(SUM($D$118:AA118)*$C$104/$C$106)+(SUM($D$118:AA118)*$C$105/$C$107)</f>
        <v>18136684.15063481</v>
      </c>
      <c r="AB120" s="149">
        <f>(SUM($D$118:AB118)*$C$104/$C$106)+(SUM($D$118:AB118)*$C$105/$C$107)</f>
        <v>18892379.323577929</v>
      </c>
      <c r="AC120" s="149">
        <f>(SUM($D$118:AC118)*$C$104/$C$106)+(SUM($D$118:AC118)*$C$105/$C$107)</f>
        <v>19648074.496521045</v>
      </c>
      <c r="AD120" s="149">
        <f>(SUM($D$118:AD118)*$C$104/$C$106)+(SUM($D$118:AD118)*$C$105/$C$107)</f>
        <v>20403769.66946416</v>
      </c>
      <c r="AE120" s="149">
        <f>(SUM($D$118:AE118)*$C$104/$C$106)+(SUM($D$118:AE118)*$C$105/$C$107)</f>
        <v>21159464.842407279</v>
      </c>
      <c r="AF120" s="149">
        <f>(SUM($D$118:AF118)*$C$104/$C$106)+(SUM($D$118:AF118)*$C$105/$C$107)</f>
        <v>21915160.015350394</v>
      </c>
      <c r="AG120" s="149">
        <f>(SUM($D$118:AG118)*$C$104/$C$106)+(SUM($D$118:AG118)*$C$105/$C$107)</f>
        <v>22670855.188293517</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944618.96617889637</v>
      </c>
      <c r="E122" s="72">
        <f>(SUM($D$118:E118)*$C$109)</f>
        <v>1889237.9323577927</v>
      </c>
      <c r="F122" s="72">
        <f>(SUM($D$118:F118)*$C$109)</f>
        <v>2833856.8985366891</v>
      </c>
      <c r="G122" s="72">
        <f>(SUM($D$118:G118)*$C$109)</f>
        <v>3778475.8647155855</v>
      </c>
      <c r="H122" s="72">
        <f>(SUM($D$118:H118)*$C$109)</f>
        <v>4723094.8308944823</v>
      </c>
      <c r="I122" s="72">
        <f>(SUM($D$118:I118)*$C$109)</f>
        <v>5667713.7970733782</v>
      </c>
      <c r="J122" s="72">
        <f>(SUM($D$118:J118)*$C$109)</f>
        <v>6612332.7632522751</v>
      </c>
      <c r="K122" s="72">
        <f>(SUM($D$118:K118)*$C$109)</f>
        <v>7556951.729431171</v>
      </c>
      <c r="L122" s="72">
        <f>(SUM($D$118:L118)*$C$109)</f>
        <v>8501570.6956100669</v>
      </c>
      <c r="M122" s="72">
        <f>(SUM($D$118:M118)*$C$109)</f>
        <v>9446189.6617889646</v>
      </c>
      <c r="N122" s="72">
        <f>(SUM($D$118:N118)*$C$109)</f>
        <v>10390808.627967861</v>
      </c>
      <c r="O122" s="72">
        <f>(SUM($D$118:O118)*$C$109)</f>
        <v>11335427.594146756</v>
      </c>
      <c r="P122" s="72">
        <f>(SUM($D$118:P118)*$C$109)</f>
        <v>12280046.560325652</v>
      </c>
      <c r="Q122" s="72">
        <f>(SUM($D$118:Q118)*$C$109)</f>
        <v>13224665.52650455</v>
      </c>
      <c r="R122" s="72">
        <f>(SUM($D$118:R118)*$C$109)</f>
        <v>14169284.492683446</v>
      </c>
      <c r="S122" s="72">
        <f>(SUM($D$118:S118)*$C$109)</f>
        <v>15113903.458862342</v>
      </c>
      <c r="T122" s="72">
        <f>(SUM($D$118:T118)*$C$109)</f>
        <v>16058522.425041238</v>
      </c>
      <c r="U122" s="72">
        <f>(SUM($D$118:U118)*$C$109)</f>
        <v>17003141.391220134</v>
      </c>
      <c r="V122" s="72">
        <f>(SUM($D$118:V118)*$C$109)</f>
        <v>17947760.357399032</v>
      </c>
      <c r="W122" s="72">
        <f>(SUM($D$118:W118)*$C$109)</f>
        <v>18892379.323577929</v>
      </c>
      <c r="X122" s="72">
        <f>(SUM($D$118:X118)*$C$109)</f>
        <v>19836998.289756823</v>
      </c>
      <c r="Y122" s="72">
        <f>(SUM($D$118:Y118)*$C$109)</f>
        <v>20781617.255935721</v>
      </c>
      <c r="Z122" s="72">
        <f>(SUM($D$118:Z118)*$C$109)</f>
        <v>21726236.222114619</v>
      </c>
      <c r="AA122" s="72">
        <f>(SUM($D$118:AA118)*$C$109)</f>
        <v>22670855.188293513</v>
      </c>
      <c r="AB122" s="72">
        <f>(SUM($D$118:AB118)*$C$109)</f>
        <v>23615474.154472411</v>
      </c>
      <c r="AC122" s="72">
        <f>(SUM($D$118:AC118)*$C$109)</f>
        <v>24560093.120651305</v>
      </c>
      <c r="AD122" s="72">
        <f>(SUM($D$118:AD118)*$C$109)</f>
        <v>25504712.086830202</v>
      </c>
      <c r="AE122" s="72">
        <f>(SUM($D$118:AE118)*$C$109)</f>
        <v>26449331.0530091</v>
      </c>
      <c r="AF122" s="72">
        <f>(SUM($D$118:AF118)*$C$109)</f>
        <v>27393950.019187994</v>
      </c>
      <c r="AG122" s="72">
        <f>(SUM($D$118:AG118)*$C$109)</f>
        <v>28338568.985366892</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152</v>
      </c>
      <c r="B126" s="77" t="s">
        <v>197</v>
      </c>
      <c r="C126" s="126">
        <v>44556</v>
      </c>
      <c r="D126" s="140"/>
    </row>
    <row r="127" spans="1:33" x14ac:dyDescent="0.35">
      <c r="A127" s="77" t="s">
        <v>151</v>
      </c>
      <c r="B127" s="77" t="s">
        <v>133</v>
      </c>
      <c r="C127" s="126">
        <v>36087</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40321.5</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156</v>
      </c>
      <c r="B133" s="77" t="s">
        <v>157</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14933.888888888889</v>
      </c>
      <c r="D135" s="157">
        <f t="shared" ref="D135:AG135" si="14">$C$135*D13</f>
        <v>15015.32567489855</v>
      </c>
      <c r="E135" s="157">
        <f t="shared" si="14"/>
        <v>15097.20654818949</v>
      </c>
      <c r="F135" s="157">
        <f t="shared" si="14"/>
        <v>15179.533930437748</v>
      </c>
      <c r="G135" s="157">
        <f t="shared" si="14"/>
        <v>15262.310256525132</v>
      </c>
      <c r="H135" s="157">
        <f t="shared" si="14"/>
        <v>15345.537974611239</v>
      </c>
      <c r="I135" s="157">
        <f t="shared" si="14"/>
        <v>15429.219546205852</v>
      </c>
      <c r="J135" s="157">
        <f t="shared" si="14"/>
        <v>15513.357446241744</v>
      </c>
      <c r="K135" s="157">
        <f t="shared" si="14"/>
        <v>15597.954163147875</v>
      </c>
      <c r="L135" s="157">
        <f t="shared" si="14"/>
        <v>15683.012198922994</v>
      </c>
      <c r="M135" s="157">
        <f t="shared" si="14"/>
        <v>15768.534069209632</v>
      </c>
      <c r="N135" s="157">
        <f t="shared" si="14"/>
        <v>15854.522303368498</v>
      </c>
      <c r="O135" s="157">
        <f t="shared" si="14"/>
        <v>15940.979444553301</v>
      </c>
      <c r="P135" s="157">
        <f t="shared" si="14"/>
        <v>16027.90804978595</v>
      </c>
      <c r="Q135" s="157">
        <f t="shared" si="14"/>
        <v>16115.310690032195</v>
      </c>
      <c r="R135" s="157">
        <f t="shared" si="14"/>
        <v>16203.189950277649</v>
      </c>
      <c r="S135" s="157">
        <f t="shared" si="14"/>
        <v>16291.548429604252</v>
      </c>
      <c r="T135" s="157">
        <f t="shared" si="14"/>
        <v>16380.38874126713</v>
      </c>
      <c r="U135" s="157">
        <f t="shared" si="14"/>
        <v>16469.713512771901</v>
      </c>
      <c r="V135" s="157">
        <f t="shared" si="14"/>
        <v>16559.525385952369</v>
      </c>
      <c r="W135" s="157">
        <f t="shared" si="14"/>
        <v>16649.82701704865</v>
      </c>
      <c r="X135" s="157">
        <f t="shared" si="14"/>
        <v>16740.621076785766</v>
      </c>
      <c r="Y135" s="157">
        <f t="shared" si="14"/>
        <v>16831.910250452605</v>
      </c>
      <c r="Z135" s="157">
        <f t="shared" si="14"/>
        <v>16923.697237981341</v>
      </c>
      <c r="AA135" s="157">
        <f t="shared" si="14"/>
        <v>17015.984754027289</v>
      </c>
      <c r="AB135" s="157">
        <f t="shared" si="14"/>
        <v>17108.775528049209</v>
      </c>
      <c r="AC135" s="157">
        <f t="shared" si="14"/>
        <v>17202.072304390014</v>
      </c>
      <c r="AD135" s="157">
        <f t="shared" si="14"/>
        <v>17295.877842357932</v>
      </c>
      <c r="AE135" s="157">
        <f t="shared" si="14"/>
        <v>17390.194916308126</v>
      </c>
      <c r="AF135" s="157">
        <f t="shared" si="14"/>
        <v>17485.026315724746</v>
      </c>
      <c r="AG135" s="157">
        <f t="shared" si="14"/>
        <v>17580.374845303431</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70" zoomScaleNormal="7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0.3</v>
      </c>
      <c r="F4" s="65">
        <v>0.3</v>
      </c>
      <c r="G4" s="65">
        <v>0.3</v>
      </c>
      <c r="H4" s="65">
        <v>0.16</v>
      </c>
      <c r="I4" s="65">
        <v>0.14000000000000001</v>
      </c>
      <c r="J4" s="65">
        <v>0.08</v>
      </c>
      <c r="K4" s="65">
        <v>0.08</v>
      </c>
      <c r="L4" s="65">
        <v>0.06</v>
      </c>
      <c r="M4" s="65">
        <v>0.06</v>
      </c>
      <c r="N4" s="65">
        <v>0.06</v>
      </c>
      <c r="O4" s="65">
        <v>0.05</v>
      </c>
      <c r="P4" s="65">
        <v>0.05</v>
      </c>
      <c r="Q4" s="65">
        <v>0.05</v>
      </c>
      <c r="R4" s="65">
        <v>4.4999999999999998E-2</v>
      </c>
      <c r="S4" s="65">
        <v>4.4999999999999998E-2</v>
      </c>
      <c r="T4" s="65">
        <v>4.4999999999999998E-2</v>
      </c>
      <c r="U4" s="65">
        <v>4.4999999999999998E-2</v>
      </c>
      <c r="V4" s="65">
        <v>4.4999999999999998E-2</v>
      </c>
      <c r="W4" s="65">
        <v>4.4999999999999998E-2</v>
      </c>
      <c r="X4" s="65">
        <v>4.4999999999999998E-2</v>
      </c>
      <c r="Y4" s="65">
        <v>4.4999999999999998E-2</v>
      </c>
      <c r="Z4" s="65">
        <v>4.4999999999999998E-2</v>
      </c>
      <c r="AA4" s="65">
        <v>4.4999999999999998E-2</v>
      </c>
      <c r="AB4" s="65">
        <v>0.04</v>
      </c>
      <c r="AC4" s="65">
        <v>0.04</v>
      </c>
      <c r="AD4" s="65">
        <v>0.04</v>
      </c>
      <c r="AE4" s="65">
        <v>0.04</v>
      </c>
      <c r="AF4" s="65">
        <v>0.04</v>
      </c>
      <c r="AG4" s="65">
        <v>0.04</v>
      </c>
      <c r="AH4" s="65">
        <v>0.04</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2.5011701300752556</v>
      </c>
      <c r="C6" s="25"/>
      <c r="D6" s="25"/>
      <c r="E6" s="27">
        <f>'Debt worksheet'!C5/'Profit and Loss'!C5</f>
        <v>1.9731102265817666</v>
      </c>
      <c r="F6" s="28">
        <f ca="1">'Debt worksheet'!D5/'Profit and Loss'!D5</f>
        <v>2.4127009696516266</v>
      </c>
      <c r="G6" s="28">
        <f ca="1">'Debt worksheet'!E5/'Profit and Loss'!E5</f>
        <v>2.4522427496174743</v>
      </c>
      <c r="H6" s="28">
        <f ca="1">'Debt worksheet'!F5/'Profit and Loss'!F5</f>
        <v>2.5010058366158319</v>
      </c>
      <c r="I6" s="28">
        <f ca="1">'Debt worksheet'!G5/'Profit and Loss'!G5</f>
        <v>2.4754900750567863</v>
      </c>
      <c r="J6" s="28">
        <f ca="1">'Debt worksheet'!H5/'Profit and Loss'!H5</f>
        <v>2.4977281641613378</v>
      </c>
      <c r="K6" s="28">
        <f ca="1">'Debt worksheet'!I5/'Profit and Loss'!I5</f>
        <v>2.4899793759244377</v>
      </c>
      <c r="L6" s="28">
        <f ca="1">'Debt worksheet'!J5/'Profit and Loss'!J5</f>
        <v>2.4998441134917124</v>
      </c>
      <c r="M6" s="28">
        <f ca="1">'Debt worksheet'!K5/'Profit and Loss'!K5</f>
        <v>2.4991600304917347</v>
      </c>
      <c r="N6" s="28">
        <f ca="1">'Debt worksheet'!L5/'Profit and Loss'!L5</f>
        <v>2.4875781376136032</v>
      </c>
      <c r="O6" s="28">
        <f ca="1">'Debt worksheet'!M5/'Profit and Loss'!M5</f>
        <v>2.4882954486997679</v>
      </c>
      <c r="P6" s="28">
        <f ca="1">'Debt worksheet'!N5/'Profit and Loss'!N5</f>
        <v>2.4865441677220392</v>
      </c>
      <c r="Q6" s="28">
        <f ca="1">'Debt worksheet'!O5/'Profit and Loss'!O5</f>
        <v>2.4817496696113066</v>
      </c>
      <c r="R6" s="28">
        <f ca="1">'Debt worksheet'!P5/'Profit and Loss'!P5</f>
        <v>2.4852192352664542</v>
      </c>
      <c r="S6" s="28">
        <f ca="1">'Debt worksheet'!Q5/'Profit and Loss'!Q5</f>
        <v>2.4892929083238045</v>
      </c>
      <c r="T6" s="28">
        <f ca="1">'Debt worksheet'!R5/'Profit and Loss'!R5</f>
        <v>2.4934236424525897</v>
      </c>
      <c r="U6" s="28">
        <f ca="1">'Debt worksheet'!S5/'Profit and Loss'!S5</f>
        <v>2.4970970957227494</v>
      </c>
      <c r="V6" s="28">
        <f ca="1">'Debt worksheet'!T5/'Profit and Loss'!T5</f>
        <v>2.4998302583139567</v>
      </c>
      <c r="W6" s="28">
        <f ca="1">'Debt worksheet'!U5/'Profit and Loss'!U5</f>
        <v>2.5011701300752556</v>
      </c>
      <c r="X6" s="28">
        <f ca="1">'Debt worksheet'!V5/'Profit and Loss'!V5</f>
        <v>2.5006924462520059</v>
      </c>
      <c r="Y6" s="28">
        <f ca="1">'Debt worksheet'!W5/'Profit and Loss'!W5</f>
        <v>2.4980004497513679</v>
      </c>
      <c r="Z6" s="28">
        <f ca="1">'Debt worksheet'!X5/'Profit and Loss'!X5</f>
        <v>2.492723708370352</v>
      </c>
      <c r="AA6" s="28">
        <f ca="1">'Debt worksheet'!Y5/'Profit and Loss'!Y5</f>
        <v>2.4845169754615823</v>
      </c>
      <c r="AB6" s="28">
        <f ca="1">'Debt worksheet'!Z5/'Profit and Loss'!Z5</f>
        <v>2.4849487997372144</v>
      </c>
      <c r="AC6" s="28">
        <f ca="1">'Debt worksheet'!AA5/'Profit and Loss'!AA5</f>
        <v>2.4865083278084543</v>
      </c>
      <c r="AD6" s="28">
        <f ca="1">'Debt worksheet'!AB5/'Profit and Loss'!AB5</f>
        <v>2.488843305274024</v>
      </c>
      <c r="AE6" s="28">
        <f ca="1">'Debt worksheet'!AC5/'Profit and Loss'!AC5</f>
        <v>2.4916173207067218</v>
      </c>
      <c r="AF6" s="28">
        <f ca="1">'Debt worksheet'!AD5/'Profit and Loss'!AD5</f>
        <v>2.4945092840086565</v>
      </c>
      <c r="AG6" s="28">
        <f ca="1">'Debt worksheet'!AE5/'Profit and Loss'!AE5</f>
        <v>2.4972129200031397</v>
      </c>
      <c r="AH6" s="28">
        <f ca="1">'Debt worksheet'!AF5/'Profit and Loss'!AF5</f>
        <v>2.4994362768430589</v>
      </c>
      <c r="AI6" s="31"/>
    </row>
    <row r="7" spans="1:35" ht="21" x14ac:dyDescent="0.5">
      <c r="A7" s="19" t="s">
        <v>38</v>
      </c>
      <c r="B7" s="26">
        <f ca="1">MIN('Price and Financial ratios'!E7:AH7)</f>
        <v>0.2200651687103482</v>
      </c>
      <c r="C7" s="26"/>
      <c r="D7" s="26"/>
      <c r="E7" s="56">
        <f ca="1">'Cash Flow'!C7/'Debt worksheet'!C5</f>
        <v>0.23759659632840335</v>
      </c>
      <c r="F7" s="32">
        <f ca="1">'Cash Flow'!D7/'Debt worksheet'!D5</f>
        <v>0.2200651687103482</v>
      </c>
      <c r="G7" s="32">
        <f ca="1">'Cash Flow'!E7/'Debt worksheet'!E5</f>
        <v>0.24349617314670097</v>
      </c>
      <c r="H7" s="32">
        <f ca="1">'Cash Flow'!F7/'Debt worksheet'!F5</f>
        <v>0.24711584265450448</v>
      </c>
      <c r="I7" s="32">
        <f ca="1">'Cash Flow'!G7/'Debt worksheet'!G5</f>
        <v>0.25693265712320423</v>
      </c>
      <c r="J7" s="32">
        <f ca="1">'Cash Flow'!H7/'Debt worksheet'!H5</f>
        <v>0.25468621772826139</v>
      </c>
      <c r="K7" s="32">
        <f ca="1">'Cash Flow'!I7/'Debt worksheet'!I5</f>
        <v>0.25633889216137362</v>
      </c>
      <c r="L7" s="32">
        <f ca="1">'Cash Flow'!J7/'Debt worksheet'!J5</f>
        <v>0.2539614176539311</v>
      </c>
      <c r="M7" s="17">
        <f ca="1">'Cash Flow'!K7/'Debt worksheet'!K5</f>
        <v>0.25311980135593393</v>
      </c>
      <c r="N7" s="17">
        <f ca="1">'Cash Flow'!L7/'Debt worksheet'!L5</f>
        <v>0.25382262964089108</v>
      </c>
      <c r="O7" s="17">
        <f ca="1">'Cash Flow'!M7/'Debt worksheet'!M5</f>
        <v>0.25214612059991509</v>
      </c>
      <c r="P7" s="17">
        <f ca="1">'Cash Flow'!N7/'Debt worksheet'!N5</f>
        <v>0.25098047948584812</v>
      </c>
      <c r="Q7" s="17">
        <f ca="1">'Cash Flow'!O7/'Debt worksheet'!O5</f>
        <v>0.25037700213949715</v>
      </c>
      <c r="R7" s="17">
        <f ca="1">'Cash Flow'!P7/'Debt worksheet'!P5</f>
        <v>0.24839059129605831</v>
      </c>
      <c r="S7" s="17">
        <f ca="1">'Cash Flow'!Q7/'Debt worksheet'!Q5</f>
        <v>0.24651956363657007</v>
      </c>
      <c r="T7" s="17">
        <f ca="1">'Cash Flow'!R7/'Debt worksheet'!R5</f>
        <v>0.2448179087597748</v>
      </c>
      <c r="U7" s="17">
        <f ca="1">'Cash Flow'!S7/'Debt worksheet'!S5</f>
        <v>0.243334361904329</v>
      </c>
      <c r="V7" s="17">
        <f ca="1">'Cash Flow'!T7/'Debt worksheet'!T5</f>
        <v>0.24211312899058859</v>
      </c>
      <c r="W7" s="17">
        <f ca="1">'Cash Flow'!U7/'Debt worksheet'!U5</f>
        <v>0.24119472859934216</v>
      </c>
      <c r="X7" s="17">
        <f ca="1">'Cash Flow'!V7/'Debt worksheet'!V5</f>
        <v>0.24061691087888992</v>
      </c>
      <c r="Y7" s="17">
        <f ca="1">'Cash Flow'!W7/'Debt worksheet'!W5</f>
        <v>0.2404156278379741</v>
      </c>
      <c r="Z7" s="17">
        <f ca="1">'Cash Flow'!X7/'Debt worksheet'!X5</f>
        <v>0.2406260428324897</v>
      </c>
      <c r="AA7" s="17">
        <f ca="1">'Cash Flow'!Y7/'Debt worksheet'!Y5</f>
        <v>0.24128357921032362</v>
      </c>
      <c r="AB7" s="17">
        <f ca="1">'Cash Flow'!Z7/'Debt worksheet'!Z5</f>
        <v>0.24042012306866789</v>
      </c>
      <c r="AC7" s="17">
        <f ca="1">'Cash Flow'!AA7/'Debt worksheet'!AA5</f>
        <v>0.23953556203341875</v>
      </c>
      <c r="AD7" s="17">
        <f ca="1">'Cash Flow'!AB7/'Debt worksheet'!AB5</f>
        <v>0.238665827526088</v>
      </c>
      <c r="AE7" s="17">
        <f ca="1">'Cash Flow'!AC7/'Debt worksheet'!AC5</f>
        <v>0.23784461918128533</v>
      </c>
      <c r="AF7" s="17">
        <f ca="1">'Cash Flow'!AD7/'Debt worksheet'!AD5</f>
        <v>0.23710345415285028</v>
      </c>
      <c r="AG7" s="17">
        <f ca="1">'Cash Flow'!AE7/'Debt worksheet'!AE5</f>
        <v>0.23647180095875181</v>
      </c>
      <c r="AH7" s="17">
        <f ca="1">'Cash Flow'!AF7/'Debt worksheet'!AF5</f>
        <v>0.2359772811986891</v>
      </c>
      <c r="AI7" s="29"/>
    </row>
    <row r="8" spans="1:35" ht="21" x14ac:dyDescent="0.5">
      <c r="A8" s="19" t="s">
        <v>33</v>
      </c>
      <c r="B8" s="26">
        <f ca="1">MAX('Price and Financial ratios'!E8:AH8)</f>
        <v>0.33122762136008305</v>
      </c>
      <c r="C8" s="26"/>
      <c r="D8" s="176"/>
      <c r="E8" s="17">
        <f>'Balance Sheet'!B11/'Balance Sheet'!B8</f>
        <v>0.12155255840012276</v>
      </c>
      <c r="F8" s="17">
        <f ca="1">'Balance Sheet'!C11/'Balance Sheet'!C8</f>
        <v>0.19545989326924701</v>
      </c>
      <c r="G8" s="17">
        <f ca="1">'Balance Sheet'!D11/'Balance Sheet'!D8</f>
        <v>0.24287124714181976</v>
      </c>
      <c r="H8" s="17">
        <f ca="1">'Balance Sheet'!E11/'Balance Sheet'!E8</f>
        <v>0.27083208266800574</v>
      </c>
      <c r="I8" s="17">
        <f ca="1">'Balance Sheet'!F11/'Balance Sheet'!F8</f>
        <v>0.28865031526983242</v>
      </c>
      <c r="J8" s="17">
        <f ca="1">'Balance Sheet'!G11/'Balance Sheet'!G8</f>
        <v>0.29766283546041944</v>
      </c>
      <c r="K8" s="17">
        <f ca="1">'Balance Sheet'!H11/'Balance Sheet'!H8</f>
        <v>0.30380623138387242</v>
      </c>
      <c r="L8" s="17">
        <f ca="1">'Balance Sheet'!I11/'Balance Sheet'!I8</f>
        <v>0.30697820886500138</v>
      </c>
      <c r="M8" s="17">
        <f ca="1">'Balance Sheet'!J11/'Balance Sheet'!J8</f>
        <v>0.30932637021403253</v>
      </c>
      <c r="N8" s="17">
        <f ca="1">'Balance Sheet'!K11/'Balance Sheet'!K8</f>
        <v>0.31075139225278275</v>
      </c>
      <c r="O8" s="17">
        <f ca="1">'Balance Sheet'!L11/'Balance Sheet'!L8</f>
        <v>0.31115469937814194</v>
      </c>
      <c r="P8" s="17">
        <f ca="1">'Balance Sheet'!M11/'Balance Sheet'!M8</f>
        <v>0.31160924943979662</v>
      </c>
      <c r="Q8" s="17">
        <f ca="1">'Balance Sheet'!N11/'Balance Sheet'!N8</f>
        <v>0.31201683531147079</v>
      </c>
      <c r="R8" s="17">
        <f ca="1">'Balance Sheet'!O11/'Balance Sheet'!O8</f>
        <v>0.31228542637115297</v>
      </c>
      <c r="S8" s="17">
        <f ca="1">'Balance Sheet'!P11/'Balance Sheet'!P8</f>
        <v>0.31292119599052282</v>
      </c>
      <c r="T8" s="17">
        <f ca="1">'Balance Sheet'!Q11/'Balance Sheet'!Q8</f>
        <v>0.3138380721453245</v>
      </c>
      <c r="U8" s="17">
        <f ca="1">'Balance Sheet'!R11/'Balance Sheet'!R8</f>
        <v>0.31495615371206231</v>
      </c>
      <c r="V8" s="17">
        <f ca="1">'Balance Sheet'!S11/'Balance Sheet'!S8</f>
        <v>0.31620071716347636</v>
      </c>
      <c r="W8" s="17">
        <f ca="1">'Balance Sheet'!T11/'Balance Sheet'!T8</f>
        <v>0.31750138410485323</v>
      </c>
      <c r="X8" s="17">
        <f ca="1">'Balance Sheet'!U11/'Balance Sheet'!U8</f>
        <v>0.31879141960342106</v>
      </c>
      <c r="Y8" s="17">
        <f ca="1">'Balance Sheet'!V11/'Balance Sheet'!V8</f>
        <v>0.32000713750262344</v>
      </c>
      <c r="Z8" s="17">
        <f ca="1">'Balance Sheet'!W11/'Balance Sheet'!W8</f>
        <v>0.3210873937314897</v>
      </c>
      <c r="AA8" s="17">
        <f ca="1">'Balance Sheet'!X11/'Balance Sheet'!X8</f>
        <v>0.32197315236739066</v>
      </c>
      <c r="AB8" s="17">
        <f ca="1">'Balance Sheet'!Y11/'Balance Sheet'!Y8</f>
        <v>0.32260711214598303</v>
      </c>
      <c r="AC8" s="17">
        <f ca="1">'Balance Sheet'!Z11/'Balance Sheet'!Z8</f>
        <v>0.32355335268880275</v>
      </c>
      <c r="AD8" s="17">
        <f ca="1">'Balance Sheet'!AA11/'Balance Sheet'!AA8</f>
        <v>0.32475969746052347</v>
      </c>
      <c r="AE8" s="17">
        <f ca="1">'Balance Sheet'!AB11/'Balance Sheet'!AB8</f>
        <v>0.32617659700121859</v>
      </c>
      <c r="AF8" s="17">
        <f ca="1">'Balance Sheet'!AC11/'Balance Sheet'!AC8</f>
        <v>0.32775678541334469</v>
      </c>
      <c r="AG8" s="17">
        <f ca="1">'Balance Sheet'!AD11/'Balance Sheet'!AD8</f>
        <v>0.32945498053528893</v>
      </c>
      <c r="AH8" s="17">
        <f ca="1">'Balance Sheet'!AE11/'Balance Sheet'!AE8</f>
        <v>0.33122762136008305</v>
      </c>
      <c r="AI8" s="29"/>
    </row>
    <row r="9" spans="1:35" ht="21.5" thickBot="1" x14ac:dyDescent="0.55000000000000004">
      <c r="A9" s="20" t="s">
        <v>32</v>
      </c>
      <c r="B9" s="21">
        <f ca="1">MIN('Price and Financial ratios'!E9:AH9)</f>
        <v>5.2473184727704814</v>
      </c>
      <c r="C9" s="21"/>
      <c r="D9" s="177"/>
      <c r="E9" s="21">
        <f ca="1">('Cash Flow'!C7+'Profit and Loss'!C8)/('Profit and Loss'!C8)</f>
        <v>5.2473184727704814</v>
      </c>
      <c r="F9" s="21">
        <f ca="1">('Cash Flow'!D7+'Profit and Loss'!D8)/('Profit and Loss'!D8)</f>
        <v>5.7327995555394482</v>
      </c>
      <c r="G9" s="21">
        <f ca="1">('Cash Flow'!E7+'Profit and Loss'!E8)/('Profit and Loss'!E8)</f>
        <v>6.8486148139218814</v>
      </c>
      <c r="H9" s="21">
        <f ca="1">('Cash Flow'!F7+'Profit and Loss'!F8)/('Profit and Loss'!F8)</f>
        <v>7.2232803906450016</v>
      </c>
      <c r="I9" s="21">
        <f ca="1">('Cash Flow'!G7+'Profit and Loss'!G8)/('Profit and Loss'!G8)</f>
        <v>7.7001061986643276</v>
      </c>
      <c r="J9" s="21">
        <f ca="1">('Cash Flow'!H7+'Profit and Loss'!H8)/('Profit and Loss'!H8)</f>
        <v>7.7220420448133629</v>
      </c>
      <c r="K9" s="21">
        <f ca="1">('Cash Flow'!I7+'Profit and Loss'!I8)/('Profit and Loss'!I8)</f>
        <v>7.844812804198197</v>
      </c>
      <c r="L9" s="21">
        <f ca="1">('Cash Flow'!J7+'Profit and Loss'!J8)/('Profit and Loss'!J8)</f>
        <v>7.8100586731005031</v>
      </c>
      <c r="M9" s="21">
        <f ca="1">('Cash Flow'!K7+'Profit and Loss'!K8)/('Profit and Loss'!K8)</f>
        <v>7.817226226073271</v>
      </c>
      <c r="N9" s="21">
        <f ca="1">('Cash Flow'!L7+'Profit and Loss'!L8)/('Profit and Loss'!L8)</f>
        <v>7.8672987547885365</v>
      </c>
      <c r="O9" s="21">
        <f ca="1">('Cash Flow'!M7+'Profit and Loss'!M8)/('Profit and Loss'!M8)</f>
        <v>7.8287132155544636</v>
      </c>
      <c r="P9" s="21">
        <f ca="1">('Cash Flow'!N7+'Profit and Loss'!N8)/('Profit and Loss'!N8)</f>
        <v>7.8054831946638785</v>
      </c>
      <c r="Q9" s="21">
        <f ca="1">('Cash Flow'!O7+'Profit and Loss'!O8)/('Profit and Loss'!O8)</f>
        <v>7.7989449731580844</v>
      </c>
      <c r="R9" s="21">
        <f ca="1">('Cash Flow'!P7+'Profit and Loss'!P8)/('Profit and Loss'!P8)</f>
        <v>7.7433805738012831</v>
      </c>
      <c r="S9" s="21">
        <f ca="1">('Cash Flow'!Q7+'Profit and Loss'!Q8)/('Profit and Loss'!Q8)</f>
        <v>7.6924501319790854</v>
      </c>
      <c r="T9" s="21">
        <f ca="1">('Cash Flow'!R7+'Profit and Loss'!R8)/('Profit and Loss'!R8)</f>
        <v>7.6474893792711223</v>
      </c>
      <c r="U9" s="21">
        <f ca="1">('Cash Flow'!S7+'Profit and Loss'!S8)/('Profit and Loss'!S8)</f>
        <v>7.6097064932310277</v>
      </c>
      <c r="V9" s="21">
        <f ca="1">('Cash Flow'!T7+'Profit and Loss'!T8)/('Profit and Loss'!T8)</f>
        <v>7.5802054282594789</v>
      </c>
      <c r="W9" s="21">
        <f ca="1">('Cash Flow'!U7+'Profit and Loss'!U8)/('Profit and Loss'!U8)</f>
        <v>7.5600113062186605</v>
      </c>
      <c r="X9" s="21">
        <f ca="1">('Cash Flow'!V7+'Profit and Loss'!V8)/('Profit and Loss'!V8)</f>
        <v>7.5500971525754661</v>
      </c>
      <c r="Y9" s="21">
        <f ca="1">('Cash Flow'!W7+'Profit and Loss'!W8)/('Profit and Loss'!W8)</f>
        <v>7.5514116327348209</v>
      </c>
      <c r="Z9" s="21">
        <f ca="1">('Cash Flow'!X7+'Profit and Loss'!X8)/('Profit and Loss'!X8)</f>
        <v>7.5649077777715359</v>
      </c>
      <c r="AA9" s="21">
        <f ca="1">('Cash Flow'!Y7+'Profit and Loss'!Y8)/('Profit and Loss'!Y8)</f>
        <v>7.5915729970318377</v>
      </c>
      <c r="AB9" s="21">
        <f ca="1">('Cash Flow'!Z7+'Profit and Loss'!Z8)/('Profit and Loss'!Z8)</f>
        <v>7.5650058551509121</v>
      </c>
      <c r="AC9" s="21">
        <f ca="1">('Cash Flow'!AA7+'Profit and Loss'!AA8)/('Profit and Loss'!AA8)</f>
        <v>7.5388163235375387</v>
      </c>
      <c r="AD9" s="21">
        <f ca="1">('Cash Flow'!AB7+'Profit and Loss'!AB8)/('Profit and Loss'!AB8)</f>
        <v>7.5139321414565448</v>
      </c>
      <c r="AE9" s="21">
        <f ca="1">('Cash Flow'!AC7+'Profit and Loss'!AC8)/('Profit and Loss'!AC8)</f>
        <v>7.4912199212109671</v>
      </c>
      <c r="AF9" s="21">
        <f ca="1">('Cash Flow'!AD7+'Profit and Loss'!AD8)/('Profit and Loss'!AD8)</f>
        <v>7.4714888635097765</v>
      </c>
      <c r="AG9" s="21">
        <f ca="1">('Cash Flow'!AE7+'Profit and Loss'!AE8)/('Profit and Loss'!AE8)</f>
        <v>7.4554963382852915</v>
      </c>
      <c r="AH9" s="21">
        <f ca="1">('Cash Flow'!AF7+'Profit and Loss'!AF8)/('Profit and Loss'!AF8)</f>
        <v>7.4439549330329609</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13841281.816553026</v>
      </c>
      <c r="D5" s="1">
        <f>Assumptions!E111</f>
        <v>13841281.816553026</v>
      </c>
      <c r="E5" s="1">
        <f>Assumptions!F111</f>
        <v>13841281.816553026</v>
      </c>
      <c r="F5" s="1">
        <f>Assumptions!G111</f>
        <v>13841281.816553026</v>
      </c>
      <c r="G5" s="1">
        <f>Assumptions!H111</f>
        <v>13841281.816553026</v>
      </c>
      <c r="H5" s="1">
        <f>Assumptions!I111</f>
        <v>13841281.816553026</v>
      </c>
      <c r="I5" s="1">
        <f>Assumptions!J111</f>
        <v>13841281.816553026</v>
      </c>
      <c r="J5" s="1">
        <f>Assumptions!K111</f>
        <v>13841281.816553026</v>
      </c>
      <c r="K5" s="1">
        <f>Assumptions!L111</f>
        <v>13841281.816553026</v>
      </c>
      <c r="L5" s="1">
        <f>Assumptions!M111</f>
        <v>13841281.816553026</v>
      </c>
      <c r="M5" s="1">
        <f>Assumptions!N111</f>
        <v>13841281.816553026</v>
      </c>
      <c r="N5" s="1">
        <f>Assumptions!O111</f>
        <v>13841281.816553026</v>
      </c>
      <c r="O5" s="1">
        <f>Assumptions!P111</f>
        <v>13841281.816553026</v>
      </c>
      <c r="P5" s="1">
        <f>Assumptions!Q111</f>
        <v>13841281.816553026</v>
      </c>
      <c r="Q5" s="1">
        <f>Assumptions!R111</f>
        <v>13841281.816553026</v>
      </c>
      <c r="R5" s="1">
        <f>Assumptions!S111</f>
        <v>13841281.816553026</v>
      </c>
      <c r="S5" s="1">
        <f>Assumptions!T111</f>
        <v>13841281.816553026</v>
      </c>
      <c r="T5" s="1">
        <f>Assumptions!U111</f>
        <v>13841281.816553026</v>
      </c>
      <c r="U5" s="1">
        <f>Assumptions!V111</f>
        <v>13841281.816553026</v>
      </c>
      <c r="V5" s="1">
        <f>Assumptions!W111</f>
        <v>13841281.816553026</v>
      </c>
      <c r="W5" s="1">
        <f>Assumptions!X111</f>
        <v>13841281.816553026</v>
      </c>
      <c r="X5" s="1">
        <f>Assumptions!Y111</f>
        <v>13841281.816553026</v>
      </c>
      <c r="Y5" s="1">
        <f>Assumptions!Z111</f>
        <v>13841281.816553026</v>
      </c>
      <c r="Z5" s="1">
        <f>Assumptions!AA111</f>
        <v>13841281.816553026</v>
      </c>
      <c r="AA5" s="1">
        <f>Assumptions!AB111</f>
        <v>13841281.816553026</v>
      </c>
      <c r="AB5" s="1">
        <f>Assumptions!AC111</f>
        <v>13841281.816553026</v>
      </c>
      <c r="AC5" s="1">
        <f>Assumptions!AD111</f>
        <v>13841281.816553026</v>
      </c>
      <c r="AD5" s="1">
        <f>Assumptions!AE111</f>
        <v>13841281.816553026</v>
      </c>
      <c r="AE5" s="1">
        <f>Assumptions!AF111</f>
        <v>13841281.816553026</v>
      </c>
      <c r="AF5" s="1">
        <f>Assumptions!AG111</f>
        <v>13841281.816553026</v>
      </c>
    </row>
    <row r="6" spans="1:32" x14ac:dyDescent="0.35">
      <c r="A6" t="s">
        <v>68</v>
      </c>
      <c r="C6" s="1">
        <f>Assumptions!D113</f>
        <v>31487298.872629881</v>
      </c>
      <c r="D6" s="1">
        <f>Assumptions!E113</f>
        <v>31487298.872629881</v>
      </c>
      <c r="E6" s="1">
        <f>Assumptions!F113</f>
        <v>31487298.872629881</v>
      </c>
      <c r="F6" s="1">
        <f>Assumptions!G113</f>
        <v>31487298.872629881</v>
      </c>
      <c r="G6" s="1">
        <f>Assumptions!H113</f>
        <v>31487298.872629881</v>
      </c>
      <c r="H6" s="1">
        <f>Assumptions!I113</f>
        <v>31487298.872629881</v>
      </c>
      <c r="I6" s="1">
        <f>Assumptions!J113</f>
        <v>31487298.872629881</v>
      </c>
      <c r="J6" s="1">
        <f>Assumptions!K113</f>
        <v>31487298.872629881</v>
      </c>
      <c r="K6" s="1">
        <f>Assumptions!L113</f>
        <v>31487298.872629881</v>
      </c>
      <c r="L6" s="1">
        <f>Assumptions!M113</f>
        <v>31487298.872629881</v>
      </c>
      <c r="M6" s="1">
        <f>Assumptions!N113</f>
        <v>31487298.872629881</v>
      </c>
      <c r="N6" s="1">
        <f>Assumptions!O113</f>
        <v>31487298.872629881</v>
      </c>
      <c r="O6" s="1">
        <f>Assumptions!P113</f>
        <v>31487298.872629881</v>
      </c>
      <c r="P6" s="1">
        <f>Assumptions!Q113</f>
        <v>31487298.872629881</v>
      </c>
      <c r="Q6" s="1">
        <f>Assumptions!R113</f>
        <v>31487298.872629881</v>
      </c>
      <c r="R6" s="1">
        <f>Assumptions!S113</f>
        <v>31487298.872629881</v>
      </c>
      <c r="S6" s="1">
        <f>Assumptions!T113</f>
        <v>31487298.872629881</v>
      </c>
      <c r="T6" s="1">
        <f>Assumptions!U113</f>
        <v>31487298.872629881</v>
      </c>
      <c r="U6" s="1">
        <f>Assumptions!V113</f>
        <v>31487298.872629881</v>
      </c>
      <c r="V6" s="1">
        <f>Assumptions!W113</f>
        <v>31487298.872629881</v>
      </c>
      <c r="W6" s="1">
        <f>Assumptions!X113</f>
        <v>31487298.872629881</v>
      </c>
      <c r="X6" s="1">
        <f>Assumptions!Y113</f>
        <v>31487298.872629881</v>
      </c>
      <c r="Y6" s="1">
        <f>Assumptions!Z113</f>
        <v>31487298.872629881</v>
      </c>
      <c r="Z6" s="1">
        <f>Assumptions!AA113</f>
        <v>31487298.872629881</v>
      </c>
      <c r="AA6" s="1">
        <f>Assumptions!AB113</f>
        <v>31487298.872629881</v>
      </c>
      <c r="AB6" s="1">
        <f>Assumptions!AC113</f>
        <v>31487298.872629881</v>
      </c>
      <c r="AC6" s="1">
        <f>Assumptions!AD113</f>
        <v>31487298.872629881</v>
      </c>
      <c r="AD6" s="1">
        <f>Assumptions!AE113</f>
        <v>31487298.872629881</v>
      </c>
      <c r="AE6" s="1">
        <f>Assumptions!AF113</f>
        <v>31487298.872629881</v>
      </c>
      <c r="AF6" s="1">
        <f>Assumptions!AG113</f>
        <v>31487298.872629881</v>
      </c>
    </row>
    <row r="7" spans="1:32" x14ac:dyDescent="0.35">
      <c r="A7" t="s">
        <v>73</v>
      </c>
      <c r="C7" s="1">
        <f>Assumptions!D120</f>
        <v>755695.17294311721</v>
      </c>
      <c r="D7" s="1">
        <f>Assumptions!E120</f>
        <v>1511390.3458862344</v>
      </c>
      <c r="E7" s="1">
        <f>Assumptions!F120</f>
        <v>2267085.5188293513</v>
      </c>
      <c r="F7" s="1">
        <f>Assumptions!G120</f>
        <v>3022780.6917724689</v>
      </c>
      <c r="G7" s="1">
        <f>Assumptions!H120</f>
        <v>3778475.8647155855</v>
      </c>
      <c r="H7" s="1">
        <f>Assumptions!I120</f>
        <v>4534171.0376587026</v>
      </c>
      <c r="I7" s="1">
        <f>Assumptions!J120</f>
        <v>5289866.2106018197</v>
      </c>
      <c r="J7" s="1">
        <f>Assumptions!K120</f>
        <v>6045561.3835449377</v>
      </c>
      <c r="K7" s="1">
        <f>Assumptions!L120</f>
        <v>6801256.5564880539</v>
      </c>
      <c r="L7" s="1">
        <f>Assumptions!M120</f>
        <v>7556951.729431171</v>
      </c>
      <c r="M7" s="1">
        <f>Assumptions!N120</f>
        <v>8312646.9023742881</v>
      </c>
      <c r="N7" s="1">
        <f>Assumptions!O120</f>
        <v>9068342.0753174052</v>
      </c>
      <c r="O7" s="1">
        <f>Assumptions!P120</f>
        <v>9824037.2482605223</v>
      </c>
      <c r="P7" s="1">
        <f>Assumptions!Q120</f>
        <v>10579732.421203639</v>
      </c>
      <c r="Q7" s="1">
        <f>Assumptions!R120</f>
        <v>11335427.594146758</v>
      </c>
      <c r="R7" s="1">
        <f>Assumptions!S120</f>
        <v>12091122.767089875</v>
      </c>
      <c r="S7" s="1">
        <f>Assumptions!T120</f>
        <v>12846817.940032989</v>
      </c>
      <c r="T7" s="1">
        <f>Assumptions!U120</f>
        <v>13602513.112976108</v>
      </c>
      <c r="U7" s="1">
        <f>Assumptions!V120</f>
        <v>14358208.285919227</v>
      </c>
      <c r="V7" s="1">
        <f>Assumptions!W120</f>
        <v>15113903.458862342</v>
      </c>
      <c r="W7" s="1">
        <f>Assumptions!X120</f>
        <v>15869598.631805461</v>
      </c>
      <c r="X7" s="1">
        <f>Assumptions!Y120</f>
        <v>16625293.804748576</v>
      </c>
      <c r="Y7" s="1">
        <f>Assumptions!Z120</f>
        <v>17380988.977691695</v>
      </c>
      <c r="Z7" s="1">
        <f>Assumptions!AA120</f>
        <v>18136684.15063481</v>
      </c>
      <c r="AA7" s="1">
        <f>Assumptions!AB120</f>
        <v>18892379.323577929</v>
      </c>
      <c r="AB7" s="1">
        <f>Assumptions!AC120</f>
        <v>19648074.496521045</v>
      </c>
      <c r="AC7" s="1">
        <f>Assumptions!AD120</f>
        <v>20403769.66946416</v>
      </c>
      <c r="AD7" s="1">
        <f>Assumptions!AE120</f>
        <v>21159464.842407279</v>
      </c>
      <c r="AE7" s="1">
        <f>Assumptions!AF120</f>
        <v>21915160.015350394</v>
      </c>
      <c r="AF7" s="1">
        <f>Assumptions!AG120</f>
        <v>22670855.188293517</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14284202.834682724</v>
      </c>
      <c r="D11" s="1">
        <f>D5*D$9</f>
        <v>14741297.32539257</v>
      </c>
      <c r="E11" s="1">
        <f t="shared" ref="D11:AF13" si="1">E5*E$9</f>
        <v>15213018.839805132</v>
      </c>
      <c r="F11" s="1">
        <f t="shared" si="1"/>
        <v>15699835.442678895</v>
      </c>
      <c r="G11" s="1">
        <f t="shared" si="1"/>
        <v>16202230.176844623</v>
      </c>
      <c r="H11" s="1">
        <f t="shared" si="1"/>
        <v>16720701.542503648</v>
      </c>
      <c r="I11" s="1">
        <f t="shared" si="1"/>
        <v>17255763.991863761</v>
      </c>
      <c r="J11" s="1">
        <f t="shared" si="1"/>
        <v>17807948.439603407</v>
      </c>
      <c r="K11" s="1">
        <f t="shared" si="1"/>
        <v>18377802.789670717</v>
      </c>
      <c r="L11" s="1">
        <f t="shared" si="1"/>
        <v>18965892.478940178</v>
      </c>
      <c r="M11" s="1">
        <f t="shared" si="1"/>
        <v>19572801.03826626</v>
      </c>
      <c r="N11" s="1">
        <f t="shared" si="1"/>
        <v>20199130.671490785</v>
      </c>
      <c r="O11" s="1">
        <f t="shared" si="1"/>
        <v>20845502.85297849</v>
      </c>
      <c r="P11" s="1">
        <f t="shared" si="1"/>
        <v>21512558.944273796</v>
      </c>
      <c r="Q11" s="1">
        <f t="shared" si="1"/>
        <v>22200960.830490556</v>
      </c>
      <c r="R11" s="1">
        <f t="shared" si="1"/>
        <v>22911391.577066258</v>
      </c>
      <c r="S11" s="1">
        <f t="shared" si="1"/>
        <v>23644556.107532382</v>
      </c>
      <c r="T11" s="1">
        <f t="shared" si="1"/>
        <v>24401181.902973413</v>
      </c>
      <c r="U11" s="1">
        <f t="shared" si="1"/>
        <v>25182019.72386856</v>
      </c>
      <c r="V11" s="1">
        <f t="shared" si="1"/>
        <v>25987844.355032358</v>
      </c>
      <c r="W11" s="1">
        <f t="shared" si="1"/>
        <v>26819455.374393396</v>
      </c>
      <c r="X11" s="1">
        <f t="shared" si="1"/>
        <v>27677677.94637398</v>
      </c>
      <c r="Y11" s="1">
        <f t="shared" si="1"/>
        <v>28563363.640657943</v>
      </c>
      <c r="Z11" s="1">
        <f t="shared" si="1"/>
        <v>29477391.277158998</v>
      </c>
      <c r="AA11" s="1">
        <f t="shared" si="1"/>
        <v>30420667.798028097</v>
      </c>
      <c r="AB11" s="1">
        <f t="shared" si="1"/>
        <v>31394129.167564988</v>
      </c>
      <c r="AC11" s="1">
        <f t="shared" si="1"/>
        <v>32398741.300927065</v>
      </c>
      <c r="AD11" s="1">
        <f t="shared" si="1"/>
        <v>33435501.022556737</v>
      </c>
      <c r="AE11" s="1">
        <f t="shared" si="1"/>
        <v>34505437.055278547</v>
      </c>
      <c r="AF11" s="1">
        <f t="shared" si="1"/>
        <v>35609611.041047461</v>
      </c>
    </row>
    <row r="12" spans="1:32" x14ac:dyDescent="0.35">
      <c r="A12" t="s">
        <v>71</v>
      </c>
      <c r="C12" s="1">
        <f t="shared" ref="C12:R12" si="2">C6*C$9</f>
        <v>32494892.436554037</v>
      </c>
      <c r="D12" s="1">
        <f t="shared" si="2"/>
        <v>33534728.994523764</v>
      </c>
      <c r="E12" s="1">
        <f t="shared" si="2"/>
        <v>34607840.32234852</v>
      </c>
      <c r="F12" s="1">
        <f t="shared" si="2"/>
        <v>35715291.21266368</v>
      </c>
      <c r="G12" s="1">
        <f t="shared" si="2"/>
        <v>36858180.53146892</v>
      </c>
      <c r="H12" s="1">
        <f t="shared" si="2"/>
        <v>38037642.308475919</v>
      </c>
      <c r="I12" s="1">
        <f t="shared" si="2"/>
        <v>39254846.862347141</v>
      </c>
      <c r="J12" s="1">
        <f t="shared" si="2"/>
        <v>40511001.961942255</v>
      </c>
      <c r="K12" s="1">
        <f t="shared" si="2"/>
        <v>41807354.024724416</v>
      </c>
      <c r="L12" s="1">
        <f t="shared" si="2"/>
        <v>43145189.353515588</v>
      </c>
      <c r="M12" s="1">
        <f t="shared" si="2"/>
        <v>44525835.412828088</v>
      </c>
      <c r="N12" s="1">
        <f t="shared" si="2"/>
        <v>45950662.146038592</v>
      </c>
      <c r="O12" s="1">
        <f t="shared" si="2"/>
        <v>47421083.334711827</v>
      </c>
      <c r="P12" s="1">
        <f t="shared" si="2"/>
        <v>48938558.001422599</v>
      </c>
      <c r="Q12" s="1">
        <f t="shared" si="2"/>
        <v>50504591.857468113</v>
      </c>
      <c r="R12" s="1">
        <f t="shared" si="2"/>
        <v>52120738.796907105</v>
      </c>
      <c r="S12" s="1">
        <f t="shared" si="1"/>
        <v>53788602.438408136</v>
      </c>
      <c r="T12" s="1">
        <f t="shared" si="1"/>
        <v>55509837.716437191</v>
      </c>
      <c r="U12" s="1">
        <f t="shared" si="1"/>
        <v>57286152.523363173</v>
      </c>
      <c r="V12" s="1">
        <f t="shared" si="1"/>
        <v>59119309.404110804</v>
      </c>
      <c r="W12" s="1">
        <f t="shared" si="1"/>
        <v>61011127.305042356</v>
      </c>
      <c r="X12" s="1">
        <f t="shared" si="1"/>
        <v>62963483.3788037</v>
      </c>
      <c r="Y12" s="1">
        <f t="shared" si="1"/>
        <v>64978314.846925408</v>
      </c>
      <c r="Z12" s="1">
        <f t="shared" si="1"/>
        <v>67057620.922027022</v>
      </c>
      <c r="AA12" s="1">
        <f t="shared" si="1"/>
        <v>69203464.791531906</v>
      </c>
      <c r="AB12" s="1">
        <f t="shared" si="1"/>
        <v>71417975.664860919</v>
      </c>
      <c r="AC12" s="1">
        <f t="shared" si="1"/>
        <v>73703350.886136457</v>
      </c>
      <c r="AD12" s="1">
        <f t="shared" si="1"/>
        <v>76061858.114492834</v>
      </c>
      <c r="AE12" s="1">
        <f t="shared" si="1"/>
        <v>78495837.574156597</v>
      </c>
      <c r="AF12" s="1">
        <f t="shared" si="1"/>
        <v>81007704.376529604</v>
      </c>
    </row>
    <row r="13" spans="1:32" x14ac:dyDescent="0.35">
      <c r="A13" t="s">
        <v>74</v>
      </c>
      <c r="C13" s="1">
        <f>C7*C$9</f>
        <v>779877.41847729695</v>
      </c>
      <c r="D13" s="1">
        <f t="shared" si="1"/>
        <v>1609666.9917371408</v>
      </c>
      <c r="E13" s="1">
        <f t="shared" si="1"/>
        <v>2491764.5032090936</v>
      </c>
      <c r="F13" s="1">
        <f t="shared" si="1"/>
        <v>3428667.9564157133</v>
      </c>
      <c r="G13" s="1">
        <f t="shared" si="1"/>
        <v>4422981.6637762701</v>
      </c>
      <c r="H13" s="1">
        <f t="shared" si="1"/>
        <v>5477420.4924205318</v>
      </c>
      <c r="I13" s="1">
        <f t="shared" si="1"/>
        <v>6594814.2728743199</v>
      </c>
      <c r="J13" s="1">
        <f t="shared" si="1"/>
        <v>7778112.3766929144</v>
      </c>
      <c r="K13" s="1">
        <f t="shared" si="1"/>
        <v>9030388.4693404734</v>
      </c>
      <c r="L13" s="1">
        <f t="shared" si="1"/>
        <v>10354845.444843741</v>
      </c>
      <c r="M13" s="1">
        <f t="shared" si="1"/>
        <v>11754820.548986614</v>
      </c>
      <c r="N13" s="1">
        <f t="shared" si="1"/>
        <v>13233790.698059112</v>
      </c>
      <c r="O13" s="1">
        <f t="shared" si="1"/>
        <v>14795378.000430088</v>
      </c>
      <c r="P13" s="1">
        <f t="shared" si="1"/>
        <v>16443355.488477992</v>
      </c>
      <c r="Q13" s="1">
        <f t="shared" si="1"/>
        <v>18181653.068688523</v>
      </c>
      <c r="R13" s="1">
        <f t="shared" si="1"/>
        <v>20014363.69801233</v>
      </c>
      <c r="S13" s="1">
        <f t="shared" si="1"/>
        <v>21945749.794870514</v>
      </c>
      <c r="T13" s="1">
        <f t="shared" si="1"/>
        <v>23980249.893500865</v>
      </c>
      <c r="U13" s="1">
        <f t="shared" si="1"/>
        <v>26122485.550653607</v>
      </c>
      <c r="V13" s="1">
        <f t="shared" si="1"/>
        <v>28377268.513973184</v>
      </c>
      <c r="W13" s="1">
        <f t="shared" si="1"/>
        <v>30749608.161741346</v>
      </c>
      <c r="X13" s="1">
        <f t="shared" si="1"/>
        <v>33244719.224008352</v>
      </c>
      <c r="Y13" s="1">
        <f t="shared" si="1"/>
        <v>35868029.795502827</v>
      </c>
      <c r="Z13" s="1">
        <f t="shared" si="1"/>
        <v>38625189.651087567</v>
      </c>
      <c r="AA13" s="1">
        <f t="shared" si="1"/>
        <v>41522078.874919146</v>
      </c>
      <c r="AB13" s="1">
        <f t="shared" si="1"/>
        <v>44564816.814873211</v>
      </c>
      <c r="AC13" s="1">
        <f t="shared" si="1"/>
        <v>47759771.374216415</v>
      </c>
      <c r="AD13" s="1">
        <f t="shared" si="1"/>
        <v>51113568.652939178</v>
      </c>
      <c r="AE13" s="1">
        <f t="shared" si="1"/>
        <v>54633102.951612987</v>
      </c>
      <c r="AF13" s="1">
        <f t="shared" si="1"/>
        <v>58325547.151101321</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47558972.689714059</v>
      </c>
      <c r="D25" s="40">
        <f>SUM(D11:D13,D18:D23)</f>
        <v>49885693.31165348</v>
      </c>
      <c r="E25" s="40">
        <f t="shared" ref="E25:AF25" si="7">SUM(E11:E13,E18:E23)</f>
        <v>52312623.665362746</v>
      </c>
      <c r="F25" s="40">
        <f t="shared" si="7"/>
        <v>54843794.611758292</v>
      </c>
      <c r="G25" s="40">
        <f t="shared" si="7"/>
        <v>57483392.372089811</v>
      </c>
      <c r="H25" s="40">
        <f t="shared" si="7"/>
        <v>60235764.343400098</v>
      </c>
      <c r="I25" s="40">
        <f t="shared" si="7"/>
        <v>63105425.127085216</v>
      </c>
      <c r="J25" s="40">
        <f t="shared" si="7"/>
        <v>66097062.778238572</v>
      </c>
      <c r="K25" s="40">
        <f t="shared" si="7"/>
        <v>69215545.283735603</v>
      </c>
      <c r="L25" s="40">
        <f t="shared" si="7"/>
        <v>72465927.277299508</v>
      </c>
      <c r="M25" s="40">
        <f t="shared" si="7"/>
        <v>75853457.000080958</v>
      </c>
      <c r="N25" s="40">
        <f t="shared" si="7"/>
        <v>79383583.515588492</v>
      </c>
      <c r="O25" s="40">
        <f t="shared" si="7"/>
        <v>83061964.18812041</v>
      </c>
      <c r="P25" s="40">
        <f t="shared" si="7"/>
        <v>86894472.434174389</v>
      </c>
      <c r="Q25" s="40">
        <f t="shared" si="7"/>
        <v>90887205.756647199</v>
      </c>
      <c r="R25" s="40">
        <f t="shared" si="7"/>
        <v>95046494.071985692</v>
      </c>
      <c r="S25" s="40">
        <f t="shared" si="7"/>
        <v>99378908.340811029</v>
      </c>
      <c r="T25" s="40">
        <f t="shared" si="7"/>
        <v>103891269.51291147</v>
      </c>
      <c r="U25" s="40">
        <f t="shared" si="7"/>
        <v>108590657.79788534</v>
      </c>
      <c r="V25" s="40">
        <f t="shared" si="7"/>
        <v>113484422.27311635</v>
      </c>
      <c r="W25" s="40">
        <f t="shared" si="7"/>
        <v>118580190.84117711</v>
      </c>
      <c r="X25" s="40">
        <f t="shared" si="7"/>
        <v>123885880.54918604</v>
      </c>
      <c r="Y25" s="40">
        <f t="shared" si="7"/>
        <v>129409708.28308618</v>
      </c>
      <c r="Z25" s="40">
        <f t="shared" si="7"/>
        <v>135160201.85027361</v>
      </c>
      <c r="AA25" s="40">
        <f t="shared" si="7"/>
        <v>141146211.46447915</v>
      </c>
      <c r="AB25" s="40">
        <f t="shared" si="7"/>
        <v>147376921.64729911</v>
      </c>
      <c r="AC25" s="40">
        <f t="shared" si="7"/>
        <v>153861863.56127992</v>
      </c>
      <c r="AD25" s="40">
        <f t="shared" si="7"/>
        <v>160610927.78998876</v>
      </c>
      <c r="AE25" s="40">
        <f t="shared" si="7"/>
        <v>167634377.58104813</v>
      </c>
      <c r="AF25" s="40">
        <f t="shared" si="7"/>
        <v>174942862.56867838</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115" zoomScaleNormal="115"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28835692.620461009</v>
      </c>
      <c r="D5" s="59">
        <f>C5*('Price and Financial ratios'!F4+1)*(1+Assumptions!$C$13)</f>
        <v>37690819.496020555</v>
      </c>
      <c r="E5" s="59">
        <f>D5*('Price and Financial ratios'!G4+1)*(1+Assumptions!$C$13)</f>
        <v>49265259.308305509</v>
      </c>
      <c r="F5" s="59">
        <f>E5*('Price and Financial ratios'!H4+1)*(1+Assumptions!$C$13)</f>
        <v>57459335.972867519</v>
      </c>
      <c r="G5" s="59">
        <f>F5*('Price and Financial ratios'!I4+1)*(1+Assumptions!$C$13)</f>
        <v>65860844.418445453</v>
      </c>
      <c r="H5" s="59">
        <f>G5*('Price and Financial ratios'!J4+1)*(1+Assumptions!$C$13)</f>
        <v>71517593.198029324</v>
      </c>
      <c r="I5" s="59">
        <f>H5*('Price and Financial ratios'!K4+1)*(1+Assumptions!$C$13)</f>
        <v>77660196.767934725</v>
      </c>
      <c r="J5" s="59">
        <f>I5*('Price and Financial ratios'!L4+1)*(1+Assumptions!$C$13)</f>
        <v>82768711.11273171</v>
      </c>
      <c r="K5" s="59">
        <f>J5*('Price and Financial ratios'!M4+1)*(1+Assumptions!$C$13)</f>
        <v>88213265.280978784</v>
      </c>
      <c r="L5" s="59">
        <f>K5*('Price and Financial ratios'!N4+1)*(1+Assumptions!$C$13)</f>
        <v>94015964.08736819</v>
      </c>
      <c r="M5" s="59">
        <f>L5*('Price and Financial ratios'!O4+1)*(1+Assumptions!$C$13)</f>
        <v>99255079.933318898</v>
      </c>
      <c r="N5" s="59">
        <f>M5*('Price and Financial ratios'!P4+1)*(1+Assumptions!$C$13)</f>
        <v>104786149.75872128</v>
      </c>
      <c r="O5" s="59">
        <f>N5*('Price and Financial ratios'!Q4+1)*(1+Assumptions!$C$13)</f>
        <v>110625442.93585566</v>
      </c>
      <c r="P5" s="59">
        <f>O5*('Price and Financial ratios'!R4+1)*(1+Assumptions!$C$13)</f>
        <v>116233991.95877214</v>
      </c>
      <c r="Q5" s="59">
        <f>P5*('Price and Financial ratios'!S4+1)*(1+Assumptions!$C$13)</f>
        <v>122126886.25803427</v>
      </c>
      <c r="R5" s="59">
        <f>Q5*('Price and Financial ratios'!T4+1)*(1+Assumptions!$C$13)</f>
        <v>128318541.7254975</v>
      </c>
      <c r="S5" s="59">
        <f>R5*('Price and Financial ratios'!U4+1)*(1+Assumptions!$C$13)</f>
        <v>134824105.11776254</v>
      </c>
      <c r="T5" s="59">
        <f>S5*('Price and Financial ratios'!V4+1)*(1+Assumptions!$C$13)</f>
        <v>141659491.10995483</v>
      </c>
      <c r="U5" s="59">
        <f>T5*('Price and Financial ratios'!W4+1)*(1+Assumptions!$C$13)</f>
        <v>148841421.22807661</v>
      </c>
      <c r="V5" s="59">
        <f>U5*('Price and Financial ratios'!X4+1)*(1+Assumptions!$C$13)</f>
        <v>156387464.75517249</v>
      </c>
      <c r="W5" s="59">
        <f>V5*('Price and Financial ratios'!Y4+1)*(1+Assumptions!$C$13)</f>
        <v>164316081.71137834</v>
      </c>
      <c r="X5" s="59">
        <f>W5*('Price and Financial ratios'!Z4+1)*(1+Assumptions!$C$13)</f>
        <v>172646668.01299593</v>
      </c>
      <c r="Y5" s="59">
        <f>X5*('Price and Financial ratios'!AA4+1)*(1+Assumptions!$C$13)</f>
        <v>181399602.921067</v>
      </c>
      <c r="Z5" s="59">
        <f>Y5*('Price and Financial ratios'!AB4+1)*(1+Assumptions!$C$13)</f>
        <v>189684354.88166699</v>
      </c>
      <c r="AA5" s="59">
        <f>Z5*('Price and Financial ratios'!AC4+1)*(1+Assumptions!$C$13)</f>
        <v>198347482.06439209</v>
      </c>
      <c r="AB5" s="59">
        <f>AA5*('Price and Financial ratios'!AD4+1)*(1+Assumptions!$C$13)</f>
        <v>207406265.34975615</v>
      </c>
      <c r="AC5" s="59">
        <f>AB5*('Price and Financial ratios'!AE4+1)*(1+Assumptions!$C$13)</f>
        <v>216878774.8581965</v>
      </c>
      <c r="AD5" s="59">
        <f>AC5*('Price and Financial ratios'!AF4+1)*(1+Assumptions!$C$13)</f>
        <v>226783905.99567097</v>
      </c>
      <c r="AE5" s="59">
        <f>AD5*('Price and Financial ratios'!AG4+1)*(1+Assumptions!$C$13)</f>
        <v>237141417.14550358</v>
      </c>
      <c r="AF5" s="59">
        <f>AE5*('Price and Financial ratios'!AH4+1)*(1+Assumptions!$C$13)</f>
        <v>247971969.08166498</v>
      </c>
    </row>
    <row r="6" spans="1:32" s="11" customFormat="1" x14ac:dyDescent="0.35">
      <c r="A6" s="11" t="s">
        <v>20</v>
      </c>
      <c r="C6" s="59">
        <f>C27</f>
        <v>12134612.98968471</v>
      </c>
      <c r="D6" s="59">
        <f t="shared" ref="D6:AF6" si="1">D27</f>
        <v>13450461.26303223</v>
      </c>
      <c r="E6" s="59">
        <f>E27</f>
        <v>14818680.620070089</v>
      </c>
      <c r="F6" s="59">
        <f t="shared" si="1"/>
        <v>16240948.083373165</v>
      </c>
      <c r="G6" s="59">
        <f t="shared" si="1"/>
        <v>17718989.380654629</v>
      </c>
      <c r="H6" s="59">
        <f t="shared" si="1"/>
        <v>19254580.283385515</v>
      </c>
      <c r="I6" s="59">
        <f t="shared" si="1"/>
        <v>20849547.98094077</v>
      </c>
      <c r="J6" s="59">
        <f t="shared" si="1"/>
        <v>22505772.491192609</v>
      </c>
      <c r="K6" s="59">
        <f t="shared" si="1"/>
        <v>24225188.108495422</v>
      </c>
      <c r="L6" s="59">
        <f t="shared" si="1"/>
        <v>26009784.890030663</v>
      </c>
      <c r="M6" s="59">
        <f t="shared" si="1"/>
        <v>27861610.181504562</v>
      </c>
      <c r="N6" s="59">
        <f t="shared" si="1"/>
        <v>29782770.183217168</v>
      </c>
      <c r="O6" s="59">
        <f t="shared" si="1"/>
        <v>31775431.55754678</v>
      </c>
      <c r="P6" s="59">
        <f t="shared" si="1"/>
        <v>33841823.078920692</v>
      </c>
      <c r="Q6" s="59">
        <f t="shared" si="1"/>
        <v>35984237.327370264</v>
      </c>
      <c r="R6" s="59">
        <f t="shared" si="1"/>
        <v>38205032.426796272</v>
      </c>
      <c r="S6" s="59">
        <f t="shared" si="1"/>
        <v>40506633.829099305</v>
      </c>
      <c r="T6" s="59">
        <f t="shared" si="1"/>
        <v>42891536.145359106</v>
      </c>
      <c r="U6" s="59">
        <f t="shared" si="1"/>
        <v>45362305.025276914</v>
      </c>
      <c r="V6" s="59">
        <f t="shared" si="1"/>
        <v>47921579.08612588</v>
      </c>
      <c r="W6" s="59">
        <f t="shared" si="1"/>
        <v>50572071.892486006</v>
      </c>
      <c r="X6" s="59">
        <f t="shared" si="1"/>
        <v>53316573.988072693</v>
      </c>
      <c r="Y6" s="59">
        <f t="shared" si="1"/>
        <v>56157954.981001154</v>
      </c>
      <c r="Z6" s="59">
        <f t="shared" si="1"/>
        <v>59099165.683862835</v>
      </c>
      <c r="AA6" s="59">
        <f t="shared" si="1"/>
        <v>62143240.310025342</v>
      </c>
      <c r="AB6" s="59">
        <f t="shared" si="1"/>
        <v>65293298.72760281</v>
      </c>
      <c r="AC6" s="59">
        <f t="shared" si="1"/>
        <v>68552548.772580266</v>
      </c>
      <c r="AD6" s="59">
        <f t="shared" si="1"/>
        <v>71924288.622613877</v>
      </c>
      <c r="AE6" s="59">
        <f t="shared" si="1"/>
        <v>75411909.233066499</v>
      </c>
      <c r="AF6" s="59">
        <f t="shared" si="1"/>
        <v>79018896.836878449</v>
      </c>
    </row>
    <row r="7" spans="1:32" x14ac:dyDescent="0.35">
      <c r="A7" t="s">
        <v>21</v>
      </c>
      <c r="C7" s="4">
        <f>Depreciation!C8+Depreciation!C9</f>
        <v>15064080.25316002</v>
      </c>
      <c r="D7" s="4">
        <f>Depreciation!D8+Depreciation!D9</f>
        <v>16350964.317129711</v>
      </c>
      <c r="E7" s="4">
        <f>Depreciation!E8+Depreciation!E9</f>
        <v>17704783.343014225</v>
      </c>
      <c r="F7" s="4">
        <f>Depreciation!F8+Depreciation!F9</f>
        <v>19128503.399094608</v>
      </c>
      <c r="G7" s="4">
        <f>Depreciation!G8+Depreciation!G9</f>
        <v>20625211.840620894</v>
      </c>
      <c r="H7" s="4">
        <f>Depreciation!H8+Depreciation!H9</f>
        <v>22198122.034924179</v>
      </c>
      <c r="I7" s="4">
        <f>Depreciation!I8+Depreciation!I9</f>
        <v>23850578.264738083</v>
      </c>
      <c r="J7" s="4">
        <f>Depreciation!J8+Depreciation!J9</f>
        <v>25586060.81629632</v>
      </c>
      <c r="K7" s="4">
        <f>Depreciation!K8+Depreciation!K9</f>
        <v>27408191.25901119</v>
      </c>
      <c r="L7" s="4">
        <f>Depreciation!L8+Depreciation!L9</f>
        <v>29320737.923783921</v>
      </c>
      <c r="M7" s="4">
        <f>Depreciation!M8+Depreciation!M9</f>
        <v>31327621.587252874</v>
      </c>
      <c r="N7" s="4">
        <f>Depreciation!N8+Depreciation!N9</f>
        <v>33432921.369549897</v>
      </c>
      <c r="O7" s="4">
        <f>Depreciation!O8+Depreciation!O9</f>
        <v>35640880.853408575</v>
      </c>
      <c r="P7" s="4">
        <f>Depreciation!P8+Depreciation!P9</f>
        <v>37955914.43275179</v>
      </c>
      <c r="Q7" s="4">
        <f>Depreciation!Q8+Depreciation!Q9</f>
        <v>40382613.899179079</v>
      </c>
      <c r="R7" s="4">
        <f>Depreciation!R8+Depreciation!R9</f>
        <v>42925755.275078587</v>
      </c>
      <c r="S7" s="4">
        <f>Depreciation!S8+Depreciation!S9</f>
        <v>45590305.902402893</v>
      </c>
      <c r="T7" s="4">
        <f>Depreciation!T8+Depreciation!T9</f>
        <v>48381431.796474278</v>
      </c>
      <c r="U7" s="4">
        <f>Depreciation!U8+Depreciation!U9</f>
        <v>51304505.27452217</v>
      </c>
      <c r="V7" s="4">
        <f>Depreciation!V8+Depreciation!V9</f>
        <v>54365112.869005546</v>
      </c>
      <c r="W7" s="4">
        <f>Depreciation!W8+Depreciation!W9</f>
        <v>57569063.536134742</v>
      </c>
      <c r="X7" s="4">
        <f>Depreciation!X8+Depreciation!X9</f>
        <v>60922397.170382336</v>
      </c>
      <c r="Y7" s="4">
        <f>Depreciation!Y8+Depreciation!Y9</f>
        <v>64431393.436160773</v>
      </c>
      <c r="Z7" s="4">
        <f>Depreciation!Z8+Depreciation!Z9</f>
        <v>68102580.928246558</v>
      </c>
      <c r="AA7" s="4">
        <f>Depreciation!AA8+Depreciation!AA9</f>
        <v>71942746.672947243</v>
      </c>
      <c r="AB7" s="4">
        <f>Depreciation!AB8+Depreciation!AB9</f>
        <v>75958945.982438207</v>
      </c>
      <c r="AC7" s="4">
        <f>Depreciation!AC8+Depreciation!AC9</f>
        <v>80158512.67514348</v>
      </c>
      <c r="AD7" s="4">
        <f>Depreciation!AD8+Depreciation!AD9</f>
        <v>84549069.675495923</v>
      </c>
      <c r="AE7" s="4">
        <f>Depreciation!AE8+Depreciation!AE9</f>
        <v>89138540.006891534</v>
      </c>
      <c r="AF7" s="4">
        <f>Depreciation!AF8+Depreciation!AF9</f>
        <v>93935158.192148775</v>
      </c>
    </row>
    <row r="8" spans="1:32" x14ac:dyDescent="0.35">
      <c r="A8" t="s">
        <v>6</v>
      </c>
      <c r="C8" s="4">
        <f ca="1">'Debt worksheet'!C8</f>
        <v>3182783.686075463</v>
      </c>
      <c r="D8" s="4">
        <f ca="1">'Debt worksheet'!D8</f>
        <v>4228363.1231385944</v>
      </c>
      <c r="E8" s="4">
        <f ca="1">'Debt worksheet'!E8</f>
        <v>5029714.71226741</v>
      </c>
      <c r="F8" s="4">
        <f ca="1">'Debt worksheet'!F8</f>
        <v>5706325.334245231</v>
      </c>
      <c r="G8" s="4">
        <f ca="1">'Debt worksheet'!G8</f>
        <v>6252102.7367312908</v>
      </c>
      <c r="H8" s="4">
        <f ca="1">'Debt worksheet'!H8</f>
        <v>6768030.0898836898</v>
      </c>
      <c r="I8" s="4">
        <f ca="1">'Debt worksheet'!I8</f>
        <v>7241810.633976046</v>
      </c>
      <c r="J8" s="4">
        <f ca="1">'Debt worksheet'!J8</f>
        <v>7716067.3362285262</v>
      </c>
      <c r="K8" s="4">
        <f ca="1">'Debt worksheet'!K8</f>
        <v>8185521.9897640981</v>
      </c>
      <c r="L8" s="4">
        <f ca="1">'Debt worksheet'!L8</f>
        <v>8644158.728044318</v>
      </c>
      <c r="M8" s="4">
        <f ca="1">'Debt worksheet'!M8</f>
        <v>9119438.63392088</v>
      </c>
      <c r="N8" s="4">
        <f ca="1">'Debt worksheet'!N8</f>
        <v>9609062.9759832472</v>
      </c>
      <c r="O8" s="4">
        <f ca="1">'Debt worksheet'!O8</f>
        <v>10110343.341271142</v>
      </c>
      <c r="P8" s="4">
        <f ca="1">'Debt worksheet'!P8</f>
        <v>10640335.715722742</v>
      </c>
      <c r="Q8" s="4">
        <f ca="1">'Debt worksheet'!Q8</f>
        <v>11198336.999618812</v>
      </c>
      <c r="R8" s="4">
        <f ca="1">'Debt worksheet'!R8</f>
        <v>11783410.846304424</v>
      </c>
      <c r="S8" s="4">
        <f ca="1">'Debt worksheet'!S8</f>
        <v>12394363.878890773</v>
      </c>
      <c r="T8" s="4">
        <f ca="1">'Debt worksheet'!T8</f>
        <v>13029720.091276502</v>
      </c>
      <c r="U8" s="4">
        <f ca="1">'Debt worksheet'!U8</f>
        <v>13687693.313061658</v>
      </c>
      <c r="V8" s="4">
        <f ca="1">'Debt worksheet'!V8</f>
        <v>14366157.610574197</v>
      </c>
      <c r="W8" s="4">
        <f ca="1">'Debt worksheet'!W8</f>
        <v>15062615.488449911</v>
      </c>
      <c r="X8" s="4">
        <f ca="1">'Debt worksheet'!X8</f>
        <v>15774163.747978352</v>
      </c>
      <c r="Y8" s="4">
        <f ca="1">'Debt worksheet'!Y8</f>
        <v>16497456.849724419</v>
      </c>
      <c r="Z8" s="4">
        <f ca="1">'Debt worksheet'!Z8</f>
        <v>17261743.308353215</v>
      </c>
      <c r="AA8" s="4">
        <f ca="1">'Debt worksheet'!AA8</f>
        <v>18067059.324566994</v>
      </c>
      <c r="AB8" s="4">
        <f ca="1">'Debt worksheet'!AB8</f>
        <v>18913261.917561758</v>
      </c>
      <c r="AC8" s="4">
        <f ca="1">'Debt worksheet'!AC8</f>
        <v>19800009.563948173</v>
      </c>
      <c r="AD8" s="4">
        <f ca="1">'Debt worksheet'!AD8</f>
        <v>20726741.376726199</v>
      </c>
      <c r="AE8" s="4">
        <f ca="1">'Debt worksheet'!AE8</f>
        <v>21692654.730702162</v>
      </c>
      <c r="AF8" s="4">
        <f ca="1">'Debt worksheet'!AF8</f>
        <v>22696681.235272925</v>
      </c>
    </row>
    <row r="9" spans="1:32" x14ac:dyDescent="0.35">
      <c r="A9" t="s">
        <v>22</v>
      </c>
      <c r="C9" s="4">
        <f ca="1">C5-C6-C7-C8</f>
        <v>-1545784.3084591841</v>
      </c>
      <c r="D9" s="4">
        <f t="shared" ref="D9:AF9" ca="1" si="2">D5-D6-D7-D8</f>
        <v>3661030.7927200226</v>
      </c>
      <c r="E9" s="4">
        <f t="shared" ca="1" si="2"/>
        <v>11712080.632953782</v>
      </c>
      <c r="F9" s="4">
        <f t="shared" ca="1" si="2"/>
        <v>16383559.156154513</v>
      </c>
      <c r="G9" s="4">
        <f t="shared" ca="1" si="2"/>
        <v>21264540.460438635</v>
      </c>
      <c r="H9" s="4">
        <f t="shared" ca="1" si="2"/>
        <v>23296860.789835941</v>
      </c>
      <c r="I9" s="4">
        <f t="shared" ca="1" si="2"/>
        <v>25718259.888279822</v>
      </c>
      <c r="J9" s="4">
        <f t="shared" ca="1" si="2"/>
        <v>26960810.46901425</v>
      </c>
      <c r="K9" s="4">
        <f t="shared" ca="1" si="2"/>
        <v>28394363.923708078</v>
      </c>
      <c r="L9" s="4">
        <f t="shared" ca="1" si="2"/>
        <v>30041282.545509286</v>
      </c>
      <c r="M9" s="4">
        <f t="shared" ca="1" si="2"/>
        <v>30946409.530640587</v>
      </c>
      <c r="N9" s="4">
        <f t="shared" ca="1" si="2"/>
        <v>31961395.229970962</v>
      </c>
      <c r="O9" s="4">
        <f t="shared" ca="1" si="2"/>
        <v>33098787.183629163</v>
      </c>
      <c r="P9" s="4">
        <f t="shared" ca="1" si="2"/>
        <v>33795918.731376916</v>
      </c>
      <c r="Q9" s="4">
        <f t="shared" ca="1" si="2"/>
        <v>34561698.031866111</v>
      </c>
      <c r="R9" s="4">
        <f t="shared" ca="1" si="2"/>
        <v>35404343.177318215</v>
      </c>
      <c r="S9" s="4">
        <f t="shared" ca="1" si="2"/>
        <v>36332801.50736957</v>
      </c>
      <c r="T9" s="4">
        <f t="shared" ca="1" si="2"/>
        <v>37356803.076844953</v>
      </c>
      <c r="U9" s="4">
        <f t="shared" ca="1" si="2"/>
        <v>38486917.615215868</v>
      </c>
      <c r="V9" s="4">
        <f t="shared" ca="1" si="2"/>
        <v>39734615.189466864</v>
      </c>
      <c r="W9" s="4">
        <f t="shared" ca="1" si="2"/>
        <v>41112330.794307679</v>
      </c>
      <c r="X9" s="4">
        <f t="shared" ca="1" si="2"/>
        <v>42633533.106562547</v>
      </c>
      <c r="Y9" s="4">
        <f t="shared" ca="1" si="2"/>
        <v>44312797.654180653</v>
      </c>
      <c r="Z9" s="4">
        <f t="shared" ca="1" si="2"/>
        <v>45220864.96120438</v>
      </c>
      <c r="AA9" s="4">
        <f t="shared" ca="1" si="2"/>
        <v>46194435.756852522</v>
      </c>
      <c r="AB9" s="4">
        <f t="shared" ca="1" si="2"/>
        <v>47240758.722153381</v>
      </c>
      <c r="AC9" s="4">
        <f t="shared" ca="1" si="2"/>
        <v>48367703.846524581</v>
      </c>
      <c r="AD9" s="4">
        <f t="shared" ca="1" si="2"/>
        <v>49583806.320834979</v>
      </c>
      <c r="AE9" s="4">
        <f t="shared" ca="1" si="2"/>
        <v>50898313.174843386</v>
      </c>
      <c r="AF9" s="4">
        <f t="shared" ca="1" si="2"/>
        <v>52321232.817364827</v>
      </c>
    </row>
    <row r="12" spans="1:32" x14ac:dyDescent="0.35">
      <c r="A12" t="s">
        <v>79</v>
      </c>
      <c r="C12" s="2">
        <f>Assumptions!$C$25*Assumptions!D9*Assumptions!D13</f>
        <v>11169212.406249879</v>
      </c>
      <c r="D12" s="2">
        <f>Assumptions!$C$25*Assumptions!E9*Assumptions!E13</f>
        <v>11477182.470491434</v>
      </c>
      <c r="E12" s="2">
        <f>Assumptions!$C$25*Assumptions!F9*Assumptions!F13</f>
        <v>11793644.231105048</v>
      </c>
      <c r="F12" s="2">
        <f>Assumptions!$C$25*Assumptions!G9*Assumptions!G13</f>
        <v>12118831.830676802</v>
      </c>
      <c r="G12" s="2">
        <f>Assumptions!$C$25*Assumptions!H9*Assumptions!H13</f>
        <v>12452985.867835024</v>
      </c>
      <c r="H12" s="2">
        <f>Assumptions!$C$25*Assumptions!I9*Assumptions!I13</f>
        <v>12796353.575263552</v>
      </c>
      <c r="I12" s="2">
        <f>Assumptions!$C$25*Assumptions!J9*Assumptions!J13</f>
        <v>13149189.002623351</v>
      </c>
      <c r="J12" s="2">
        <f>Assumptions!$C$25*Assumptions!K9*Assumptions!K13</f>
        <v>13511753.204517862</v>
      </c>
      <c r="K12" s="2">
        <f>Assumptions!$C$25*Assumptions!L9*Assumptions!L13</f>
        <v>13884314.433641134</v>
      </c>
      <c r="L12" s="2">
        <f>Assumptions!$C$25*Assumptions!M9*Assumptions!M13</f>
        <v>14267148.339251678</v>
      </c>
      <c r="M12" s="2">
        <f>Assumptions!$C$25*Assumptions!N9*Assumptions!N13</f>
        <v>14660538.171118829</v>
      </c>
      <c r="N12" s="2">
        <f>Assumptions!$C$25*Assumptions!O9*Assumptions!O13</f>
        <v>15064774.989092562</v>
      </c>
      <c r="O12" s="2">
        <f>Assumptions!$C$25*Assumptions!P9*Assumptions!P13</f>
        <v>15480157.878451822</v>
      </c>
      <c r="P12" s="2">
        <f>Assumptions!$C$25*Assumptions!Q9*Assumptions!Q13</f>
        <v>15906994.171190646</v>
      </c>
      <c r="Q12" s="2">
        <f>Assumptions!$C$25*Assumptions!R9*Assumptions!R13</f>
        <v>16345599.67340586</v>
      </c>
      <c r="R12" s="2">
        <f>Assumptions!$C$25*Assumptions!S9*Assumptions!S13</f>
        <v>16796298.89895454</v>
      </c>
      <c r="S12" s="2">
        <f>Assumptions!$C$25*Assumptions!T9*Assumptions!T13</f>
        <v>17259425.309554167</v>
      </c>
      <c r="T12" s="2">
        <f>Assumptions!$C$25*Assumptions!U9*Assumptions!U13</f>
        <v>17735321.561503086</v>
      </c>
      <c r="U12" s="2">
        <f>Assumptions!$C$25*Assumptions!V9*Assumptions!V13</f>
        <v>18224339.759203795</v>
      </c>
      <c r="V12" s="2">
        <f>Assumptions!$C$25*Assumptions!W9*Assumptions!W13</f>
        <v>18726841.715676688</v>
      </c>
      <c r="W12" s="2">
        <f>Assumptions!$C$25*Assumptions!X9*Assumptions!X13</f>
        <v>19243199.220256973</v>
      </c>
      <c r="X12" s="2">
        <f>Assumptions!$C$25*Assumptions!Y9*Assumptions!Y13</f>
        <v>19773794.313672818</v>
      </c>
      <c r="Y12" s="2">
        <f>Assumptions!$C$25*Assumptions!Z9*Assumptions!Z13</f>
        <v>20319019.57070826</v>
      </c>
      <c r="Z12" s="2">
        <f>Assumptions!$C$25*Assumptions!AA9*Assumptions!AA13</f>
        <v>20879278.390660048</v>
      </c>
      <c r="AA12" s="2">
        <f>Assumptions!$C$25*Assumptions!AB9*Assumptions!AB13</f>
        <v>21454985.295803212</v>
      </c>
      <c r="AB12" s="2">
        <f>Assumptions!$C$25*Assumptions!AC9*Assumptions!AC13</f>
        <v>22046566.238086384</v>
      </c>
      <c r="AC12" s="2">
        <f>Assumptions!$C$25*Assumptions!AD9*Assumptions!AD13</f>
        <v>22654458.914283488</v>
      </c>
      <c r="AD12" s="2">
        <f>Assumptions!$C$25*Assumptions!AE9*Assumptions!AE13</f>
        <v>23279113.089835335</v>
      </c>
      <c r="AE12" s="2">
        <f>Assumptions!$C$25*Assumptions!AF9*Assumptions!AF13</f>
        <v>23920990.931620426</v>
      </c>
      <c r="AF12" s="2">
        <f>Assumptions!$C$25*Assumptions!AG9*Assumptions!AG13</f>
        <v>24580567.349901315</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965400.58343483217</v>
      </c>
      <c r="D14" s="5">
        <f>Assumptions!E122*Assumptions!E9</f>
        <v>1973278.7925407968</v>
      </c>
      <c r="E14" s="5">
        <f>Assumptions!F122*Assumptions!F9</f>
        <v>3025036.3889650414</v>
      </c>
      <c r="F14" s="5">
        <f>Assumptions!G122*Assumptions!G9</f>
        <v>4122116.2526963633</v>
      </c>
      <c r="G14" s="5">
        <f>Assumptions!H122*Assumptions!H9</f>
        <v>5266003.5128196049</v>
      </c>
      <c r="H14" s="5">
        <f>Assumptions!I122*Assumptions!I9</f>
        <v>6458226.7081219619</v>
      </c>
      <c r="I14" s="5">
        <f>Assumptions!J122*Assumptions!J9</f>
        <v>7700358.97831742</v>
      </c>
      <c r="J14" s="5">
        <f>Assumptions!K122*Assumptions!K9</f>
        <v>8994019.2866747472</v>
      </c>
      <c r="K14" s="5">
        <f>Assumptions!L122*Assumptions!L9</f>
        <v>10340873.67485429</v>
      </c>
      <c r="L14" s="5">
        <f>Assumptions!M122*Assumptions!M9</f>
        <v>11742636.550778985</v>
      </c>
      <c r="M14" s="5">
        <f>Assumptions!N122*Assumptions!N9</f>
        <v>13201072.010385735</v>
      </c>
      <c r="N14" s="5">
        <f>Assumptions!O122*Assumptions!O9</f>
        <v>14717995.194124604</v>
      </c>
      <c r="O14" s="5">
        <f>Assumptions!P122*Assumptions!P9</f>
        <v>16295273.679094957</v>
      </c>
      <c r="P14" s="5">
        <f>Assumptions!Q122*Assumptions!Q9</f>
        <v>17934828.90773005</v>
      </c>
      <c r="Q14" s="5">
        <f>Assumptions!R122*Assumptions!R9</f>
        <v>19638637.653964404</v>
      </c>
      <c r="R14" s="5">
        <f>Assumptions!S122*Assumptions!S9</f>
        <v>21408733.527841728</v>
      </c>
      <c r="S14" s="5">
        <f>Assumptions!T122*Assumptions!T9</f>
        <v>23247208.519545138</v>
      </c>
      <c r="T14" s="5">
        <f>Assumptions!U122*Assumptions!U9</f>
        <v>25156214.58385602</v>
      </c>
      <c r="U14" s="5">
        <f>Assumptions!V122*Assumptions!V9</f>
        <v>27137965.266073123</v>
      </c>
      <c r="V14" s="5">
        <f>Assumptions!W122*Assumptions!W9</f>
        <v>29194737.370449197</v>
      </c>
      <c r="W14" s="5">
        <f>Assumptions!X122*Assumptions!X9</f>
        <v>31328872.672229029</v>
      </c>
      <c r="X14" s="5">
        <f>Assumptions!Y122*Assumptions!Y9</f>
        <v>33542779.674399879</v>
      </c>
      <c r="Y14" s="5">
        <f>Assumptions!Z122*Assumptions!Z9</f>
        <v>35838935.410292894</v>
      </c>
      <c r="Z14" s="5">
        <f>Assumptions!AA122*Assumptions!AA9</f>
        <v>38219887.293202788</v>
      </c>
      <c r="AA14" s="5">
        <f>Assumptions!AB122*Assumptions!AB9</f>
        <v>40688255.01422213</v>
      </c>
      <c r="AB14" s="5">
        <f>Assumptions!AC122*Assumptions!AC9</f>
        <v>43246732.489516422</v>
      </c>
      <c r="AC14" s="5">
        <f>Assumptions!AD122*Assumptions!AD9</f>
        <v>45898089.858296774</v>
      </c>
      <c r="AD14" s="5">
        <f>Assumptions!AE122*Assumptions!AE9</f>
        <v>48645175.532778539</v>
      </c>
      <c r="AE14" s="5">
        <f>Assumptions!AF122*Assumptions!AF9</f>
        <v>51490918.30144608</v>
      </c>
      <c r="AF14" s="5">
        <f>Assumptions!AG122*Assumptions!AG9</f>
        <v>54438329.48697713</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194</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12134612.98968471</v>
      </c>
      <c r="D27" s="2">
        <f t="shared" ref="D27:AF27" si="8">D12+D13+D14+D19+D20+D22+D24+D25</f>
        <v>13450461.26303223</v>
      </c>
      <c r="E27" s="2">
        <f t="shared" si="8"/>
        <v>14818680.620070089</v>
      </c>
      <c r="F27" s="2">
        <f t="shared" si="8"/>
        <v>16240948.083373165</v>
      </c>
      <c r="G27" s="2">
        <f t="shared" si="8"/>
        <v>17718989.380654629</v>
      </c>
      <c r="H27" s="2">
        <f t="shared" si="8"/>
        <v>19254580.283385515</v>
      </c>
      <c r="I27" s="2">
        <f t="shared" si="8"/>
        <v>20849547.98094077</v>
      </c>
      <c r="J27" s="2">
        <f t="shared" si="8"/>
        <v>22505772.491192609</v>
      </c>
      <c r="K27" s="2">
        <f t="shared" si="8"/>
        <v>24225188.108495422</v>
      </c>
      <c r="L27" s="2">
        <f t="shared" si="8"/>
        <v>26009784.890030663</v>
      </c>
      <c r="M27" s="2">
        <f t="shared" si="8"/>
        <v>27861610.181504562</v>
      </c>
      <c r="N27" s="2">
        <f t="shared" si="8"/>
        <v>29782770.183217168</v>
      </c>
      <c r="O27" s="2">
        <f t="shared" si="8"/>
        <v>31775431.55754678</v>
      </c>
      <c r="P27" s="2">
        <f t="shared" si="8"/>
        <v>33841823.078920692</v>
      </c>
      <c r="Q27" s="2">
        <f t="shared" si="8"/>
        <v>35984237.327370264</v>
      </c>
      <c r="R27" s="2">
        <f t="shared" si="8"/>
        <v>38205032.426796272</v>
      </c>
      <c r="S27" s="2">
        <f t="shared" si="8"/>
        <v>40506633.829099305</v>
      </c>
      <c r="T27" s="2">
        <f t="shared" si="8"/>
        <v>42891536.145359106</v>
      </c>
      <c r="U27" s="2">
        <f t="shared" si="8"/>
        <v>45362305.025276914</v>
      </c>
      <c r="V27" s="2">
        <f t="shared" si="8"/>
        <v>47921579.08612588</v>
      </c>
      <c r="W27" s="2">
        <f t="shared" si="8"/>
        <v>50572071.892486006</v>
      </c>
      <c r="X27" s="2">
        <f t="shared" si="8"/>
        <v>53316573.988072693</v>
      </c>
      <c r="Y27" s="2">
        <f t="shared" si="8"/>
        <v>56157954.981001154</v>
      </c>
      <c r="Z27" s="2">
        <f t="shared" si="8"/>
        <v>59099165.683862835</v>
      </c>
      <c r="AA27" s="2">
        <f t="shared" si="8"/>
        <v>62143240.310025342</v>
      </c>
      <c r="AB27" s="2">
        <f t="shared" si="8"/>
        <v>65293298.72760281</v>
      </c>
      <c r="AC27" s="2">
        <f t="shared" si="8"/>
        <v>68552548.772580266</v>
      </c>
      <c r="AD27" s="2">
        <f t="shared" si="8"/>
        <v>71924288.622613877</v>
      </c>
      <c r="AE27" s="2">
        <f t="shared" si="8"/>
        <v>75411909.233066499</v>
      </c>
      <c r="AF27" s="2">
        <f t="shared" si="8"/>
        <v>79018896.836878449</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3W2DU3RAJ5R2-1900874439-869</_dlc_DocId>
    <_dlc_DocIdUrl xmlns="f54e2983-00ce-40fc-8108-18f351fc47bf">
      <Url>https://dia.cohesion.net.nz/Sites/LGV/TWRP/CAE/_layouts/15/DocIdRedir.aspx?ID=3W2DU3RAJ5R2-1900874439-869</Url>
      <Description>3W2DU3RAJ5R2-1900874439-869</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E515040-DA66-4635-86AF-65F1841FE18C}"/>
</file>

<file path=customXml/itemProps2.xml><?xml version="1.0" encoding="utf-8"?>
<ds:datastoreItem xmlns:ds="http://schemas.openxmlformats.org/officeDocument/2006/customXml" ds:itemID="{CBCC2D2A-763C-48F8-A3E5-6B0A81386C39}">
  <ds:schemaRefs>
    <ds:schemaRef ds:uri="http://schemas.microsoft.com/office/2006/documentManagement/types"/>
    <ds:schemaRef ds:uri="http://schemas.microsoft.com/office/infopath/2007/PartnerControls"/>
    <ds:schemaRef ds:uri="http://purl.org/dc/elements/1.1/"/>
    <ds:schemaRef ds:uri="65b6d800-2dda-48d6-88d8-9e2b35e6f7ea"/>
    <ds:schemaRef ds:uri="08a23fc5-e034-477c-ac83-93bc1440f322"/>
    <ds:schemaRef ds:uri="http://schemas.microsoft.com/office/2006/metadata/properties"/>
    <ds:schemaRef ds:uri="http://purl.org/dc/terms/"/>
    <ds:schemaRef ds:uri="http://schemas.openxmlformats.org/package/2006/metadata/core-properties"/>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4.xml><?xml version="1.0" encoding="utf-8"?>
<ds:datastoreItem xmlns:ds="http://schemas.openxmlformats.org/officeDocument/2006/customXml" ds:itemID="{CCC66A59-017A-4EB6-B594-E93D0BE3B5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2021-07-05T15:33:43Z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a6937a7a-f866-4ebc-bf76-cac05994f4c6</vt:lpwstr>
  </property>
</Properties>
</file>