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317" documentId="8_{DE8922C2-2A41-47C1-88F9-063BF8EA8122}" xr6:coauthVersionLast="47" xr6:coauthVersionMax="47" xr10:uidLastSave="{C4F3AC71-9220-4755-AE2C-9A6653FDF37D}"/>
  <bookViews>
    <workbookView xWindow="1290" yWindow="-110" windowWidth="37220" windowHeight="21820" tabRatio="854"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l="1"/>
  <c r="A9" i="19"/>
  <c r="B40" i="21"/>
  <c r="B27" i="21"/>
  <c r="A21" i="21"/>
  <c r="A34" i="21"/>
  <c r="B8" i="21"/>
  <c r="B21" i="21"/>
  <c r="B34" i="21"/>
  <c r="C87" i="2"/>
  <c r="C82" i="2"/>
  <c r="C58" i="2"/>
  <c r="C106" i="2"/>
  <c r="C63" i="2"/>
  <c r="C107" i="2"/>
  <c r="D11" i="2"/>
  <c r="C40" i="2"/>
  <c r="C41" i="2"/>
  <c r="C39" i="2"/>
  <c r="C36" i="2"/>
  <c r="C37" i="2"/>
  <c r="C35" i="2"/>
  <c r="F9" i="2"/>
  <c r="E9" i="2"/>
  <c r="D9" i="2"/>
  <c r="G11" i="2"/>
  <c r="V9" i="2"/>
  <c r="E11" i="2"/>
  <c r="F11" i="2"/>
  <c r="H11" i="2"/>
  <c r="I11" i="2"/>
  <c r="C72" i="2"/>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B11" i="5"/>
  <c r="G22" i="8"/>
  <c r="F22" i="8"/>
  <c r="C22" i="8"/>
  <c r="E22" i="8"/>
  <c r="D22" i="8"/>
  <c r="H44" i="2"/>
  <c r="H43" i="2"/>
  <c r="I44" i="2"/>
  <c r="J44" i="2"/>
  <c r="G15" i="9"/>
  <c r="I43" i="2"/>
  <c r="G16" i="8"/>
  <c r="H15" i="9"/>
  <c r="J43" i="2"/>
  <c r="H16" i="8"/>
  <c r="I15" i="9"/>
  <c r="K44" i="2"/>
  <c r="J15" i="9"/>
  <c r="L44" i="2"/>
  <c r="K43" i="2"/>
  <c r="I16" i="8"/>
  <c r="L43" i="2"/>
  <c r="J16" i="8"/>
  <c r="K15" i="9"/>
  <c r="M44" i="2"/>
  <c r="L15" i="9"/>
  <c r="N44" i="2"/>
  <c r="K16" i="8"/>
  <c r="M43" i="2"/>
  <c r="M15" i="9"/>
  <c r="O44" i="2"/>
  <c r="N43" i="2"/>
  <c r="L16" i="8"/>
  <c r="N15" i="9"/>
  <c r="P44" i="2"/>
  <c r="O43" i="2"/>
  <c r="M16" i="8"/>
  <c r="O15" i="9"/>
  <c r="Q44" i="2"/>
  <c r="P43" i="2"/>
  <c r="N16" i="8"/>
  <c r="Q43" i="2"/>
  <c r="O16" i="8"/>
  <c r="P15" i="9"/>
  <c r="R44" i="2"/>
  <c r="Q15" i="9"/>
  <c r="S44" i="2"/>
  <c r="P16" i="8"/>
  <c r="R43" i="2"/>
  <c r="R15" i="9"/>
  <c r="T44" i="2"/>
  <c r="S43" i="2"/>
  <c r="Q16" i="8"/>
  <c r="S15" i="9"/>
  <c r="U44" i="2"/>
  <c r="T43" i="2"/>
  <c r="R16" i="8"/>
  <c r="U43" i="2"/>
  <c r="S16" i="8"/>
  <c r="T15" i="9"/>
  <c r="V44" i="2"/>
  <c r="T16" i="8"/>
  <c r="V43" i="2"/>
  <c r="U15" i="9"/>
  <c r="W44" i="2"/>
  <c r="V15" i="9"/>
  <c r="X44" i="2"/>
  <c r="W43" i="2"/>
  <c r="U16" i="8"/>
  <c r="W15" i="9"/>
  <c r="Y44" i="2"/>
  <c r="X43" i="2"/>
  <c r="V16" i="8"/>
  <c r="Y43" i="2"/>
  <c r="W16" i="8"/>
  <c r="X15" i="9"/>
  <c r="Z44" i="2"/>
  <c r="Y15" i="9"/>
  <c r="AA44" i="2"/>
  <c r="Z43" i="2"/>
  <c r="X16" i="8"/>
  <c r="Z15" i="9"/>
  <c r="AB44" i="2"/>
  <c r="AA43" i="2"/>
  <c r="Y16" i="8"/>
  <c r="Z16" i="8"/>
  <c r="AB43" i="2"/>
  <c r="AA15" i="9"/>
  <c r="AC44" i="2"/>
  <c r="AC43" i="2"/>
  <c r="AA16" i="8"/>
  <c r="AB15" i="9"/>
  <c r="AD44" i="2"/>
  <c r="AD43" i="2"/>
  <c r="AB16" i="8"/>
  <c r="AC15" i="9"/>
  <c r="AE44" i="2"/>
  <c r="AD15" i="9"/>
  <c r="AF44" i="2"/>
  <c r="AE43" i="2"/>
  <c r="AC16" i="8"/>
  <c r="AE15" i="9"/>
  <c r="AG44" i="2"/>
  <c r="AD16" i="8"/>
  <c r="AF43" i="2"/>
  <c r="AF15" i="9"/>
  <c r="AG43" i="2"/>
  <c r="AE16" i="8"/>
  <c r="AF16" i="8"/>
  <c r="C83" i="2" l="1"/>
  <c r="C129" i="2"/>
  <c r="C135" i="2" s="1"/>
  <c r="B10" i="21" s="1"/>
  <c r="C22" i="6"/>
  <c r="C66" i="2"/>
  <c r="C17" i="2"/>
  <c r="C90" i="2"/>
  <c r="C95" i="2" s="1"/>
  <c r="B7" i="21"/>
  <c r="C71" i="2"/>
  <c r="C73" i="2" s="1"/>
  <c r="C5" i="3"/>
  <c r="C67" i="2"/>
  <c r="C89" i="2"/>
  <c r="C94" i="2" s="1"/>
  <c r="B12" i="21" l="1"/>
  <c r="B16" i="21" s="1"/>
  <c r="C75" i="2"/>
  <c r="B6" i="5"/>
  <c r="C18" i="2"/>
  <c r="C7" i="6" s="1"/>
  <c r="C6" i="6"/>
  <c r="C96" i="2"/>
  <c r="C68" i="2"/>
  <c r="C102" i="2" l="1"/>
  <c r="AG111" i="2"/>
  <c r="Z111" i="2"/>
  <c r="F111" i="2"/>
  <c r="AA111" i="2"/>
  <c r="D111" i="2"/>
  <c r="AE111" i="2"/>
  <c r="T111" i="2"/>
  <c r="W111" i="2"/>
  <c r="E111" i="2"/>
  <c r="M111" i="2"/>
  <c r="AF111" i="2"/>
  <c r="Q111" i="2"/>
  <c r="V111" i="2"/>
  <c r="I111" i="2"/>
  <c r="G111" i="2"/>
  <c r="AC111" i="2"/>
  <c r="O111" i="2"/>
  <c r="N111" i="2"/>
  <c r="Y111" i="2"/>
  <c r="AD111" i="2"/>
  <c r="J111" i="2"/>
  <c r="P111" i="2"/>
  <c r="K111" i="2"/>
  <c r="S111" i="2"/>
  <c r="H111" i="2"/>
  <c r="L111" i="2"/>
  <c r="AB111" i="2"/>
  <c r="X111" i="2"/>
  <c r="U111" i="2"/>
  <c r="R111" i="2"/>
  <c r="S13" i="2"/>
  <c r="AA13" i="2"/>
  <c r="W13" i="2"/>
  <c r="L13" i="2"/>
  <c r="AD13" i="2"/>
  <c r="D13" i="2"/>
  <c r="AE13" i="2"/>
  <c r="AF13" i="2"/>
  <c r="Z13" i="2"/>
  <c r="Q13" i="2"/>
  <c r="T13" i="2"/>
  <c r="R13" i="2"/>
  <c r="K13" i="2"/>
  <c r="E13" i="2"/>
  <c r="V13" i="2"/>
  <c r="U13" i="2"/>
  <c r="G13" i="2"/>
  <c r="AB13" i="2"/>
  <c r="AC13" i="2"/>
  <c r="N13" i="2"/>
  <c r="X13" i="2"/>
  <c r="H13" i="2"/>
  <c r="P13" i="2"/>
  <c r="Y13" i="2"/>
  <c r="J13" i="2"/>
  <c r="AG13" i="2"/>
  <c r="M13" i="2"/>
  <c r="F13" i="2"/>
  <c r="O13" i="2"/>
  <c r="I13" i="2"/>
  <c r="C5" i="8"/>
  <c r="AB12" i="8" l="1"/>
  <c r="AC135" i="2"/>
  <c r="Y8" i="6"/>
  <c r="Y5" i="9"/>
  <c r="Y11" i="9" s="1"/>
  <c r="M135" i="2"/>
  <c r="B23" i="21" s="1"/>
  <c r="L12" i="8"/>
  <c r="M12" i="8"/>
  <c r="N135" i="2"/>
  <c r="Q12" i="8"/>
  <c r="R135" i="2"/>
  <c r="L135" i="2"/>
  <c r="K12" i="8"/>
  <c r="AA5" i="9"/>
  <c r="AA11" i="9" s="1"/>
  <c r="AA8" i="6"/>
  <c r="X8" i="6"/>
  <c r="X5" i="9"/>
  <c r="X11" i="9" s="1"/>
  <c r="AE5" i="9"/>
  <c r="AE11" i="9" s="1"/>
  <c r="AE8" i="6"/>
  <c r="E5" i="9"/>
  <c r="E11" i="9" s="1"/>
  <c r="E8" i="6"/>
  <c r="M8" i="6"/>
  <c r="M5" i="9"/>
  <c r="M11" i="9" s="1"/>
  <c r="Y12" i="8"/>
  <c r="Z135" i="2"/>
  <c r="V5" i="9"/>
  <c r="V11" i="9" s="1"/>
  <c r="V8" i="6"/>
  <c r="AA12" i="8"/>
  <c r="AB135" i="2"/>
  <c r="I12" i="8"/>
  <c r="J135" i="2"/>
  <c r="AB5" i="9"/>
  <c r="AB11" i="9" s="1"/>
  <c r="AB8" i="6"/>
  <c r="AE12" i="8"/>
  <c r="AF135" i="2"/>
  <c r="J5" i="9"/>
  <c r="J11" i="9" s="1"/>
  <c r="J8" i="6"/>
  <c r="F8" i="6"/>
  <c r="F5" i="9"/>
  <c r="F11" i="9" s="1"/>
  <c r="S5" i="9"/>
  <c r="S11" i="9" s="1"/>
  <c r="S8" i="6"/>
  <c r="AF12" i="8"/>
  <c r="AG135" i="2"/>
  <c r="B36" i="21" s="1"/>
  <c r="K5" i="9"/>
  <c r="K11" i="9" s="1"/>
  <c r="K8" i="6"/>
  <c r="Q135" i="2"/>
  <c r="P12" i="8"/>
  <c r="G5" i="9"/>
  <c r="G11" i="9" s="1"/>
  <c r="G8" i="6"/>
  <c r="F12" i="8"/>
  <c r="G135" i="2"/>
  <c r="R8" i="6"/>
  <c r="R5" i="9"/>
  <c r="R11" i="9" s="1"/>
  <c r="Y135" i="2"/>
  <c r="X12" i="8"/>
  <c r="P135" i="2"/>
  <c r="O12" i="8"/>
  <c r="AE135" i="2"/>
  <c r="AD12" i="8"/>
  <c r="Q8" i="6"/>
  <c r="Q5" i="9"/>
  <c r="Q11" i="9" s="1"/>
  <c r="O5" i="9"/>
  <c r="O11" i="9" s="1"/>
  <c r="O8" i="6"/>
  <c r="H5" i="9"/>
  <c r="H11" i="9" s="1"/>
  <c r="H8" i="6"/>
  <c r="AD8" i="6"/>
  <c r="AD5" i="9"/>
  <c r="AD11" i="9" s="1"/>
  <c r="S12" i="8"/>
  <c r="T135" i="2"/>
  <c r="D5" i="9"/>
  <c r="D11" i="9" s="1"/>
  <c r="D8" i="6"/>
  <c r="D5" i="8"/>
  <c r="E5" i="8" s="1"/>
  <c r="F5" i="8" s="1"/>
  <c r="G5" i="8" s="1"/>
  <c r="H5" i="8" s="1"/>
  <c r="I5" i="8" s="1"/>
  <c r="J5" i="8" s="1"/>
  <c r="K5" i="8" s="1"/>
  <c r="L5" i="8" s="1"/>
  <c r="E6" i="7"/>
  <c r="T12" i="8"/>
  <c r="U135" i="2"/>
  <c r="I135" i="2"/>
  <c r="H12" i="8"/>
  <c r="U12" i="8"/>
  <c r="V135" i="2"/>
  <c r="O135" i="2"/>
  <c r="N12" i="8"/>
  <c r="G12" i="8"/>
  <c r="H135" i="2"/>
  <c r="D12" i="8"/>
  <c r="E135" i="2"/>
  <c r="C12" i="8"/>
  <c r="D135" i="2"/>
  <c r="T5" i="9"/>
  <c r="T11" i="9" s="1"/>
  <c r="T8" i="6"/>
  <c r="I8" i="6"/>
  <c r="I5" i="9"/>
  <c r="I11" i="9" s="1"/>
  <c r="U8" i="6"/>
  <c r="U5" i="9"/>
  <c r="U11" i="9" s="1"/>
  <c r="C8" i="6"/>
  <c r="C5" i="9"/>
  <c r="C11" i="9" s="1"/>
  <c r="U113" i="2"/>
  <c r="Q113" i="2"/>
  <c r="X113" i="2"/>
  <c r="S113" i="2"/>
  <c r="AC113" i="2"/>
  <c r="AB113" i="2"/>
  <c r="AF113" i="2"/>
  <c r="AA113" i="2"/>
  <c r="Y113" i="2"/>
  <c r="G113" i="2"/>
  <c r="I113" i="2"/>
  <c r="L113" i="2"/>
  <c r="D113" i="2"/>
  <c r="T113" i="2"/>
  <c r="O113" i="2"/>
  <c r="AG113" i="2"/>
  <c r="N113" i="2"/>
  <c r="AE113" i="2"/>
  <c r="R113" i="2"/>
  <c r="E113" i="2"/>
  <c r="V113" i="2"/>
  <c r="H113" i="2"/>
  <c r="Z113" i="2"/>
  <c r="K113" i="2"/>
  <c r="M113" i="2"/>
  <c r="F113" i="2"/>
  <c r="AD113" i="2"/>
  <c r="P113" i="2"/>
  <c r="W113" i="2"/>
  <c r="J113" i="2"/>
  <c r="W135" i="2"/>
  <c r="V12" i="8"/>
  <c r="L8" i="6"/>
  <c r="L5" i="9"/>
  <c r="L11" i="9" s="1"/>
  <c r="Z12" i="8"/>
  <c r="AA135" i="2"/>
  <c r="N8" i="6"/>
  <c r="N5" i="9"/>
  <c r="N11" i="9" s="1"/>
  <c r="AF5" i="9"/>
  <c r="AF11" i="9" s="1"/>
  <c r="AF8" i="6"/>
  <c r="R12" i="8"/>
  <c r="S135" i="2"/>
  <c r="E12" i="8"/>
  <c r="F135" i="2"/>
  <c r="W12" i="8"/>
  <c r="X135" i="2"/>
  <c r="J12" i="8"/>
  <c r="K135" i="2"/>
  <c r="AD135" i="2"/>
  <c r="AC12" i="8"/>
  <c r="W5" i="9"/>
  <c r="W11" i="9" s="1"/>
  <c r="W8" i="6"/>
  <c r="AC5" i="9"/>
  <c r="AC11" i="9" s="1"/>
  <c r="AC8" i="6"/>
  <c r="P8" i="6"/>
  <c r="P5" i="9"/>
  <c r="P11" i="9" s="1"/>
  <c r="Z5" i="9"/>
  <c r="Z11" i="9" s="1"/>
  <c r="Z8" i="6"/>
  <c r="L18" i="9" l="1"/>
  <c r="F6" i="9"/>
  <c r="F12" i="9" s="1"/>
  <c r="G116" i="2"/>
  <c r="G115" i="2"/>
  <c r="G118" i="2" s="1"/>
  <c r="Z18" i="9"/>
  <c r="M6" i="9"/>
  <c r="M12" i="9" s="1"/>
  <c r="N115" i="2"/>
  <c r="N116" i="2"/>
  <c r="T18" i="9"/>
  <c r="M20" i="8"/>
  <c r="M19" i="8"/>
  <c r="P18" i="9"/>
  <c r="V20" i="8"/>
  <c r="V19" i="8"/>
  <c r="J6" i="9"/>
  <c r="J12" i="9" s="1"/>
  <c r="K116" i="2"/>
  <c r="K118" i="2" s="1"/>
  <c r="K115" i="2"/>
  <c r="AG116" i="2"/>
  <c r="AF6" i="9"/>
  <c r="AF12" i="9" s="1"/>
  <c r="AG115" i="2"/>
  <c r="Z6" i="9"/>
  <c r="Z12" i="9" s="1"/>
  <c r="AA116" i="2"/>
  <c r="AA115" i="2"/>
  <c r="C18" i="9"/>
  <c r="X20" i="8"/>
  <c r="X19" i="8"/>
  <c r="P20" i="8"/>
  <c r="P19" i="8"/>
  <c r="F18" i="9"/>
  <c r="M18" i="9"/>
  <c r="L20" i="8"/>
  <c r="L19" i="8"/>
  <c r="E6" i="9"/>
  <c r="E12" i="9" s="1"/>
  <c r="F116" i="2"/>
  <c r="F115" i="2"/>
  <c r="F118" i="2" s="1"/>
  <c r="N20" i="8"/>
  <c r="N19" i="8"/>
  <c r="L6" i="9"/>
  <c r="L12" i="9" s="1"/>
  <c r="M116" i="2"/>
  <c r="M115" i="2"/>
  <c r="G18" i="9"/>
  <c r="C20" i="8"/>
  <c r="C19" i="8"/>
  <c r="I19" i="8"/>
  <c r="I20" i="8"/>
  <c r="U18" i="9"/>
  <c r="Q18" i="9"/>
  <c r="R18" i="9"/>
  <c r="K19" i="8"/>
  <c r="K20" i="8"/>
  <c r="Y18" i="9"/>
  <c r="P6" i="9"/>
  <c r="P12" i="9" s="1"/>
  <c r="Q116" i="2"/>
  <c r="Q115" i="2"/>
  <c r="Q118" i="2" s="1"/>
  <c r="O19" i="8"/>
  <c r="O20" i="8"/>
  <c r="X18" i="9"/>
  <c r="X6" i="9"/>
  <c r="X12" i="9" s="1"/>
  <c r="Y116" i="2"/>
  <c r="Y115" i="2"/>
  <c r="Y118" i="2" s="1"/>
  <c r="AB18" i="9"/>
  <c r="J20" i="8"/>
  <c r="J19" i="8"/>
  <c r="Y6" i="9"/>
  <c r="Y12" i="9" s="1"/>
  <c r="Z116" i="2"/>
  <c r="Z115" i="2"/>
  <c r="Z118" i="2" s="1"/>
  <c r="AF116" i="2"/>
  <c r="AE6" i="9"/>
  <c r="AE12" i="9" s="1"/>
  <c r="AF115" i="2"/>
  <c r="D18" i="9"/>
  <c r="AA18" i="9"/>
  <c r="H116" i="2"/>
  <c r="H118" i="2" s="1"/>
  <c r="G6" i="9"/>
  <c r="G12" i="9" s="1"/>
  <c r="H115" i="2"/>
  <c r="H19" i="8"/>
  <c r="H20" i="8"/>
  <c r="AC18" i="9"/>
  <c r="W20" i="8"/>
  <c r="W19" i="8"/>
  <c r="W116" i="2"/>
  <c r="V6" i="9"/>
  <c r="V12" i="9" s="1"/>
  <c r="W115" i="2"/>
  <c r="U6" i="9"/>
  <c r="U12" i="9" s="1"/>
  <c r="V116" i="2"/>
  <c r="V115" i="2"/>
  <c r="D116" i="2"/>
  <c r="D115" i="2"/>
  <c r="D118" i="2" s="1"/>
  <c r="C6" i="9"/>
  <c r="C12" i="9" s="1"/>
  <c r="C113" i="2"/>
  <c r="C114" i="2" s="1"/>
  <c r="AC115" i="2"/>
  <c r="AC116" i="2"/>
  <c r="AB6" i="9"/>
  <c r="AB12" i="9" s="1"/>
  <c r="D20" i="8"/>
  <c r="D19" i="8"/>
  <c r="S20" i="8"/>
  <c r="S19" i="8"/>
  <c r="K18" i="9"/>
  <c r="J18" i="9"/>
  <c r="AA20" i="8"/>
  <c r="AA19" i="8"/>
  <c r="E18" i="9"/>
  <c r="AC20" i="8"/>
  <c r="AC19" i="8"/>
  <c r="AE116" i="2"/>
  <c r="AD6" i="9"/>
  <c r="AD12" i="9" s="1"/>
  <c r="AE115" i="2"/>
  <c r="R19" i="8"/>
  <c r="R20" i="8"/>
  <c r="T6" i="9"/>
  <c r="T12" i="9" s="1"/>
  <c r="U116" i="2"/>
  <c r="U115" i="2"/>
  <c r="U118" i="2" s="1"/>
  <c r="H18" i="9"/>
  <c r="Y19" i="8"/>
  <c r="Y20" i="8"/>
  <c r="AF18" i="9"/>
  <c r="N6" i="9"/>
  <c r="N12" i="9" s="1"/>
  <c r="O116" i="2"/>
  <c r="O115" i="2"/>
  <c r="O118" i="2"/>
  <c r="U20" i="8"/>
  <c r="U19" i="8"/>
  <c r="N18" i="9"/>
  <c r="T116" i="2"/>
  <c r="S6" i="9"/>
  <c r="S12" i="9" s="1"/>
  <c r="T115" i="2"/>
  <c r="T118" i="2" s="1"/>
  <c r="P116" i="2"/>
  <c r="O6" i="9"/>
  <c r="O12" i="9" s="1"/>
  <c r="P115" i="2"/>
  <c r="E116" i="2"/>
  <c r="D6" i="9"/>
  <c r="D12" i="9" s="1"/>
  <c r="E115" i="2"/>
  <c r="K6" i="9"/>
  <c r="K12" i="9" s="1"/>
  <c r="L116" i="2"/>
  <c r="L115" i="2"/>
  <c r="S116" i="2"/>
  <c r="R6" i="9"/>
  <c r="R12" i="9" s="1"/>
  <c r="S115" i="2"/>
  <c r="I18" i="9"/>
  <c r="AD18" i="9"/>
  <c r="AD20" i="8"/>
  <c r="AD19" i="8"/>
  <c r="B20" i="21"/>
  <c r="B25" i="21" s="1"/>
  <c r="B29" i="21"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S18" i="9"/>
  <c r="O18" i="9"/>
  <c r="J115" i="2"/>
  <c r="J116" i="2"/>
  <c r="I6" i="9"/>
  <c r="I12" i="9" s="1"/>
  <c r="AA6" i="9"/>
  <c r="AA12" i="9" s="1"/>
  <c r="AB116" i="2"/>
  <c r="AB115" i="2"/>
  <c r="AB118" i="2" s="1"/>
  <c r="W18" i="9"/>
  <c r="E19" i="8"/>
  <c r="E20" i="8"/>
  <c r="Z20" i="8"/>
  <c r="Z19" i="8"/>
  <c r="AD116" i="2"/>
  <c r="AC6" i="9"/>
  <c r="AC12" i="9" s="1"/>
  <c r="AD115" i="2"/>
  <c r="R116" i="2"/>
  <c r="Q6" i="9"/>
  <c r="Q12" i="9" s="1"/>
  <c r="R115" i="2"/>
  <c r="I116" i="2"/>
  <c r="I115" i="2"/>
  <c r="I118" i="2" s="1"/>
  <c r="H6" i="9"/>
  <c r="H12" i="9" s="1"/>
  <c r="W6" i="9"/>
  <c r="W12" i="9" s="1"/>
  <c r="X116" i="2"/>
  <c r="X115" i="2"/>
  <c r="X118" i="2" s="1"/>
  <c r="G19" i="8"/>
  <c r="G20" i="8"/>
  <c r="T20" i="8"/>
  <c r="T19" i="8"/>
  <c r="F19" i="8"/>
  <c r="F20" i="8"/>
  <c r="AF20" i="8"/>
  <c r="AF19" i="8"/>
  <c r="AE20" i="8"/>
  <c r="AE19" i="8"/>
  <c r="V18" i="9"/>
  <c r="AE18" i="9"/>
  <c r="Q20" i="8"/>
  <c r="Q19" i="8"/>
  <c r="AB20" i="8"/>
  <c r="AB19" i="8"/>
  <c r="AG118" i="2" l="1"/>
  <c r="M118" i="2"/>
  <c r="L118" i="2"/>
  <c r="V118" i="2"/>
  <c r="AF118" i="2"/>
  <c r="R118" i="2"/>
  <c r="AC118" i="2"/>
  <c r="S118" i="2"/>
  <c r="W122" i="2" s="1"/>
  <c r="V14" i="8" s="1"/>
  <c r="AA118" i="2"/>
  <c r="N118" i="2"/>
  <c r="J118" i="2"/>
  <c r="AD118" i="2"/>
  <c r="E118" i="2"/>
  <c r="E120" i="2" s="1"/>
  <c r="AE118" i="2"/>
  <c r="P118" i="2"/>
  <c r="Q120" i="2" s="1"/>
  <c r="W118" i="2"/>
  <c r="D120" i="2"/>
  <c r="D122" i="2"/>
  <c r="C14" i="8" s="1"/>
  <c r="L120" i="2"/>
  <c r="L122" i="2"/>
  <c r="K14" i="8" s="1"/>
  <c r="M120" i="2"/>
  <c r="H120" i="2"/>
  <c r="K120" i="2"/>
  <c r="N120" i="2"/>
  <c r="D21" i="9"/>
  <c r="D20" i="9"/>
  <c r="AD21" i="9"/>
  <c r="AD20" i="9"/>
  <c r="U21" i="9"/>
  <c r="U20" i="9"/>
  <c r="AF21" i="9"/>
  <c r="AF20" i="9"/>
  <c r="R21" i="9"/>
  <c r="R20" i="9"/>
  <c r="S21" i="9"/>
  <c r="S20" i="9"/>
  <c r="C21" i="9"/>
  <c r="C20" i="9"/>
  <c r="Y21" i="9"/>
  <c r="Y20" i="9"/>
  <c r="F20" i="9"/>
  <c r="F21" i="9"/>
  <c r="Q21" i="9"/>
  <c r="Q20" i="9"/>
  <c r="V21" i="9"/>
  <c r="V20" i="9"/>
  <c r="X21" i="9"/>
  <c r="X20" i="9"/>
  <c r="L20" i="9"/>
  <c r="L21" i="9"/>
  <c r="W21" i="9"/>
  <c r="W20" i="9"/>
  <c r="AB21" i="9"/>
  <c r="AB20" i="9"/>
  <c r="E20" i="9"/>
  <c r="E21" i="9"/>
  <c r="T21" i="9"/>
  <c r="T20" i="9"/>
  <c r="H21" i="9"/>
  <c r="H20" i="9"/>
  <c r="O21" i="9"/>
  <c r="O20" i="9"/>
  <c r="N21" i="9"/>
  <c r="N20" i="9"/>
  <c r="AE21" i="9"/>
  <c r="AE20" i="9"/>
  <c r="Z21" i="9"/>
  <c r="Z20" i="9"/>
  <c r="J20" i="9"/>
  <c r="J21" i="9"/>
  <c r="AA21" i="9"/>
  <c r="AA20" i="9"/>
  <c r="K21" i="9"/>
  <c r="K20" i="9"/>
  <c r="P21" i="9"/>
  <c r="P20" i="9"/>
  <c r="G21" i="9"/>
  <c r="G20" i="9"/>
  <c r="AC21" i="9"/>
  <c r="AC20" i="9"/>
  <c r="I21" i="9"/>
  <c r="I20" i="9"/>
  <c r="M21" i="9"/>
  <c r="M20" i="9"/>
  <c r="T120" i="2" l="1"/>
  <c r="X120" i="2"/>
  <c r="V122" i="2"/>
  <c r="U14" i="8" s="1"/>
  <c r="O122" i="2"/>
  <c r="N14" i="8" s="1"/>
  <c r="N122" i="2"/>
  <c r="M14" i="8" s="1"/>
  <c r="M122" i="2"/>
  <c r="L14" i="8" s="1"/>
  <c r="K122" i="2"/>
  <c r="J14" i="8" s="1"/>
  <c r="J25" i="8" s="1"/>
  <c r="AG120" i="2"/>
  <c r="AF7" i="9" s="1"/>
  <c r="AF13" i="9" s="1"/>
  <c r="I120" i="2"/>
  <c r="H122" i="2"/>
  <c r="G14" i="8" s="1"/>
  <c r="J122" i="2"/>
  <c r="I14" i="8" s="1"/>
  <c r="F120" i="2"/>
  <c r="G120" i="2"/>
  <c r="AA120" i="2"/>
  <c r="R120" i="2"/>
  <c r="Q7" i="9" s="1"/>
  <c r="Q13" i="9" s="1"/>
  <c r="I122" i="2"/>
  <c r="H14" i="8" s="1"/>
  <c r="H24" i="8" s="1"/>
  <c r="AD120" i="2"/>
  <c r="Z120" i="2"/>
  <c r="AC122" i="2"/>
  <c r="AB14" i="8" s="1"/>
  <c r="AD122" i="2"/>
  <c r="AC14" i="8" s="1"/>
  <c r="V120" i="2"/>
  <c r="Y122" i="2"/>
  <c r="X14" i="8" s="1"/>
  <c r="S120" i="2"/>
  <c r="R7" i="9" s="1"/>
  <c r="R13" i="9" s="1"/>
  <c r="AE120" i="2"/>
  <c r="AD9" i="6" s="1"/>
  <c r="AE122" i="2"/>
  <c r="AD14" i="8" s="1"/>
  <c r="U122" i="2"/>
  <c r="T14" i="8" s="1"/>
  <c r="U120" i="2"/>
  <c r="S122" i="2"/>
  <c r="R14" i="8" s="1"/>
  <c r="AA122" i="2"/>
  <c r="Z14" i="8" s="1"/>
  <c r="P120" i="2"/>
  <c r="R122" i="2"/>
  <c r="Q14" i="8" s="1"/>
  <c r="Q25" i="8" s="1"/>
  <c r="E122" i="2"/>
  <c r="D14" i="8" s="1"/>
  <c r="D24" i="8" s="1"/>
  <c r="T122" i="2"/>
  <c r="S14" i="8" s="1"/>
  <c r="AG122" i="2"/>
  <c r="AF14" i="8" s="1"/>
  <c r="AF122" i="2"/>
  <c r="AE14" i="8" s="1"/>
  <c r="Y120" i="2"/>
  <c r="P122" i="2"/>
  <c r="O14" i="8" s="1"/>
  <c r="Q122" i="2"/>
  <c r="P14" i="8" s="1"/>
  <c r="AB122" i="2"/>
  <c r="AA14" i="8" s="1"/>
  <c r="AA25" i="8" s="1"/>
  <c r="AF120" i="2"/>
  <c r="AE9" i="6" s="1"/>
  <c r="X122" i="2"/>
  <c r="W14" i="8" s="1"/>
  <c r="F122" i="2"/>
  <c r="E14" i="8" s="1"/>
  <c r="J120" i="2"/>
  <c r="Z122" i="2"/>
  <c r="Y14" i="8" s="1"/>
  <c r="AC120" i="2"/>
  <c r="W120" i="2"/>
  <c r="AB120" i="2"/>
  <c r="AA9" i="6" s="1"/>
  <c r="O120" i="2"/>
  <c r="N7" i="9" s="1"/>
  <c r="N13" i="9" s="1"/>
  <c r="G122" i="2"/>
  <c r="F14" i="8" s="1"/>
  <c r="T7" i="9"/>
  <c r="T13" i="9" s="1"/>
  <c r="T9" i="6"/>
  <c r="R24" i="8"/>
  <c r="R25" i="8"/>
  <c r="R27" i="8" s="1"/>
  <c r="R6" i="8" s="1"/>
  <c r="AB24" i="8"/>
  <c r="AB25" i="8"/>
  <c r="AC24" i="8"/>
  <c r="AC27" i="8" s="1"/>
  <c r="AC6" i="8" s="1"/>
  <c r="AC25" i="8"/>
  <c r="U7" i="9"/>
  <c r="U13" i="9" s="1"/>
  <c r="U9" i="6"/>
  <c r="X24" i="8"/>
  <c r="X25" i="8"/>
  <c r="N25" i="8"/>
  <c r="N24" i="8"/>
  <c r="F9" i="6"/>
  <c r="F7" i="9"/>
  <c r="F13" i="9" s="1"/>
  <c r="L24" i="8"/>
  <c r="L25" i="8"/>
  <c r="M7" i="9"/>
  <c r="M13" i="9" s="1"/>
  <c r="M9" i="6"/>
  <c r="AF24" i="8"/>
  <c r="AF25" i="8"/>
  <c r="AE24" i="8"/>
  <c r="AE27" i="8" s="1"/>
  <c r="AE6" i="8" s="1"/>
  <c r="AE25" i="8"/>
  <c r="X7" i="9"/>
  <c r="X13" i="9" s="1"/>
  <c r="X9" i="6"/>
  <c r="O24" i="8"/>
  <c r="O25" i="8"/>
  <c r="J24" i="8"/>
  <c r="K9" i="6"/>
  <c r="K7" i="9"/>
  <c r="K13" i="9" s="1"/>
  <c r="G24" i="8"/>
  <c r="G25" i="8"/>
  <c r="G27" i="8"/>
  <c r="G6" i="8" s="1"/>
  <c r="C9" i="6"/>
  <c r="C7" i="9"/>
  <c r="C13" i="9" s="1"/>
  <c r="H25" i="8"/>
  <c r="O7" i="9"/>
  <c r="O13" i="9" s="1"/>
  <c r="O9" i="6"/>
  <c r="K25" i="8"/>
  <c r="K24" i="8"/>
  <c r="K27" i="8" s="1"/>
  <c r="K6" i="8" s="1"/>
  <c r="H9" i="6"/>
  <c r="H7" i="9"/>
  <c r="H13" i="9" s="1"/>
  <c r="W24" i="8"/>
  <c r="W25" i="8"/>
  <c r="M24" i="8"/>
  <c r="M25" i="8"/>
  <c r="G7" i="9"/>
  <c r="G13" i="9" s="1"/>
  <c r="G9" i="6"/>
  <c r="C24" i="8"/>
  <c r="C25" i="8"/>
  <c r="E24" i="8"/>
  <c r="E25" i="8"/>
  <c r="I9" i="6"/>
  <c r="I7" i="9"/>
  <c r="I13" i="9" s="1"/>
  <c r="T25" i="8"/>
  <c r="T24" i="8"/>
  <c r="T27" i="8" s="1"/>
  <c r="T6" i="8" s="1"/>
  <c r="Y25" i="8"/>
  <c r="Y24" i="8"/>
  <c r="Y27" i="8" s="1"/>
  <c r="Y6" i="8" s="1"/>
  <c r="AB9" i="6"/>
  <c r="AB7" i="9"/>
  <c r="AB13" i="9" s="1"/>
  <c r="V9" i="6"/>
  <c r="V7" i="9"/>
  <c r="V13" i="9" s="1"/>
  <c r="P9" i="6"/>
  <c r="P7" i="9"/>
  <c r="P13" i="9" s="1"/>
  <c r="F24" i="8"/>
  <c r="F25" i="8"/>
  <c r="D9" i="6"/>
  <c r="D7" i="9"/>
  <c r="D13" i="9" s="1"/>
  <c r="AD25" i="8"/>
  <c r="AD24" i="8"/>
  <c r="AD27" i="8"/>
  <c r="AD6" i="8" s="1"/>
  <c r="S9" i="6"/>
  <c r="S7" i="9"/>
  <c r="S13" i="9" s="1"/>
  <c r="W7" i="9"/>
  <c r="W13" i="9" s="1"/>
  <c r="W9" i="6"/>
  <c r="U24" i="8"/>
  <c r="U27" i="8" s="1"/>
  <c r="U6" i="8" s="1"/>
  <c r="U25" i="8"/>
  <c r="Z7" i="9"/>
  <c r="Z13" i="9" s="1"/>
  <c r="Z9" i="6"/>
  <c r="V24" i="8"/>
  <c r="V25" i="8"/>
  <c r="I24" i="8"/>
  <c r="I25" i="8"/>
  <c r="L9" i="6"/>
  <c r="L7" i="9"/>
  <c r="L13" i="9" s="1"/>
  <c r="Z24" i="8"/>
  <c r="Z25" i="8"/>
  <c r="AC9" i="6"/>
  <c r="AC7" i="9"/>
  <c r="AC13" i="9" s="1"/>
  <c r="AF9" i="6"/>
  <c r="J9" i="6"/>
  <c r="J7" i="9"/>
  <c r="J13" i="9" s="1"/>
  <c r="Y9" i="6"/>
  <c r="Y7" i="9"/>
  <c r="Y13" i="9" s="1"/>
  <c r="S25" i="8"/>
  <c r="S24" i="8"/>
  <c r="P25" i="8"/>
  <c r="P24" i="8"/>
  <c r="P27" i="8" s="1"/>
  <c r="P6" i="8" s="1"/>
  <c r="E9" i="6"/>
  <c r="E7" i="9"/>
  <c r="E13" i="9" s="1"/>
  <c r="AF27" i="8" l="1"/>
  <c r="AF6" i="8" s="1"/>
  <c r="N9" i="6"/>
  <c r="I27" i="8"/>
  <c r="I6" i="8" s="1"/>
  <c r="R9" i="6"/>
  <c r="Q9" i="6"/>
  <c r="Z27" i="8"/>
  <c r="Z6" i="8" s="1"/>
  <c r="E27" i="8"/>
  <c r="E6" i="8" s="1"/>
  <c r="W27" i="8"/>
  <c r="W6" i="8" s="1"/>
  <c r="H27" i="8"/>
  <c r="H6" i="8" s="1"/>
  <c r="J27" i="8"/>
  <c r="J6" i="8" s="1"/>
  <c r="N27" i="8"/>
  <c r="N6" i="8" s="1"/>
  <c r="O27" i="8"/>
  <c r="O6" i="8" s="1"/>
  <c r="L27" i="8"/>
  <c r="L6" i="8" s="1"/>
  <c r="C27" i="8"/>
  <c r="C6" i="8" s="1"/>
  <c r="AE7" i="9"/>
  <c r="AE13" i="9" s="1"/>
  <c r="AE23" i="9" s="1"/>
  <c r="AE25" i="9" s="1"/>
  <c r="D25" i="8"/>
  <c r="D27" i="8" s="1"/>
  <c r="D6" i="8" s="1"/>
  <c r="X27" i="8"/>
  <c r="X6" i="8" s="1"/>
  <c r="AA7" i="9"/>
  <c r="AA13" i="9" s="1"/>
  <c r="AA24" i="8"/>
  <c r="AA27" i="8" s="1"/>
  <c r="AA6" i="8" s="1"/>
  <c r="Q24" i="8"/>
  <c r="Q27" i="8" s="1"/>
  <c r="Q6" i="8" s="1"/>
  <c r="AB27" i="8"/>
  <c r="AB6" i="8" s="1"/>
  <c r="AD7" i="9"/>
  <c r="AD13" i="9" s="1"/>
  <c r="V27" i="8"/>
  <c r="V6" i="8" s="1"/>
  <c r="F27" i="8"/>
  <c r="F6" i="8" s="1"/>
  <c r="M27" i="8"/>
  <c r="M6" i="8" s="1"/>
  <c r="S27" i="8"/>
  <c r="S6" i="8" s="1"/>
  <c r="S6" i="4"/>
  <c r="S7" i="8"/>
  <c r="C23" i="9"/>
  <c r="C25" i="9" s="1"/>
  <c r="Y23" i="9"/>
  <c r="Y25" i="9"/>
  <c r="N23" i="9"/>
  <c r="N25" i="9" s="1"/>
  <c r="Y7" i="8"/>
  <c r="Y6" i="4"/>
  <c r="AC23" i="9"/>
  <c r="AC25" i="9" s="1"/>
  <c r="AD7" i="8"/>
  <c r="AD6" i="4"/>
  <c r="S23" i="9"/>
  <c r="S25" i="9" s="1"/>
  <c r="V23" i="9"/>
  <c r="V25" i="9"/>
  <c r="H6" i="4"/>
  <c r="H7" i="8"/>
  <c r="AE6" i="4"/>
  <c r="AE7" i="8"/>
  <c r="E6" i="4"/>
  <c r="E7" i="8"/>
  <c r="G23" i="9"/>
  <c r="G25" i="9"/>
  <c r="U6" i="4"/>
  <c r="U7" i="8"/>
  <c r="V7" i="8"/>
  <c r="V6" i="4"/>
  <c r="Z23" i="9"/>
  <c r="Z25" i="9" s="1"/>
  <c r="G7" i="8"/>
  <c r="G6" i="4"/>
  <c r="F7" i="8"/>
  <c r="F6" i="4"/>
  <c r="N6" i="4"/>
  <c r="N7" i="8"/>
  <c r="J23" i="9"/>
  <c r="J25" i="9" s="1"/>
  <c r="Q6" i="4"/>
  <c r="Q7" i="8"/>
  <c r="P23" i="9"/>
  <c r="P25" i="9" s="1"/>
  <c r="O7" i="8"/>
  <c r="O6" i="4"/>
  <c r="M7" i="8"/>
  <c r="M6" i="4"/>
  <c r="U23" i="9"/>
  <c r="U25" i="9"/>
  <c r="E23" i="9"/>
  <c r="E25" i="9" s="1"/>
  <c r="AB23" i="9"/>
  <c r="AB25" i="9" s="1"/>
  <c r="Q23" i="9"/>
  <c r="Q25" i="9" s="1"/>
  <c r="P7" i="8"/>
  <c r="P6" i="4"/>
  <c r="O23" i="9"/>
  <c r="O25" i="9" s="1"/>
  <c r="M23" i="9"/>
  <c r="M25" i="9" s="1"/>
  <c r="Z7" i="8"/>
  <c r="Z6" i="4"/>
  <c r="F23" i="9"/>
  <c r="F25" i="9" s="1"/>
  <c r="I7" i="8"/>
  <c r="I6" i="4"/>
  <c r="J6" i="4"/>
  <c r="J7" i="8"/>
  <c r="AF6" i="4"/>
  <c r="AF7" i="8"/>
  <c r="D6" i="4"/>
  <c r="D7" i="8"/>
  <c r="AA23" i="9"/>
  <c r="AA25" i="9" s="1"/>
  <c r="K23" i="9"/>
  <c r="K25" i="9" s="1"/>
  <c r="X6" i="4"/>
  <c r="X7" i="8"/>
  <c r="R23" i="9"/>
  <c r="R25" i="9" s="1"/>
  <c r="T6" i="4"/>
  <c r="T7" i="8"/>
  <c r="AC7" i="8"/>
  <c r="AC6" i="4"/>
  <c r="I23" i="9"/>
  <c r="I25" i="9"/>
  <c r="S10" i="6"/>
  <c r="T10" i="6"/>
  <c r="P10" i="6"/>
  <c r="AA10" i="6"/>
  <c r="W10" i="6"/>
  <c r="X10" i="6"/>
  <c r="J10" i="6"/>
  <c r="E10" i="6"/>
  <c r="Z10" i="6"/>
  <c r="AD10" i="6"/>
  <c r="H10" i="6"/>
  <c r="I10" i="6"/>
  <c r="U10" i="6"/>
  <c r="K10" i="6"/>
  <c r="C12" i="6"/>
  <c r="D10" i="6"/>
  <c r="AE10" i="6"/>
  <c r="C10" i="6"/>
  <c r="C7" i="8"/>
  <c r="V10" i="6"/>
  <c r="AC10" i="6"/>
  <c r="F10" i="6"/>
  <c r="N10" i="6"/>
  <c r="G10" i="6"/>
  <c r="C6" i="4"/>
  <c r="Y10" i="6"/>
  <c r="R10" i="6"/>
  <c r="L10" i="6"/>
  <c r="M10" i="6"/>
  <c r="O10" i="6"/>
  <c r="AF10" i="6"/>
  <c r="AB10" i="6"/>
  <c r="Q10" i="6"/>
  <c r="AB6" i="4"/>
  <c r="AB7" i="8"/>
  <c r="L23" i="9"/>
  <c r="L25" i="9"/>
  <c r="D23" i="9"/>
  <c r="D25" i="9" s="1"/>
  <c r="L7" i="8"/>
  <c r="L6" i="4"/>
  <c r="W6" i="4"/>
  <c r="W7" i="8"/>
  <c r="AF23" i="9"/>
  <c r="AF25" i="9" s="1"/>
  <c r="AD23" i="9"/>
  <c r="AD25" i="9" s="1"/>
  <c r="W23" i="9"/>
  <c r="W25" i="9" s="1"/>
  <c r="AA6" i="4"/>
  <c r="AA7" i="8"/>
  <c r="H23" i="9"/>
  <c r="H25" i="9" s="1"/>
  <c r="K7" i="8"/>
  <c r="K6" i="4"/>
  <c r="X23" i="9"/>
  <c r="X25" i="9" s="1"/>
  <c r="R7" i="8"/>
  <c r="R6" i="4"/>
  <c r="T23" i="9"/>
  <c r="T25" i="9" s="1"/>
  <c r="N10" i="4" l="1"/>
  <c r="N18" i="6"/>
  <c r="S18" i="6"/>
  <c r="S10" i="4"/>
  <c r="Z18" i="6"/>
  <c r="Z10" i="4"/>
  <c r="AB10" i="4"/>
  <c r="AB18" i="6"/>
  <c r="X18" i="6"/>
  <c r="X10" i="4"/>
  <c r="M18" i="6"/>
  <c r="M10" i="4"/>
  <c r="AD18" i="6"/>
  <c r="AD10" i="4"/>
  <c r="AE10" i="4"/>
  <c r="AE18" i="6"/>
  <c r="W18" i="6"/>
  <c r="W10" i="4"/>
  <c r="D18" i="6"/>
  <c r="D10" i="4"/>
  <c r="K18" i="6"/>
  <c r="K10" i="4"/>
  <c r="H18" i="6"/>
  <c r="H10" i="4"/>
  <c r="L18" i="6"/>
  <c r="L10" i="4"/>
  <c r="AA18" i="6"/>
  <c r="AA10" i="4"/>
  <c r="T10" i="4"/>
  <c r="T18" i="6"/>
  <c r="E18" i="6"/>
  <c r="E10" i="4"/>
  <c r="Y18" i="6"/>
  <c r="Y10" i="4"/>
  <c r="R18" i="6"/>
  <c r="R10" i="4"/>
  <c r="F10" i="4"/>
  <c r="F18" i="6"/>
  <c r="U18" i="6"/>
  <c r="U10" i="4"/>
  <c r="AC18" i="6"/>
  <c r="AC10" i="4"/>
  <c r="C10" i="4"/>
  <c r="C18" i="6"/>
  <c r="C19" i="6" s="1"/>
  <c r="C20" i="6" s="1"/>
  <c r="C23" i="6" s="1"/>
  <c r="AF10" i="4"/>
  <c r="AF18" i="6"/>
  <c r="O18" i="6"/>
  <c r="O10" i="4"/>
  <c r="I10" i="4"/>
  <c r="I18" i="6"/>
  <c r="Q18" i="6"/>
  <c r="Q10" i="4"/>
  <c r="J18" i="6"/>
  <c r="J10" i="4"/>
  <c r="G18" i="6"/>
  <c r="G10" i="4"/>
  <c r="V10" i="4"/>
  <c r="V18" i="6"/>
  <c r="P10" i="4"/>
  <c r="P18" i="6"/>
  <c r="B7" i="5"/>
  <c r="B8" i="5" s="1"/>
  <c r="D7" i="6"/>
  <c r="D12" i="6" s="1"/>
  <c r="B10" i="5" l="1"/>
  <c r="E8" i="7"/>
  <c r="C7" i="5"/>
  <c r="E7" i="6"/>
  <c r="E12" i="6" s="1"/>
  <c r="D19" i="6"/>
  <c r="D20" i="6" s="1"/>
  <c r="E19" i="6" s="1"/>
  <c r="E20" i="6" s="1"/>
  <c r="F19" i="6" s="1"/>
  <c r="F20" i="6" s="1"/>
  <c r="G19" i="6" s="1"/>
  <c r="G20" i="6" s="1"/>
  <c r="H19" i="6" s="1"/>
  <c r="H20" i="6" s="1"/>
  <c r="I19" i="6" s="1"/>
  <c r="I20" i="6" s="1"/>
  <c r="J19" i="6" s="1"/>
  <c r="J20" i="6" s="1"/>
  <c r="K19" i="6" s="1"/>
  <c r="K20" i="6" s="1"/>
  <c r="L19" i="6" s="1"/>
  <c r="L20" i="6" s="1"/>
  <c r="M19" i="6" s="1"/>
  <c r="M20" i="6" s="1"/>
  <c r="N19" i="6" s="1"/>
  <c r="N20" i="6" s="1"/>
  <c r="O19" i="6" s="1"/>
  <c r="O20" i="6" s="1"/>
  <c r="P19" i="6" s="1"/>
  <c r="P20" i="6" s="1"/>
  <c r="Q19" i="6" s="1"/>
  <c r="Q20" i="6" s="1"/>
  <c r="R19" i="6" s="1"/>
  <c r="R20" i="6" s="1"/>
  <c r="S19" i="6" s="1"/>
  <c r="S20" i="6" s="1"/>
  <c r="T19" i="6" s="1"/>
  <c r="T20" i="6" s="1"/>
  <c r="U19" i="6" s="1"/>
  <c r="U20" i="6" s="1"/>
  <c r="V19" i="6" s="1"/>
  <c r="V20" i="6" s="1"/>
  <c r="W19" i="6" s="1"/>
  <c r="W20" i="6" s="1"/>
  <c r="X19" i="6" s="1"/>
  <c r="X20" i="6" s="1"/>
  <c r="Y19" i="6" s="1"/>
  <c r="Y20" i="6" s="1"/>
  <c r="Z19" i="6" s="1"/>
  <c r="Z20" i="6" s="1"/>
  <c r="AA19" i="6" s="1"/>
  <c r="AA20" i="6" s="1"/>
  <c r="AB19" i="6" s="1"/>
  <c r="AB20" i="6" s="1"/>
  <c r="AC19" i="6" s="1"/>
  <c r="AC20" i="6" s="1"/>
  <c r="AD19" i="6" s="1"/>
  <c r="AD20" i="6" s="1"/>
  <c r="AE19" i="6" s="1"/>
  <c r="AE20" i="6" s="1"/>
  <c r="AF19" i="6" s="1"/>
  <c r="AF20" i="6" s="1"/>
  <c r="D7" i="5" l="1"/>
  <c r="F7" i="6"/>
  <c r="F12" i="6" s="1"/>
  <c r="E7" i="5" l="1"/>
  <c r="G7" i="6"/>
  <c r="G12" i="6" s="1"/>
  <c r="H7" i="6" l="1"/>
  <c r="H12" i="6" s="1"/>
  <c r="F7" i="5"/>
  <c r="G7" i="5" l="1"/>
  <c r="I7" i="6"/>
  <c r="I12" i="6" s="1"/>
  <c r="J7" i="6" l="1"/>
  <c r="J12" i="6" s="1"/>
  <c r="H7" i="5"/>
  <c r="I7" i="5" l="1"/>
  <c r="K7" i="6"/>
  <c r="K12" i="6" s="1"/>
  <c r="J7" i="5" l="1"/>
  <c r="L7" i="6"/>
  <c r="L12" i="6" s="1"/>
  <c r="K7" i="5" l="1"/>
  <c r="M7" i="6"/>
  <c r="M12" i="6" s="1"/>
  <c r="N7" i="6" l="1"/>
  <c r="N12" i="6" s="1"/>
  <c r="L7" i="5"/>
  <c r="M7" i="5" l="1"/>
  <c r="O7" i="6"/>
  <c r="O12" i="6" s="1"/>
  <c r="P7" i="6" l="1"/>
  <c r="P12" i="6" s="1"/>
  <c r="N7" i="5"/>
  <c r="O7" i="5" l="1"/>
  <c r="Q7" i="6"/>
  <c r="Q12" i="6" s="1"/>
  <c r="P7" i="5" l="1"/>
  <c r="R7" i="6"/>
  <c r="R12" i="6" s="1"/>
  <c r="Q7" i="5" l="1"/>
  <c r="S7" i="6"/>
  <c r="S12" i="6" s="1"/>
  <c r="T7" i="6" l="1"/>
  <c r="T12" i="6" s="1"/>
  <c r="R7" i="5"/>
  <c r="U7" i="6" l="1"/>
  <c r="U12" i="6" s="1"/>
  <c r="S7" i="5"/>
  <c r="T7" i="5" l="1"/>
  <c r="V7" i="6"/>
  <c r="V12" i="6" s="1"/>
  <c r="U7" i="5" l="1"/>
  <c r="W7" i="6"/>
  <c r="W12" i="6" s="1"/>
  <c r="X7" i="6" l="1"/>
  <c r="X12" i="6" s="1"/>
  <c r="V7" i="5"/>
  <c r="W7" i="5" l="1"/>
  <c r="Y7" i="6"/>
  <c r="Y12" i="6" s="1"/>
  <c r="X7" i="5" l="1"/>
  <c r="Z7" i="6"/>
  <c r="Z12" i="6" s="1"/>
  <c r="AA7" i="6" l="1"/>
  <c r="AA12" i="6" s="1"/>
  <c r="Y7" i="5"/>
  <c r="AB7" i="6" l="1"/>
  <c r="AB12" i="6" s="1"/>
  <c r="Z7" i="5"/>
  <c r="AA7" i="5" l="1"/>
  <c r="AC7" i="6"/>
  <c r="AC12" i="6" s="1"/>
  <c r="AD7" i="6" l="1"/>
  <c r="AD12" i="6" s="1"/>
  <c r="AB7" i="5"/>
  <c r="AC7" i="5" l="1"/>
  <c r="AE7" i="6"/>
  <c r="AE12" i="6" s="1"/>
  <c r="AD7" i="5" l="1"/>
  <c r="AF7" i="6"/>
  <c r="AF12" i="6" s="1"/>
  <c r="AE7" i="5" s="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<sst xmlns="http://schemas.openxmlformats.org/spreadsheetml/2006/main" count="276" uniqueCount="205">
  <si>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</si>
  <si>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</si>
  <si>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</si>
  <si>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</si>
  <si>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</si>
  <si>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</si>
  <si>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</si>
  <si>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</si>
  <si>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</si>
  <si>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</si>
  <si>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</si>
  <si>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</si>
  <si>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</si>
  <si>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</si>
  <si>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</si>
  <si>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</si>
  <si>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</si>
  <si>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</si>
  <si>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</si>
  <si>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</si>
  <si>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</si>
  <si>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</si>
  <si>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</si>
  <si>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</si>
  <si>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</si>
  <si>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</si>
  <si>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</si>
  <si>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</si>
  <si>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</si>
  <si>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</si>
  <si>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</si>
  <si>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</si>
  <si>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</si>
  <si>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</si>
  <si>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</si>
  <si>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</si>
  <si>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</si>
  <si>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</si>
  <si>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</si>
  <si>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</si>
  <si>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</si>
  <si>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</si>
  <si>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</si>
  <si>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</si>
  <si>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</si>
  <si>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</si>
  <si>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</si>
  <si>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</si>
  <si>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</si>
  <si>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</si>
  <si>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</si>
  <si>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</si>
  <si>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</si>
  <si>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</si>
  <si>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</si>
  <si>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</si>
  <si>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</si>
  <si>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</si>
  <si>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</si>
  <si>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</si>
  <si>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</si>
  <si>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</si>
  <si>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</si>
  <si>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</si>
  <si>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</si>
  <si>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</si>
  <si>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</si>
  <si>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</si>
  <si>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</si>
  <si>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</si>
  <si>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</si>
  <si>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</si>
  <si>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</si>
  <si>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</si>
  <si>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</si>
  <si>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</si>
  <si>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</si>
  <si>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</si>
  <si>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</si>
  <si>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</si>
  <si>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</si>
  <si>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</si>
  <si>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</si>
  <si>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</si>
  <si>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</si>
  <si>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</si>
  <si>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</si>
  <si>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</si>
  <si>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</si>
  <si>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</si>
  <si>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</si>
  <si>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</si>
  <si>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</si>
  <si>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</si>
  <si>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</si>
  <si>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</si>
  <si>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</si>
  <si>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</si>
  <si>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</si>
  <si>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</si>
  <si>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</si>
  <si>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</si>
  <si>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</si>
  <si>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</si>
  <si>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</si>
  <si>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</si>
  <si>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</si>
  <si>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</si>
  <si>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</si>
  <si>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</si>
  <si>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</si>
  <si>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</si>
  <si>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</si>
  <si>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</si>
  <si>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</si>
  <si>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</si>
  <si>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</si>
  <si>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</si>
  <si>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</si>
  <si>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</si>
  <si>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</si>
  <si>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</si>
  <si>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</si>
  <si>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</si>
  <si>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</si>
  <si>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</si>
  <si>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</si>
  <si>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</si>
  <si>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</si>
  <si>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</si>
  <si>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</si>
  <si>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</si>
  <si>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</si>
  <si>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A1; Line A1.47</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</si>
  <si>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</si>
  <si>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</si>
  <si>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</si>
  <si>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</si>
  <si>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</si>
  <si>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</si>
  <si>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</si>
  <si>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</si>
  <si>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</si>
  <si>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</si>
  <si>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</si>
  <si>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</si>
  <si>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</si>
  <si>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</si>
  <si>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</si>
  <si>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</si>
  <si>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</si>
  <si>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</si>
  <si>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</si>
  <si>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</si>
  <si>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</si>
  <si>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</si>
  <si>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</si>
  <si>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</si>
  <si>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</si>
  <si>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</si>
  <si>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</si>
  <si>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</si>
  <si>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</si>
  <si>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</si>
  <si>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</si>
  <si>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</si>
  <si>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</si>
  <si>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</si>
  <si>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</si>
  <si>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</si>
  <si>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</si>
  <si>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</si>
  <si>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</si>
  <si>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</si>
  <si>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</si>
  <si>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</si>
  <si>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</si>
  <si>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</si>
  <si>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</si>
  <si>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</si>
  <si>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</si>
  <si>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</si>
  <si>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</si>
  <si>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</si>
  <si>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</si>
  <si>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</si>
  <si>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</si>
  <si>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</si>
  <si>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</si>
  <si>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</si>
  <si>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</si>
  <si>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</si>
  <si>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</si>
  <si>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</si>
  <si>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</si>
  <si>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</si>
  <si>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</si>
  <si>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Thames-Coromandel Stand-alone Council</t>
  </si>
  <si>
    <t>RFI Table A1; Line A1.43</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</si>
  <si>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</si>
  <si>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</si>
  <si>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</si>
  <si>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</si>
  <si>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</si>
  <si>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RFI Table E1, E2 and E2b; Lines E1.22 + E2.21 + E2b.21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</si>
</sst>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5">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0" fillId="0" borderId="0" xfId="0" applyAlignment="1">
      <alignment horizontal="right"/>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18" fillId="0" borderId="0" xfId="0" applyFont="1" applyAlignment="1">
      <alignment horizontal="left" vertical="center" wrapText="1"/>
    </xf>
    <xf numFmtId="166" fontId="10" fillId="0" borderId="0" xfId="0" applyNumberFormat="1" applyFont="1" applyFill="1" applyAlignment="1">
      <alignment vertical="top" wrapText="1"/>
    </xf>
    <xf numFmtId="0" fontId="0" fillId="0" borderId="11" xfId="0" applyBorder="1" applyAlignment="1">
      <alignment vertical="top"/>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10.25" style="63"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197</v>
      </c>
      <c r="C2" s="171"/>
      <c r="D2" s="60"/>
      <c r="E2" s="14"/>
      <c r="F2" s="60"/>
    </row>
    <row r="3" spans="1:6" x14ac:dyDescent="0.35">
      <c r="C3" s="14"/>
      <c r="D3" s="14"/>
    </row>
    <row r="4" spans="1:6" x14ac:dyDescent="0.35">
      <c r="A4" s="14" t="s">
        <v>159</v>
      </c>
      <c r="B4" s="14"/>
      <c r="D4" s="14"/>
    </row>
    <row r="6" spans="1:6" ht="21" x14ac:dyDescent="0.5">
      <c r="A6" s="15" t="s">
        <v>168</v>
      </c>
    </row>
    <row r="7" spans="1:6" ht="241" customHeight="1" x14ac:dyDescent="0.35">
      <c r="A7" s="107">
        <v>1</v>
      </c>
      <c r="B7" s="104" t="s">
        <v>169</v>
      </c>
    </row>
    <row r="8" spans="1:6" ht="408" customHeight="1" x14ac:dyDescent="0.35">
      <c r="A8" s="107">
        <v>2</v>
      </c>
      <c r="B8" s="104" t="s">
        <v>190</v>
      </c>
    </row>
    <row r="9" spans="1:6" ht="195.5" customHeight="1" x14ac:dyDescent="0.35">
      <c r="A9" s="107">
        <f>A8+1</f>
        <v>3</v>
      </c>
      <c r="B9" s="105" t="s">
        <v>173</v>
      </c>
    </row>
    <row r="10" spans="1:6" ht="236" customHeight="1" x14ac:dyDescent="0.35">
      <c r="A10" s="107">
        <v>4</v>
      </c>
      <c r="B10" s="105" t="s">
        <v>174</v>
      </c>
    </row>
    <row r="11" spans="1:6" ht="21" x14ac:dyDescent="0.35">
      <c r="A11" s="107">
        <f>A10+1</f>
        <v>5</v>
      </c>
      <c r="B11" s="63" t="s">
        <v>188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165</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191</v>
      </c>
      <c r="B6" s="1">
        <f>Assumptions!C17</f>
        <v>684380000</v>
      </c>
      <c r="C6" s="12">
        <f ca="1">B6+Depreciation!C18+'Cash Flow'!C13</f>
        <v>700668419.75039268</v>
      </c>
      <c r="D6" s="1">
        <f ca="1">C6+Depreciation!D18</f>
        <v>738247194.1212399</v>
      </c>
      <c r="E6" s="1">
        <f ca="1">D6+Depreciation!E18</f>
        <v>777674427.4534142</v>
      </c>
      <c r="F6" s="1">
        <f ca="1">E6+Depreciation!F18</f>
        <v>819029940.45548499</v>
      </c>
      <c r="G6" s="1">
        <f ca="1">F6+Depreciation!G18</f>
        <v>862396769.53939331</v>
      </c>
      <c r="H6" s="1">
        <f ca="1">G6+Depreciation!H18</f>
        <v>907861290.88906276</v>
      </c>
      <c r="I6" s="1">
        <f ca="1">H6+Depreciation!I18</f>
        <v>955513349.17651999</v>
      </c>
      <c r="J6" s="1">
        <f ca="1">I6+Depreciation!J18</f>
        <v>1005446391.0959215</v>
      </c>
      <c r="K6" s="1">
        <f ca="1">J6+Depreciation!K18</f>
        <v>1057757603.8920254</v>
      </c>
      <c r="L6" s="1">
        <f ca="1">K6+Depreciation!L18</f>
        <v>1112548059.066015</v>
      </c>
      <c r="M6" s="1">
        <f ca="1">L6+Depreciation!M18</f>
        <v>1169922861.4481719</v>
      </c>
      <c r="N6" s="1">
        <f ca="1">M6+Depreciation!N18</f>
        <v>1229991303.8337204</v>
      </c>
      <c r="O6" s="1">
        <f ca="1">N6+Depreciation!O18</f>
        <v>1292867027.3852386</v>
      </c>
      <c r="P6" s="1">
        <f ca="1">O6+Depreciation!P18</f>
        <v>1358668188.0123456</v>
      </c>
      <c r="Q6" s="1">
        <f ca="1">P6+Depreciation!Q18</f>
        <v>1427517628.9469624</v>
      </c>
      <c r="R6" s="1">
        <f ca="1">Q6+Depreciation!R18</f>
        <v>1499543059.7402873</v>
      </c>
      <c r="S6" s="1">
        <f ca="1">R6+Depreciation!S18</f>
        <v>1574877241.9157608</v>
      </c>
      <c r="T6" s="1">
        <f ca="1">S6+Depreciation!T18</f>
        <v>1653658181.5207076</v>
      </c>
      <c r="U6" s="1">
        <f ca="1">T6+Depreciation!U18</f>
        <v>1736029328.8280668</v>
      </c>
      <c r="V6" s="1">
        <f ca="1">U6+Depreciation!V18</f>
        <v>1822139785.4486372</v>
      </c>
      <c r="W6" s="1">
        <f ca="1">V6+Depreciation!W18</f>
        <v>1912144519.1236215</v>
      </c>
      <c r="X6" s="1">
        <f ca="1">W6+Depreciation!X18</f>
        <v>2006204586.4769228</v>
      </c>
      <c r="Y6" s="1">
        <f ca="1">X6+Depreciation!Y18</f>
        <v>2104487364.01667</v>
      </c>
      <c r="Z6" s="1">
        <f ca="1">Y6+Depreciation!Z18</f>
        <v>2207166787.6858258</v>
      </c>
      <c r="AA6" s="1">
        <f ca="1">Z6+Depreciation!AA18</f>
        <v>2314423601.2724724</v>
      </c>
      <c r="AB6" s="1">
        <f ca="1">AA6+Depreciation!AB18</f>
        <v>2426445614.0014911</v>
      </c>
      <c r="AC6" s="1">
        <f ca="1">AB6+Depreciation!AC18</f>
        <v>2543427967.6408815</v>
      </c>
      <c r="AD6" s="1">
        <f ca="1">AC6+Depreciation!AD18</f>
        <v>2665573413.4678726</v>
      </c>
      <c r="AE6" s="1">
        <f ca="1">AD6+Depreciation!AE18</f>
        <v>2793092599.4523444</v>
      </c>
      <c r="AF6" s="1"/>
      <c r="AG6" s="1"/>
      <c r="AH6" s="1"/>
      <c r="AI6" s="1"/>
      <c r="AJ6" s="1"/>
      <c r="AK6" s="1"/>
      <c r="AL6" s="1"/>
      <c r="AM6" s="1"/>
      <c r="AN6" s="1"/>
      <c r="AO6" s="1"/>
      <c r="AP6" s="1"/>
    </row>
    <row r="7" spans="1:42" x14ac:dyDescent="0.35">
      <c r="A7" t="s">
        <v>12</v>
      </c>
      <c r="B7" s="1">
        <f>Depreciation!C12</f>
        <v>352726162.63585109</v>
      </c>
      <c r="C7" s="1">
        <f>Depreciation!D12</f>
        <v>364225391.56661147</v>
      </c>
      <c r="D7" s="1">
        <f>Depreciation!E12</f>
        <v>376738534.00461626</v>
      </c>
      <c r="E7" s="1">
        <f>Depreciation!F12</f>
        <v>390318705.20390397</v>
      </c>
      <c r="F7" s="1">
        <f>Depreciation!G12</f>
        <v>405021381.54734027</v>
      </c>
      <c r="G7" s="1">
        <f>Depreciation!H12</f>
        <v>420904497.26884252</v>
      </c>
      <c r="H7" s="1">
        <f>Depreciation!I12</f>
        <v>438028544.94803131</v>
      </c>
      <c r="I7" s="1">
        <f>Depreciation!J12</f>
        <v>456456679.91969973</v>
      </c>
      <c r="J7" s="1">
        <f>Depreciation!K12</f>
        <v>476254828.74574298</v>
      </c>
      <c r="K7" s="1">
        <f>Depreciation!L12</f>
        <v>497491801.90263009</v>
      </c>
      <c r="L7" s="1">
        <f>Depreciation!M12</f>
        <v>520239410.84313715</v>
      </c>
      <c r="M7" s="1">
        <f>Depreciation!N12</f>
        <v>544572589.5969032</v>
      </c>
      <c r="N7" s="1">
        <f>Depreciation!O12</f>
        <v>570569521.08042181</v>
      </c>
      <c r="O7" s="1">
        <f>Depreciation!P12</f>
        <v>598311768.2933532</v>
      </c>
      <c r="P7" s="1">
        <f>Depreciation!Q12</f>
        <v>627884410.58454061</v>
      </c>
      <c r="Q7" s="1">
        <f>Depreciation!R12</f>
        <v>659376185.17784655</v>
      </c>
      <c r="R7" s="1">
        <f>Depreciation!S12</f>
        <v>692879634.15490031</v>
      </c>
      <c r="S7" s="1">
        <f>Depreciation!T12</f>
        <v>728491257.0990783</v>
      </c>
      <c r="T7" s="1">
        <f>Depreciation!U12</f>
        <v>766311669.61252379</v>
      </c>
      <c r="U7" s="1">
        <f>Depreciation!V12</f>
        <v>806445767.92577529</v>
      </c>
      <c r="V7" s="1">
        <f>Depreciation!W12</f>
        <v>849002899.82760656</v>
      </c>
      <c r="W7" s="1">
        <f>Depreciation!X12</f>
        <v>894097042.15101385</v>
      </c>
      <c r="X7" s="1">
        <f>Depreciation!Y12</f>
        <v>941846985.05991054</v>
      </c>
      <c r="Y7" s="1">
        <f>Depreciation!Z12</f>
        <v>992376523.39002895</v>
      </c>
      <c r="Z7" s="1">
        <f>Depreciation!AA12</f>
        <v>1045814655.3067883</v>
      </c>
      <c r="AA7" s="1">
        <f>Depreciation!AB12</f>
        <v>1102295788.5524838</v>
      </c>
      <c r="AB7" s="1">
        <f>Depreciation!AC12</f>
        <v>1161959954.5650845</v>
      </c>
      <c r="AC7" s="1">
        <f>Depreciation!AD12</f>
        <v>1224953030.7612288</v>
      </c>
      <c r="AD7" s="1">
        <f>Depreciation!AE12</f>
        <v>1291426971.2866666</v>
      </c>
      <c r="AE7" s="1">
        <f>Depreciation!AF12</f>
        <v>1361540046.5484476</v>
      </c>
      <c r="AF7" s="1"/>
      <c r="AG7" s="1"/>
      <c r="AH7" s="1"/>
      <c r="AI7" s="1"/>
      <c r="AJ7" s="1"/>
      <c r="AK7" s="1"/>
      <c r="AL7" s="1"/>
      <c r="AM7" s="1"/>
      <c r="AN7" s="1"/>
      <c r="AO7" s="1"/>
      <c r="AP7" s="1"/>
    </row>
    <row r="8" spans="1:42" x14ac:dyDescent="0.35">
      <c r="A8" t="s">
        <v>192</v>
      </c>
      <c r="B8" s="1">
        <f t="shared" ref="B8:AE8" si="1">B6-B7</f>
        <v>331653837.36414891</v>
      </c>
      <c r="C8" s="1">
        <f t="shared" ca="1" si="1"/>
        <v>336443028.18378121</v>
      </c>
      <c r="D8" s="1">
        <f ca="1">D6-D7</f>
        <v>361508660.11662364</v>
      </c>
      <c r="E8" s="1">
        <f t="shared" ca="1" si="1"/>
        <v>387355722.24951023</v>
      </c>
      <c r="F8" s="1">
        <f t="shared" ca="1" si="1"/>
        <v>414008558.90814471</v>
      </c>
      <c r="G8" s="1">
        <f t="shared" ca="1" si="1"/>
        <v>441492272.27055079</v>
      </c>
      <c r="H8" s="1">
        <f t="shared" ca="1" si="1"/>
        <v>469832745.94103146</v>
      </c>
      <c r="I8" s="1">
        <f t="shared" ca="1" si="1"/>
        <v>499056669.25682026</v>
      </c>
      <c r="J8" s="1">
        <f t="shared" ca="1" si="1"/>
        <v>529191562.35017854</v>
      </c>
      <c r="K8" s="1">
        <f t="shared" ca="1" si="1"/>
        <v>560265801.98939526</v>
      </c>
      <c r="L8" s="1">
        <f t="shared" ca="1" si="1"/>
        <v>592308648.22287786</v>
      </c>
      <c r="M8" s="1">
        <f t="shared" ca="1" si="1"/>
        <v>625350271.85126865</v>
      </c>
      <c r="N8" s="1">
        <f t="shared" ca="1" si="1"/>
        <v>659421782.75329864</v>
      </c>
      <c r="O8" s="1">
        <f t="shared" ca="1" si="1"/>
        <v>694555259.09188545</v>
      </c>
      <c r="P8" s="1">
        <f t="shared" ca="1" si="1"/>
        <v>730783777.42780495</v>
      </c>
      <c r="Q8" s="1">
        <f t="shared" ca="1" si="1"/>
        <v>768141443.76911581</v>
      </c>
      <c r="R8" s="1">
        <f t="shared" ca="1" si="1"/>
        <v>806663425.58538699</v>
      </c>
      <c r="S8" s="1">
        <f t="shared" ca="1" si="1"/>
        <v>846385984.81668246</v>
      </c>
      <c r="T8" s="1">
        <f t="shared" ca="1" si="1"/>
        <v>887346511.90818381</v>
      </c>
      <c r="U8" s="1">
        <f t="shared" ca="1" si="1"/>
        <v>929583560.90229154</v>
      </c>
      <c r="V8" s="1">
        <f t="shared" ca="1" si="1"/>
        <v>973136885.62103069</v>
      </c>
      <c r="W8" s="1">
        <f t="shared" ca="1" si="1"/>
        <v>1018047476.9726076</v>
      </c>
      <c r="X8" s="1">
        <f t="shared" ca="1" si="1"/>
        <v>1064357601.4170122</v>
      </c>
      <c r="Y8" s="1">
        <f t="shared" ca="1" si="1"/>
        <v>1112110840.626641</v>
      </c>
      <c r="Z8" s="1">
        <f t="shared" ca="1" si="1"/>
        <v>1161352132.3790374</v>
      </c>
      <c r="AA8" s="1">
        <f t="shared" ca="1" si="1"/>
        <v>1212127812.7199886</v>
      </c>
      <c r="AB8" s="1">
        <f t="shared" ca="1" si="1"/>
        <v>1264485659.4364066</v>
      </c>
      <c r="AC8" s="1">
        <f t="shared" ca="1" si="1"/>
        <v>1318474936.8796527</v>
      </c>
      <c r="AD8" s="1">
        <f t="shared" ca="1" si="1"/>
        <v>1374146442.181206</v>
      </c>
      <c r="AE8" s="1">
        <f t="shared" ca="1" si="1"/>
        <v>1431552552.9038968</v>
      </c>
      <c r="AF8" s="1"/>
      <c r="AG8" s="1"/>
      <c r="AH8" s="1"/>
      <c r="AI8" s="1"/>
      <c r="AJ8" s="1"/>
      <c r="AK8" s="1"/>
      <c r="AL8" s="1"/>
      <c r="AM8" s="1"/>
      <c r="AN8" s="1"/>
      <c r="AO8" s="1"/>
      <c r="AP8" s="1"/>
    </row>
    <row r="10" spans="1:42" x14ac:dyDescent="0.35">
      <c r="A10" t="s">
        <v>17</v>
      </c>
      <c r="B10" s="1">
        <f>B8-B11</f>
        <v>248158837.36414891</v>
      </c>
      <c r="C10" s="1">
        <f ca="1">C8-C11</f>
        <v>233429407.93389764</v>
      </c>
      <c r="D10" s="1">
        <f ca="1">D8-D11</f>
        <v>240937215.42346185</v>
      </c>
      <c r="E10" s="1">
        <f t="shared" ref="E10:AE10" ca="1" si="2">E8-E11</f>
        <v>252068661.54132158</v>
      </c>
      <c r="F10" s="1">
        <f t="shared" ca="1" si="2"/>
        <v>265871343.53055978</v>
      </c>
      <c r="G10" s="1">
        <f ca="1">G8-G11</f>
        <v>282427489.11021709</v>
      </c>
      <c r="H10" s="1">
        <f t="shared" ca="1" si="2"/>
        <v>299813351.4699477</v>
      </c>
      <c r="I10" s="1">
        <f t="shared" ca="1" si="2"/>
        <v>318181366.61795425</v>
      </c>
      <c r="J10" s="1">
        <f t="shared" ca="1" si="2"/>
        <v>337702904.20712113</v>
      </c>
      <c r="K10" s="1">
        <f t="shared" ca="1" si="2"/>
        <v>357799799.84405112</v>
      </c>
      <c r="L10" s="1">
        <f t="shared" ca="1" si="2"/>
        <v>378561610.05754429</v>
      </c>
      <c r="M10" s="1">
        <f t="shared" ca="1" si="2"/>
        <v>400088909.16635799</v>
      </c>
      <c r="N10" s="1">
        <f t="shared" ca="1" si="2"/>
        <v>422494291.91708642</v>
      </c>
      <c r="O10" s="1">
        <f t="shared" ca="1" si="2"/>
        <v>445903453.17955613</v>
      </c>
      <c r="P10" s="1">
        <f t="shared" ca="1" si="2"/>
        <v>469945624.09394586</v>
      </c>
      <c r="Q10" s="1">
        <f t="shared" ca="1" si="2"/>
        <v>494701031.25056624</v>
      </c>
      <c r="R10" s="1">
        <f t="shared" ca="1" si="2"/>
        <v>520259301.61773503</v>
      </c>
      <c r="S10" s="1">
        <f t="shared" ca="1" si="2"/>
        <v>546124001.53781295</v>
      </c>
      <c r="T10" s="1">
        <f t="shared" ca="1" si="2"/>
        <v>572324310.53886867</v>
      </c>
      <c r="U10" s="1">
        <f t="shared" ca="1" si="2"/>
        <v>598893945.96243417</v>
      </c>
      <c r="V10" s="1">
        <f t="shared" ca="1" si="2"/>
        <v>625871601.98726177</v>
      </c>
      <c r="W10" s="1">
        <f t="shared" ca="1" si="2"/>
        <v>653301421.78184628</v>
      </c>
      <c r="X10" s="1">
        <f t="shared" ca="1" si="2"/>
        <v>681233504.95913243</v>
      </c>
      <c r="Y10" s="1">
        <f t="shared" ca="1" si="2"/>
        <v>709724452.63751614</v>
      </c>
      <c r="Z10" s="1">
        <f t="shared" ca="1" si="2"/>
        <v>738837952.55034506</v>
      </c>
      <c r="AA10" s="1">
        <f t="shared" ca="1" si="2"/>
        <v>768645406.79204035</v>
      </c>
      <c r="AB10" s="1">
        <f t="shared" ca="1" si="2"/>
        <v>799226604.94310856</v>
      </c>
      <c r="AC10" s="1">
        <f t="shared" ca="1" si="2"/>
        <v>830670445.47917867</v>
      </c>
      <c r="AD10" s="1">
        <f t="shared" ca="1" si="2"/>
        <v>863075708.54117882</v>
      </c>
      <c r="AE10" s="1">
        <f t="shared" ca="1" si="2"/>
        <v>895506486.86059487</v>
      </c>
      <c r="AF10" s="1"/>
      <c r="AG10" s="1"/>
      <c r="AH10" s="1"/>
      <c r="AI10" s="1"/>
      <c r="AJ10" s="1"/>
      <c r="AK10" s="1"/>
      <c r="AL10" s="1"/>
      <c r="AM10" s="1"/>
      <c r="AN10" s="1"/>
      <c r="AO10" s="1"/>
    </row>
    <row r="11" spans="1:42" x14ac:dyDescent="0.35">
      <c r="A11" t="s">
        <v>9</v>
      </c>
      <c r="B11" s="1">
        <f>Assumptions!$C$20</f>
        <v>83495000</v>
      </c>
      <c r="C11" s="1">
        <f ca="1">'Debt worksheet'!D5</f>
        <v>103013620.24988356</v>
      </c>
      <c r="D11" s="1">
        <f ca="1">'Debt worksheet'!E5</f>
        <v>120571444.6931618</v>
      </c>
      <c r="E11" s="1">
        <f ca="1">'Debt worksheet'!F5</f>
        <v>135287060.70818865</v>
      </c>
      <c r="F11" s="1">
        <f ca="1">'Debt worksheet'!G5</f>
        <v>148137215.37758493</v>
      </c>
      <c r="G11" s="1">
        <f ca="1">'Debt worksheet'!H5</f>
        <v>159064783.16033372</v>
      </c>
      <c r="H11" s="1">
        <f ca="1">'Debt worksheet'!I5</f>
        <v>170019394.47108379</v>
      </c>
      <c r="I11" s="1">
        <f ca="1">'Debt worksheet'!J5</f>
        <v>180875302.63886604</v>
      </c>
      <c r="J11" s="1">
        <f ca="1">'Debt worksheet'!K5</f>
        <v>191488658.14305744</v>
      </c>
      <c r="K11" s="1">
        <f ca="1">'Debt worksheet'!L5</f>
        <v>202466002.14534414</v>
      </c>
      <c r="L11" s="1">
        <f ca="1">'Debt worksheet'!M5</f>
        <v>213747038.16533357</v>
      </c>
      <c r="M11" s="1">
        <f ca="1">'Debt worksheet'!N5</f>
        <v>225261362.68491066</v>
      </c>
      <c r="N11" s="1">
        <f ca="1">'Debt worksheet'!O5</f>
        <v>236927490.83621222</v>
      </c>
      <c r="O11" s="1">
        <f ca="1">'Debt worksheet'!P5</f>
        <v>248651805.91232929</v>
      </c>
      <c r="P11" s="1">
        <f ca="1">'Debt worksheet'!Q5</f>
        <v>260838153.33385909</v>
      </c>
      <c r="Q11" s="1">
        <f ca="1">'Debt worksheet'!R5</f>
        <v>273440412.51854956</v>
      </c>
      <c r="R11" s="1">
        <f ca="1">'Debt worksheet'!S5</f>
        <v>286404123.96765196</v>
      </c>
      <c r="S11" s="1">
        <f ca="1">'Debt worksheet'!T5</f>
        <v>300261983.27886957</v>
      </c>
      <c r="T11" s="1">
        <f ca="1">'Debt worksheet'!U5</f>
        <v>315022201.36931509</v>
      </c>
      <c r="U11" s="1">
        <f ca="1">'Debt worksheet'!V5</f>
        <v>330689614.93985736</v>
      </c>
      <c r="V11" s="1">
        <f ca="1">'Debt worksheet'!W5</f>
        <v>347265283.63376892</v>
      </c>
      <c r="W11" s="1">
        <f ca="1">'Debt worksheet'!X5</f>
        <v>364746055.19076139</v>
      </c>
      <c r="X11" s="1">
        <f ca="1">'Debt worksheet'!Y5</f>
        <v>383124096.45787972</v>
      </c>
      <c r="Y11" s="1">
        <f ca="1">'Debt worksheet'!Z5</f>
        <v>402386387.98912489</v>
      </c>
      <c r="Z11" s="1">
        <f ca="1">'Debt worksheet'!AA5</f>
        <v>422514179.82869232</v>
      </c>
      <c r="AA11" s="1">
        <f ca="1">'Debt worksheet'!AB5</f>
        <v>443482405.9279483</v>
      </c>
      <c r="AB11" s="1">
        <f ca="1">'Debt worksheet'!AC5</f>
        <v>465259054.49329805</v>
      </c>
      <c r="AC11" s="1">
        <f ca="1">'Debt worksheet'!AD5</f>
        <v>487804491.40047407</v>
      </c>
      <c r="AD11" s="1">
        <f ca="1">'Debt worksheet'!AE5</f>
        <v>511070733.64002717</v>
      </c>
      <c r="AE11" s="1">
        <f ca="1">'Debt worksheet'!AF5</f>
        <v>536046066.04330194</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166</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5752257.1145416144</v>
      </c>
      <c r="D5" s="4">
        <f ca="1">'Profit and Loss'!D9</f>
        <v>8521720.9968085457</v>
      </c>
      <c r="E5" s="4">
        <f ca="1">'Profit and Loss'!E9</f>
        <v>12198474.879142724</v>
      </c>
      <c r="F5" s="4">
        <f ca="1">'Profit and Loss'!F9</f>
        <v>14925187.133386701</v>
      </c>
      <c r="G5" s="4">
        <f ca="1">'Profit and Loss'!G9</f>
        <v>17736584.95772326</v>
      </c>
      <c r="H5" s="4">
        <f ca="1">'Profit and Loss'!H9</f>
        <v>18626794.317417078</v>
      </c>
      <c r="I5" s="4">
        <f ca="1">'Profit and Loss'!I9</f>
        <v>19672102.44048626</v>
      </c>
      <c r="J5" s="4">
        <f ca="1">'Profit and Loss'!J9</f>
        <v>20891551.443541702</v>
      </c>
      <c r="K5" s="4">
        <f ca="1">'Profit and Loss'!K9</f>
        <v>21535719.967773825</v>
      </c>
      <c r="L5" s="4">
        <f ca="1">'Profit and Loss'!L9</f>
        <v>22272445.997113056</v>
      </c>
      <c r="M5" s="4">
        <f ca="1">'Profit and Loss'!M9</f>
        <v>23112868.922072671</v>
      </c>
      <c r="N5" s="4">
        <f ca="1">'Profit and Loss'!N9</f>
        <v>24069135.480480991</v>
      </c>
      <c r="O5" s="4">
        <f ca="1">'Profit and Loss'!O9</f>
        <v>25154476.99188254</v>
      </c>
      <c r="P5" s="4">
        <f ca="1">'Profit and Loss'!P9</f>
        <v>25872565.992645778</v>
      </c>
      <c r="Q5" s="4">
        <f ca="1">'Profit and Loss'!Q9</f>
        <v>26674539.458738744</v>
      </c>
      <c r="R5" s="4">
        <f ca="1">'Profit and Loss'!R9</f>
        <v>27569944.750916518</v>
      </c>
      <c r="S5" s="4">
        <f ca="1">'Profit and Loss'!S9</f>
        <v>27972873.887201928</v>
      </c>
      <c r="T5" s="4">
        <f ca="1">'Profit and Loss'!T9</f>
        <v>28409098.57032346</v>
      </c>
      <c r="U5" s="4">
        <f ca="1">'Profit and Loss'!U9</f>
        <v>28883321.223371327</v>
      </c>
      <c r="V5" s="4">
        <f ca="1">'Profit and Loss'!V9</f>
        <v>29400689.613407254</v>
      </c>
      <c r="W5" s="4">
        <f ca="1">'Profit and Loss'!W9</f>
        <v>29966830.216160573</v>
      </c>
      <c r="X5" s="4">
        <f ca="1">'Profit and Loss'!X9</f>
        <v>30587883.762775604</v>
      </c>
      <c r="Y5" s="4">
        <f ca="1">'Profit and Loss'!Y9</f>
        <v>31270543.099605314</v>
      </c>
      <c r="Z5" s="4">
        <f ca="1">'Profit and Loss'!Z9</f>
        <v>32022093.499470323</v>
      </c>
      <c r="AA5" s="4">
        <f ca="1">'Profit and Loss'!AA9</f>
        <v>32850455.570630986</v>
      </c>
      <c r="AB5" s="4">
        <f ca="1">'Profit and Loss'!AB9</f>
        <v>33764230.917973541</v>
      </c>
      <c r="AC5" s="4">
        <f ca="1">'Profit and Loss'!AC9</f>
        <v>34772750.719613612</v>
      </c>
      <c r="AD5" s="4">
        <f ca="1">'Profit and Loss'!AD9</f>
        <v>35886127.391293816</v>
      </c>
      <c r="AE5" s="4">
        <f ca="1">'Profit and Loss'!AE9</f>
        <v>36069913.055759244</v>
      </c>
      <c r="AF5" s="4">
        <f ca="1">'Profit and Loss'!AF9</f>
        <v>36248604.900468156</v>
      </c>
      <c r="AG5" s="4"/>
      <c r="AH5" s="4"/>
      <c r="AI5" s="4"/>
      <c r="AJ5" s="4"/>
      <c r="AK5" s="4"/>
      <c r="AL5" s="4"/>
      <c r="AM5" s="4"/>
      <c r="AN5" s="4"/>
      <c r="AO5" s="4"/>
      <c r="AP5" s="4"/>
    </row>
    <row r="6" spans="1:42" x14ac:dyDescent="0.35">
      <c r="A6" t="s">
        <v>21</v>
      </c>
      <c r="C6" s="4">
        <f>Depreciation!C8+Depreciation!C9</f>
        <v>10536162.635851078</v>
      </c>
      <c r="D6" s="4">
        <f>Depreciation!D8+Depreciation!D9</f>
        <v>11499228.930760395</v>
      </c>
      <c r="E6" s="4">
        <f>Depreciation!E8+Depreciation!E9</f>
        <v>12513142.438004795</v>
      </c>
      <c r="F6" s="4">
        <f>Depreciation!F8+Depreciation!F9</f>
        <v>13580171.199287742</v>
      </c>
      <c r="G6" s="4">
        <f>Depreciation!G8+Depreciation!G9</f>
        <v>14702676.34343628</v>
      </c>
      <c r="H6" s="4">
        <f>Depreciation!H8+Depreciation!H9</f>
        <v>15883115.721502252</v>
      </c>
      <c r="I6" s="4">
        <f>Depreciation!I8+Depreciation!I9</f>
        <v>17124047.679188766</v>
      </c>
      <c r="J6" s="4">
        <f>Depreciation!J8+Depreciation!J9</f>
        <v>18428134.9716684</v>
      </c>
      <c r="K6" s="4">
        <f>Depreciation!K8+Depreciation!K9</f>
        <v>19798148.826043244</v>
      </c>
      <c r="L6" s="4">
        <f>Depreciation!L8+Depreciation!L9</f>
        <v>21236973.156887084</v>
      </c>
      <c r="M6" s="4">
        <f>Depreciation!M8+Depreciation!M9</f>
        <v>22747608.940507069</v>
      </c>
      <c r="N6" s="4">
        <f>Depreciation!N8+Depreciation!N9</f>
        <v>24333178.753766075</v>
      </c>
      <c r="O6" s="4">
        <f>Depreciation!O8+Depreciation!O9</f>
        <v>25996931.483518586</v>
      </c>
      <c r="P6" s="4">
        <f>Depreciation!P8+Depreciation!P9</f>
        <v>27742247.212931387</v>
      </c>
      <c r="Q6" s="4">
        <f>Depreciation!Q8+Depreciation!Q9</f>
        <v>29572642.291187488</v>
      </c>
      <c r="R6" s="4">
        <f>Depreciation!R8+Depreciation!R9</f>
        <v>31491774.593305945</v>
      </c>
      <c r="S6" s="4">
        <f>Depreciation!S8+Depreciation!S9</f>
        <v>33503448.97705381</v>
      </c>
      <c r="T6" s="4">
        <f>Depreciation!T8+Depreciation!T9</f>
        <v>35611622.944177985</v>
      </c>
      <c r="U6" s="4">
        <f>Depreciation!U8+Depreciation!U9</f>
        <v>37820412.513445601</v>
      </c>
      <c r="V6" s="4">
        <f>Depreciation!V8+Depreciation!V9</f>
        <v>40134098.31325151</v>
      </c>
      <c r="W6" s="4">
        <f>Depreciation!W8+Depreciation!W9</f>
        <v>42557131.901831239</v>
      </c>
      <c r="X6" s="4">
        <f>Depreciation!X8+Depreciation!X9</f>
        <v>45094142.323407292</v>
      </c>
      <c r="Y6" s="4">
        <f>Depreciation!Y8+Depreciation!Y9</f>
        <v>47749942.908896729</v>
      </c>
      <c r="Z6" s="4">
        <f>Depreciation!Z8+Depreciation!Z9</f>
        <v>50529538.330118328</v>
      </c>
      <c r="AA6" s="4">
        <f>Depreciation!AA8+Depreciation!AA9</f>
        <v>53438131.916759416</v>
      </c>
      <c r="AB6" s="4">
        <f>Depreciation!AB8+Depreciation!AB9</f>
        <v>56481133.245695472</v>
      </c>
      <c r="AC6" s="4">
        <f>Depreciation!AC8+Depreciation!AC9</f>
        <v>59664166.012600668</v>
      </c>
      <c r="AD6" s="4">
        <f>Depreciation!AD8+Depreciation!AD9</f>
        <v>62993076.196144223</v>
      </c>
      <c r="AE6" s="4">
        <f>Depreciation!AE8+Depreciation!AE9</f>
        <v>66473940.525437661</v>
      </c>
      <c r="AF6" s="4">
        <f>Depreciation!AF8+Depreciation!AF9</f>
        <v>70113075.261781007</v>
      </c>
      <c r="AG6" s="4"/>
      <c r="AH6" s="4"/>
      <c r="AI6" s="4"/>
      <c r="AJ6" s="4"/>
      <c r="AK6" s="4"/>
      <c r="AL6" s="4"/>
      <c r="AM6" s="4"/>
      <c r="AN6" s="4"/>
      <c r="AO6" s="4"/>
      <c r="AP6" s="4"/>
    </row>
    <row r="7" spans="1:42" x14ac:dyDescent="0.35">
      <c r="A7" t="s">
        <v>23</v>
      </c>
      <c r="C7" s="4">
        <f ca="1">C6+C5</f>
        <v>16288419.750392692</v>
      </c>
      <c r="D7" s="4">
        <f ca="1">D6+D5</f>
        <v>20020949.927568942</v>
      </c>
      <c r="E7" s="4">
        <f t="shared" ref="E7:AF7" ca="1" si="1">E6+E5</f>
        <v>24711617.317147519</v>
      </c>
      <c r="F7" s="4">
        <f t="shared" ca="1" si="1"/>
        <v>28505358.332674444</v>
      </c>
      <c r="G7" s="4">
        <f ca="1">G6+G5</f>
        <v>32439261.301159538</v>
      </c>
      <c r="H7" s="4">
        <f t="shared" ca="1" si="1"/>
        <v>34509910.03891933</v>
      </c>
      <c r="I7" s="4">
        <f t="shared" ca="1" si="1"/>
        <v>36796150.119675025</v>
      </c>
      <c r="J7" s="4">
        <f t="shared" ca="1" si="1"/>
        <v>39319686.415210098</v>
      </c>
      <c r="K7" s="4">
        <f t="shared" ca="1" si="1"/>
        <v>41333868.793817073</v>
      </c>
      <c r="L7" s="4">
        <f t="shared" ca="1" si="1"/>
        <v>43509419.154000141</v>
      </c>
      <c r="M7" s="4">
        <f t="shared" ca="1" si="1"/>
        <v>45860477.862579741</v>
      </c>
      <c r="N7" s="4">
        <f t="shared" ca="1" si="1"/>
        <v>48402314.234247066</v>
      </c>
      <c r="O7" s="4">
        <f t="shared" ca="1" si="1"/>
        <v>51151408.475401126</v>
      </c>
      <c r="P7" s="4">
        <f t="shared" ca="1" si="1"/>
        <v>53614813.205577165</v>
      </c>
      <c r="Q7" s="4">
        <f t="shared" ca="1" si="1"/>
        <v>56247181.749926232</v>
      </c>
      <c r="R7" s="4">
        <f t="shared" ca="1" si="1"/>
        <v>59061719.344222464</v>
      </c>
      <c r="S7" s="4">
        <f t="shared" ca="1" si="1"/>
        <v>61476322.864255741</v>
      </c>
      <c r="T7" s="4">
        <f t="shared" ca="1" si="1"/>
        <v>64020721.514501445</v>
      </c>
      <c r="U7" s="4">
        <f t="shared" ca="1" si="1"/>
        <v>66703733.736816928</v>
      </c>
      <c r="V7" s="4">
        <f t="shared" ca="1" si="1"/>
        <v>69534787.926658764</v>
      </c>
      <c r="W7" s="4">
        <f t="shared" ca="1" si="1"/>
        <v>72523962.117991805</v>
      </c>
      <c r="X7" s="4">
        <f t="shared" ca="1" si="1"/>
        <v>75682026.086182892</v>
      </c>
      <c r="Y7" s="4">
        <f t="shared" ca="1" si="1"/>
        <v>79020486.008502036</v>
      </c>
      <c r="Z7" s="4">
        <f t="shared" ca="1" si="1"/>
        <v>82551631.829588652</v>
      </c>
      <c r="AA7" s="4">
        <f t="shared" ca="1" si="1"/>
        <v>86288587.487390399</v>
      </c>
      <c r="AB7" s="4">
        <f t="shared" ca="1" si="1"/>
        <v>90245364.16366902</v>
      </c>
      <c r="AC7" s="4">
        <f t="shared" ca="1" si="1"/>
        <v>94436916.732214272</v>
      </c>
      <c r="AD7" s="4">
        <f t="shared" ca="1" si="1"/>
        <v>98879203.587438047</v>
      </c>
      <c r="AE7" s="4">
        <f t="shared" ca="1" si="1"/>
        <v>102543853.5811969</v>
      </c>
      <c r="AF7" s="4">
        <f t="shared" ca="1" si="1"/>
        <v>106361680.16224916</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35807040.00027626</v>
      </c>
      <c r="D10" s="9">
        <f>Investment!D25</f>
        <v>37578774.37084718</v>
      </c>
      <c r="E10" s="9">
        <f>Investment!E25</f>
        <v>39427233.332174361</v>
      </c>
      <c r="F10" s="9">
        <f>Investment!F25</f>
        <v>41355513.002070732</v>
      </c>
      <c r="G10" s="9">
        <f>Investment!G25</f>
        <v>43366829.083908334</v>
      </c>
      <c r="H10" s="9">
        <f>Investment!H25</f>
        <v>45464521.349669404</v>
      </c>
      <c r="I10" s="9">
        <f>Investment!I25</f>
        <v>47652058.287457265</v>
      </c>
      <c r="J10" s="9">
        <f>Investment!J25</f>
        <v>49933041.919401497</v>
      </c>
      <c r="K10" s="9">
        <f>Investment!K25</f>
        <v>52311212.79610379</v>
      </c>
      <c r="L10" s="9">
        <f>Investment!L25</f>
        <v>54790455.173989572</v>
      </c>
      <c r="M10" s="9">
        <f>Investment!M25</f>
        <v>57374802.382156827</v>
      </c>
      <c r="N10" s="9">
        <f>Investment!N25</f>
        <v>60068442.385548644</v>
      </c>
      <c r="O10" s="9">
        <f>Investment!O25</f>
        <v>62875723.551518194</v>
      </c>
      <c r="P10" s="9">
        <f>Investment!P25</f>
        <v>65801160.627106965</v>
      </c>
      <c r="Q10" s="9">
        <f>Investment!Q25</f>
        <v>68849440.934616685</v>
      </c>
      <c r="R10" s="9">
        <f>Investment!R25</f>
        <v>72025430.793324888</v>
      </c>
      <c r="S10" s="9">
        <f>Investment!S25</f>
        <v>75334182.175473362</v>
      </c>
      <c r="T10" s="9">
        <f>Investment!T25</f>
        <v>78780939.604946956</v>
      </c>
      <c r="U10" s="9">
        <f>Investment!U25</f>
        <v>82371147.307359174</v>
      </c>
      <c r="V10" s="9">
        <f>Investment!V25</f>
        <v>86110456.620570332</v>
      </c>
      <c r="W10" s="9">
        <f>Investment!W25</f>
        <v>90004733.674984261</v>
      </c>
      <c r="X10" s="9">
        <f>Investment!X25</f>
        <v>94060067.353301212</v>
      </c>
      <c r="Y10" s="9">
        <f>Investment!Y25</f>
        <v>98282777.539747238</v>
      </c>
      <c r="Z10" s="9">
        <f>Investment!Z25</f>
        <v>102679423.66915604</v>
      </c>
      <c r="AA10" s="9">
        <f>Investment!AA25</f>
        <v>107256813.58664638</v>
      </c>
      <c r="AB10" s="9">
        <f>Investment!AB25</f>
        <v>112022012.72901879</v>
      </c>
      <c r="AC10" s="9">
        <f>Investment!AC25</f>
        <v>116982353.63939032</v>
      </c>
      <c r="AD10" s="9">
        <f>Investment!AD25</f>
        <v>122145445.82699117</v>
      </c>
      <c r="AE10" s="9">
        <f>Investment!AE25</f>
        <v>127519185.98447171</v>
      </c>
      <c r="AF10" s="9">
        <f>Investment!AF25</f>
        <v>133111768.57550412</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-19518620.24988357</v>
      </c>
      <c r="D12" s="1">
        <f t="shared" ref="D12:AF12" ca="1" si="2">D7-D9-D10</f>
        <v>-17557824.443278238</v>
      </c>
      <c r="E12" s="1">
        <f ca="1">E7-E9-E10</f>
        <v>-14715616.015026841</v>
      </c>
      <c r="F12" s="1">
        <f t="shared" ca="1" si="2"/>
        <v>-12850154.669396289</v>
      </c>
      <c r="G12" s="1">
        <f ca="1">G7-G9-G10</f>
        <v>-10927567.782748796</v>
      </c>
      <c r="H12" s="1">
        <f t="shared" ca="1" si="2"/>
        <v>-10954611.310750075</v>
      </c>
      <c r="I12" s="1">
        <f t="shared" ca="1" si="2"/>
        <v>-10855908.16778224</v>
      </c>
      <c r="J12" s="1">
        <f t="shared" ca="1" si="2"/>
        <v>-10613355.504191399</v>
      </c>
      <c r="K12" s="1">
        <f t="shared" ca="1" si="2"/>
        <v>-10977344.002286717</v>
      </c>
      <c r="L12" s="1">
        <f t="shared" ca="1" si="2"/>
        <v>-11281036.019989431</v>
      </c>
      <c r="M12" s="1">
        <f t="shared" ca="1" si="2"/>
        <v>-11514324.519577086</v>
      </c>
      <c r="N12" s="1">
        <f t="shared" ca="1" si="2"/>
        <v>-11666128.151301578</v>
      </c>
      <c r="O12" s="1">
        <f t="shared" ca="1" si="2"/>
        <v>-11724315.076117069</v>
      </c>
      <c r="P12" s="1">
        <f t="shared" ca="1" si="2"/>
        <v>-12186347.4215298</v>
      </c>
      <c r="Q12" s="1">
        <f t="shared" ca="1" si="2"/>
        <v>-12602259.184690453</v>
      </c>
      <c r="R12" s="1">
        <f t="shared" ca="1" si="2"/>
        <v>-12963711.449102424</v>
      </c>
      <c r="S12" s="1">
        <f t="shared" ca="1" si="2"/>
        <v>-13857859.311217621</v>
      </c>
      <c r="T12" s="1">
        <f t="shared" ca="1" si="2"/>
        <v>-14760218.090445511</v>
      </c>
      <c r="U12" s="1">
        <f t="shared" ca="1" si="2"/>
        <v>-15667413.570542246</v>
      </c>
      <c r="V12" s="1">
        <f t="shared" ca="1" si="2"/>
        <v>-16575668.693911567</v>
      </c>
      <c r="W12" s="1">
        <f t="shared" ca="1" si="2"/>
        <v>-17480771.556992456</v>
      </c>
      <c r="X12" s="1">
        <f t="shared" ca="1" si="2"/>
        <v>-18378041.26711832</v>
      </c>
      <c r="Y12" s="1">
        <f t="shared" ca="1" si="2"/>
        <v>-19262291.531245202</v>
      </c>
      <c r="Z12" s="1">
        <f t="shared" ca="1" si="2"/>
        <v>-20127791.839567393</v>
      </c>
      <c r="AA12" s="1">
        <f t="shared" ca="1" si="2"/>
        <v>-20968226.099255979</v>
      </c>
      <c r="AB12" s="1">
        <f t="shared" ca="1" si="2"/>
        <v>-21776648.565349773</v>
      </c>
      <c r="AC12" s="1">
        <f t="shared" ca="1" si="2"/>
        <v>-22545436.907176048</v>
      </c>
      <c r="AD12" s="1">
        <f t="shared" ca="1" si="2"/>
        <v>-23266242.239553124</v>
      </c>
      <c r="AE12" s="1">
        <f t="shared" ca="1" si="2"/>
        <v>-24975332.403274804</v>
      </c>
      <c r="AF12" s="1">
        <f t="shared" ca="1" si="2"/>
        <v>-26750088.413254961</v>
      </c>
      <c r="AG12" s="1"/>
      <c r="AH12" s="1"/>
      <c r="AI12" s="1"/>
      <c r="AJ12" s="1"/>
      <c r="AK12" s="1"/>
      <c r="AL12" s="1"/>
      <c r="AM12" s="1"/>
      <c r="AN12" s="1"/>
      <c r="AO12" s="1"/>
      <c r="AP12" s="1"/>
    </row>
    <row r="13" spans="1:42" x14ac:dyDescent="0.35">
      <c r="A13" t="s">
        <v>19</v>
      </c>
      <c r="C13" s="1">
        <f ca="1">C12</f>
        <v>-19518620.24988357</v>
      </c>
      <c r="D13" s="1">
        <f ca="1">D12</f>
        <v>-17557824.443278238</v>
      </c>
      <c r="E13" s="1">
        <f ca="1">E12</f>
        <v>-14715616.015026841</v>
      </c>
      <c r="F13" s="1">
        <f t="shared" ref="F13:AF13" ca="1" si="3">F12</f>
        <v>-12850154.669396289</v>
      </c>
      <c r="G13" s="1">
        <f ca="1">G12</f>
        <v>-10927567.782748796</v>
      </c>
      <c r="H13" s="1">
        <f t="shared" ca="1" si="3"/>
        <v>-10954611.310750075</v>
      </c>
      <c r="I13" s="1">
        <f t="shared" ca="1" si="3"/>
        <v>-10855908.16778224</v>
      </c>
      <c r="J13" s="1">
        <f t="shared" ca="1" si="3"/>
        <v>-10613355.504191399</v>
      </c>
      <c r="K13" s="1">
        <f t="shared" ca="1" si="3"/>
        <v>-10977344.002286717</v>
      </c>
      <c r="L13" s="1">
        <f t="shared" ca="1" si="3"/>
        <v>-11281036.019989431</v>
      </c>
      <c r="M13" s="1">
        <f t="shared" ca="1" si="3"/>
        <v>-11514324.519577086</v>
      </c>
      <c r="N13" s="1">
        <f t="shared" ca="1" si="3"/>
        <v>-11666128.151301578</v>
      </c>
      <c r="O13" s="1">
        <f t="shared" ca="1" si="3"/>
        <v>-11724315.076117069</v>
      </c>
      <c r="P13" s="1">
        <f t="shared" ca="1" si="3"/>
        <v>-12186347.4215298</v>
      </c>
      <c r="Q13" s="1">
        <f t="shared" ca="1" si="3"/>
        <v>-12602259.184690453</v>
      </c>
      <c r="R13" s="1">
        <f t="shared" ca="1" si="3"/>
        <v>-12963711.449102424</v>
      </c>
      <c r="S13" s="1">
        <f t="shared" ca="1" si="3"/>
        <v>-13857859.311217621</v>
      </c>
      <c r="T13" s="1">
        <f t="shared" ca="1" si="3"/>
        <v>-14760218.090445511</v>
      </c>
      <c r="U13" s="1">
        <f t="shared" ca="1" si="3"/>
        <v>-15667413.570542246</v>
      </c>
      <c r="V13" s="1">
        <f t="shared" ca="1" si="3"/>
        <v>-16575668.693911567</v>
      </c>
      <c r="W13" s="1">
        <f t="shared" ca="1" si="3"/>
        <v>-17480771.556992456</v>
      </c>
      <c r="X13" s="1">
        <f t="shared" ca="1" si="3"/>
        <v>-18378041.26711832</v>
      </c>
      <c r="Y13" s="1">
        <f t="shared" ca="1" si="3"/>
        <v>-19262291.531245202</v>
      </c>
      <c r="Z13" s="1">
        <f t="shared" ca="1" si="3"/>
        <v>-20127791.839567393</v>
      </c>
      <c r="AA13" s="1">
        <f t="shared" ca="1" si="3"/>
        <v>-20968226.099255979</v>
      </c>
      <c r="AB13" s="1">
        <f t="shared" ca="1" si="3"/>
        <v>-21776648.565349773</v>
      </c>
      <c r="AC13" s="1">
        <f t="shared" ca="1" si="3"/>
        <v>-22545436.907176048</v>
      </c>
      <c r="AD13" s="1">
        <f t="shared" ca="1" si="3"/>
        <v>-23266242.239553124</v>
      </c>
      <c r="AE13" s="1">
        <f t="shared" ca="1" si="3"/>
        <v>-24975332.403274804</v>
      </c>
      <c r="AF13" s="1">
        <f t="shared" ca="1" si="3"/>
        <v>-26750088.413254961</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140</v>
      </c>
      <c r="C6" s="9">
        <f>Assumptions!C17</f>
        <v>684380000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342190000</v>
      </c>
      <c r="D7" s="9">
        <f>C12</f>
        <v>352726162.63585109</v>
      </c>
      <c r="E7" s="9">
        <f>D12</f>
        <v>364225391.56661147</v>
      </c>
      <c r="F7" s="9">
        <f t="shared" ref="F7:H7" si="1">E12</f>
        <v>376738534.00461626</v>
      </c>
      <c r="G7" s="9">
        <f t="shared" si="1"/>
        <v>390318705.20390397</v>
      </c>
      <c r="H7" s="9">
        <f t="shared" si="1"/>
        <v>405021381.54734027</v>
      </c>
      <c r="I7" s="9">
        <f t="shared" ref="I7" si="2">H12</f>
        <v>420904497.26884252</v>
      </c>
      <c r="J7" s="9">
        <f t="shared" ref="J7" si="3">I12</f>
        <v>438028544.94803131</v>
      </c>
      <c r="K7" s="9">
        <f t="shared" ref="K7" si="4">J12</f>
        <v>456456679.91969973</v>
      </c>
      <c r="L7" s="9">
        <f t="shared" ref="L7" si="5">K12</f>
        <v>476254828.74574298</v>
      </c>
      <c r="M7" s="9">
        <f t="shared" ref="M7" si="6">L12</f>
        <v>497491801.90263009</v>
      </c>
      <c r="N7" s="9">
        <f t="shared" ref="N7" si="7">M12</f>
        <v>520239410.84313715</v>
      </c>
      <c r="O7" s="9">
        <f t="shared" ref="O7" si="8">N12</f>
        <v>544572589.5969032</v>
      </c>
      <c r="P7" s="9">
        <f t="shared" ref="P7" si="9">O12</f>
        <v>570569521.08042181</v>
      </c>
      <c r="Q7" s="9">
        <f t="shared" ref="Q7" si="10">P12</f>
        <v>598311768.2933532</v>
      </c>
      <c r="R7" s="9">
        <f t="shared" ref="R7" si="11">Q12</f>
        <v>627884410.58454061</v>
      </c>
      <c r="S7" s="9">
        <f t="shared" ref="S7" si="12">R12</f>
        <v>659376185.17784655</v>
      </c>
      <c r="T7" s="9">
        <f t="shared" ref="T7" si="13">S12</f>
        <v>692879634.15490031</v>
      </c>
      <c r="U7" s="9">
        <f t="shared" ref="U7" si="14">T12</f>
        <v>728491257.0990783</v>
      </c>
      <c r="V7" s="9">
        <f t="shared" ref="V7" si="15">U12</f>
        <v>766311669.61252379</v>
      </c>
      <c r="W7" s="9">
        <f t="shared" ref="W7" si="16">V12</f>
        <v>806445767.92577529</v>
      </c>
      <c r="X7" s="9">
        <f t="shared" ref="X7" si="17">W12</f>
        <v>849002899.82760656</v>
      </c>
      <c r="Y7" s="9">
        <f t="shared" ref="Y7" si="18">X12</f>
        <v>894097042.15101385</v>
      </c>
      <c r="Z7" s="9">
        <f t="shared" ref="Z7" si="19">Y12</f>
        <v>941846985.05991054</v>
      </c>
      <c r="AA7" s="9">
        <f t="shared" ref="AA7" si="20">Z12</f>
        <v>992376523.39002895</v>
      </c>
      <c r="AB7" s="9">
        <f t="shared" ref="AB7" si="21">AA12</f>
        <v>1045814655.3067883</v>
      </c>
      <c r="AC7" s="9">
        <f t="shared" ref="AC7" si="22">AB12</f>
        <v>1102295788.5524838</v>
      </c>
      <c r="AD7" s="9">
        <f t="shared" ref="AD7" si="23">AC12</f>
        <v>1161959954.5650845</v>
      </c>
      <c r="AE7" s="9">
        <f t="shared" ref="AE7" si="24">AD12</f>
        <v>1224953030.7612288</v>
      </c>
      <c r="AF7" s="9">
        <f t="shared" ref="AF7" si="25">AE12</f>
        <v>1291426971.2866666</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141</v>
      </c>
      <c r="C8" s="9">
        <f>Assumptions!D111*Assumptions!D11</f>
        <v>9929661.5791048743</v>
      </c>
      <c r="D8" s="9">
        <f>Assumptions!E111*Assumptions!E11</f>
        <v>10247410.749636229</v>
      </c>
      <c r="E8" s="9">
        <f>Assumptions!F111*Assumptions!F11</f>
        <v>10575327.893624587</v>
      </c>
      <c r="F8" s="9">
        <f>Assumptions!G111*Assumptions!G11</f>
        <v>10913738.386220574</v>
      </c>
      <c r="G8" s="9">
        <f>Assumptions!H111*Assumptions!H11</f>
        <v>11262978.014579635</v>
      </c>
      <c r="H8" s="9">
        <f>Assumptions!I111*Assumptions!I11</f>
        <v>11623393.311046181</v>
      </c>
      <c r="I8" s="9">
        <f>Assumptions!J111*Assumptions!J11</f>
        <v>11995341.896999657</v>
      </c>
      <c r="J8" s="9">
        <f>Assumptions!K111*Assumptions!K11</f>
        <v>12379192.837703647</v>
      </c>
      <c r="K8" s="9">
        <f>Assumptions!L111*Assumptions!L11</f>
        <v>12775327.008510165</v>
      </c>
      <c r="L8" s="9">
        <f>Assumptions!M111*Assumptions!M11</f>
        <v>13184137.472782489</v>
      </c>
      <c r="M8" s="9">
        <f>Assumptions!N111*Assumptions!N11</f>
        <v>13606029.871911529</v>
      </c>
      <c r="N8" s="9">
        <f>Assumptions!O111*Assumptions!O11</f>
        <v>14041422.827812698</v>
      </c>
      <c r="O8" s="9">
        <f>Assumptions!P111*Assumptions!P11</f>
        <v>14490748.358302705</v>
      </c>
      <c r="P8" s="9">
        <f>Assumptions!Q111*Assumptions!Q11</f>
        <v>14954452.305768389</v>
      </c>
      <c r="Q8" s="9">
        <f>Assumptions!R111*Assumptions!R11</f>
        <v>15432994.779552976</v>
      </c>
      <c r="R8" s="9">
        <f>Assumptions!S111*Assumptions!S11</f>
        <v>15926850.612498675</v>
      </c>
      <c r="S8" s="9">
        <f>Assumptions!T111*Assumptions!T11</f>
        <v>16436509.832098633</v>
      </c>
      <c r="T8" s="9">
        <f>Assumptions!U111*Assumptions!U11</f>
        <v>16962478.146725789</v>
      </c>
      <c r="U8" s="9">
        <f>Assumptions!V111*Assumptions!V11</f>
        <v>17505277.447421011</v>
      </c>
      <c r="V8" s="9">
        <f>Assumptions!W111*Assumptions!W11</f>
        <v>18065446.325738486</v>
      </c>
      <c r="W8" s="9">
        <f>Assumptions!X111*Assumptions!X11</f>
        <v>18643540.60816212</v>
      </c>
      <c r="X8" s="9">
        <f>Assumptions!Y111*Assumptions!Y11</f>
        <v>19240133.907623306</v>
      </c>
      <c r="Y8" s="9">
        <f>Assumptions!Z111*Assumptions!Z11</f>
        <v>19855818.192667246</v>
      </c>
      <c r="Z8" s="9">
        <f>Assumptions!AA111*Assumptions!AA11</f>
        <v>20491204.3748326</v>
      </c>
      <c r="AA8" s="9">
        <f>Assumptions!AB111*Assumptions!AB11</f>
        <v>21146922.91482725</v>
      </c>
      <c r="AB8" s="9">
        <f>Assumptions!AC111*Assumptions!AC11</f>
        <v>21823624.448101718</v>
      </c>
      <c r="AC8" s="9">
        <f>Assumptions!AD111*Assumptions!AD11</f>
        <v>22521980.43044097</v>
      </c>
      <c r="AD8" s="9">
        <f>Assumptions!AE111*Assumptions!AE11</f>
        <v>23242683.804215085</v>
      </c>
      <c r="AE8" s="9">
        <f>Assumptions!AF111*Assumptions!AF11</f>
        <v>23986449.685949966</v>
      </c>
      <c r="AF8" s="9">
        <f>Assumptions!AG111*Assumptions!AG11</f>
        <v>24754016.075900361</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606501.05674620438</v>
      </c>
      <c r="D9" s="9">
        <f>Assumptions!E120*Assumptions!E11</f>
        <v>1251818.1811241657</v>
      </c>
      <c r="E9" s="9">
        <f>Assumptions!F120*Assumptions!F11</f>
        <v>1937814.5443802087</v>
      </c>
      <c r="F9" s="9">
        <f>Assumptions!G120*Assumptions!G11</f>
        <v>2666432.8130671671</v>
      </c>
      <c r="G9" s="9">
        <f>Assumptions!H120*Assumptions!H11</f>
        <v>3439698.3288566456</v>
      </c>
      <c r="H9" s="9">
        <f>Assumptions!I120*Assumptions!I11</f>
        <v>4259722.4104560697</v>
      </c>
      <c r="I9" s="9">
        <f>Assumptions!J120*Assumptions!J11</f>
        <v>5128705.7821891075</v>
      </c>
      <c r="J9" s="9">
        <f>Assumptions!K120*Assumptions!K11</f>
        <v>6048942.1339647537</v>
      </c>
      <c r="K9" s="9">
        <f>Assumptions!L120*Assumptions!L11</f>
        <v>7022821.8175330795</v>
      </c>
      <c r="L9" s="9">
        <f>Assumptions!M120*Assumptions!M11</f>
        <v>8052835.6841045963</v>
      </c>
      <c r="M9" s="9">
        <f>Assumptions!N120*Assumptions!N11</f>
        <v>9141579.0685955379</v>
      </c>
      <c r="N9" s="9">
        <f>Assumptions!O120*Assumptions!O11</f>
        <v>10291755.925953379</v>
      </c>
      <c r="O9" s="9">
        <f>Assumptions!P120*Assumptions!P11</f>
        <v>11506183.125215879</v>
      </c>
      <c r="P9" s="9">
        <f>Assumptions!Q120*Assumptions!Q11</f>
        <v>12787794.907162996</v>
      </c>
      <c r="Q9" s="9">
        <f>Assumptions!R120*Assumptions!R11</f>
        <v>14139647.51163451</v>
      </c>
      <c r="R9" s="9">
        <f>Assumptions!S120*Assumptions!S11</f>
        <v>15564923.980807273</v>
      </c>
      <c r="S9" s="9">
        <f>Assumptions!T120*Assumptions!T11</f>
        <v>17066939.144955177</v>
      </c>
      <c r="T9" s="9">
        <f>Assumptions!U120*Assumptions!U11</f>
        <v>18649144.797452196</v>
      </c>
      <c r="U9" s="9">
        <f>Assumptions!V120*Assumptions!V11</f>
        <v>20315135.066024587</v>
      </c>
      <c r="V9" s="9">
        <f>Assumptions!W120*Assumptions!W11</f>
        <v>22068651.987513028</v>
      </c>
      <c r="W9" s="9">
        <f>Assumptions!X120*Assumptions!X11</f>
        <v>23913591.293669119</v>
      </c>
      <c r="X9" s="9">
        <f>Assumptions!Y120*Assumptions!Y11</f>
        <v>25854008.415783986</v>
      </c>
      <c r="Y9" s="9">
        <f>Assumptions!Z120*Assumptions!Z11</f>
        <v>27894124.716229483</v>
      </c>
      <c r="Z9" s="9">
        <f>Assumptions!AA120*Assumptions!AA11</f>
        <v>30038333.955285732</v>
      </c>
      <c r="AA9" s="9">
        <f>Assumptions!AB120*Assumptions!AB11</f>
        <v>32291209.001932167</v>
      </c>
      <c r="AB9" s="9">
        <f>Assumptions!AC120*Assumptions!AC11</f>
        <v>34657508.797593758</v>
      </c>
      <c r="AC9" s="9">
        <f>Assumptions!AD120*Assumptions!AD11</f>
        <v>37142185.582159698</v>
      </c>
      <c r="AD9" s="9">
        <f>Assumptions!AE120*Assumptions!AE11</f>
        <v>39750392.391929142</v>
      </c>
      <c r="AE9" s="9">
        <f>Assumptions!AF120*Assumptions!AF11</f>
        <v>42487490.839487694</v>
      </c>
      <c r="AF9" s="9">
        <f>Assumptions!AG120*Assumptions!AG11</f>
        <v>45359059.185880639</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10536162.635851078</v>
      </c>
      <c r="D10" s="9">
        <f>SUM($C$8:D9)</f>
        <v>22035391.566611473</v>
      </c>
      <c r="E10" s="9">
        <f>SUM($C$8:E9)</f>
        <v>34548534.004616268</v>
      </c>
      <c r="F10" s="9">
        <f>SUM($C$8:F9)</f>
        <v>48128705.203904018</v>
      </c>
      <c r="G10" s="9">
        <f>SUM($C$8:G9)</f>
        <v>62831381.547340304</v>
      </c>
      <c r="H10" s="9">
        <f>SUM($C$8:H9)</f>
        <v>78714497.268842563</v>
      </c>
      <c r="I10" s="9">
        <f>SUM($C$8:I9)</f>
        <v>95838544.948031306</v>
      </c>
      <c r="J10" s="9">
        <f>SUM($C$8:J9)</f>
        <v>114266679.9196997</v>
      </c>
      <c r="K10" s="9">
        <f>SUM($C$8:K9)</f>
        <v>134064828.74574295</v>
      </c>
      <c r="L10" s="9">
        <f>SUM($C$8:L9)</f>
        <v>155301801.90263003</v>
      </c>
      <c r="M10" s="9">
        <f>SUM($C$8:M9)</f>
        <v>178049410.84313706</v>
      </c>
      <c r="N10" s="9">
        <f>SUM($C$8:N9)</f>
        <v>202382589.59690318</v>
      </c>
      <c r="O10" s="9">
        <f>SUM($C$8:O9)</f>
        <v>228379521.08042178</v>
      </c>
      <c r="P10" s="9">
        <f>SUM($C$8:P9)</f>
        <v>256121768.2933532</v>
      </c>
      <c r="Q10" s="9">
        <f>SUM($C$8:Q9)</f>
        <v>285694410.58454067</v>
      </c>
      <c r="R10" s="9">
        <f>SUM($C$8:R9)</f>
        <v>317186185.17784661</v>
      </c>
      <c r="S10" s="9">
        <f>SUM($C$8:S9)</f>
        <v>350689634.15490043</v>
      </c>
      <c r="T10" s="9">
        <f>SUM($C$8:T9)</f>
        <v>386301257.09907848</v>
      </c>
      <c r="U10" s="9">
        <f>SUM($C$8:U9)</f>
        <v>424121669.61252415</v>
      </c>
      <c r="V10" s="9">
        <f>SUM($C$8:V9)</f>
        <v>464255767.92577553</v>
      </c>
      <c r="W10" s="9">
        <f>SUM($C$8:W9)</f>
        <v>506812899.82760674</v>
      </c>
      <c r="X10" s="9">
        <f>SUM($C$8:X9)</f>
        <v>551907042.15101397</v>
      </c>
      <c r="Y10" s="9">
        <f>SUM($C$8:Y9)</f>
        <v>599656985.05991077</v>
      </c>
      <c r="Z10" s="9">
        <f>SUM($C$8:Z9)</f>
        <v>650186523.39002907</v>
      </c>
      <c r="AA10" s="9">
        <f>SUM($C$8:AA9)</f>
        <v>703624655.30678844</v>
      </c>
      <c r="AB10" s="9">
        <f>SUM($C$8:AB9)</f>
        <v>760105788.5524838</v>
      </c>
      <c r="AC10" s="9">
        <f>SUM($C$8:AC9)</f>
        <v>819769954.56508446</v>
      </c>
      <c r="AD10" s="9">
        <f>SUM($C$8:AD9)</f>
        <v>882763030.7612288</v>
      </c>
      <c r="AE10" s="9">
        <f>SUM($C$8:AE9)</f>
        <v>949236971.28666627</v>
      </c>
      <c r="AF10" s="9">
        <f>SUM($C$8:AF9)</f>
        <v>1019350046.5484475</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352726162.63585109</v>
      </c>
      <c r="D12" s="9">
        <f>D7+D8+D9</f>
        <v>364225391.56661147</v>
      </c>
      <c r="E12" s="9">
        <f>E7+E8+E9</f>
        <v>376738534.00461626</v>
      </c>
      <c r="F12" s="9">
        <f t="shared" ref="F12:H12" si="26">F7+F8+F9</f>
        <v>390318705.20390397</v>
      </c>
      <c r="G12" s="9">
        <f t="shared" si="26"/>
        <v>405021381.54734027</v>
      </c>
      <c r="H12" s="9">
        <f t="shared" si="26"/>
        <v>420904497.26884252</v>
      </c>
      <c r="I12" s="9">
        <f t="shared" ref="I12:AF12" si="27">I7+I8+I9</f>
        <v>438028544.94803131</v>
      </c>
      <c r="J12" s="9">
        <f t="shared" si="27"/>
        <v>456456679.91969973</v>
      </c>
      <c r="K12" s="9">
        <f t="shared" si="27"/>
        <v>476254828.74574298</v>
      </c>
      <c r="L12" s="9">
        <f t="shared" si="27"/>
        <v>497491801.90263009</v>
      </c>
      <c r="M12" s="9">
        <f t="shared" si="27"/>
        <v>520239410.84313715</v>
      </c>
      <c r="N12" s="9">
        <f t="shared" si="27"/>
        <v>544572589.5969032</v>
      </c>
      <c r="O12" s="9">
        <f t="shared" si="27"/>
        <v>570569521.08042181</v>
      </c>
      <c r="P12" s="9">
        <f t="shared" si="27"/>
        <v>598311768.2933532</v>
      </c>
      <c r="Q12" s="9">
        <f t="shared" si="27"/>
        <v>627884410.58454061</v>
      </c>
      <c r="R12" s="9">
        <f t="shared" si="27"/>
        <v>659376185.17784655</v>
      </c>
      <c r="S12" s="9">
        <f t="shared" si="27"/>
        <v>692879634.15490031</v>
      </c>
      <c r="T12" s="9">
        <f t="shared" si="27"/>
        <v>728491257.0990783</v>
      </c>
      <c r="U12" s="9">
        <f t="shared" si="27"/>
        <v>766311669.61252379</v>
      </c>
      <c r="V12" s="9">
        <f t="shared" si="27"/>
        <v>806445767.92577529</v>
      </c>
      <c r="W12" s="9">
        <f t="shared" si="27"/>
        <v>849002899.82760656</v>
      </c>
      <c r="X12" s="9">
        <f t="shared" si="27"/>
        <v>894097042.15101385</v>
      </c>
      <c r="Y12" s="9">
        <f t="shared" si="27"/>
        <v>941846985.05991054</v>
      </c>
      <c r="Z12" s="9">
        <f t="shared" si="27"/>
        <v>992376523.39002895</v>
      </c>
      <c r="AA12" s="9">
        <f t="shared" si="27"/>
        <v>1045814655.3067883</v>
      </c>
      <c r="AB12" s="9">
        <f t="shared" si="27"/>
        <v>1102295788.5524838</v>
      </c>
      <c r="AC12" s="9">
        <f t="shared" si="27"/>
        <v>1161959954.5650845</v>
      </c>
      <c r="AD12" s="9">
        <f t="shared" si="27"/>
        <v>1224953030.7612288</v>
      </c>
      <c r="AE12" s="9">
        <f t="shared" si="27"/>
        <v>1291426971.2866666</v>
      </c>
      <c r="AF12" s="9">
        <f t="shared" si="27"/>
        <v>1361540046.5484476</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35807040.00027626</v>
      </c>
      <c r="D18" s="9">
        <f>Investment!D25</f>
        <v>37578774.37084718</v>
      </c>
      <c r="E18" s="9">
        <f>Investment!E25</f>
        <v>39427233.332174361</v>
      </c>
      <c r="F18" s="9">
        <f>Investment!F25</f>
        <v>41355513.002070732</v>
      </c>
      <c r="G18" s="9">
        <f>Investment!G25</f>
        <v>43366829.083908334</v>
      </c>
      <c r="H18" s="9">
        <f>Investment!H25</f>
        <v>45464521.349669404</v>
      </c>
      <c r="I18" s="9">
        <f>Investment!I25</f>
        <v>47652058.287457265</v>
      </c>
      <c r="J18" s="9">
        <f>Investment!J25</f>
        <v>49933041.919401497</v>
      </c>
      <c r="K18" s="9">
        <f>Investment!K25</f>
        <v>52311212.79610379</v>
      </c>
      <c r="L18" s="9">
        <f>Investment!L25</f>
        <v>54790455.173989572</v>
      </c>
      <c r="M18" s="9">
        <f>Investment!M25</f>
        <v>57374802.382156827</v>
      </c>
      <c r="N18" s="9">
        <f>Investment!N25</f>
        <v>60068442.385548644</v>
      </c>
      <c r="O18" s="9">
        <f>Investment!O25</f>
        <v>62875723.551518194</v>
      </c>
      <c r="P18" s="9">
        <f>Investment!P25</f>
        <v>65801160.627106965</v>
      </c>
      <c r="Q18" s="9">
        <f>Investment!Q25</f>
        <v>68849440.934616685</v>
      </c>
      <c r="R18" s="9">
        <f>Investment!R25</f>
        <v>72025430.793324888</v>
      </c>
      <c r="S18" s="9">
        <f>Investment!S25</f>
        <v>75334182.175473362</v>
      </c>
      <c r="T18" s="9">
        <f>Investment!T25</f>
        <v>78780939.604946956</v>
      </c>
      <c r="U18" s="9">
        <f>Investment!U25</f>
        <v>82371147.307359174</v>
      </c>
      <c r="V18" s="9">
        <f>Investment!V25</f>
        <v>86110456.620570332</v>
      </c>
      <c r="W18" s="9">
        <f>Investment!W25</f>
        <v>90004733.674984261</v>
      </c>
      <c r="X18" s="9">
        <f>Investment!X25</f>
        <v>94060067.353301212</v>
      </c>
      <c r="Y18" s="9">
        <f>Investment!Y25</f>
        <v>98282777.539747238</v>
      </c>
      <c r="Z18" s="9">
        <f>Investment!Z25</f>
        <v>102679423.66915604</v>
      </c>
      <c r="AA18" s="9">
        <f>Investment!AA25</f>
        <v>107256813.58664638</v>
      </c>
      <c r="AB18" s="9">
        <f>Investment!AB25</f>
        <v>112022012.72901879</v>
      </c>
      <c r="AC18" s="9">
        <f>Investment!AC25</f>
        <v>116982353.63939032</v>
      </c>
      <c r="AD18" s="9">
        <f>Investment!AD25</f>
        <v>122145445.82699117</v>
      </c>
      <c r="AE18" s="9">
        <f>Investment!AE25</f>
        <v>127519185.98447171</v>
      </c>
      <c r="AF18" s="9">
        <f>Investment!AF25</f>
        <v>133111768.57550412</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377997040.00027627</v>
      </c>
      <c r="D19" s="9">
        <f>D18+C20</f>
        <v>405039651.73527235</v>
      </c>
      <c r="E19" s="9">
        <f>E18+D20</f>
        <v>432967656.13668633</v>
      </c>
      <c r="F19" s="9">
        <f t="shared" ref="F19:AF19" si="28">F18+E20</f>
        <v>461810026.70075226</v>
      </c>
      <c r="G19" s="9">
        <f t="shared" si="28"/>
        <v>491596684.58537287</v>
      </c>
      <c r="H19" s="9">
        <f t="shared" si="28"/>
        <v>522358529.59160596</v>
      </c>
      <c r="I19" s="9">
        <f t="shared" si="28"/>
        <v>554127472.15756094</v>
      </c>
      <c r="J19" s="9">
        <f t="shared" si="28"/>
        <v>586936466.39777362</v>
      </c>
      <c r="K19" s="9">
        <f t="shared" si="28"/>
        <v>620819544.22220898</v>
      </c>
      <c r="L19" s="9">
        <f t="shared" si="28"/>
        <v>655811850.57015526</v>
      </c>
      <c r="M19" s="9">
        <f t="shared" si="28"/>
        <v>691949679.79542506</v>
      </c>
      <c r="N19" s="9">
        <f t="shared" si="28"/>
        <v>729270513.24046659</v>
      </c>
      <c r="O19" s="9">
        <f t="shared" si="28"/>
        <v>767813058.03821874</v>
      </c>
      <c r="P19" s="9">
        <f t="shared" si="28"/>
        <v>807617287.18180704</v>
      </c>
      <c r="Q19" s="9">
        <f t="shared" si="28"/>
        <v>848724480.90349233</v>
      </c>
      <c r="R19" s="9">
        <f t="shared" si="28"/>
        <v>891177269.40562987</v>
      </c>
      <c r="S19" s="9">
        <f t="shared" si="28"/>
        <v>935019676.98779726</v>
      </c>
      <c r="T19" s="9">
        <f t="shared" si="28"/>
        <v>980297167.61569047</v>
      </c>
      <c r="U19" s="9">
        <f t="shared" si="28"/>
        <v>1027056691.9788717</v>
      </c>
      <c r="V19" s="9">
        <f t="shared" si="28"/>
        <v>1075346736.0859966</v>
      </c>
      <c r="W19" s="9">
        <f t="shared" si="28"/>
        <v>1125217371.4477293</v>
      </c>
      <c r="X19" s="9">
        <f t="shared" si="28"/>
        <v>1176720306.8991992</v>
      </c>
      <c r="Y19" s="9">
        <f t="shared" si="28"/>
        <v>1229908942.1155393</v>
      </c>
      <c r="Z19" s="9">
        <f t="shared" si="28"/>
        <v>1284838422.8757987</v>
      </c>
      <c r="AA19" s="9">
        <f t="shared" si="28"/>
        <v>1341565698.1323266</v>
      </c>
      <c r="AB19" s="9">
        <f t="shared" si="28"/>
        <v>1400149578.9445858</v>
      </c>
      <c r="AC19" s="9">
        <f t="shared" si="28"/>
        <v>1460650799.3382804</v>
      </c>
      <c r="AD19" s="9">
        <f t="shared" si="28"/>
        <v>1523132079.1526709</v>
      </c>
      <c r="AE19" s="9">
        <f t="shared" si="28"/>
        <v>1587658188.9409983</v>
      </c>
      <c r="AF19" s="9">
        <f t="shared" si="28"/>
        <v>1654296016.9910645</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367460877.36442518</v>
      </c>
      <c r="D20" s="9">
        <f>D19-D8-D9</f>
        <v>393540422.80451196</v>
      </c>
      <c r="E20" s="9">
        <f t="shared" ref="E20:AF20" si="29">E19-E8-E9</f>
        <v>420454513.69868153</v>
      </c>
      <c r="F20" s="9">
        <f t="shared" si="29"/>
        <v>448229855.50146455</v>
      </c>
      <c r="G20" s="9">
        <f t="shared" si="29"/>
        <v>476894008.24193656</v>
      </c>
      <c r="H20" s="9">
        <f t="shared" si="29"/>
        <v>506475413.87010372</v>
      </c>
      <c r="I20" s="9">
        <f t="shared" si="29"/>
        <v>537003424.4783721</v>
      </c>
      <c r="J20" s="9">
        <f t="shared" si="29"/>
        <v>568508331.42610514</v>
      </c>
      <c r="K20" s="9">
        <f t="shared" si="29"/>
        <v>601021395.39616573</v>
      </c>
      <c r="L20" s="9">
        <f t="shared" si="29"/>
        <v>634574877.41326821</v>
      </c>
      <c r="M20" s="9">
        <f t="shared" si="29"/>
        <v>669202070.854918</v>
      </c>
      <c r="N20" s="9">
        <f t="shared" si="29"/>
        <v>704937334.48670053</v>
      </c>
      <c r="O20" s="9">
        <f t="shared" si="29"/>
        <v>741816126.55470014</v>
      </c>
      <c r="P20" s="9">
        <f t="shared" si="29"/>
        <v>779875039.96887565</v>
      </c>
      <c r="Q20" s="9">
        <f t="shared" si="29"/>
        <v>819151838.61230493</v>
      </c>
      <c r="R20" s="9">
        <f t="shared" si="29"/>
        <v>859685494.81232393</v>
      </c>
      <c r="S20" s="9">
        <f t="shared" si="29"/>
        <v>901516228.0107435</v>
      </c>
      <c r="T20" s="9">
        <f t="shared" si="29"/>
        <v>944685544.67151248</v>
      </c>
      <c r="U20" s="9">
        <f t="shared" si="29"/>
        <v>989236279.46542621</v>
      </c>
      <c r="V20" s="9">
        <f t="shared" si="29"/>
        <v>1035212637.7727451</v>
      </c>
      <c r="W20" s="9">
        <f t="shared" si="29"/>
        <v>1082660239.545898</v>
      </c>
      <c r="X20" s="9">
        <f t="shared" si="29"/>
        <v>1131626164.5757921</v>
      </c>
      <c r="Y20" s="9">
        <f t="shared" si="29"/>
        <v>1182158999.2066426</v>
      </c>
      <c r="Z20" s="9">
        <f t="shared" si="29"/>
        <v>1234308884.5456803</v>
      </c>
      <c r="AA20" s="9">
        <f t="shared" si="29"/>
        <v>1288127566.2155671</v>
      </c>
      <c r="AB20" s="9">
        <f t="shared" si="29"/>
        <v>1343668445.6988902</v>
      </c>
      <c r="AC20" s="9">
        <f t="shared" si="29"/>
        <v>1400986633.3256798</v>
      </c>
      <c r="AD20" s="9">
        <f t="shared" si="29"/>
        <v>1460139002.9565265</v>
      </c>
      <c r="AE20" s="9">
        <f t="shared" si="29"/>
        <v>1521184248.4155605</v>
      </c>
      <c r="AF20" s="9">
        <f t="shared" si="29"/>
        <v>1584182941.7292836</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83495000</v>
      </c>
      <c r="D22" s="9">
        <f ca="1">'Balance Sheet'!C11</f>
        <v>103013620.24988356</v>
      </c>
      <c r="E22" s="9">
        <f ca="1">'Balance Sheet'!D11</f>
        <v>120571444.6931618</v>
      </c>
      <c r="F22" s="9">
        <f ca="1">'Balance Sheet'!E11</f>
        <v>135287060.70818865</v>
      </c>
      <c r="G22" s="9">
        <f ca="1">'Balance Sheet'!F11</f>
        <v>148137215.37758493</v>
      </c>
      <c r="H22" s="9">
        <f ca="1">'Balance Sheet'!G11</f>
        <v>159064783.16033372</v>
      </c>
      <c r="I22" s="9">
        <f ca="1">'Balance Sheet'!H11</f>
        <v>170019394.47108379</v>
      </c>
      <c r="J22" s="9">
        <f ca="1">'Balance Sheet'!I11</f>
        <v>180875302.63886604</v>
      </c>
      <c r="K22" s="9">
        <f ca="1">'Balance Sheet'!J11</f>
        <v>191488658.14305744</v>
      </c>
      <c r="L22" s="9">
        <f ca="1">'Balance Sheet'!K11</f>
        <v>202466002.14534414</v>
      </c>
      <c r="M22" s="9">
        <f ca="1">'Balance Sheet'!L11</f>
        <v>213747038.16533357</v>
      </c>
      <c r="N22" s="9">
        <f ca="1">'Balance Sheet'!M11</f>
        <v>225261362.68491066</v>
      </c>
      <c r="O22" s="9">
        <f ca="1">'Balance Sheet'!N11</f>
        <v>236927490.83621222</v>
      </c>
      <c r="P22" s="9">
        <f ca="1">'Balance Sheet'!O11</f>
        <v>248651805.91232929</v>
      </c>
      <c r="Q22" s="9">
        <f ca="1">'Balance Sheet'!P11</f>
        <v>260838153.33385909</v>
      </c>
      <c r="R22" s="9">
        <f ca="1">'Balance Sheet'!Q11</f>
        <v>273440412.51854956</v>
      </c>
      <c r="S22" s="9">
        <f ca="1">'Balance Sheet'!R11</f>
        <v>286404123.96765196</v>
      </c>
      <c r="T22" s="9">
        <f ca="1">'Balance Sheet'!S11</f>
        <v>300261983.27886957</v>
      </c>
      <c r="U22" s="9">
        <f ca="1">'Balance Sheet'!T11</f>
        <v>315022201.36931509</v>
      </c>
      <c r="V22" s="9">
        <f ca="1">'Balance Sheet'!U11</f>
        <v>330689614.93985736</v>
      </c>
      <c r="W22" s="9">
        <f ca="1">'Balance Sheet'!V11</f>
        <v>347265283.63376892</v>
      </c>
      <c r="X22" s="9">
        <f ca="1">'Balance Sheet'!W11</f>
        <v>364746055.19076139</v>
      </c>
      <c r="Y22" s="9">
        <f ca="1">'Balance Sheet'!X11</f>
        <v>383124096.45787972</v>
      </c>
      <c r="Z22" s="9">
        <f ca="1">'Balance Sheet'!Y11</f>
        <v>402386387.98912489</v>
      </c>
      <c r="AA22" s="9">
        <f ca="1">'Balance Sheet'!Z11</f>
        <v>422514179.82869232</v>
      </c>
      <c r="AB22" s="9">
        <f ca="1">'Balance Sheet'!AA11</f>
        <v>443482405.9279483</v>
      </c>
      <c r="AC22" s="9">
        <f ca="1">'Balance Sheet'!AB11</f>
        <v>465259054.49329805</v>
      </c>
      <c r="AD22" s="9">
        <f ca="1">'Balance Sheet'!AC11</f>
        <v>487804491.40047407</v>
      </c>
      <c r="AE22" s="9">
        <f ca="1">'Balance Sheet'!AD11</f>
        <v>511070733.64002717</v>
      </c>
      <c r="AF22" s="9">
        <f ca="1">'Balance Sheet'!AE11</f>
        <v>536046066.04330194</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283965877.36442518</v>
      </c>
      <c r="D23" s="9">
        <f t="shared" ref="D23:AF23" ca="1" si="30">D20-D22</f>
        <v>290526802.55462837</v>
      </c>
      <c r="E23" s="9">
        <f t="shared" ca="1" si="30"/>
        <v>299883069.00551975</v>
      </c>
      <c r="F23" s="9">
        <f t="shared" ca="1" si="30"/>
        <v>312942794.79327589</v>
      </c>
      <c r="G23" s="9">
        <f t="shared" ca="1" si="30"/>
        <v>328756792.86435163</v>
      </c>
      <c r="H23" s="9">
        <f t="shared" ca="1" si="30"/>
        <v>347410630.70976996</v>
      </c>
      <c r="I23" s="9">
        <f t="shared" ca="1" si="30"/>
        <v>366984030.00728834</v>
      </c>
      <c r="J23" s="9">
        <f ca="1">J20-J22</f>
        <v>387633028.78723907</v>
      </c>
      <c r="K23" s="9">
        <f t="shared" ca="1" si="30"/>
        <v>409532737.25310826</v>
      </c>
      <c r="L23" s="9">
        <f t="shared" ca="1" si="30"/>
        <v>432108875.26792407</v>
      </c>
      <c r="M23" s="9">
        <f t="shared" ca="1" si="30"/>
        <v>455455032.68958443</v>
      </c>
      <c r="N23" s="9">
        <f t="shared" ca="1" si="30"/>
        <v>479675971.80178988</v>
      </c>
      <c r="O23" s="9">
        <f t="shared" ca="1" si="30"/>
        <v>504888635.71848792</v>
      </c>
      <c r="P23" s="9">
        <f t="shared" ca="1" si="30"/>
        <v>531223234.05654633</v>
      </c>
      <c r="Q23" s="9">
        <f t="shared" ca="1" si="30"/>
        <v>558313685.27844584</v>
      </c>
      <c r="R23" s="9">
        <f t="shared" ca="1" si="30"/>
        <v>586245082.29377437</v>
      </c>
      <c r="S23" s="9">
        <f t="shared" ca="1" si="30"/>
        <v>615112104.04309154</v>
      </c>
      <c r="T23" s="9">
        <f t="shared" ca="1" si="30"/>
        <v>644423561.39264297</v>
      </c>
      <c r="U23" s="9">
        <f t="shared" ca="1" si="30"/>
        <v>674214078.09611106</v>
      </c>
      <c r="V23" s="9">
        <f t="shared" ca="1" si="30"/>
        <v>704523022.83288777</v>
      </c>
      <c r="W23" s="9">
        <f t="shared" ca="1" si="30"/>
        <v>735394955.91212904</v>
      </c>
      <c r="X23" s="9">
        <f t="shared" ca="1" si="30"/>
        <v>766880109.38503075</v>
      </c>
      <c r="Y23" s="9">
        <f t="shared" ca="1" si="30"/>
        <v>799034902.74876285</v>
      </c>
      <c r="Z23" s="9">
        <f t="shared" ca="1" si="30"/>
        <v>831922496.55655539</v>
      </c>
      <c r="AA23" s="9">
        <f t="shared" ca="1" si="30"/>
        <v>865613386.38687479</v>
      </c>
      <c r="AB23" s="9">
        <f t="shared" ca="1" si="30"/>
        <v>900186039.77094197</v>
      </c>
      <c r="AC23" s="9">
        <f t="shared" ca="1" si="30"/>
        <v>935727578.83238173</v>
      </c>
      <c r="AD23" s="9">
        <f t="shared" ca="1" si="30"/>
        <v>972334511.55605245</v>
      </c>
      <c r="AE23" s="9">
        <f t="shared" ca="1" si="30"/>
        <v>1010113514.7755333</v>
      </c>
      <c r="AF23" s="9">
        <f t="shared" ca="1" si="30"/>
        <v>1048136875.6859816</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167</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83495000</v>
      </c>
      <c r="D5" s="1">
        <f ca="1">C5+C6</f>
        <v>103013620.24988356</v>
      </c>
      <c r="E5" s="1">
        <f t="shared" ref="E5:AF5" ca="1" si="1">D5+D6</f>
        <v>120571444.6931618</v>
      </c>
      <c r="F5" s="1">
        <f t="shared" ca="1" si="1"/>
        <v>135287060.70818865</v>
      </c>
      <c r="G5" s="1">
        <f t="shared" ca="1" si="1"/>
        <v>148137215.37758493</v>
      </c>
      <c r="H5" s="1">
        <f t="shared" ca="1" si="1"/>
        <v>159064783.16033372</v>
      </c>
      <c r="I5" s="1">
        <f t="shared" ca="1" si="1"/>
        <v>170019394.47108379</v>
      </c>
      <c r="J5" s="1">
        <f t="shared" ca="1" si="1"/>
        <v>180875302.63886604</v>
      </c>
      <c r="K5" s="1">
        <f t="shared" ca="1" si="1"/>
        <v>191488658.14305744</v>
      </c>
      <c r="L5" s="1">
        <f t="shared" ca="1" si="1"/>
        <v>202466002.14534414</v>
      </c>
      <c r="M5" s="1">
        <f t="shared" ca="1" si="1"/>
        <v>213747038.16533357</v>
      </c>
      <c r="N5" s="1">
        <f t="shared" ca="1" si="1"/>
        <v>225261362.68491066</v>
      </c>
      <c r="O5" s="1">
        <f t="shared" ca="1" si="1"/>
        <v>236927490.83621222</v>
      </c>
      <c r="P5" s="1">
        <f t="shared" ca="1" si="1"/>
        <v>248651805.91232929</v>
      </c>
      <c r="Q5" s="1">
        <f t="shared" ca="1" si="1"/>
        <v>260838153.33385909</v>
      </c>
      <c r="R5" s="1">
        <f t="shared" ca="1" si="1"/>
        <v>273440412.51854956</v>
      </c>
      <c r="S5" s="1">
        <f t="shared" ca="1" si="1"/>
        <v>286404123.96765196</v>
      </c>
      <c r="T5" s="1">
        <f t="shared" ca="1" si="1"/>
        <v>300261983.27886957</v>
      </c>
      <c r="U5" s="1">
        <f t="shared" ca="1" si="1"/>
        <v>315022201.36931509</v>
      </c>
      <c r="V5" s="1">
        <f t="shared" ca="1" si="1"/>
        <v>330689614.93985736</v>
      </c>
      <c r="W5" s="1">
        <f t="shared" ca="1" si="1"/>
        <v>347265283.63376892</v>
      </c>
      <c r="X5" s="1">
        <f t="shared" ca="1" si="1"/>
        <v>364746055.19076139</v>
      </c>
      <c r="Y5" s="1">
        <f t="shared" ca="1" si="1"/>
        <v>383124096.45787972</v>
      </c>
      <c r="Z5" s="1">
        <f t="shared" ca="1" si="1"/>
        <v>402386387.98912489</v>
      </c>
      <c r="AA5" s="1">
        <f t="shared" ca="1" si="1"/>
        <v>422514179.82869232</v>
      </c>
      <c r="AB5" s="1">
        <f t="shared" ca="1" si="1"/>
        <v>443482405.9279483</v>
      </c>
      <c r="AC5" s="1">
        <f t="shared" ca="1" si="1"/>
        <v>465259054.49329805</v>
      </c>
      <c r="AD5" s="1">
        <f t="shared" ca="1" si="1"/>
        <v>487804491.40047407</v>
      </c>
      <c r="AE5" s="1">
        <f t="shared" ca="1" si="1"/>
        <v>511070733.64002717</v>
      </c>
      <c r="AF5" s="1">
        <f t="shared" ca="1" si="1"/>
        <v>536046066.04330194</v>
      </c>
      <c r="AG5" s="1"/>
      <c r="AH5" s="1"/>
      <c r="AI5" s="1"/>
      <c r="AJ5" s="1"/>
      <c r="AK5" s="1"/>
      <c r="AL5" s="1"/>
      <c r="AM5" s="1"/>
      <c r="AN5" s="1"/>
      <c r="AO5" s="1"/>
      <c r="AP5" s="1"/>
    </row>
    <row r="6" spans="1:42" x14ac:dyDescent="0.35">
      <c r="A6" s="63" t="s">
        <v>3</v>
      </c>
      <c r="C6" s="1">
        <f ca="1">-'Cash Flow'!C13</f>
        <v>19518620.24988357</v>
      </c>
      <c r="D6" s="1">
        <f ca="1">-'Cash Flow'!D13</f>
        <v>17557824.443278238</v>
      </c>
      <c r="E6" s="1">
        <f ca="1">-'Cash Flow'!E13</f>
        <v>14715616.015026841</v>
      </c>
      <c r="F6" s="1">
        <f ca="1">-'Cash Flow'!F13</f>
        <v>12850154.669396289</v>
      </c>
      <c r="G6" s="1">
        <f ca="1">-'Cash Flow'!G13</f>
        <v>10927567.782748796</v>
      </c>
      <c r="H6" s="1">
        <f ca="1">-'Cash Flow'!H13</f>
        <v>10954611.310750075</v>
      </c>
      <c r="I6" s="1">
        <f ca="1">-'Cash Flow'!I13</f>
        <v>10855908.16778224</v>
      </c>
      <c r="J6" s="1">
        <f ca="1">-'Cash Flow'!J13</f>
        <v>10613355.504191399</v>
      </c>
      <c r="K6" s="1">
        <f ca="1">-'Cash Flow'!K13</f>
        <v>10977344.002286717</v>
      </c>
      <c r="L6" s="1">
        <f ca="1">-'Cash Flow'!L13</f>
        <v>11281036.019989431</v>
      </c>
      <c r="M6" s="1">
        <f ca="1">-'Cash Flow'!M13</f>
        <v>11514324.519577086</v>
      </c>
      <c r="N6" s="1">
        <f ca="1">-'Cash Flow'!N13</f>
        <v>11666128.151301578</v>
      </c>
      <c r="O6" s="1">
        <f ca="1">-'Cash Flow'!O13</f>
        <v>11724315.076117069</v>
      </c>
      <c r="P6" s="1">
        <f ca="1">-'Cash Flow'!P13</f>
        <v>12186347.4215298</v>
      </c>
      <c r="Q6" s="1">
        <f ca="1">-'Cash Flow'!Q13</f>
        <v>12602259.184690453</v>
      </c>
      <c r="R6" s="1">
        <f ca="1">-'Cash Flow'!R13</f>
        <v>12963711.449102424</v>
      </c>
      <c r="S6" s="1">
        <f ca="1">-'Cash Flow'!S13</f>
        <v>13857859.311217621</v>
      </c>
      <c r="T6" s="1">
        <f ca="1">-'Cash Flow'!T13</f>
        <v>14760218.090445511</v>
      </c>
      <c r="U6" s="1">
        <f ca="1">-'Cash Flow'!U13</f>
        <v>15667413.570542246</v>
      </c>
      <c r="V6" s="1">
        <f ca="1">-'Cash Flow'!V13</f>
        <v>16575668.693911567</v>
      </c>
      <c r="W6" s="1">
        <f ca="1">-'Cash Flow'!W13</f>
        <v>17480771.556992456</v>
      </c>
      <c r="X6" s="1">
        <f ca="1">-'Cash Flow'!X13</f>
        <v>18378041.26711832</v>
      </c>
      <c r="Y6" s="1">
        <f ca="1">-'Cash Flow'!Y13</f>
        <v>19262291.531245202</v>
      </c>
      <c r="Z6" s="1">
        <f ca="1">-'Cash Flow'!Z13</f>
        <v>20127791.839567393</v>
      </c>
      <c r="AA6" s="1">
        <f ca="1">-'Cash Flow'!AA13</f>
        <v>20968226.099255979</v>
      </c>
      <c r="AB6" s="1">
        <f ca="1">-'Cash Flow'!AB13</f>
        <v>21776648.565349773</v>
      </c>
      <c r="AC6" s="1">
        <f ca="1">-'Cash Flow'!AC13</f>
        <v>22545436.907176048</v>
      </c>
      <c r="AD6" s="1">
        <f ca="1">-'Cash Flow'!AD13</f>
        <v>23266242.239553124</v>
      </c>
      <c r="AE6" s="1">
        <f ca="1">-'Cash Flow'!AE13</f>
        <v>24975332.403274804</v>
      </c>
      <c r="AF6" s="1">
        <f ca="1">-'Cash Flow'!AF13</f>
        <v>26750088.413254961</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3605476.7087459252</v>
      </c>
      <c r="D8" s="1">
        <f ca="1">IF(SUM(D5:D6)&gt;0,Assumptions!$C$26*SUM(D5:D6),Assumptions!$C$27*(SUM(D5:D6)))</f>
        <v>4220000.5642606635</v>
      </c>
      <c r="E8" s="1">
        <f ca="1">IF(SUM(E5:E6)&gt;0,Assumptions!$C$26*SUM(E5:E6),Assumptions!$C$27*(SUM(E5:E6)))</f>
        <v>4735047.1247866033</v>
      </c>
      <c r="F8" s="1">
        <f ca="1">IF(SUM(F5:F6)&gt;0,Assumptions!$C$26*SUM(F5:F6),Assumptions!$C$27*(SUM(F5:F6)))</f>
        <v>5184802.5382154733</v>
      </c>
      <c r="G8" s="1">
        <f ca="1">IF(SUM(G5:G6)&gt;0,Assumptions!$C$26*SUM(G5:G6),Assumptions!$C$27*(SUM(G5:G6)))</f>
        <v>5567267.4106116807</v>
      </c>
      <c r="H8" s="1">
        <f ca="1">IF(SUM(H5:H6)&gt;0,Assumptions!$C$26*SUM(H5:H6),Assumptions!$C$27*(SUM(H5:H6)))</f>
        <v>5950678.8064879328</v>
      </c>
      <c r="I8" s="1">
        <f ca="1">IF(SUM(I5:I6)&gt;0,Assumptions!$C$26*SUM(I5:I6),Assumptions!$C$27*(SUM(I5:I6)))</f>
        <v>6330635.5923603121</v>
      </c>
      <c r="J8" s="1">
        <f ca="1">IF(SUM(J5:J6)&gt;0,Assumptions!$C$26*SUM(J5:J6),Assumptions!$C$27*(SUM(J5:J6)))</f>
        <v>6702103.0350070111</v>
      </c>
      <c r="K8" s="1">
        <f ca="1">IF(SUM(K5:K6)&gt;0,Assumptions!$C$26*SUM(K5:K6),Assumptions!$C$27*(SUM(K5:K6)))</f>
        <v>7086310.0750870453</v>
      </c>
      <c r="L8" s="1">
        <f ca="1">IF(SUM(L5:L6)&gt;0,Assumptions!$C$26*SUM(L5:L6),Assumptions!$C$27*(SUM(L5:L6)))</f>
        <v>7481146.335786676</v>
      </c>
      <c r="M8" s="1">
        <f ca="1">IF(SUM(M5:M6)&gt;0,Assumptions!$C$26*SUM(M5:M6),Assumptions!$C$27*(SUM(M5:M6)))</f>
        <v>7884147.6939718733</v>
      </c>
      <c r="N8" s="1">
        <f ca="1">IF(SUM(N5:N6)&gt;0,Assumptions!$C$26*SUM(N5:N6),Assumptions!$C$27*(SUM(N5:N6)))</f>
        <v>8292462.1792674288</v>
      </c>
      <c r="O8" s="1">
        <f ca="1">IF(SUM(O5:O6)&gt;0,Assumptions!$C$26*SUM(O5:O6),Assumptions!$C$27*(SUM(O5:O6)))</f>
        <v>8702813.2069315258</v>
      </c>
      <c r="P8" s="1">
        <f ca="1">IF(SUM(P5:P6)&gt;0,Assumptions!$C$26*SUM(P5:P6),Assumptions!$C$27*(SUM(P5:P6)))</f>
        <v>9129335.3666850682</v>
      </c>
      <c r="Q8" s="1">
        <f ca="1">IF(SUM(Q5:Q6)&gt;0,Assumptions!$C$26*SUM(Q5:Q6),Assumptions!$C$27*(SUM(Q5:Q6)))</f>
        <v>9570414.4381492361</v>
      </c>
      <c r="R8" s="1">
        <f ca="1">IF(SUM(R5:R6)&gt;0,Assumptions!$C$26*SUM(R5:R6),Assumptions!$C$27*(SUM(R5:R6)))</f>
        <v>10024144.338867819</v>
      </c>
      <c r="S8" s="1">
        <f ca="1">IF(SUM(S5:S6)&gt;0,Assumptions!$C$26*SUM(S5:S6),Assumptions!$C$27*(SUM(S5:S6)))</f>
        <v>10509169.414760435</v>
      </c>
      <c r="T8" s="1">
        <f ca="1">IF(SUM(T5:T6)&gt;0,Assumptions!$C$26*SUM(T5:T6),Assumptions!$C$27*(SUM(T5:T6)))</f>
        <v>11025777.047926029</v>
      </c>
      <c r="U8" s="1">
        <f ca="1">IF(SUM(U5:U6)&gt;0,Assumptions!$C$26*SUM(U5:U6),Assumptions!$C$27*(SUM(U5:U6)))</f>
        <v>11574136.522895008</v>
      </c>
      <c r="V8" s="1">
        <f ca="1">IF(SUM(V5:V6)&gt;0,Assumptions!$C$26*SUM(V5:V6),Assumptions!$C$27*(SUM(V5:V6)))</f>
        <v>12154284.927181913</v>
      </c>
      <c r="W8" s="1">
        <f ca="1">IF(SUM(W5:W6)&gt;0,Assumptions!$C$26*SUM(W5:W6),Assumptions!$C$27*(SUM(W5:W6)))</f>
        <v>12766111.93167665</v>
      </c>
      <c r="X8" s="1">
        <f ca="1">IF(SUM(X5:X6)&gt;0,Assumptions!$C$26*SUM(X5:X6),Assumptions!$C$27*(SUM(X5:X6)))</f>
        <v>13409343.376025792</v>
      </c>
      <c r="Y8" s="1">
        <f ca="1">IF(SUM(Y5:Y6)&gt;0,Assumptions!$C$26*SUM(Y5:Y6),Assumptions!$C$27*(SUM(Y5:Y6)))</f>
        <v>14083523.579619372</v>
      </c>
      <c r="Z8" s="1">
        <f ca="1">IF(SUM(Z5:Z6)&gt;0,Assumptions!$C$26*SUM(Z5:Z6),Assumptions!$C$27*(SUM(Z5:Z6)))</f>
        <v>14787996.294004232</v>
      </c>
      <c r="AA8" s="1">
        <f ca="1">IF(SUM(AA5:AA6)&gt;0,Assumptions!$C$26*SUM(AA5:AA6),Assumptions!$C$27*(SUM(AA5:AA6)))</f>
        <v>15521884.207478192</v>
      </c>
      <c r="AB8" s="1">
        <f ca="1">IF(SUM(AB5:AB6)&gt;0,Assumptions!$C$26*SUM(AB5:AB6),Assumptions!$C$27*(SUM(AB5:AB6)))</f>
        <v>16284066.907265434</v>
      </c>
      <c r="AC8" s="1">
        <f ca="1">IF(SUM(AC5:AC6)&gt;0,Assumptions!$C$26*SUM(AC5:AC6),Assumptions!$C$27*(SUM(AC5:AC6)))</f>
        <v>17073157.199016593</v>
      </c>
      <c r="AD8" s="1">
        <f ca="1">IF(SUM(AD5:AD6)&gt;0,Assumptions!$C$26*SUM(AD5:AD6),Assumptions!$C$27*(SUM(AD5:AD6)))</f>
        <v>17887475.677400954</v>
      </c>
      <c r="AE8" s="1">
        <f ca="1">IF(SUM(AE5:AE6)&gt;0,Assumptions!$C$26*SUM(AE5:AE6),Assumptions!$C$27*(SUM(AE5:AE6)))</f>
        <v>18761612.31151557</v>
      </c>
      <c r="AF8" s="1">
        <f ca="1">IF(SUM(AF5:AF6)&gt;0,Assumptions!$C$26*SUM(AF5:AF6),Assumptions!$C$27*(SUM(AF5:AF6)))</f>
        <v>19697865.405979495</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4"/>
  <sheetViews>
    <sheetView zoomScaleNormal="100" workbookViewId="0">
      <selection sqref="A1:XFD1048576"/>
    </sheetView>
  </sheetViews>
  <sheetFormatPr defaultRowHeight="15.5" x14ac:dyDescent="0.35"/>
  <cols>
    <col min="1" max="1" width="107.9140625" style="63" customWidth="1"/>
    <col min="2" max="2" width="18.1640625" style="63" bestFit="1" customWidth="1"/>
    <col min="3" max="3" width="76.25" style="63" customWidth="1"/>
    <col min="4" max="16384" width="8.6640625" style="63"/>
  </cols>
  <sheetData>
    <row r="1" spans="1:3" ht="26" x14ac:dyDescent="0.6">
      <c r="A1" s="13" t="s">
        <v>186</v>
      </c>
    </row>
    <row r="2" spans="1:3" ht="26" x14ac:dyDescent="0.6">
      <c r="A2" s="13"/>
    </row>
    <row r="3" spans="1:3" ht="186" x14ac:dyDescent="0.35">
      <c r="A3" s="173" t="s">
        <v>189</v>
      </c>
      <c r="B3" s="179"/>
    </row>
    <row r="4" spans="1:3" ht="26" x14ac:dyDescent="0.6">
      <c r="A4" s="13"/>
      <c r="B4" s="179"/>
    </row>
    <row r="5" spans="1:3" ht="18.5" x14ac:dyDescent="0.45">
      <c r="A5" s="89" t="s">
        <v>178</v>
      </c>
      <c r="B5" s="180"/>
    </row>
    <row r="6" spans="1:3" ht="18.5" x14ac:dyDescent="0.45">
      <c r="A6" s="90"/>
      <c r="B6" s="180"/>
    </row>
    <row r="7" spans="1:3" ht="18.5" x14ac:dyDescent="0.45">
      <c r="A7" s="90" t="s">
        <v>96</v>
      </c>
      <c r="B7" s="181">
        <f>Assumptions!C24</f>
        <v>30686000</v>
      </c>
      <c r="C7" s="190" t="str">
        <f>Assumptions!B24</f>
        <v>RFI Table F10; Lines F10.62 + F10.70</v>
      </c>
    </row>
    <row r="8" spans="1:3" ht="18.5" x14ac:dyDescent="0.45">
      <c r="A8" s="90" t="s">
        <v>175</v>
      </c>
      <c r="B8" s="182">
        <f>Assumptions!$C$133</f>
        <v>0.7</v>
      </c>
      <c r="C8" s="190" t="s">
        <v>199</v>
      </c>
    </row>
    <row r="9" spans="1:3" ht="18.5" x14ac:dyDescent="0.45">
      <c r="A9" s="90"/>
      <c r="B9" s="183"/>
      <c r="C9" s="190"/>
    </row>
    <row r="10" spans="1:3" ht="51" x14ac:dyDescent="0.45">
      <c r="A10" s="94" t="s">
        <v>102</v>
      </c>
      <c r="B10" s="184">
        <f>Assumptions!C135</f>
        <v>8412.2222222222208</v>
      </c>
      <c r="C10" s="190" t="s">
        <v>200</v>
      </c>
    </row>
    <row r="11" spans="1:3" ht="18.5" x14ac:dyDescent="0.45">
      <c r="A11" s="94"/>
      <c r="B11" s="185"/>
      <c r="C11" s="190"/>
    </row>
    <row r="12" spans="1:3" ht="18.5" x14ac:dyDescent="0.45">
      <c r="A12" s="94" t="s">
        <v>185</v>
      </c>
      <c r="B12" s="181">
        <f>(B7*B8)/B10</f>
        <v>2553.4513274336286</v>
      </c>
      <c r="C12" s="190"/>
    </row>
    <row r="13" spans="1:3" ht="18.5" x14ac:dyDescent="0.45">
      <c r="A13" s="96"/>
      <c r="B13" s="186"/>
      <c r="C13" s="190"/>
    </row>
    <row r="14" spans="1:3" ht="18.5" x14ac:dyDescent="0.45">
      <c r="A14" s="94" t="s">
        <v>103</v>
      </c>
      <c r="B14" s="103">
        <v>1</v>
      </c>
      <c r="C14" s="190"/>
    </row>
    <row r="15" spans="1:3" ht="18.5" x14ac:dyDescent="0.45">
      <c r="A15" s="96"/>
      <c r="B15" s="99"/>
      <c r="C15" s="190"/>
    </row>
    <row r="16" spans="1:3" ht="18.5" x14ac:dyDescent="0.45">
      <c r="A16" s="96" t="s">
        <v>180</v>
      </c>
      <c r="B16" s="187">
        <f>B12/B14</f>
        <v>2553.4513274336286</v>
      </c>
      <c r="C16" s="190"/>
    </row>
    <row r="17" spans="1:3" ht="18.5" x14ac:dyDescent="0.45">
      <c r="A17" s="94"/>
      <c r="B17" s="188"/>
      <c r="C17" s="190"/>
    </row>
    <row r="18" spans="1:3" ht="18.5" x14ac:dyDescent="0.45">
      <c r="A18" s="102" t="s">
        <v>179</v>
      </c>
      <c r="B18" s="188"/>
      <c r="C18" s="190"/>
    </row>
    <row r="19" spans="1:3" ht="18.5" x14ac:dyDescent="0.45">
      <c r="A19" s="94"/>
      <c r="B19" s="188"/>
      <c r="C19" s="190"/>
    </row>
    <row r="20" spans="1:3" ht="18.5" x14ac:dyDescent="0.45">
      <c r="A20" s="94" t="s">
        <v>65</v>
      </c>
      <c r="B20" s="181">
        <f>'Profit and Loss'!L5</f>
        <v>81793440.356960654</v>
      </c>
      <c r="C20" s="190" t="s">
        <v>201</v>
      </c>
    </row>
    <row r="21" spans="1:3" ht="18.5" x14ac:dyDescent="0.45">
      <c r="A21" s="94" t="str">
        <f>A8</f>
        <v>Assumed revenue from households</v>
      </c>
      <c r="B21" s="182">
        <f>B8</f>
        <v>0.7</v>
      </c>
      <c r="C21" s="190" t="s">
        <v>199</v>
      </c>
    </row>
    <row r="22" spans="1:3" ht="18.5" x14ac:dyDescent="0.45">
      <c r="A22" s="94"/>
      <c r="B22" s="185"/>
      <c r="C22" s="190"/>
    </row>
    <row r="23" spans="1:3" ht="18.5" x14ac:dyDescent="0.45">
      <c r="A23" s="94" t="s">
        <v>101</v>
      </c>
      <c r="B23" s="184">
        <f>Assumptions!M135</f>
        <v>9993.7304099273078</v>
      </c>
      <c r="C23" s="190" t="s">
        <v>202</v>
      </c>
    </row>
    <row r="24" spans="1:3" ht="18.5" x14ac:dyDescent="0.45">
      <c r="A24" s="94"/>
      <c r="B24" s="185"/>
      <c r="C24" s="190"/>
    </row>
    <row r="25" spans="1:3" ht="18.5" x14ac:dyDescent="0.45">
      <c r="A25" s="94" t="s">
        <v>184</v>
      </c>
      <c r="B25" s="181">
        <f>(B20*B21)/B23</f>
        <v>5729.1327563726945</v>
      </c>
      <c r="C25" s="190"/>
    </row>
    <row r="26" spans="1:3" ht="18.5" x14ac:dyDescent="0.45">
      <c r="A26" s="94"/>
      <c r="B26" s="181"/>
      <c r="C26" s="190"/>
    </row>
    <row r="27" spans="1:3" ht="18.5" x14ac:dyDescent="0.45">
      <c r="A27" s="94" t="s">
        <v>103</v>
      </c>
      <c r="B27" s="103">
        <f>1.022^11</f>
        <v>1.2704566586717592</v>
      </c>
      <c r="C27" s="190" t="s">
        <v>203</v>
      </c>
    </row>
    <row r="28" spans="1:3" ht="18.5" x14ac:dyDescent="0.45">
      <c r="A28" s="96"/>
      <c r="B28" s="186"/>
      <c r="C28" s="190"/>
    </row>
    <row r="29" spans="1:3" ht="18.5" x14ac:dyDescent="0.45">
      <c r="A29" s="96" t="s">
        <v>181</v>
      </c>
      <c r="B29" s="181">
        <f>B25/B27</f>
        <v>4509.506654372929</v>
      </c>
      <c r="C29" s="190"/>
    </row>
    <row r="30" spans="1:3" ht="18.5" x14ac:dyDescent="0.45">
      <c r="A30" s="96"/>
      <c r="B30" s="186"/>
      <c r="C30" s="190"/>
    </row>
    <row r="31" spans="1:3" ht="18.5" x14ac:dyDescent="0.45">
      <c r="A31" s="102" t="s">
        <v>187</v>
      </c>
      <c r="B31" s="189"/>
      <c r="C31" s="190"/>
    </row>
    <row r="32" spans="1:3" ht="18.5" x14ac:dyDescent="0.45">
      <c r="A32" s="94"/>
      <c r="B32" s="181"/>
      <c r="C32" s="190"/>
    </row>
    <row r="33" spans="1:3" ht="18.5" x14ac:dyDescent="0.45">
      <c r="A33" s="94" t="s">
        <v>66</v>
      </c>
      <c r="B33" s="181">
        <f>'Profit and Loss'!AF5</f>
        <v>215659084.00093135</v>
      </c>
      <c r="C33" s="190" t="s">
        <v>201</v>
      </c>
    </row>
    <row r="34" spans="1:3" ht="18.5" x14ac:dyDescent="0.45">
      <c r="A34" s="94" t="str">
        <f>A21</f>
        <v>Assumed revenue from households</v>
      </c>
      <c r="B34" s="182">
        <f>B21</f>
        <v>0.7</v>
      </c>
      <c r="C34" s="190" t="s">
        <v>199</v>
      </c>
    </row>
    <row r="35" spans="1:3" ht="18.5" x14ac:dyDescent="0.45">
      <c r="A35" s="94"/>
      <c r="B35" s="185"/>
      <c r="C35" s="190"/>
    </row>
    <row r="36" spans="1:3" ht="18.5" x14ac:dyDescent="0.45">
      <c r="A36" s="94" t="s">
        <v>100</v>
      </c>
      <c r="B36" s="184">
        <f>Assumptions!AG135</f>
        <v>14104.620835691254</v>
      </c>
      <c r="C36" s="190" t="s">
        <v>202</v>
      </c>
    </row>
    <row r="37" spans="1:3" ht="18.5" x14ac:dyDescent="0.45">
      <c r="A37" s="94"/>
      <c r="B37" s="185"/>
      <c r="C37" s="190"/>
    </row>
    <row r="38" spans="1:3" ht="18.5" x14ac:dyDescent="0.45">
      <c r="A38" s="94" t="s">
        <v>183</v>
      </c>
      <c r="B38" s="181">
        <f>(B33*B34)/B36</f>
        <v>10702.971782031138</v>
      </c>
      <c r="C38" s="190"/>
    </row>
    <row r="39" spans="1:3" ht="18.5" x14ac:dyDescent="0.45">
      <c r="A39" s="94"/>
      <c r="B39" s="185"/>
      <c r="C39" s="190"/>
    </row>
    <row r="40" spans="1:3" ht="18.5" x14ac:dyDescent="0.45">
      <c r="A40" s="94" t="s">
        <v>103</v>
      </c>
      <c r="B40" s="103">
        <f>1.022^31</f>
        <v>1.9632597808456462</v>
      </c>
      <c r="C40" s="190" t="s">
        <v>203</v>
      </c>
    </row>
    <row r="41" spans="1:3" ht="18.5" x14ac:dyDescent="0.45">
      <c r="A41" s="96"/>
      <c r="B41" s="186"/>
    </row>
    <row r="42" spans="1:3" ht="18.5" x14ac:dyDescent="0.45">
      <c r="A42" s="96" t="s">
        <v>182</v>
      </c>
      <c r="B42" s="181">
        <f>B38/B40</f>
        <v>5451.6329863493584</v>
      </c>
    </row>
    <row r="43" spans="1:3" x14ac:dyDescent="0.35">
      <c r="B43" s="179"/>
    </row>
    <row r="44" spans="1:3" x14ac:dyDescent="0.35">
      <c r="B44" s="17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60" zoomScaleNormal="6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162</v>
      </c>
    </row>
    <row r="2" spans="1:33" ht="26.5" thickBot="1" x14ac:dyDescent="0.4">
      <c r="A2" s="111"/>
      <c r="B2" s="111"/>
      <c r="D2" s="112"/>
    </row>
    <row r="3" spans="1:33" s="114" customFormat="1" ht="21.5" thickBot="1" x14ac:dyDescent="0.4">
      <c r="A3" s="84"/>
      <c r="B3" s="84"/>
      <c r="C3" s="113"/>
      <c r="D3" s="193" t="s">
        <v>27</v>
      </c>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139</v>
      </c>
      <c r="C13" s="127">
        <v>1.7376470711863101E-2</v>
      </c>
      <c r="D13" s="128">
        <f t="shared" ref="D13:AG13" si="3">(1+$C$13)^D8</f>
        <v>1.0173764707118631</v>
      </c>
      <c r="E13" s="128">
        <f t="shared" si="3"/>
        <v>1.0350548831581265</v>
      </c>
      <c r="F13" s="128">
        <f t="shared" si="3"/>
        <v>1.0530404840204945</v>
      </c>
      <c r="G13" s="128">
        <f t="shared" si="3"/>
        <v>1.0713386111494829</v>
      </c>
      <c r="H13" s="128">
        <f t="shared" si="3"/>
        <v>1.0899546951486101</v>
      </c>
      <c r="I13" s="128">
        <f t="shared" si="3"/>
        <v>1.1088942609861177</v>
      </c>
      <c r="J13" s="128">
        <f t="shared" si="3"/>
        <v>1.128162929634696</v>
      </c>
      <c r="K13" s="128">
        <f t="shared" si="3"/>
        <v>1.1477664197397031</v>
      </c>
      <c r="L13" s="128">
        <f t="shared" si="3"/>
        <v>1.16771054931637</v>
      </c>
      <c r="M13" s="128">
        <f t="shared" si="3"/>
        <v>1.1880012374764997</v>
      </c>
      <c r="N13" s="128">
        <f t="shared" si="3"/>
        <v>1.2086445061851669</v>
      </c>
      <c r="O13" s="128">
        <f t="shared" si="3"/>
        <v>1.229646482047948</v>
      </c>
      <c r="P13" s="128">
        <f t="shared" si="3"/>
        <v>1.2510133981291998</v>
      </c>
      <c r="Q13" s="128">
        <f t="shared" si="3"/>
        <v>1.2727515958019402</v>
      </c>
      <c r="R13" s="128">
        <f t="shared" si="3"/>
        <v>1.2948675266298695</v>
      </c>
      <c r="S13" s="128">
        <f t="shared" si="3"/>
        <v>1.3173677542820963</v>
      </c>
      <c r="T13" s="128">
        <f t="shared" si="3"/>
        <v>1.340258956481132</v>
      </c>
      <c r="U13" s="128">
        <f t="shared" si="3"/>
        <v>1.3635479269847388</v>
      </c>
      <c r="V13" s="128">
        <f t="shared" si="3"/>
        <v>1.3872415776022107</v>
      </c>
      <c r="W13" s="128">
        <f t="shared" si="3"/>
        <v>1.4113469402456944</v>
      </c>
      <c r="X13" s="128">
        <f t="shared" si="3"/>
        <v>1.4358711690171513</v>
      </c>
      <c r="Y13" s="128">
        <f t="shared" si="3"/>
        <v>1.4608215423315867</v>
      </c>
      <c r="Z13" s="128">
        <f t="shared" si="3"/>
        <v>1.4862054650771701</v>
      </c>
      <c r="AA13" s="128">
        <f t="shared" si="3"/>
        <v>1.5120304708128944</v>
      </c>
      <c r="AB13" s="128">
        <f t="shared" si="3"/>
        <v>1.5383042240044194</v>
      </c>
      <c r="AC13" s="128">
        <f t="shared" si="3"/>
        <v>1.5650345222987678</v>
      </c>
      <c r="AD13" s="128">
        <f t="shared" si="3"/>
        <v>1.5922292988385467</v>
      </c>
      <c r="AE13" s="128">
        <f t="shared" si="3"/>
        <v>1.6198966246163853</v>
      </c>
      <c r="AF13" s="128">
        <f t="shared" si="3"/>
        <v>1.648044710870278</v>
      </c>
      <c r="AG13" s="128">
        <f t="shared" si="3"/>
        <v>1.6766819115205562</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193</v>
      </c>
      <c r="B15" s="178" t="s">
        <v>194</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171</v>
      </c>
      <c r="C17" s="136">
        <f>AVERAGE(C49:C50)</f>
        <v>684380000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342190000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138</v>
      </c>
      <c r="C20" s="137">
        <v>83495000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160</v>
      </c>
      <c r="B22" s="178" t="s">
        <v>194</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137</v>
      </c>
      <c r="C24" s="136">
        <v>30686000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192" t="s">
        <v>204</v>
      </c>
      <c r="C25" s="136">
        <v>14674000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161</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135</v>
      </c>
      <c r="C49" s="71">
        <v>622170000</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136</v>
      </c>
      <c r="C50" s="71">
        <v>746589999.99999988</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172</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172</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1837606.4144933473</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3118628.7500194111</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2478117.5822563791</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5008802.1580241248</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7997470.5340007599</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6503136.3460124424</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9621765.0960318539</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142</v>
      </c>
      <c r="B77" s="191" t="s">
        <v>177</v>
      </c>
      <c r="C77" s="87">
        <v>72251618.659075409</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143</v>
      </c>
      <c r="B79" s="69" t="s">
        <v>156</v>
      </c>
      <c r="C79" s="87">
        <v>638695076.63062274</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144</v>
      </c>
      <c r="B80" s="69" t="s">
        <v>156</v>
      </c>
      <c r="C80" s="87">
        <v>686038742.12245798</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145</v>
      </c>
      <c r="B82" s="69" t="s">
        <v>86</v>
      </c>
      <c r="C82" s="87">
        <f>C79+$C$77</f>
        <v>710946695.28969812</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146</v>
      </c>
      <c r="B83" s="69" t="s">
        <v>86</v>
      </c>
      <c r="C83" s="87">
        <f>C80+$C$77</f>
        <v>758290360.78153336</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151</v>
      </c>
      <c r="B85" s="69" t="s">
        <v>198</v>
      </c>
      <c r="C85" s="150">
        <v>23000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152</v>
      </c>
      <c r="B86" s="69" t="s">
        <v>134</v>
      </c>
      <c r="C86" s="150">
        <v>22426</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22713</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147</v>
      </c>
      <c r="B89" s="69" t="s">
        <v>86</v>
      </c>
      <c r="C89" s="150">
        <f>C82/$C$87</f>
        <v>31301.311816567522</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147</v>
      </c>
      <c r="B90" s="69" t="s">
        <v>86</v>
      </c>
      <c r="C90" s="150">
        <f>C83/$C$87</f>
        <v>33385.742120439107</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148</v>
      </c>
      <c r="B92" s="69" t="s">
        <v>155</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149</v>
      </c>
      <c r="B94" s="69" t="s">
        <v>86</v>
      </c>
      <c r="C94" s="87">
        <f>IF(C89&lt;$C$92,C89*$C$87,$C$92*$C$87)</f>
        <v>710946695.28969812</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150</v>
      </c>
      <c r="B95" s="69" t="s">
        <v>86</v>
      </c>
      <c r="C95" s="87">
        <f>IF(C90&lt;$C$92,C90*$C$87,$C$92*$C$87)</f>
        <v>758290360.78153348</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154</v>
      </c>
      <c r="B96" s="69" t="s">
        <v>86</v>
      </c>
      <c r="C96" s="87">
        <f>AVERAGE(C94:C95)</f>
        <v>734618528.0356158</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734618528.0356158</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24487284.26785386</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170</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170</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9621765.0960318539</v>
      </c>
      <c r="E111" s="149">
        <f t="shared" si="9"/>
        <v>9621765.0960318539</v>
      </c>
      <c r="F111" s="149">
        <f t="shared" si="9"/>
        <v>9621765.0960318539</v>
      </c>
      <c r="G111" s="149">
        <f t="shared" si="9"/>
        <v>9621765.0960318539</v>
      </c>
      <c r="H111" s="149">
        <f t="shared" si="9"/>
        <v>9621765.0960318539</v>
      </c>
      <c r="I111" s="149">
        <f t="shared" si="9"/>
        <v>9621765.0960318539</v>
      </c>
      <c r="J111" s="149">
        <f t="shared" si="9"/>
        <v>9621765.0960318539</v>
      </c>
      <c r="K111" s="149">
        <f t="shared" si="9"/>
        <v>9621765.0960318539</v>
      </c>
      <c r="L111" s="149">
        <f t="shared" si="9"/>
        <v>9621765.0960318539</v>
      </c>
      <c r="M111" s="149">
        <f t="shared" si="9"/>
        <v>9621765.0960318539</v>
      </c>
      <c r="N111" s="149">
        <f t="shared" si="9"/>
        <v>9621765.0960318539</v>
      </c>
      <c r="O111" s="149">
        <f t="shared" si="9"/>
        <v>9621765.0960318539</v>
      </c>
      <c r="P111" s="149">
        <f t="shared" si="9"/>
        <v>9621765.0960318539</v>
      </c>
      <c r="Q111" s="149">
        <f t="shared" si="9"/>
        <v>9621765.0960318539</v>
      </c>
      <c r="R111" s="149">
        <f t="shared" si="9"/>
        <v>9621765.0960318539</v>
      </c>
      <c r="S111" s="149">
        <f t="shared" si="9"/>
        <v>9621765.0960318539</v>
      </c>
      <c r="T111" s="149">
        <f t="shared" si="9"/>
        <v>9621765.0960318539</v>
      </c>
      <c r="U111" s="149">
        <f t="shared" si="9"/>
        <v>9621765.0960318539</v>
      </c>
      <c r="V111" s="149">
        <f t="shared" si="9"/>
        <v>9621765.0960318539</v>
      </c>
      <c r="W111" s="149">
        <f t="shared" si="9"/>
        <v>9621765.0960318539</v>
      </c>
      <c r="X111" s="149">
        <f t="shared" si="9"/>
        <v>9621765.0960318539</v>
      </c>
      <c r="Y111" s="149">
        <f t="shared" si="9"/>
        <v>9621765.0960318539</v>
      </c>
      <c r="Z111" s="149">
        <f t="shared" si="9"/>
        <v>9621765.0960318539</v>
      </c>
      <c r="AA111" s="149">
        <f t="shared" si="9"/>
        <v>9621765.0960318539</v>
      </c>
      <c r="AB111" s="149">
        <f t="shared" si="9"/>
        <v>9621765.0960318539</v>
      </c>
      <c r="AC111" s="149">
        <f t="shared" si="9"/>
        <v>9621765.0960318539</v>
      </c>
      <c r="AD111" s="149">
        <f t="shared" si="9"/>
        <v>9621765.0960318539</v>
      </c>
      <c r="AE111" s="149">
        <f t="shared" si="9"/>
        <v>9621765.0960318539</v>
      </c>
      <c r="AF111" s="149">
        <f t="shared" si="9"/>
        <v>9621765.0960318539</v>
      </c>
      <c r="AG111" s="149">
        <f t="shared" si="9"/>
        <v>9621765.0960318539</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734618528.0356158</v>
      </c>
      <c r="D113" s="149">
        <f t="shared" ref="D113:AG113" si="10">$C$102</f>
        <v>24487284.26785386</v>
      </c>
      <c r="E113" s="149">
        <f t="shared" si="10"/>
        <v>24487284.26785386</v>
      </c>
      <c r="F113" s="149">
        <f t="shared" si="10"/>
        <v>24487284.26785386</v>
      </c>
      <c r="G113" s="149">
        <f t="shared" si="10"/>
        <v>24487284.26785386</v>
      </c>
      <c r="H113" s="149">
        <f t="shared" si="10"/>
        <v>24487284.26785386</v>
      </c>
      <c r="I113" s="149">
        <f t="shared" si="10"/>
        <v>24487284.26785386</v>
      </c>
      <c r="J113" s="149">
        <f t="shared" si="10"/>
        <v>24487284.26785386</v>
      </c>
      <c r="K113" s="149">
        <f t="shared" si="10"/>
        <v>24487284.26785386</v>
      </c>
      <c r="L113" s="149">
        <f t="shared" si="10"/>
        <v>24487284.26785386</v>
      </c>
      <c r="M113" s="149">
        <f t="shared" si="10"/>
        <v>24487284.26785386</v>
      </c>
      <c r="N113" s="149">
        <f t="shared" si="10"/>
        <v>24487284.26785386</v>
      </c>
      <c r="O113" s="149">
        <f t="shared" si="10"/>
        <v>24487284.26785386</v>
      </c>
      <c r="P113" s="149">
        <f t="shared" si="10"/>
        <v>24487284.26785386</v>
      </c>
      <c r="Q113" s="149">
        <f t="shared" si="10"/>
        <v>24487284.26785386</v>
      </c>
      <c r="R113" s="149">
        <f t="shared" si="10"/>
        <v>24487284.26785386</v>
      </c>
      <c r="S113" s="149">
        <f t="shared" si="10"/>
        <v>24487284.26785386</v>
      </c>
      <c r="T113" s="149">
        <f t="shared" si="10"/>
        <v>24487284.26785386</v>
      </c>
      <c r="U113" s="149">
        <f t="shared" si="10"/>
        <v>24487284.26785386</v>
      </c>
      <c r="V113" s="149">
        <f t="shared" si="10"/>
        <v>24487284.26785386</v>
      </c>
      <c r="W113" s="149">
        <f t="shared" si="10"/>
        <v>24487284.26785386</v>
      </c>
      <c r="X113" s="149">
        <f t="shared" si="10"/>
        <v>24487284.26785386</v>
      </c>
      <c r="Y113" s="149">
        <f t="shared" si="10"/>
        <v>24487284.26785386</v>
      </c>
      <c r="Z113" s="149">
        <f t="shared" si="10"/>
        <v>24487284.26785386</v>
      </c>
      <c r="AA113" s="149">
        <f t="shared" si="10"/>
        <v>24487284.26785386</v>
      </c>
      <c r="AB113" s="149">
        <f t="shared" si="10"/>
        <v>24487284.26785386</v>
      </c>
      <c r="AC113" s="149">
        <f t="shared" si="10"/>
        <v>24487284.26785386</v>
      </c>
      <c r="AD113" s="149">
        <f t="shared" si="10"/>
        <v>24487284.26785386</v>
      </c>
      <c r="AE113" s="149">
        <f t="shared" si="10"/>
        <v>24487284.26785386</v>
      </c>
      <c r="AF113" s="149">
        <f t="shared" si="10"/>
        <v>24487284.26785386</v>
      </c>
      <c r="AG113" s="149">
        <f t="shared" si="10"/>
        <v>24487284.26785386</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24487284.26785386</v>
      </c>
      <c r="E118" s="149">
        <f t="shared" ref="E118:AG118" si="13">E113+E115+E116</f>
        <v>24487284.26785386</v>
      </c>
      <c r="F118" s="149">
        <f>F113+F115+F116</f>
        <v>24487284.26785386</v>
      </c>
      <c r="G118" s="149">
        <f t="shared" si="13"/>
        <v>24487284.26785386</v>
      </c>
      <c r="H118" s="149">
        <f t="shared" si="13"/>
        <v>24487284.26785386</v>
      </c>
      <c r="I118" s="149">
        <f t="shared" si="13"/>
        <v>24487284.26785386</v>
      </c>
      <c r="J118" s="149">
        <f t="shared" si="13"/>
        <v>24487284.26785386</v>
      </c>
      <c r="K118" s="149">
        <f t="shared" si="13"/>
        <v>24487284.26785386</v>
      </c>
      <c r="L118" s="149">
        <f t="shared" si="13"/>
        <v>24487284.26785386</v>
      </c>
      <c r="M118" s="149">
        <f t="shared" si="13"/>
        <v>24487284.26785386</v>
      </c>
      <c r="N118" s="149">
        <f t="shared" si="13"/>
        <v>24487284.26785386</v>
      </c>
      <c r="O118" s="149">
        <f t="shared" si="13"/>
        <v>24487284.26785386</v>
      </c>
      <c r="P118" s="149">
        <f t="shared" si="13"/>
        <v>24487284.26785386</v>
      </c>
      <c r="Q118" s="149">
        <f t="shared" si="13"/>
        <v>24487284.26785386</v>
      </c>
      <c r="R118" s="149">
        <f t="shared" si="13"/>
        <v>24487284.26785386</v>
      </c>
      <c r="S118" s="149">
        <f t="shared" si="13"/>
        <v>24487284.26785386</v>
      </c>
      <c r="T118" s="149">
        <f t="shared" si="13"/>
        <v>24487284.26785386</v>
      </c>
      <c r="U118" s="149">
        <f t="shared" si="13"/>
        <v>24487284.26785386</v>
      </c>
      <c r="V118" s="149">
        <f t="shared" si="13"/>
        <v>24487284.26785386</v>
      </c>
      <c r="W118" s="149">
        <f t="shared" si="13"/>
        <v>24487284.26785386</v>
      </c>
      <c r="X118" s="149">
        <f t="shared" si="13"/>
        <v>24487284.26785386</v>
      </c>
      <c r="Y118" s="149">
        <f t="shared" si="13"/>
        <v>24487284.26785386</v>
      </c>
      <c r="Z118" s="149">
        <f t="shared" si="13"/>
        <v>24487284.26785386</v>
      </c>
      <c r="AA118" s="149">
        <f t="shared" si="13"/>
        <v>24487284.26785386</v>
      </c>
      <c r="AB118" s="149">
        <f t="shared" si="13"/>
        <v>24487284.26785386</v>
      </c>
      <c r="AC118" s="149">
        <f t="shared" si="13"/>
        <v>24487284.26785386</v>
      </c>
      <c r="AD118" s="149">
        <f t="shared" si="13"/>
        <v>24487284.26785386</v>
      </c>
      <c r="AE118" s="149">
        <f t="shared" si="13"/>
        <v>24487284.26785386</v>
      </c>
      <c r="AF118" s="149">
        <f t="shared" si="13"/>
        <v>24487284.26785386</v>
      </c>
      <c r="AG118" s="149">
        <f t="shared" si="13"/>
        <v>24487284.26785386</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587694.8224284926</v>
      </c>
      <c r="E120" s="149">
        <f>(SUM($D$118:E118)*$C$104/$C$106)+(SUM($D$118:E118)*$C$105/$C$107)</f>
        <v>1175389.6448569852</v>
      </c>
      <c r="F120" s="149">
        <f>(SUM($D$118:F118)*$C$104/$C$106)+(SUM($D$118:F118)*$C$105/$C$107)</f>
        <v>1763084.467285478</v>
      </c>
      <c r="G120" s="149">
        <f>(SUM($D$118:G118)*$C$104/$C$106)+(SUM($D$118:G118)*$C$105/$C$107)</f>
        <v>2350779.2897139704</v>
      </c>
      <c r="H120" s="149">
        <f>(SUM($D$118:H118)*$C$104/$C$106)+(SUM($D$118:H118)*$C$105/$C$107)</f>
        <v>2938474.1121424627</v>
      </c>
      <c r="I120" s="149">
        <f>(SUM($D$118:I118)*$C$104/$C$106)+(SUM($D$118:I118)*$C$105/$C$107)</f>
        <v>3526168.934570956</v>
      </c>
      <c r="J120" s="149">
        <f>(SUM($D$118:J118)*$C$104/$C$106)+(SUM($D$118:J118)*$C$105/$C$107)</f>
        <v>4113863.7569994484</v>
      </c>
      <c r="K120" s="149">
        <f>(SUM($D$118:K118)*$C$104/$C$106)+(SUM($D$118:K118)*$C$105/$C$107)</f>
        <v>4701558.5794279408</v>
      </c>
      <c r="L120" s="149">
        <f>(SUM($D$118:L118)*$C$104/$C$106)+(SUM($D$118:L118)*$C$105/$C$107)</f>
        <v>5289253.4018564336</v>
      </c>
      <c r="M120" s="149">
        <f>(SUM($D$118:M118)*$C$104/$C$106)+(SUM($D$118:M118)*$C$105/$C$107)</f>
        <v>5876948.2242849255</v>
      </c>
      <c r="N120" s="149">
        <f>(SUM($D$118:N118)*$C$104/$C$106)+(SUM($D$118:N118)*$C$105/$C$107)</f>
        <v>6464643.0467134193</v>
      </c>
      <c r="O120" s="149">
        <f>(SUM($D$118:O118)*$C$104/$C$106)+(SUM($D$118:O118)*$C$105/$C$107)</f>
        <v>7052337.8691419121</v>
      </c>
      <c r="P120" s="149">
        <f>(SUM($D$118:P118)*$C$104/$C$106)+(SUM($D$118:P118)*$C$105/$C$107)</f>
        <v>7640032.6915704049</v>
      </c>
      <c r="Q120" s="149">
        <f>(SUM($D$118:Q118)*$C$104/$C$106)+(SUM($D$118:Q118)*$C$105/$C$107)</f>
        <v>8227727.5139988968</v>
      </c>
      <c r="R120" s="149">
        <f>(SUM($D$118:R118)*$C$104/$C$106)+(SUM($D$118:R118)*$C$105/$C$107)</f>
        <v>8815422.3364273887</v>
      </c>
      <c r="S120" s="149">
        <f>(SUM($D$118:S118)*$C$104/$C$106)+(SUM($D$118:S118)*$C$105/$C$107)</f>
        <v>9403117.1588558815</v>
      </c>
      <c r="T120" s="149">
        <f>(SUM($D$118:T118)*$C$104/$C$106)+(SUM($D$118:T118)*$C$105/$C$107)</f>
        <v>9990811.9812843744</v>
      </c>
      <c r="U120" s="149">
        <f>(SUM($D$118:U118)*$C$104/$C$106)+(SUM($D$118:U118)*$C$105/$C$107)</f>
        <v>10578506.803712867</v>
      </c>
      <c r="V120" s="149">
        <f>(SUM($D$118:V118)*$C$104/$C$106)+(SUM($D$118:V118)*$C$105/$C$107)</f>
        <v>11166201.626141358</v>
      </c>
      <c r="W120" s="149">
        <f>(SUM($D$118:W118)*$C$104/$C$106)+(SUM($D$118:W118)*$C$105/$C$107)</f>
        <v>11753896.448569851</v>
      </c>
      <c r="X120" s="149">
        <f>(SUM($D$118:X118)*$C$104/$C$106)+(SUM($D$118:X118)*$C$105/$C$107)</f>
        <v>12341591.270998344</v>
      </c>
      <c r="Y120" s="149">
        <f>(SUM($D$118:Y118)*$C$104/$C$106)+(SUM($D$118:Y118)*$C$105/$C$107)</f>
        <v>12929286.093426839</v>
      </c>
      <c r="Z120" s="149">
        <f>(SUM($D$118:Z118)*$C$104/$C$106)+(SUM($D$118:Z118)*$C$105/$C$107)</f>
        <v>13516980.915855331</v>
      </c>
      <c r="AA120" s="149">
        <f>(SUM($D$118:AA118)*$C$104/$C$106)+(SUM($D$118:AA118)*$C$105/$C$107)</f>
        <v>14104675.738283824</v>
      </c>
      <c r="AB120" s="149">
        <f>(SUM($D$118:AB118)*$C$104/$C$106)+(SUM($D$118:AB118)*$C$105/$C$107)</f>
        <v>14692370.560712315</v>
      </c>
      <c r="AC120" s="149">
        <f>(SUM($D$118:AC118)*$C$104/$C$106)+(SUM($D$118:AC118)*$C$105/$C$107)</f>
        <v>15280065.38314081</v>
      </c>
      <c r="AD120" s="149">
        <f>(SUM($D$118:AD118)*$C$104/$C$106)+(SUM($D$118:AD118)*$C$105/$C$107)</f>
        <v>15867760.205569301</v>
      </c>
      <c r="AE120" s="149">
        <f>(SUM($D$118:AE118)*$C$104/$C$106)+(SUM($D$118:AE118)*$C$105/$C$107)</f>
        <v>16455455.027997794</v>
      </c>
      <c r="AF120" s="149">
        <f>(SUM($D$118:AF118)*$C$104/$C$106)+(SUM($D$118:AF118)*$C$105/$C$107)</f>
        <v>17043149.850426286</v>
      </c>
      <c r="AG120" s="149">
        <f>(SUM($D$118:AG118)*$C$104/$C$106)+(SUM($D$118:AG118)*$C$105/$C$107)</f>
        <v>17630844.672854777</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734618.5280356158</v>
      </c>
      <c r="E122" s="72">
        <f>(SUM($D$118:E118)*$C$109)</f>
        <v>1469237.0560712316</v>
      </c>
      <c r="F122" s="72">
        <f>(SUM($D$118:F118)*$C$109)</f>
        <v>2203855.5841068476</v>
      </c>
      <c r="G122" s="72">
        <f>(SUM($D$118:G118)*$C$109)</f>
        <v>2938474.1121424632</v>
      </c>
      <c r="H122" s="72">
        <f>(SUM($D$118:H118)*$C$109)</f>
        <v>3673092.6401780788</v>
      </c>
      <c r="I122" s="72">
        <f>(SUM($D$118:I118)*$C$109)</f>
        <v>4407711.1682136953</v>
      </c>
      <c r="J122" s="72">
        <f>(SUM($D$118:J118)*$C$109)</f>
        <v>5142329.6962493109</v>
      </c>
      <c r="K122" s="72">
        <f>(SUM($D$118:K118)*$C$109)</f>
        <v>5876948.2242849264</v>
      </c>
      <c r="L122" s="72">
        <f>(SUM($D$118:L118)*$C$109)</f>
        <v>6611566.752320542</v>
      </c>
      <c r="M122" s="72">
        <f>(SUM($D$118:M118)*$C$109)</f>
        <v>7346185.2803561576</v>
      </c>
      <c r="N122" s="72">
        <f>(SUM($D$118:N118)*$C$109)</f>
        <v>8080803.8083917741</v>
      </c>
      <c r="O122" s="72">
        <f>(SUM($D$118:O118)*$C$109)</f>
        <v>8815422.3364273906</v>
      </c>
      <c r="P122" s="72">
        <f>(SUM($D$118:P118)*$C$109)</f>
        <v>9550040.8644630052</v>
      </c>
      <c r="Q122" s="72">
        <f>(SUM($D$118:Q118)*$C$109)</f>
        <v>10284659.392498622</v>
      </c>
      <c r="R122" s="72">
        <f>(SUM($D$118:R118)*$C$109)</f>
        <v>11019277.920534236</v>
      </c>
      <c r="S122" s="72">
        <f>(SUM($D$118:S118)*$C$109)</f>
        <v>11753896.448569853</v>
      </c>
      <c r="T122" s="72">
        <f>(SUM($D$118:T118)*$C$109)</f>
        <v>12488514.976605467</v>
      </c>
      <c r="U122" s="72">
        <f>(SUM($D$118:U118)*$C$109)</f>
        <v>13223133.504641084</v>
      </c>
      <c r="V122" s="72">
        <f>(SUM($D$118:V118)*$C$109)</f>
        <v>13957752.032676699</v>
      </c>
      <c r="W122" s="72">
        <f>(SUM($D$118:W118)*$C$109)</f>
        <v>14692370.560712315</v>
      </c>
      <c r="X122" s="72">
        <f>(SUM($D$118:X118)*$C$109)</f>
        <v>15426989.08874793</v>
      </c>
      <c r="Y122" s="72">
        <f>(SUM($D$118:Y118)*$C$109)</f>
        <v>16161607.616783548</v>
      </c>
      <c r="Z122" s="72">
        <f>(SUM($D$118:Z118)*$C$109)</f>
        <v>16896226.144819163</v>
      </c>
      <c r="AA122" s="72">
        <f>(SUM($D$118:AA118)*$C$109)</f>
        <v>17630844.672854781</v>
      </c>
      <c r="AB122" s="72">
        <f>(SUM($D$118:AB118)*$C$109)</f>
        <v>18365463.200890396</v>
      </c>
      <c r="AC122" s="72">
        <f>(SUM($D$118:AC118)*$C$109)</f>
        <v>19100081.72892601</v>
      </c>
      <c r="AD122" s="72">
        <f>(SUM($D$118:AD118)*$C$109)</f>
        <v>19834700.256961625</v>
      </c>
      <c r="AE122" s="72">
        <f>(SUM($D$118:AE118)*$C$109)</f>
        <v>20569318.784997243</v>
      </c>
      <c r="AF122" s="72">
        <f>(SUM($D$118:AF118)*$C$109)</f>
        <v>21303937.313032858</v>
      </c>
      <c r="AG122" s="72">
        <f>(SUM($D$118:AG118)*$C$109)</f>
        <v>22038555.841068473</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153</v>
      </c>
      <c r="B126" s="77" t="s">
        <v>133</v>
      </c>
      <c r="C126" s="126">
        <v>23000</v>
      </c>
      <c r="D126" s="140"/>
    </row>
    <row r="127" spans="1:33" x14ac:dyDescent="0.35">
      <c r="A127" s="77" t="s">
        <v>152</v>
      </c>
      <c r="B127" s="77" t="s">
        <v>134</v>
      </c>
      <c r="C127" s="126">
        <v>22426</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22713</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157</v>
      </c>
      <c r="B133" s="77" t="s">
        <v>158</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8412.2222222222208</v>
      </c>
      <c r="D135" s="157">
        <f t="shared" ref="D135:AG135" si="14">$C$135*D13</f>
        <v>8558.39695528835</v>
      </c>
      <c r="E135" s="157">
        <f t="shared" si="14"/>
        <v>8707.1116893224171</v>
      </c>
      <c r="F135" s="157">
        <f t="shared" si="14"/>
        <v>8858.4105605768473</v>
      </c>
      <c r="G135" s="157">
        <f t="shared" si="14"/>
        <v>9012.3384722363717</v>
      </c>
      <c r="H135" s="157">
        <f t="shared" si="14"/>
        <v>9168.9411077445839</v>
      </c>
      <c r="I135" s="157">
        <f t="shared" si="14"/>
        <v>9328.2649443621067</v>
      </c>
      <c r="J135" s="157">
        <f t="shared" si="14"/>
        <v>9490.3572669603127</v>
      </c>
      <c r="K135" s="157">
        <f t="shared" si="14"/>
        <v>9655.2661820547673</v>
      </c>
      <c r="L135" s="157">
        <f t="shared" si="14"/>
        <v>9823.0406320824841</v>
      </c>
      <c r="M135" s="157">
        <f t="shared" si="14"/>
        <v>9993.7304099273078</v>
      </c>
      <c r="N135" s="157">
        <f t="shared" si="14"/>
        <v>10167.386173697663</v>
      </c>
      <c r="O135" s="157">
        <f t="shared" si="14"/>
        <v>10344.059461761126</v>
      </c>
      <c r="P135" s="157">
        <f t="shared" si="14"/>
        <v>10523.802708040188</v>
      </c>
      <c r="Q135" s="157">
        <f t="shared" si="14"/>
        <v>10706.669257573874</v>
      </c>
      <c r="R135" s="157">
        <f t="shared" si="14"/>
        <v>10892.713382349712</v>
      </c>
      <c r="S135" s="157">
        <f t="shared" si="14"/>
        <v>11081.990297410832</v>
      </c>
      <c r="T135" s="157">
        <f t="shared" si="14"/>
        <v>11274.556177242943</v>
      </c>
      <c r="U135" s="157">
        <f t="shared" si="14"/>
        <v>11470.468172446062</v>
      </c>
      <c r="V135" s="157">
        <f t="shared" si="14"/>
        <v>11669.784426695927</v>
      </c>
      <c r="W135" s="157">
        <f t="shared" si="14"/>
        <v>11872.564094000167</v>
      </c>
      <c r="X135" s="157">
        <f t="shared" si="14"/>
        <v>12078.867356254279</v>
      </c>
      <c r="Y135" s="157">
        <f t="shared" si="14"/>
        <v>12288.755441102712</v>
      </c>
      <c r="Z135" s="157">
        <f t="shared" si="14"/>
        <v>12502.290640110281</v>
      </c>
      <c r="AA135" s="157">
        <f t="shared" si="14"/>
        <v>12719.536327249358</v>
      </c>
      <c r="AB135" s="157">
        <f t="shared" si="14"/>
        <v>12940.556977708286</v>
      </c>
      <c r="AC135" s="157">
        <f t="shared" si="14"/>
        <v>13165.418187026633</v>
      </c>
      <c r="AD135" s="157">
        <f t="shared" si="14"/>
        <v>13394.186690562929</v>
      </c>
      <c r="AE135" s="157">
        <f t="shared" si="14"/>
        <v>13626.930383300723</v>
      </c>
      <c r="AF135" s="157">
        <f t="shared" si="14"/>
        <v>13863.718339998748</v>
      </c>
      <c r="AG135" s="157">
        <f t="shared" si="14"/>
        <v>14104.620835691254</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0.15</v>
      </c>
      <c r="F4" s="65">
        <v>0.14000000000000001</v>
      </c>
      <c r="G4" s="65">
        <v>0.14000000000000001</v>
      </c>
      <c r="H4" s="65">
        <v>0.1</v>
      </c>
      <c r="I4" s="65">
        <v>0.09</v>
      </c>
      <c r="J4" s="65">
        <v>0.05</v>
      </c>
      <c r="K4" s="65">
        <v>0.05</v>
      </c>
      <c r="L4" s="65">
        <v>0.05</v>
      </c>
      <c r="M4" s="65">
        <v>0.04</v>
      </c>
      <c r="N4" s="65">
        <v>0.04</v>
      </c>
      <c r="O4" s="65">
        <v>0.04</v>
      </c>
      <c r="P4" s="65">
        <v>0.04</v>
      </c>
      <c r="Q4" s="65">
        <v>0.04</v>
      </c>
      <c r="R4" s="65">
        <v>3.5000000000000003E-2</v>
      </c>
      <c r="S4" s="65">
        <v>3.5000000000000003E-2</v>
      </c>
      <c r="T4" s="65">
        <v>3.5000000000000003E-2</v>
      </c>
      <c r="U4" s="65">
        <v>0.03</v>
      </c>
      <c r="V4" s="65">
        <v>0.03</v>
      </c>
      <c r="W4" s="65">
        <v>0.03</v>
      </c>
      <c r="X4" s="65">
        <v>0.03</v>
      </c>
      <c r="Y4" s="65">
        <v>0.03</v>
      </c>
      <c r="Z4" s="65">
        <v>0.03</v>
      </c>
      <c r="AA4" s="65">
        <v>0.03</v>
      </c>
      <c r="AB4" s="65">
        <v>0.03</v>
      </c>
      <c r="AC4" s="65">
        <v>0.03</v>
      </c>
      <c r="AD4" s="65">
        <v>0.03</v>
      </c>
      <c r="AE4" s="65">
        <v>0.03</v>
      </c>
      <c r="AF4" s="65">
        <v>0.03</v>
      </c>
      <c r="AG4" s="65">
        <v>2.5000000000000001E-2</v>
      </c>
      <c r="AH4" s="65">
        <v>2.5000000000000001E-2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2.5031622184740634</v>
      </c>
      <c r="C6" s="25"/>
      <c r="D6" s="25"/>
      <c r="E6" s="27">
        <f>'Debt worksheet'!C5/'Profit and Loss'!C5</f>
        <v>2.3256302013796049</v>
      </c>
      <c r="F6" s="28">
        <f ca="1">'Debt worksheet'!D5/'Profit and Loss'!D5</f>
        <v>2.4739350809414482</v>
      </c>
      <c r="G6" s="28">
        <f ca="1">'Debt worksheet'!E5/'Profit and Loss'!E5</f>
        <v>2.496614985961024</v>
      </c>
      <c r="H6" s="28">
        <f ca="1">'Debt worksheet'!F5/'Profit and Loss'!F5</f>
        <v>2.5031622184740634</v>
      </c>
      <c r="I6" s="28">
        <f ca="1">'Debt worksheet'!G5/'Profit and Loss'!G5</f>
        <v>2.4716599664861518</v>
      </c>
      <c r="J6" s="28">
        <f ca="1">'Debt worksheet'!H5/'Profit and Loss'!H5</f>
        <v>2.4844347553039023</v>
      </c>
      <c r="K6" s="28">
        <f ca="1">'Debt worksheet'!I5/'Profit and Loss'!I5</f>
        <v>2.485885006943672</v>
      </c>
      <c r="L6" s="28">
        <f ca="1">'Debt worksheet'!J5/'Profit and Loss'!J5</f>
        <v>2.4756591599382154</v>
      </c>
      <c r="M6" s="28">
        <f ca="1">'Debt worksheet'!K5/'Profit and Loss'!K5</f>
        <v>2.4770775813663342</v>
      </c>
      <c r="N6" s="28">
        <f ca="1">'Debt worksheet'!L5/'Profit and Loss'!L5</f>
        <v>2.4753330005651755</v>
      </c>
      <c r="O6" s="28">
        <f ca="1">'Debt worksheet'!M5/'Profit and Loss'!M5</f>
        <v>2.4698273826091692</v>
      </c>
      <c r="P6" s="28">
        <f ca="1">'Debt worksheet'!N5/'Profit and Loss'!N5</f>
        <v>2.4600173727339256</v>
      </c>
      <c r="Q6" s="28">
        <f ca="1">'Debt worksheet'!O5/'Profit and Loss'!O5</f>
        <v>2.4454111812833639</v>
      </c>
      <c r="R6" s="28">
        <f ca="1">'Debt worksheet'!P5/'Profit and Loss'!P5</f>
        <v>2.4372833250055019</v>
      </c>
      <c r="S6" s="28">
        <f ca="1">'Debt worksheet'!Q5/'Profit and Loss'!Q5</f>
        <v>2.4280827143064423</v>
      </c>
      <c r="T6" s="28">
        <f ca="1">'Debt worksheet'!R5/'Profit and Loss'!R5</f>
        <v>2.4173137468368591</v>
      </c>
      <c r="U6" s="28">
        <f ca="1">'Debt worksheet'!S5/'Profit and Loss'!S5</f>
        <v>2.41618772908337</v>
      </c>
      <c r="V6" s="28">
        <f ca="1">'Debt worksheet'!T5/'Profit and Loss'!T5</f>
        <v>2.4173127464930126</v>
      </c>
      <c r="W6" s="28">
        <f ca="1">'Debt worksheet'!U5/'Profit and Loss'!U5</f>
        <v>2.4202194189763522</v>
      </c>
      <c r="X6" s="28">
        <f ca="1">'Debt worksheet'!V5/'Profit and Loss'!V5</f>
        <v>2.4244611073129234</v>
      </c>
      <c r="Y6" s="28">
        <f ca="1">'Debt worksheet'!W5/'Profit and Loss'!W5</f>
        <v>2.4296130966425618</v>
      </c>
      <c r="Z6" s="28">
        <f ca="1">'Debt worksheet'!X5/'Profit and Loss'!X5</f>
        <v>2.4352718059302143</v>
      </c>
      <c r="AA6" s="28">
        <f ca="1">'Debt worksheet'!Y5/'Profit and Loss'!Y5</f>
        <v>2.4410540226257327</v>
      </c>
      <c r="AB6" s="28">
        <f ca="1">'Debt worksheet'!Z5/'Profit and Loss'!Z5</f>
        <v>2.4465961617626943</v>
      </c>
      <c r="AC6" s="28">
        <f ca="1">'Debt worksheet'!AA5/'Profit and Loss'!AA5</f>
        <v>2.4515535487622491</v>
      </c>
      <c r="AD6" s="28">
        <f ca="1">'Debt worksheet'!AB5/'Profit and Loss'!AB5</f>
        <v>2.4555997252292632</v>
      </c>
      <c r="AE6" s="28">
        <f ca="1">'Debt worksheet'!AC5/'Profit and Loss'!AC5</f>
        <v>2.4584257770487743</v>
      </c>
      <c r="AF6" s="28">
        <f ca="1">'Debt worksheet'!AD5/'Profit and Loss'!AD5</f>
        <v>2.4597396841108434</v>
      </c>
      <c r="AG6" s="28">
        <f ca="1">'Debt worksheet'!AE5/'Profit and Loss'!AE5</f>
        <v>2.4712621090163869</v>
      </c>
      <c r="AH6" s="28">
        <f ca="1">'Debt worksheet'!AF5/'Profit and Loss'!AF5</f>
        <v>2.4856178376468803</v>
      </c>
      <c r="AI6" s="31"/>
    </row>
    <row r="7" spans="1:35" ht="21" x14ac:dyDescent="0.5">
      <c r="A7" s="19" t="s">
        <v>38</v>
      </c>
      <c r="B7" s="26">
        <f ca="1">MIN('Price and Financial ratios'!E7:AH7)</f>
        <v>0.19435245435509846</v>
      </c>
      <c r="C7" s="26"/>
      <c r="D7" s="26"/>
      <c r="E7" s="56">
        <f ca="1">'Cash Flow'!C7/'Debt worksheet'!C5</f>
        <v>0.19508257680570923</v>
      </c>
      <c r="F7" s="32">
        <f ca="1">'Cash Flow'!D7/'Debt worksheet'!D5</f>
        <v>0.19435245435509846</v>
      </c>
      <c r="G7" s="32">
        <f ca="1">'Cash Flow'!E7/'Debt worksheet'!E5</f>
        <v>0.20495414465701461</v>
      </c>
      <c r="H7" s="32">
        <f ca="1">'Cash Flow'!F7/'Debt worksheet'!F5</f>
        <v>0.21070276923348866</v>
      </c>
      <c r="I7" s="32">
        <f ca="1">'Cash Flow'!G7/'Debt worksheet'!G5</f>
        <v>0.21898117376160708</v>
      </c>
      <c r="J7" s="32">
        <f ca="1">'Cash Flow'!H7/'Debt worksheet'!H5</f>
        <v>0.21695506292008154</v>
      </c>
      <c r="K7" s="32">
        <f ca="1">'Cash Flow'!I7/'Debt worksheet'!I5</f>
        <v>0.21642325120698608</v>
      </c>
      <c r="L7" s="32">
        <f ca="1">'Cash Flow'!J7/'Debt worksheet'!J5</f>
        <v>0.21738560124880854</v>
      </c>
      <c r="M7" s="17">
        <f ca="1">'Cash Flow'!K7/'Debt worksheet'!K5</f>
        <v>0.21585544122899095</v>
      </c>
      <c r="N7" s="17">
        <f ca="1">'Cash Flow'!L7/'Debt worksheet'!L5</f>
        <v>0.21489740841904933</v>
      </c>
      <c r="O7" s="17">
        <f ca="1">'Cash Flow'!M7/'Debt worksheet'!M5</f>
        <v>0.2145549162047645</v>
      </c>
      <c r="P7" s="17">
        <f ca="1">'Cash Flow'!N7/'Debt worksheet'!N5</f>
        <v>0.21487179895094075</v>
      </c>
      <c r="Q7" s="17">
        <f ca="1">'Cash Flow'!O7/'Debt worksheet'!O5</f>
        <v>0.21589477985381633</v>
      </c>
      <c r="R7" s="17">
        <f ca="1">'Cash Flow'!P7/'Debt worksheet'!P5</f>
        <v>0.21562205433762627</v>
      </c>
      <c r="S7" s="17">
        <f ca="1">'Cash Flow'!Q7/'Debt worksheet'!Q5</f>
        <v>0.21564016241877315</v>
      </c>
      <c r="T7" s="17">
        <f ca="1">'Cash Flow'!R7/'Debt worksheet'!R5</f>
        <v>0.21599484436199004</v>
      </c>
      <c r="U7" s="17">
        <f ca="1">'Cash Flow'!S7/'Debt worksheet'!S5</f>
        <v>0.21464887450852213</v>
      </c>
      <c r="V7" s="17">
        <f ca="1">'Cash Flow'!T7/'Debt worksheet'!T5</f>
        <v>0.2132162081106416</v>
      </c>
      <c r="W7" s="17">
        <f ca="1">'Cash Flow'!U7/'Debt worksheet'!U5</f>
        <v>0.21174296112107049</v>
      </c>
      <c r="X7" s="17">
        <f ca="1">'Cash Flow'!V7/'Debt worksheet'!V5</f>
        <v>0.21027206415086569</v>
      </c>
      <c r="Y7" s="17">
        <f ca="1">'Cash Flow'!W7/'Debt worksheet'!W5</f>
        <v>0.20884311083188103</v>
      </c>
      <c r="Z7" s="17">
        <f ca="1">'Cash Flow'!X7/'Debt worksheet'!X5</f>
        <v>0.2074923772557358</v>
      </c>
      <c r="AA7" s="17">
        <f ca="1">'Cash Flow'!Y7/'Debt worksheet'!Y5</f>
        <v>0.20625297844503881</v>
      </c>
      <c r="AB7" s="17">
        <f ca="1">'Cash Flow'!Z7/'Debt worksheet'!Z5</f>
        <v>0.20515513022726736</v>
      </c>
      <c r="AC7" s="17">
        <f ca="1">'Cash Flow'!AA7/'Debt worksheet'!AA5</f>
        <v>0.20422648897221857</v>
      </c>
      <c r="AD7" s="17">
        <f ca="1">'Cash Flow'!AB7/'Debt worksheet'!AB5</f>
        <v>0.20349254662051014</v>
      </c>
      <c r="AE7" s="17">
        <f ca="1">'Cash Flow'!AC7/'Debt worksheet'!AC5</f>
        <v>0.20297706368135734</v>
      </c>
      <c r="AF7" s="17">
        <f ca="1">'Cash Flow'!AD7/'Debt worksheet'!AD5</f>
        <v>0.2027025280221558</v>
      </c>
      <c r="AG7" s="17">
        <f ca="1">'Cash Flow'!AE7/'Debt worksheet'!AE5</f>
        <v>0.20064512959065994</v>
      </c>
      <c r="AH7" s="17">
        <f ca="1">'Cash Flow'!AF7/'Debt worksheet'!AF5</f>
        <v>0.19841891751455787</v>
      </c>
      <c r="AI7" s="29"/>
    </row>
    <row r="8" spans="1:35" ht="21" x14ac:dyDescent="0.5">
      <c r="A8" s="19" t="s">
        <v>33</v>
      </c>
      <c r="B8" s="26">
        <f ca="1">MAX('Price and Financial ratios'!E8:AH8)</f>
        <v>0.37445084705827619</v>
      </c>
      <c r="C8" s="26"/>
      <c r="D8" s="176"/>
      <c r="E8" s="17">
        <f>'Balance Sheet'!B11/'Balance Sheet'!B8</f>
        <v>0.25175345674750704</v>
      </c>
      <c r="F8" s="17">
        <f ca="1">'Balance Sheet'!C11/'Balance Sheet'!C8</f>
        <v>0.30618444021854607</v>
      </c>
      <c r="G8" s="17">
        <f ca="1">'Balance Sheet'!D11/'Balance Sheet'!D8</f>
        <v>0.33352297744199305</v>
      </c>
      <c r="H8" s="17">
        <f ca="1">'Balance Sheet'!E11/'Balance Sheet'!E8</f>
        <v>0.34925793769749769</v>
      </c>
      <c r="I8" s="17">
        <f ca="1">'Balance Sheet'!F11/'Balance Sheet'!F8</f>
        <v>0.3578119635213915</v>
      </c>
      <c r="J8" s="17">
        <f ca="1">'Balance Sheet'!G11/'Balance Sheet'!G8</f>
        <v>0.36028894082852092</v>
      </c>
      <c r="K8" s="17">
        <f ca="1">'Balance Sheet'!H11/'Balance Sheet'!H8</f>
        <v>0.361872168212862</v>
      </c>
      <c r="L8" s="17">
        <f ca="1">'Balance Sheet'!I11/'Balance Sheet'!I8</f>
        <v>0.36243439629455293</v>
      </c>
      <c r="M8" s="17">
        <f ca="1">'Balance Sheet'!J11/'Balance Sheet'!J8</f>
        <v>0.36185130634479934</v>
      </c>
      <c r="N8" s="17">
        <f ca="1">'Balance Sheet'!K11/'Balance Sheet'!K8</f>
        <v>0.36137490710021319</v>
      </c>
      <c r="O8" s="17">
        <f ca="1">'Balance Sheet'!L11/'Balance Sheet'!L8</f>
        <v>0.36087104047297891</v>
      </c>
      <c r="P8" s="17">
        <f ca="1">'Balance Sheet'!M11/'Balance Sheet'!M8</f>
        <v>0.36021630248605074</v>
      </c>
      <c r="Q8" s="17">
        <f ca="1">'Balance Sheet'!N11/'Balance Sheet'!N8</f>
        <v>0.35929582102514651</v>
      </c>
      <c r="R8" s="17">
        <f ca="1">'Balance Sheet'!O11/'Balance Sheet'!O8</f>
        <v>0.35800147311163638</v>
      </c>
      <c r="S8" s="17">
        <f ca="1">'Balance Sheet'!P11/'Balance Sheet'!P8</f>
        <v>0.35692931533312205</v>
      </c>
      <c r="T8" s="17">
        <f ca="1">'Balance Sheet'!Q11/'Balance Sheet'!Q8</f>
        <v>0.35597664302141069</v>
      </c>
      <c r="U8" s="17">
        <f ca="1">'Balance Sheet'!R11/'Balance Sheet'!R8</f>
        <v>0.35504786120656401</v>
      </c>
      <c r="V8" s="17">
        <f ca="1">'Balance Sheet'!S11/'Balance Sheet'!S8</f>
        <v>0.35475774488858403</v>
      </c>
      <c r="W8" s="17">
        <f ca="1">'Balance Sheet'!T11/'Balance Sheet'!T8</f>
        <v>0.35501599109448156</v>
      </c>
      <c r="X8" s="17">
        <f ca="1">'Balance Sheet'!U11/'Balance Sheet'!U8</f>
        <v>0.35573952557732047</v>
      </c>
      <c r="Y8" s="17">
        <f ca="1">'Balance Sheet'!V11/'Balance Sheet'!V8</f>
        <v>0.35685142425996241</v>
      </c>
      <c r="Z8" s="17">
        <f ca="1">'Balance Sheet'!W11/'Balance Sheet'!W8</f>
        <v>0.358280005049878</v>
      </c>
      <c r="AA8" s="17">
        <f ca="1">'Balance Sheet'!X11/'Balance Sheet'!X8</f>
        <v>0.35995805915964219</v>
      </c>
      <c r="AB8" s="17">
        <f ca="1">'Balance Sheet'!Y11/'Balance Sheet'!Y8</f>
        <v>0.36182219729320531</v>
      </c>
      <c r="AC8" s="17">
        <f ca="1">'Balance Sheet'!Z11/'Balance Sheet'!Z8</f>
        <v>0.3638122909054029</v>
      </c>
      <c r="AD8" s="17">
        <f ca="1">'Balance Sheet'!AA11/'Balance Sheet'!AA8</f>
        <v>0.36587099254226613</v>
      </c>
      <c r="AE8" s="17">
        <f ca="1">'Balance Sheet'!AB11/'Balance Sheet'!AB8</f>
        <v>0.36794332226801885</v>
      </c>
      <c r="AF8" s="17">
        <f ca="1">'Balance Sheet'!AC11/'Balance Sheet'!AC8</f>
        <v>0.36997630956484362</v>
      </c>
      <c r="AG8" s="17">
        <f ca="1">'Balance Sheet'!AD11/'Balance Sheet'!AD8</f>
        <v>0.37191868199199779</v>
      </c>
      <c r="AH8" s="17">
        <f ca="1">'Balance Sheet'!AE11/'Balance Sheet'!AE8</f>
        <v>0.37445084705827619</v>
      </c>
      <c r="AI8" s="29"/>
    </row>
    <row r="9" spans="1:35" ht="21.5" thickBot="1" x14ac:dyDescent="0.55000000000000004">
      <c r="A9" s="20" t="s">
        <v>32</v>
      </c>
      <c r="B9" s="21">
        <f ca="1">MIN('Price and Financial ratios'!E9:AH9)</f>
        <v>5.5176882465725896</v>
      </c>
      <c r="C9" s="21"/>
      <c r="D9" s="177"/>
      <c r="E9" s="21">
        <f ca="1">('Cash Flow'!C7+'Profit and Loss'!C8)/('Profit and Loss'!C8)</f>
        <v>5.5176882465725896</v>
      </c>
      <c r="F9" s="21">
        <f ca="1">('Cash Flow'!D7+'Profit and Loss'!D8)/('Profit and Loss'!D8)</f>
        <v>5.74430029633813</v>
      </c>
      <c r="G9" s="21">
        <f ca="1">('Cash Flow'!E7+'Profit and Loss'!E8)/('Profit and Loss'!E8)</f>
        <v>6.2188746312131391</v>
      </c>
      <c r="H9" s="21">
        <f ca="1">('Cash Flow'!F7+'Profit and Loss'!F8)/('Profit and Loss'!F8)</f>
        <v>6.4978676859091218</v>
      </c>
      <c r="I9" s="21">
        <f ca="1">('Cash Flow'!G7+'Profit and Loss'!G8)/('Profit and Loss'!G8)</f>
        <v>6.8267833945478484</v>
      </c>
      <c r="J9" s="21">
        <f ca="1">('Cash Flow'!H7+'Profit and Loss'!H8)/('Profit and Loss'!H8)</f>
        <v>6.7993232639768273</v>
      </c>
      <c r="K9" s="21">
        <f ca="1">('Cash Flow'!I7+'Profit and Loss'!I8)/('Profit and Loss'!I8)</f>
        <v>6.8123942821918071</v>
      </c>
      <c r="L9" s="21">
        <f ca="1">('Cash Flow'!J7+'Profit and Loss'!J8)/('Profit and Loss'!J8)</f>
        <v>6.8667684172911212</v>
      </c>
      <c r="M9" s="21">
        <f ca="1">('Cash Flow'!K7+'Profit and Loss'!K8)/('Profit and Loss'!K8)</f>
        <v>6.8329184520350452</v>
      </c>
      <c r="N9" s="21">
        <f ca="1">('Cash Flow'!L7+'Profit and Loss'!L8)/('Profit and Loss'!L8)</f>
        <v>6.8158759635364001</v>
      </c>
      <c r="O9" s="21">
        <f ca="1">('Cash Flow'!M7+'Profit and Loss'!M8)/('Profit and Loss'!M8)</f>
        <v>6.8167958849431658</v>
      </c>
      <c r="P9" s="21">
        <f ca="1">('Cash Flow'!N7+'Profit and Loss'!N8)/('Profit and Loss'!N8)</f>
        <v>6.8369050334966994</v>
      </c>
      <c r="Q9" s="21">
        <f ca="1">('Cash Flow'!O7+'Profit and Loss'!O8)/('Profit and Loss'!O8)</f>
        <v>6.8775716839079788</v>
      </c>
      <c r="R9" s="21">
        <f ca="1">('Cash Flow'!P7+'Profit and Loss'!P8)/('Profit and Loss'!P8)</f>
        <v>6.8728057467610721</v>
      </c>
      <c r="S9" s="21">
        <f ca="1">('Cash Flow'!Q7+'Profit and Loss'!Q8)/('Profit and Loss'!Q8)</f>
        <v>6.8771939411229432</v>
      </c>
      <c r="T9" s="21">
        <f ca="1">('Cash Flow'!R7+'Profit and Loss'!R8)/('Profit and Loss'!R8)</f>
        <v>6.8919462198100403</v>
      </c>
      <c r="U9" s="21">
        <f ca="1">('Cash Flow'!S7+'Profit and Loss'!S8)/('Profit and Loss'!S8)</f>
        <v>6.8497794105317649</v>
      </c>
      <c r="V9" s="21">
        <f ca="1">('Cash Flow'!T7+'Profit and Loss'!T8)/('Profit and Loss'!T8)</f>
        <v>6.8064589222347713</v>
      </c>
      <c r="W9" s="21">
        <f ca="1">('Cash Flow'!U7+'Profit and Loss'!U8)/('Profit and Loss'!U8)</f>
        <v>6.7631714992188892</v>
      </c>
      <c r="X9" s="21">
        <f ca="1">('Cash Flow'!V7+'Profit and Loss'!V8)/('Profit and Loss'!V8)</f>
        <v>6.7210101905008637</v>
      </c>
      <c r="Y9" s="21">
        <f ca="1">('Cash Flow'!W7+'Profit and Loss'!W8)/('Profit and Loss'!W8)</f>
        <v>6.6809749519771602</v>
      </c>
      <c r="Z9" s="21">
        <f ca="1">('Cash Flow'!X7+'Profit and Loss'!X8)/('Profit and Loss'!X8)</f>
        <v>6.6439770363023722</v>
      </c>
      <c r="AA9" s="21">
        <f ca="1">('Cash Flow'!Y7+'Profit and Loss'!Y8)/('Profit and Loss'!Y8)</f>
        <v>6.6108462886982782</v>
      </c>
      <c r="AB9" s="21">
        <f ca="1">('Cash Flow'!Z7+'Profit and Loss'!Z8)/('Profit and Loss'!Z8)</f>
        <v>6.5823405813983786</v>
      </c>
      <c r="AC9" s="21">
        <f ca="1">('Cash Flow'!AA7+'Profit and Loss'!AA8)/('Profit and Loss'!AA8)</f>
        <v>6.5591567579030103</v>
      </c>
      <c r="AD9" s="21">
        <f ca="1">('Cash Flow'!AB7+'Profit and Loss'!AB8)/('Profit and Loss'!AB8)</f>
        <v>6.5419426042400017</v>
      </c>
      <c r="AE9" s="21">
        <f ca="1">('Cash Flow'!AC7+'Profit and Loss'!AC8)/('Profit and Loss'!AC8)</f>
        <v>6.5313095071633152</v>
      </c>
      <c r="AF9" s="21">
        <f ca="1">('Cash Flow'!AD7+'Profit and Loss'!AD8)/('Profit and Loss'!AD8)</f>
        <v>6.527845592677008</v>
      </c>
      <c r="AG9" s="21">
        <f ca="1">('Cash Flow'!AE7+'Profit and Loss'!AE8)/('Profit and Loss'!AE8)</f>
        <v>6.4656205382869558</v>
      </c>
      <c r="AH9" s="21">
        <f ca="1">('Cash Flow'!AF7+'Profit and Loss'!AF8)/('Profit and Loss'!AF8)</f>
        <v>6.3996551387726486</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9621765.0960318539</v>
      </c>
      <c r="D5" s="1">
        <f>Assumptions!E111</f>
        <v>9621765.0960318539</v>
      </c>
      <c r="E5" s="1">
        <f>Assumptions!F111</f>
        <v>9621765.0960318539</v>
      </c>
      <c r="F5" s="1">
        <f>Assumptions!G111</f>
        <v>9621765.0960318539</v>
      </c>
      <c r="G5" s="1">
        <f>Assumptions!H111</f>
        <v>9621765.0960318539</v>
      </c>
      <c r="H5" s="1">
        <f>Assumptions!I111</f>
        <v>9621765.0960318539</v>
      </c>
      <c r="I5" s="1">
        <f>Assumptions!J111</f>
        <v>9621765.0960318539</v>
      </c>
      <c r="J5" s="1">
        <f>Assumptions!K111</f>
        <v>9621765.0960318539</v>
      </c>
      <c r="K5" s="1">
        <f>Assumptions!L111</f>
        <v>9621765.0960318539</v>
      </c>
      <c r="L5" s="1">
        <f>Assumptions!M111</f>
        <v>9621765.0960318539</v>
      </c>
      <c r="M5" s="1">
        <f>Assumptions!N111</f>
        <v>9621765.0960318539</v>
      </c>
      <c r="N5" s="1">
        <f>Assumptions!O111</f>
        <v>9621765.0960318539</v>
      </c>
      <c r="O5" s="1">
        <f>Assumptions!P111</f>
        <v>9621765.0960318539</v>
      </c>
      <c r="P5" s="1">
        <f>Assumptions!Q111</f>
        <v>9621765.0960318539</v>
      </c>
      <c r="Q5" s="1">
        <f>Assumptions!R111</f>
        <v>9621765.0960318539</v>
      </c>
      <c r="R5" s="1">
        <f>Assumptions!S111</f>
        <v>9621765.0960318539</v>
      </c>
      <c r="S5" s="1">
        <f>Assumptions!T111</f>
        <v>9621765.0960318539</v>
      </c>
      <c r="T5" s="1">
        <f>Assumptions!U111</f>
        <v>9621765.0960318539</v>
      </c>
      <c r="U5" s="1">
        <f>Assumptions!V111</f>
        <v>9621765.0960318539</v>
      </c>
      <c r="V5" s="1">
        <f>Assumptions!W111</f>
        <v>9621765.0960318539</v>
      </c>
      <c r="W5" s="1">
        <f>Assumptions!X111</f>
        <v>9621765.0960318539</v>
      </c>
      <c r="X5" s="1">
        <f>Assumptions!Y111</f>
        <v>9621765.0960318539</v>
      </c>
      <c r="Y5" s="1">
        <f>Assumptions!Z111</f>
        <v>9621765.0960318539</v>
      </c>
      <c r="Z5" s="1">
        <f>Assumptions!AA111</f>
        <v>9621765.0960318539</v>
      </c>
      <c r="AA5" s="1">
        <f>Assumptions!AB111</f>
        <v>9621765.0960318539</v>
      </c>
      <c r="AB5" s="1">
        <f>Assumptions!AC111</f>
        <v>9621765.0960318539</v>
      </c>
      <c r="AC5" s="1">
        <f>Assumptions!AD111</f>
        <v>9621765.0960318539</v>
      </c>
      <c r="AD5" s="1">
        <f>Assumptions!AE111</f>
        <v>9621765.0960318539</v>
      </c>
      <c r="AE5" s="1">
        <f>Assumptions!AF111</f>
        <v>9621765.0960318539</v>
      </c>
      <c r="AF5" s="1">
        <f>Assumptions!AG111</f>
        <v>9621765.0960318539</v>
      </c>
    </row>
    <row r="6" spans="1:32" x14ac:dyDescent="0.35">
      <c r="A6" t="s">
        <v>68</v>
      </c>
      <c r="C6" s="1">
        <f>Assumptions!D113</f>
        <v>24487284.26785386</v>
      </c>
      <c r="D6" s="1">
        <f>Assumptions!E113</f>
        <v>24487284.26785386</v>
      </c>
      <c r="E6" s="1">
        <f>Assumptions!F113</f>
        <v>24487284.26785386</v>
      </c>
      <c r="F6" s="1">
        <f>Assumptions!G113</f>
        <v>24487284.26785386</v>
      </c>
      <c r="G6" s="1">
        <f>Assumptions!H113</f>
        <v>24487284.26785386</v>
      </c>
      <c r="H6" s="1">
        <f>Assumptions!I113</f>
        <v>24487284.26785386</v>
      </c>
      <c r="I6" s="1">
        <f>Assumptions!J113</f>
        <v>24487284.26785386</v>
      </c>
      <c r="J6" s="1">
        <f>Assumptions!K113</f>
        <v>24487284.26785386</v>
      </c>
      <c r="K6" s="1">
        <f>Assumptions!L113</f>
        <v>24487284.26785386</v>
      </c>
      <c r="L6" s="1">
        <f>Assumptions!M113</f>
        <v>24487284.26785386</v>
      </c>
      <c r="M6" s="1">
        <f>Assumptions!N113</f>
        <v>24487284.26785386</v>
      </c>
      <c r="N6" s="1">
        <f>Assumptions!O113</f>
        <v>24487284.26785386</v>
      </c>
      <c r="O6" s="1">
        <f>Assumptions!P113</f>
        <v>24487284.26785386</v>
      </c>
      <c r="P6" s="1">
        <f>Assumptions!Q113</f>
        <v>24487284.26785386</v>
      </c>
      <c r="Q6" s="1">
        <f>Assumptions!R113</f>
        <v>24487284.26785386</v>
      </c>
      <c r="R6" s="1">
        <f>Assumptions!S113</f>
        <v>24487284.26785386</v>
      </c>
      <c r="S6" s="1">
        <f>Assumptions!T113</f>
        <v>24487284.26785386</v>
      </c>
      <c r="T6" s="1">
        <f>Assumptions!U113</f>
        <v>24487284.26785386</v>
      </c>
      <c r="U6" s="1">
        <f>Assumptions!V113</f>
        <v>24487284.26785386</v>
      </c>
      <c r="V6" s="1">
        <f>Assumptions!W113</f>
        <v>24487284.26785386</v>
      </c>
      <c r="W6" s="1">
        <f>Assumptions!X113</f>
        <v>24487284.26785386</v>
      </c>
      <c r="X6" s="1">
        <f>Assumptions!Y113</f>
        <v>24487284.26785386</v>
      </c>
      <c r="Y6" s="1">
        <f>Assumptions!Z113</f>
        <v>24487284.26785386</v>
      </c>
      <c r="Z6" s="1">
        <f>Assumptions!AA113</f>
        <v>24487284.26785386</v>
      </c>
      <c r="AA6" s="1">
        <f>Assumptions!AB113</f>
        <v>24487284.26785386</v>
      </c>
      <c r="AB6" s="1">
        <f>Assumptions!AC113</f>
        <v>24487284.26785386</v>
      </c>
      <c r="AC6" s="1">
        <f>Assumptions!AD113</f>
        <v>24487284.26785386</v>
      </c>
      <c r="AD6" s="1">
        <f>Assumptions!AE113</f>
        <v>24487284.26785386</v>
      </c>
      <c r="AE6" s="1">
        <f>Assumptions!AF113</f>
        <v>24487284.26785386</v>
      </c>
      <c r="AF6" s="1">
        <f>Assumptions!AG113</f>
        <v>24487284.26785386</v>
      </c>
    </row>
    <row r="7" spans="1:32" x14ac:dyDescent="0.35">
      <c r="A7" t="s">
        <v>73</v>
      </c>
      <c r="C7" s="1">
        <f>Assumptions!D120</f>
        <v>587694.8224284926</v>
      </c>
      <c r="D7" s="1">
        <f>Assumptions!E120</f>
        <v>1175389.6448569852</v>
      </c>
      <c r="E7" s="1">
        <f>Assumptions!F120</f>
        <v>1763084.467285478</v>
      </c>
      <c r="F7" s="1">
        <f>Assumptions!G120</f>
        <v>2350779.2897139704</v>
      </c>
      <c r="G7" s="1">
        <f>Assumptions!H120</f>
        <v>2938474.1121424627</v>
      </c>
      <c r="H7" s="1">
        <f>Assumptions!I120</f>
        <v>3526168.934570956</v>
      </c>
      <c r="I7" s="1">
        <f>Assumptions!J120</f>
        <v>4113863.7569994484</v>
      </c>
      <c r="J7" s="1">
        <f>Assumptions!K120</f>
        <v>4701558.5794279408</v>
      </c>
      <c r="K7" s="1">
        <f>Assumptions!L120</f>
        <v>5289253.4018564336</v>
      </c>
      <c r="L7" s="1">
        <f>Assumptions!M120</f>
        <v>5876948.2242849255</v>
      </c>
      <c r="M7" s="1">
        <f>Assumptions!N120</f>
        <v>6464643.0467134193</v>
      </c>
      <c r="N7" s="1">
        <f>Assumptions!O120</f>
        <v>7052337.8691419121</v>
      </c>
      <c r="O7" s="1">
        <f>Assumptions!P120</f>
        <v>7640032.6915704049</v>
      </c>
      <c r="P7" s="1">
        <f>Assumptions!Q120</f>
        <v>8227727.5139988968</v>
      </c>
      <c r="Q7" s="1">
        <f>Assumptions!R120</f>
        <v>8815422.3364273887</v>
      </c>
      <c r="R7" s="1">
        <f>Assumptions!S120</f>
        <v>9403117.1588558815</v>
      </c>
      <c r="S7" s="1">
        <f>Assumptions!T120</f>
        <v>9990811.9812843744</v>
      </c>
      <c r="T7" s="1">
        <f>Assumptions!U120</f>
        <v>10578506.803712867</v>
      </c>
      <c r="U7" s="1">
        <f>Assumptions!V120</f>
        <v>11166201.626141358</v>
      </c>
      <c r="V7" s="1">
        <f>Assumptions!W120</f>
        <v>11753896.448569851</v>
      </c>
      <c r="W7" s="1">
        <f>Assumptions!X120</f>
        <v>12341591.270998344</v>
      </c>
      <c r="X7" s="1">
        <f>Assumptions!Y120</f>
        <v>12929286.093426839</v>
      </c>
      <c r="Y7" s="1">
        <f>Assumptions!Z120</f>
        <v>13516980.915855331</v>
      </c>
      <c r="Z7" s="1">
        <f>Assumptions!AA120</f>
        <v>14104675.738283824</v>
      </c>
      <c r="AA7" s="1">
        <f>Assumptions!AB120</f>
        <v>14692370.560712315</v>
      </c>
      <c r="AB7" s="1">
        <f>Assumptions!AC120</f>
        <v>15280065.38314081</v>
      </c>
      <c r="AC7" s="1">
        <f>Assumptions!AD120</f>
        <v>15867760.205569301</v>
      </c>
      <c r="AD7" s="1">
        <f>Assumptions!AE120</f>
        <v>16455455.027997794</v>
      </c>
      <c r="AE7" s="1">
        <f>Assumptions!AF120</f>
        <v>17043149.850426286</v>
      </c>
      <c r="AF7" s="1">
        <f>Assumptions!AG120</f>
        <v>17630844.672854777</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9929661.5791048743</v>
      </c>
      <c r="D11" s="1">
        <f>D5*D$9</f>
        <v>10247410.749636229</v>
      </c>
      <c r="E11" s="1">
        <f t="shared" ref="D11:AF13" si="1">E5*E$9</f>
        <v>10575327.893624587</v>
      </c>
      <c r="F11" s="1">
        <f t="shared" si="1"/>
        <v>10913738.386220574</v>
      </c>
      <c r="G11" s="1">
        <f t="shared" si="1"/>
        <v>11262978.014579635</v>
      </c>
      <c r="H11" s="1">
        <f t="shared" si="1"/>
        <v>11623393.311046181</v>
      </c>
      <c r="I11" s="1">
        <f t="shared" si="1"/>
        <v>11995341.896999657</v>
      </c>
      <c r="J11" s="1">
        <f t="shared" si="1"/>
        <v>12379192.837703647</v>
      </c>
      <c r="K11" s="1">
        <f t="shared" si="1"/>
        <v>12775327.008510165</v>
      </c>
      <c r="L11" s="1">
        <f t="shared" si="1"/>
        <v>13184137.472782489</v>
      </c>
      <c r="M11" s="1">
        <f t="shared" si="1"/>
        <v>13606029.871911529</v>
      </c>
      <c r="N11" s="1">
        <f t="shared" si="1"/>
        <v>14041422.827812698</v>
      </c>
      <c r="O11" s="1">
        <f t="shared" si="1"/>
        <v>14490748.358302705</v>
      </c>
      <c r="P11" s="1">
        <f t="shared" si="1"/>
        <v>14954452.305768389</v>
      </c>
      <c r="Q11" s="1">
        <f t="shared" si="1"/>
        <v>15432994.779552976</v>
      </c>
      <c r="R11" s="1">
        <f t="shared" si="1"/>
        <v>15926850.612498675</v>
      </c>
      <c r="S11" s="1">
        <f t="shared" si="1"/>
        <v>16436509.832098633</v>
      </c>
      <c r="T11" s="1">
        <f t="shared" si="1"/>
        <v>16962478.146725789</v>
      </c>
      <c r="U11" s="1">
        <f t="shared" si="1"/>
        <v>17505277.447421011</v>
      </c>
      <c r="V11" s="1">
        <f t="shared" si="1"/>
        <v>18065446.325738486</v>
      </c>
      <c r="W11" s="1">
        <f t="shared" si="1"/>
        <v>18643540.60816212</v>
      </c>
      <c r="X11" s="1">
        <f t="shared" si="1"/>
        <v>19240133.907623306</v>
      </c>
      <c r="Y11" s="1">
        <f t="shared" si="1"/>
        <v>19855818.192667246</v>
      </c>
      <c r="Z11" s="1">
        <f t="shared" si="1"/>
        <v>20491204.3748326</v>
      </c>
      <c r="AA11" s="1">
        <f t="shared" si="1"/>
        <v>21146922.91482725</v>
      </c>
      <c r="AB11" s="1">
        <f t="shared" si="1"/>
        <v>21823624.448101718</v>
      </c>
      <c r="AC11" s="1">
        <f t="shared" si="1"/>
        <v>22521980.43044097</v>
      </c>
      <c r="AD11" s="1">
        <f t="shared" si="1"/>
        <v>23242683.804215085</v>
      </c>
      <c r="AE11" s="1">
        <f t="shared" si="1"/>
        <v>23986449.685949966</v>
      </c>
      <c r="AF11" s="1">
        <f t="shared" si="1"/>
        <v>24754016.075900361</v>
      </c>
    </row>
    <row r="12" spans="1:32" x14ac:dyDescent="0.35">
      <c r="A12" t="s">
        <v>71</v>
      </c>
      <c r="C12" s="1">
        <f t="shared" ref="C12:R12" si="2">C6*C$9</f>
        <v>25270877.364425182</v>
      </c>
      <c r="D12" s="1">
        <f t="shared" si="2"/>
        <v>26079545.440086789</v>
      </c>
      <c r="E12" s="1">
        <f t="shared" si="2"/>
        <v>26914090.894169565</v>
      </c>
      <c r="F12" s="1">
        <f t="shared" si="2"/>
        <v>27775341.80278299</v>
      </c>
      <c r="G12" s="1">
        <f t="shared" si="2"/>
        <v>28664152.740472049</v>
      </c>
      <c r="H12" s="1">
        <f t="shared" si="2"/>
        <v>29581405.628167152</v>
      </c>
      <c r="I12" s="1">
        <f t="shared" si="2"/>
        <v>30528010.608268496</v>
      </c>
      <c r="J12" s="1">
        <f t="shared" si="2"/>
        <v>31504906.947733093</v>
      </c>
      <c r="K12" s="1">
        <f t="shared" si="2"/>
        <v>32513063.970060553</v>
      </c>
      <c r="L12" s="1">
        <f t="shared" si="2"/>
        <v>33553482.017102487</v>
      </c>
      <c r="M12" s="1">
        <f t="shared" si="2"/>
        <v>34627193.441649765</v>
      </c>
      <c r="N12" s="1">
        <f t="shared" si="2"/>
        <v>35735263.631782562</v>
      </c>
      <c r="O12" s="1">
        <f t="shared" si="2"/>
        <v>36878792.067999609</v>
      </c>
      <c r="P12" s="1">
        <f t="shared" si="2"/>
        <v>38058913.414175585</v>
      </c>
      <c r="Q12" s="1">
        <f t="shared" si="2"/>
        <v>39276798.643429197</v>
      </c>
      <c r="R12" s="1">
        <f t="shared" si="2"/>
        <v>40533656.200018942</v>
      </c>
      <c r="S12" s="1">
        <f t="shared" si="1"/>
        <v>41830733.198419549</v>
      </c>
      <c r="T12" s="1">
        <f t="shared" si="1"/>
        <v>43169316.660768971</v>
      </c>
      <c r="U12" s="1">
        <f t="shared" si="1"/>
        <v>44550734.793913573</v>
      </c>
      <c r="V12" s="1">
        <f t="shared" si="1"/>
        <v>45976358.307318814</v>
      </c>
      <c r="W12" s="1">
        <f t="shared" si="1"/>
        <v>47447601.773153022</v>
      </c>
      <c r="X12" s="1">
        <f t="shared" si="1"/>
        <v>48965925.029893912</v>
      </c>
      <c r="Y12" s="1">
        <f t="shared" si="1"/>
        <v>50532834.630850509</v>
      </c>
      <c r="Z12" s="1">
        <f t="shared" si="1"/>
        <v>52149885.339037724</v>
      </c>
      <c r="AA12" s="1">
        <f t="shared" si="1"/>
        <v>53818681.669886947</v>
      </c>
      <c r="AB12" s="1">
        <f t="shared" si="1"/>
        <v>55540879.483323321</v>
      </c>
      <c r="AC12" s="1">
        <f t="shared" si="1"/>
        <v>57318187.626789659</v>
      </c>
      <c r="AD12" s="1">
        <f t="shared" si="1"/>
        <v>59152369.63084694</v>
      </c>
      <c r="AE12" s="1">
        <f t="shared" si="1"/>
        <v>61045245.459034041</v>
      </c>
      <c r="AF12" s="1">
        <f t="shared" si="1"/>
        <v>62998693.313723117</v>
      </c>
    </row>
    <row r="13" spans="1:32" x14ac:dyDescent="0.35">
      <c r="A13" t="s">
        <v>74</v>
      </c>
      <c r="C13" s="1">
        <f>C7*C$9</f>
        <v>606501.05674620438</v>
      </c>
      <c r="D13" s="1">
        <f t="shared" si="1"/>
        <v>1251818.1811241657</v>
      </c>
      <c r="E13" s="1">
        <f t="shared" si="1"/>
        <v>1937814.5443802087</v>
      </c>
      <c r="F13" s="1">
        <f t="shared" si="1"/>
        <v>2666432.8130671671</v>
      </c>
      <c r="G13" s="1">
        <f t="shared" si="1"/>
        <v>3439698.3288566456</v>
      </c>
      <c r="H13" s="1">
        <f t="shared" si="1"/>
        <v>4259722.4104560697</v>
      </c>
      <c r="I13" s="1">
        <f t="shared" si="1"/>
        <v>5128705.7821891075</v>
      </c>
      <c r="J13" s="1">
        <f t="shared" si="1"/>
        <v>6048942.1339647537</v>
      </c>
      <c r="K13" s="1">
        <f t="shared" si="1"/>
        <v>7022821.8175330795</v>
      </c>
      <c r="L13" s="1">
        <f t="shared" si="1"/>
        <v>8052835.6841045963</v>
      </c>
      <c r="M13" s="1">
        <f t="shared" si="1"/>
        <v>9141579.0685955379</v>
      </c>
      <c r="N13" s="1">
        <f t="shared" si="1"/>
        <v>10291755.925953379</v>
      </c>
      <c r="O13" s="1">
        <f t="shared" si="1"/>
        <v>11506183.125215879</v>
      </c>
      <c r="P13" s="1">
        <f t="shared" si="1"/>
        <v>12787794.907162996</v>
      </c>
      <c r="Q13" s="1">
        <f t="shared" si="1"/>
        <v>14139647.51163451</v>
      </c>
      <c r="R13" s="1">
        <f t="shared" si="1"/>
        <v>15564923.980807273</v>
      </c>
      <c r="S13" s="1">
        <f t="shared" si="1"/>
        <v>17066939.144955177</v>
      </c>
      <c r="T13" s="1">
        <f t="shared" si="1"/>
        <v>18649144.797452196</v>
      </c>
      <c r="U13" s="1">
        <f t="shared" si="1"/>
        <v>20315135.066024587</v>
      </c>
      <c r="V13" s="1">
        <f t="shared" si="1"/>
        <v>22068651.987513028</v>
      </c>
      <c r="W13" s="1">
        <f t="shared" si="1"/>
        <v>23913591.293669119</v>
      </c>
      <c r="X13" s="1">
        <f t="shared" si="1"/>
        <v>25854008.415783986</v>
      </c>
      <c r="Y13" s="1">
        <f t="shared" si="1"/>
        <v>27894124.716229483</v>
      </c>
      <c r="Z13" s="1">
        <f t="shared" si="1"/>
        <v>30038333.955285732</v>
      </c>
      <c r="AA13" s="1">
        <f t="shared" si="1"/>
        <v>32291209.001932167</v>
      </c>
      <c r="AB13" s="1">
        <f t="shared" si="1"/>
        <v>34657508.797593758</v>
      </c>
      <c r="AC13" s="1">
        <f t="shared" si="1"/>
        <v>37142185.582159698</v>
      </c>
      <c r="AD13" s="1">
        <f t="shared" si="1"/>
        <v>39750392.391929142</v>
      </c>
      <c r="AE13" s="1">
        <f t="shared" si="1"/>
        <v>42487490.839487694</v>
      </c>
      <c r="AF13" s="1">
        <f t="shared" si="1"/>
        <v>45359059.185880639</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35807040.00027626</v>
      </c>
      <c r="D25" s="40">
        <f>SUM(D11:D13,D18:D23)</f>
        <v>37578774.37084718</v>
      </c>
      <c r="E25" s="40">
        <f t="shared" ref="E25:AF25" si="7">SUM(E11:E13,E18:E23)</f>
        <v>39427233.332174361</v>
      </c>
      <c r="F25" s="40">
        <f t="shared" si="7"/>
        <v>41355513.002070732</v>
      </c>
      <c r="G25" s="40">
        <f t="shared" si="7"/>
        <v>43366829.083908334</v>
      </c>
      <c r="H25" s="40">
        <f t="shared" si="7"/>
        <v>45464521.349669404</v>
      </c>
      <c r="I25" s="40">
        <f t="shared" si="7"/>
        <v>47652058.287457265</v>
      </c>
      <c r="J25" s="40">
        <f t="shared" si="7"/>
        <v>49933041.919401497</v>
      </c>
      <c r="K25" s="40">
        <f t="shared" si="7"/>
        <v>52311212.79610379</v>
      </c>
      <c r="L25" s="40">
        <f t="shared" si="7"/>
        <v>54790455.173989572</v>
      </c>
      <c r="M25" s="40">
        <f t="shared" si="7"/>
        <v>57374802.382156827</v>
      </c>
      <c r="N25" s="40">
        <f t="shared" si="7"/>
        <v>60068442.385548644</v>
      </c>
      <c r="O25" s="40">
        <f t="shared" si="7"/>
        <v>62875723.551518194</v>
      </c>
      <c r="P25" s="40">
        <f t="shared" si="7"/>
        <v>65801160.627106965</v>
      </c>
      <c r="Q25" s="40">
        <f t="shared" si="7"/>
        <v>68849440.934616685</v>
      </c>
      <c r="R25" s="40">
        <f t="shared" si="7"/>
        <v>72025430.793324888</v>
      </c>
      <c r="S25" s="40">
        <f t="shared" si="7"/>
        <v>75334182.175473362</v>
      </c>
      <c r="T25" s="40">
        <f t="shared" si="7"/>
        <v>78780939.604946956</v>
      </c>
      <c r="U25" s="40">
        <f t="shared" si="7"/>
        <v>82371147.307359174</v>
      </c>
      <c r="V25" s="40">
        <f t="shared" si="7"/>
        <v>86110456.620570332</v>
      </c>
      <c r="W25" s="40">
        <f t="shared" si="7"/>
        <v>90004733.674984261</v>
      </c>
      <c r="X25" s="40">
        <f t="shared" si="7"/>
        <v>94060067.353301212</v>
      </c>
      <c r="Y25" s="40">
        <f t="shared" si="7"/>
        <v>98282777.539747238</v>
      </c>
      <c r="Z25" s="40">
        <f t="shared" si="7"/>
        <v>102679423.66915604</v>
      </c>
      <c r="AA25" s="40">
        <f t="shared" si="7"/>
        <v>107256813.58664638</v>
      </c>
      <c r="AB25" s="40">
        <f t="shared" si="7"/>
        <v>112022012.72901879</v>
      </c>
      <c r="AC25" s="40">
        <f t="shared" si="7"/>
        <v>116982353.63939032</v>
      </c>
      <c r="AD25" s="40">
        <f t="shared" si="7"/>
        <v>122145445.82699117</v>
      </c>
      <c r="AE25" s="40">
        <f t="shared" si="7"/>
        <v>127519185.98447171</v>
      </c>
      <c r="AF25" s="40">
        <f t="shared" si="7"/>
        <v>133111768.57550412</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164</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35902096.537303865</v>
      </c>
      <c r="D5" s="59">
        <f>C5*('Price and Financial ratios'!F4+1)*(1+Assumptions!$C$13)</f>
        <v>41639581.023557842</v>
      </c>
      <c r="E5" s="59">
        <f>D5*('Price and Financial ratios'!G4+1)*(1+Assumptions!$C$13)</f>
        <v>48293968.181381457</v>
      </c>
      <c r="F5" s="59">
        <f>E5*('Price and Financial ratios'!H4+1)*(1+Assumptions!$C$13)</f>
        <v>54046461.595549375</v>
      </c>
      <c r="G5" s="59">
        <f>F5*('Price and Financial ratios'!I4+1)*(1+Assumptions!$C$13)</f>
        <v>59934302.204273261</v>
      </c>
      <c r="H5" s="59">
        <f>G5*('Price and Financial ratios'!J4+1)*(1+Assumptions!$C$13)</f>
        <v>64024536.293719858</v>
      </c>
      <c r="I5" s="59">
        <f>H5*('Price and Financial ratios'!K4+1)*(1+Assumptions!$C$13)</f>
        <v>68393909.612141714</v>
      </c>
      <c r="J5" s="59">
        <f>I5*('Price and Financial ratios'!L4+1)*(1+Assumptions!$C$13)</f>
        <v>73061472.098356262</v>
      </c>
      <c r="K5" s="59">
        <f>J5*('Price and Financial ratios'!M4+1)*(1+Assumptions!$C$13)</f>
        <v>77304263.533576518</v>
      </c>
      <c r="L5" s="59">
        <f>K5*('Price and Financial ratios'!N4+1)*(1+Assumptions!$C$13)</f>
        <v>81793440.356960654</v>
      </c>
      <c r="M5" s="59">
        <f>L5*('Price and Financial ratios'!O4+1)*(1+Assumptions!$C$13)</f>
        <v>86543310.544855744</v>
      </c>
      <c r="N5" s="59">
        <f>M5*('Price and Financial ratios'!P4+1)*(1+Assumptions!$C$13)</f>
        <v>91569012.959679946</v>
      </c>
      <c r="O5" s="59">
        <f>N5*('Price and Financial ratios'!Q4+1)*(1+Assumptions!$C$13)</f>
        <v>96886565.600747555</v>
      </c>
      <c r="P5" s="59">
        <f>O5*('Price and Financial ratios'!R4+1)*(1+Assumptions!$C$13)</f>
        <v>102020066.0962418</v>
      </c>
      <c r="Q5" s="59">
        <f>P5*('Price and Financial ratios'!S4+1)*(1+Assumptions!$C$13)</f>
        <v>107425563.30432297</v>
      </c>
      <c r="R5" s="59">
        <f>Q5*('Price and Financial ratios'!T4+1)*(1+Assumptions!$C$13)</f>
        <v>113117468.87484343</v>
      </c>
      <c r="S5" s="59">
        <f>R5*('Price and Financial ratios'!U4+1)*(1+Assumptions!$C$13)</f>
        <v>118535542.79753965</v>
      </c>
      <c r="T5" s="59">
        <f>S5*('Price and Financial ratios'!V4+1)*(1+Assumptions!$C$13)</f>
        <v>124213130.35083418</v>
      </c>
      <c r="U5" s="59">
        <f>T5*('Price and Financial ratios'!W4+1)*(1+Assumptions!$C$13)</f>
        <v>130162661.65757641</v>
      </c>
      <c r="V5" s="59">
        <f>U5*('Price and Financial ratios'!X4+1)*(1+Assumptions!$C$13)</f>
        <v>136397162.21571687</v>
      </c>
      <c r="W5" s="59">
        <f>V5*('Price and Financial ratios'!Y4+1)*(1+Assumptions!$C$13)</f>
        <v>142930281.41544369</v>
      </c>
      <c r="X5" s="59">
        <f>W5*('Price and Financial ratios'!Z4+1)*(1+Assumptions!$C$13)</f>
        <v>149776322.42222643</v>
      </c>
      <c r="Y5" s="59">
        <f>X5*('Price and Financial ratios'!AA4+1)*(1+Assumptions!$C$13)</f>
        <v>156950273.49119061</v>
      </c>
      <c r="Z5" s="59">
        <f>Y5*('Price and Financial ratios'!AB4+1)*(1+Assumptions!$C$13)</f>
        <v>164467840.78138107</v>
      </c>
      <c r="AA5" s="59">
        <f>Z5*('Price and Financial ratios'!AC4+1)*(1+Assumptions!$C$13)</f>
        <v>172345482.74175495</v>
      </c>
      <c r="AB5" s="59">
        <f>AA5*('Price and Financial ratios'!AD4+1)*(1+Assumptions!$C$13)</f>
        <v>180600446.14418715</v>
      </c>
      <c r="AC5" s="59">
        <f>AB5*('Price and Financial ratios'!AE4+1)*(1+Assumptions!$C$13)</f>
        <v>189250803.84237587</v>
      </c>
      <c r="AD5" s="59">
        <f>AC5*('Price and Financial ratios'!AF4+1)*(1+Assumptions!$C$13)</f>
        <v>198315494.33931565</v>
      </c>
      <c r="AE5" s="59">
        <f>AD5*('Price and Financial ratios'!AG4+1)*(1+Assumptions!$C$13)</f>
        <v>206805555.66137168</v>
      </c>
      <c r="AF5" s="59">
        <f>AE5*('Price and Financial ratios'!AH4+1)*(1+Assumptions!$C$13)</f>
        <v>215659084.00093135</v>
      </c>
    </row>
    <row r="6" spans="1:32" s="11" customFormat="1" x14ac:dyDescent="0.35">
      <c r="A6" s="11" t="s">
        <v>20</v>
      </c>
      <c r="C6" s="59">
        <f>C27</f>
        <v>16008200.078165248</v>
      </c>
      <c r="D6" s="59">
        <f t="shared" ref="D6:AF6" si="1">D27</f>
        <v>17398630.531728238</v>
      </c>
      <c r="E6" s="59">
        <f>E27</f>
        <v>18847303.739447333</v>
      </c>
      <c r="F6" s="59">
        <f t="shared" si="1"/>
        <v>20356300.724659458</v>
      </c>
      <c r="G6" s="59">
        <f t="shared" si="1"/>
        <v>21927773.492502045</v>
      </c>
      <c r="H6" s="59">
        <f t="shared" si="1"/>
        <v>23563947.448312592</v>
      </c>
      <c r="I6" s="59">
        <f t="shared" si="1"/>
        <v>25267123.900106378</v>
      </c>
      <c r="J6" s="59">
        <f t="shared" si="1"/>
        <v>27039682.648139145</v>
      </c>
      <c r="K6" s="59">
        <f t="shared" si="1"/>
        <v>28884084.664672405</v>
      </c>
      <c r="L6" s="59">
        <f t="shared" si="1"/>
        <v>30802874.867173839</v>
      </c>
      <c r="M6" s="59">
        <f t="shared" si="1"/>
        <v>32798684.988304131</v>
      </c>
      <c r="N6" s="59">
        <f t="shared" si="1"/>
        <v>34874236.546165451</v>
      </c>
      <c r="O6" s="59">
        <f t="shared" si="1"/>
        <v>37032343.918414906</v>
      </c>
      <c r="P6" s="59">
        <f t="shared" si="1"/>
        <v>39275917.523979567</v>
      </c>
      <c r="Q6" s="59">
        <f t="shared" si="1"/>
        <v>41607967.116247505</v>
      </c>
      <c r="R6" s="59">
        <f t="shared" si="1"/>
        <v>44031605.191753149</v>
      </c>
      <c r="S6" s="59">
        <f t="shared" si="1"/>
        <v>46550050.518523484</v>
      </c>
      <c r="T6" s="59">
        <f t="shared" si="1"/>
        <v>49166631.7884067</v>
      </c>
      <c r="U6" s="59">
        <f t="shared" si="1"/>
        <v>51884791.397864476</v>
      </c>
      <c r="V6" s="59">
        <f t="shared" si="1"/>
        <v>54708089.36187619</v>
      </c>
      <c r="W6" s="59">
        <f t="shared" si="1"/>
        <v>57640207.365775228</v>
      </c>
      <c r="X6" s="59">
        <f t="shared" si="1"/>
        <v>60684952.960017741</v>
      </c>
      <c r="Y6" s="59">
        <f t="shared" si="1"/>
        <v>63846263.903069198</v>
      </c>
      <c r="Z6" s="59">
        <f t="shared" si="1"/>
        <v>67128212.657788187</v>
      </c>
      <c r="AA6" s="59">
        <f t="shared" si="1"/>
        <v>70535011.046886355</v>
      </c>
      <c r="AB6" s="59">
        <f t="shared" si="1"/>
        <v>74071015.073252708</v>
      </c>
      <c r="AC6" s="59">
        <f t="shared" si="1"/>
        <v>77740729.911145002</v>
      </c>
      <c r="AD6" s="59">
        <f t="shared" si="1"/>
        <v>81548815.074476659</v>
      </c>
      <c r="AE6" s="59">
        <f t="shared" si="1"/>
        <v>85500089.768659204</v>
      </c>
      <c r="AF6" s="59">
        <f t="shared" si="1"/>
        <v>89599538.43270269</v>
      </c>
    </row>
    <row r="7" spans="1:32" x14ac:dyDescent="0.35">
      <c r="A7" t="s">
        <v>21</v>
      </c>
      <c r="C7" s="4">
        <f>Depreciation!C8+Depreciation!C9</f>
        <v>10536162.635851078</v>
      </c>
      <c r="D7" s="4">
        <f>Depreciation!D8+Depreciation!D9</f>
        <v>11499228.930760395</v>
      </c>
      <c r="E7" s="4">
        <f>Depreciation!E8+Depreciation!E9</f>
        <v>12513142.438004795</v>
      </c>
      <c r="F7" s="4">
        <f>Depreciation!F8+Depreciation!F9</f>
        <v>13580171.199287742</v>
      </c>
      <c r="G7" s="4">
        <f>Depreciation!G8+Depreciation!G9</f>
        <v>14702676.34343628</v>
      </c>
      <c r="H7" s="4">
        <f>Depreciation!H8+Depreciation!H9</f>
        <v>15883115.721502252</v>
      </c>
      <c r="I7" s="4">
        <f>Depreciation!I8+Depreciation!I9</f>
        <v>17124047.679188766</v>
      </c>
      <c r="J7" s="4">
        <f>Depreciation!J8+Depreciation!J9</f>
        <v>18428134.9716684</v>
      </c>
      <c r="K7" s="4">
        <f>Depreciation!K8+Depreciation!K9</f>
        <v>19798148.826043244</v>
      </c>
      <c r="L7" s="4">
        <f>Depreciation!L8+Depreciation!L9</f>
        <v>21236973.156887084</v>
      </c>
      <c r="M7" s="4">
        <f>Depreciation!M8+Depreciation!M9</f>
        <v>22747608.940507069</v>
      </c>
      <c r="N7" s="4">
        <f>Depreciation!N8+Depreciation!N9</f>
        <v>24333178.753766075</v>
      </c>
      <c r="O7" s="4">
        <f>Depreciation!O8+Depreciation!O9</f>
        <v>25996931.483518586</v>
      </c>
      <c r="P7" s="4">
        <f>Depreciation!P8+Depreciation!P9</f>
        <v>27742247.212931387</v>
      </c>
      <c r="Q7" s="4">
        <f>Depreciation!Q8+Depreciation!Q9</f>
        <v>29572642.291187488</v>
      </c>
      <c r="R7" s="4">
        <f>Depreciation!R8+Depreciation!R9</f>
        <v>31491774.593305945</v>
      </c>
      <c r="S7" s="4">
        <f>Depreciation!S8+Depreciation!S9</f>
        <v>33503448.97705381</v>
      </c>
      <c r="T7" s="4">
        <f>Depreciation!T8+Depreciation!T9</f>
        <v>35611622.944177985</v>
      </c>
      <c r="U7" s="4">
        <f>Depreciation!U8+Depreciation!U9</f>
        <v>37820412.513445601</v>
      </c>
      <c r="V7" s="4">
        <f>Depreciation!V8+Depreciation!V9</f>
        <v>40134098.31325151</v>
      </c>
      <c r="W7" s="4">
        <f>Depreciation!W8+Depreciation!W9</f>
        <v>42557131.901831239</v>
      </c>
      <c r="X7" s="4">
        <f>Depreciation!X8+Depreciation!X9</f>
        <v>45094142.323407292</v>
      </c>
      <c r="Y7" s="4">
        <f>Depreciation!Y8+Depreciation!Y9</f>
        <v>47749942.908896729</v>
      </c>
      <c r="Z7" s="4">
        <f>Depreciation!Z8+Depreciation!Z9</f>
        <v>50529538.330118328</v>
      </c>
      <c r="AA7" s="4">
        <f>Depreciation!AA8+Depreciation!AA9</f>
        <v>53438131.916759416</v>
      </c>
      <c r="AB7" s="4">
        <f>Depreciation!AB8+Depreciation!AB9</f>
        <v>56481133.245695472</v>
      </c>
      <c r="AC7" s="4">
        <f>Depreciation!AC8+Depreciation!AC9</f>
        <v>59664166.012600668</v>
      </c>
      <c r="AD7" s="4">
        <f>Depreciation!AD8+Depreciation!AD9</f>
        <v>62993076.196144223</v>
      </c>
      <c r="AE7" s="4">
        <f>Depreciation!AE8+Depreciation!AE9</f>
        <v>66473940.525437661</v>
      </c>
      <c r="AF7" s="4">
        <f>Depreciation!AF8+Depreciation!AF9</f>
        <v>70113075.261781007</v>
      </c>
    </row>
    <row r="8" spans="1:32" x14ac:dyDescent="0.35">
      <c r="A8" t="s">
        <v>6</v>
      </c>
      <c r="C8" s="4">
        <f ca="1">'Debt worksheet'!C8</f>
        <v>3605476.7087459252</v>
      </c>
      <c r="D8" s="4">
        <f ca="1">'Debt worksheet'!D8</f>
        <v>4220000.5642606635</v>
      </c>
      <c r="E8" s="4">
        <f ca="1">'Debt worksheet'!E8</f>
        <v>4735047.1247866033</v>
      </c>
      <c r="F8" s="4">
        <f ca="1">'Debt worksheet'!F8</f>
        <v>5184802.5382154733</v>
      </c>
      <c r="G8" s="4">
        <f ca="1">'Debt worksheet'!G8</f>
        <v>5567267.4106116807</v>
      </c>
      <c r="H8" s="4">
        <f ca="1">'Debt worksheet'!H8</f>
        <v>5950678.8064879328</v>
      </c>
      <c r="I8" s="4">
        <f ca="1">'Debt worksheet'!I8</f>
        <v>6330635.5923603121</v>
      </c>
      <c r="J8" s="4">
        <f ca="1">'Debt worksheet'!J8</f>
        <v>6702103.0350070111</v>
      </c>
      <c r="K8" s="4">
        <f ca="1">'Debt worksheet'!K8</f>
        <v>7086310.0750870453</v>
      </c>
      <c r="L8" s="4">
        <f ca="1">'Debt worksheet'!L8</f>
        <v>7481146.335786676</v>
      </c>
      <c r="M8" s="4">
        <f ca="1">'Debt worksheet'!M8</f>
        <v>7884147.6939718733</v>
      </c>
      <c r="N8" s="4">
        <f ca="1">'Debt worksheet'!N8</f>
        <v>8292462.1792674288</v>
      </c>
      <c r="O8" s="4">
        <f ca="1">'Debt worksheet'!O8</f>
        <v>8702813.2069315258</v>
      </c>
      <c r="P8" s="4">
        <f ca="1">'Debt worksheet'!P8</f>
        <v>9129335.3666850682</v>
      </c>
      <c r="Q8" s="4">
        <f ca="1">'Debt worksheet'!Q8</f>
        <v>9570414.4381492361</v>
      </c>
      <c r="R8" s="4">
        <f ca="1">'Debt worksheet'!R8</f>
        <v>10024144.338867819</v>
      </c>
      <c r="S8" s="4">
        <f ca="1">'Debt worksheet'!S8</f>
        <v>10509169.414760435</v>
      </c>
      <c r="T8" s="4">
        <f ca="1">'Debt worksheet'!T8</f>
        <v>11025777.047926029</v>
      </c>
      <c r="U8" s="4">
        <f ca="1">'Debt worksheet'!U8</f>
        <v>11574136.522895008</v>
      </c>
      <c r="V8" s="4">
        <f ca="1">'Debt worksheet'!V8</f>
        <v>12154284.927181913</v>
      </c>
      <c r="W8" s="4">
        <f ca="1">'Debt worksheet'!W8</f>
        <v>12766111.93167665</v>
      </c>
      <c r="X8" s="4">
        <f ca="1">'Debt worksheet'!X8</f>
        <v>13409343.376025792</v>
      </c>
      <c r="Y8" s="4">
        <f ca="1">'Debt worksheet'!Y8</f>
        <v>14083523.579619372</v>
      </c>
      <c r="Z8" s="4">
        <f ca="1">'Debt worksheet'!Z8</f>
        <v>14787996.294004232</v>
      </c>
      <c r="AA8" s="4">
        <f ca="1">'Debt worksheet'!AA8</f>
        <v>15521884.207478192</v>
      </c>
      <c r="AB8" s="4">
        <f ca="1">'Debt worksheet'!AB8</f>
        <v>16284066.907265434</v>
      </c>
      <c r="AC8" s="4">
        <f ca="1">'Debt worksheet'!AC8</f>
        <v>17073157.199016593</v>
      </c>
      <c r="AD8" s="4">
        <f ca="1">'Debt worksheet'!AD8</f>
        <v>17887475.677400954</v>
      </c>
      <c r="AE8" s="4">
        <f ca="1">'Debt worksheet'!AE8</f>
        <v>18761612.31151557</v>
      </c>
      <c r="AF8" s="4">
        <f ca="1">'Debt worksheet'!AF8</f>
        <v>19697865.405979495</v>
      </c>
    </row>
    <row r="9" spans="1:32" x14ac:dyDescent="0.35">
      <c r="A9" t="s">
        <v>22</v>
      </c>
      <c r="C9" s="4">
        <f ca="1">C5-C6-C7-C8</f>
        <v>5752257.1145416144</v>
      </c>
      <c r="D9" s="4">
        <f t="shared" ref="D9:AF9" ca="1" si="2">D5-D6-D7-D8</f>
        <v>8521720.9968085457</v>
      </c>
      <c r="E9" s="4">
        <f t="shared" ca="1" si="2"/>
        <v>12198474.879142724</v>
      </c>
      <c r="F9" s="4">
        <f t="shared" ca="1" si="2"/>
        <v>14925187.133386701</v>
      </c>
      <c r="G9" s="4">
        <f t="shared" ca="1" si="2"/>
        <v>17736584.95772326</v>
      </c>
      <c r="H9" s="4">
        <f t="shared" ca="1" si="2"/>
        <v>18626794.317417078</v>
      </c>
      <c r="I9" s="4">
        <f t="shared" ca="1" si="2"/>
        <v>19672102.44048626</v>
      </c>
      <c r="J9" s="4">
        <f t="shared" ca="1" si="2"/>
        <v>20891551.443541702</v>
      </c>
      <c r="K9" s="4">
        <f t="shared" ca="1" si="2"/>
        <v>21535719.967773825</v>
      </c>
      <c r="L9" s="4">
        <f t="shared" ca="1" si="2"/>
        <v>22272445.997113056</v>
      </c>
      <c r="M9" s="4">
        <f t="shared" ca="1" si="2"/>
        <v>23112868.922072671</v>
      </c>
      <c r="N9" s="4">
        <f t="shared" ca="1" si="2"/>
        <v>24069135.480480991</v>
      </c>
      <c r="O9" s="4">
        <f t="shared" ca="1" si="2"/>
        <v>25154476.99188254</v>
      </c>
      <c r="P9" s="4">
        <f t="shared" ca="1" si="2"/>
        <v>25872565.992645778</v>
      </c>
      <c r="Q9" s="4">
        <f t="shared" ca="1" si="2"/>
        <v>26674539.458738744</v>
      </c>
      <c r="R9" s="4">
        <f t="shared" ca="1" si="2"/>
        <v>27569944.750916518</v>
      </c>
      <c r="S9" s="4">
        <f t="shared" ca="1" si="2"/>
        <v>27972873.887201928</v>
      </c>
      <c r="T9" s="4">
        <f t="shared" ca="1" si="2"/>
        <v>28409098.57032346</v>
      </c>
      <c r="U9" s="4">
        <f t="shared" ca="1" si="2"/>
        <v>28883321.223371327</v>
      </c>
      <c r="V9" s="4">
        <f t="shared" ca="1" si="2"/>
        <v>29400689.613407254</v>
      </c>
      <c r="W9" s="4">
        <f t="shared" ca="1" si="2"/>
        <v>29966830.216160573</v>
      </c>
      <c r="X9" s="4">
        <f t="shared" ca="1" si="2"/>
        <v>30587883.762775604</v>
      </c>
      <c r="Y9" s="4">
        <f t="shared" ca="1" si="2"/>
        <v>31270543.099605314</v>
      </c>
      <c r="Z9" s="4">
        <f t="shared" ca="1" si="2"/>
        <v>32022093.499470323</v>
      </c>
      <c r="AA9" s="4">
        <f t="shared" ca="1" si="2"/>
        <v>32850455.570630986</v>
      </c>
      <c r="AB9" s="4">
        <f t="shared" ca="1" si="2"/>
        <v>33764230.917973541</v>
      </c>
      <c r="AC9" s="4">
        <f t="shared" ca="1" si="2"/>
        <v>34772750.719613612</v>
      </c>
      <c r="AD9" s="4">
        <f t="shared" ca="1" si="2"/>
        <v>35886127.391293816</v>
      </c>
      <c r="AE9" s="4">
        <f t="shared" ca="1" si="2"/>
        <v>36069913.055759244</v>
      </c>
      <c r="AF9" s="4">
        <f t="shared" ca="1" si="2"/>
        <v>36248604.900468156</v>
      </c>
    </row>
    <row r="12" spans="1:32" x14ac:dyDescent="0.35">
      <c r="A12" t="s">
        <v>79</v>
      </c>
      <c r="C12" s="2">
        <f>Assumptions!$C$25*Assumptions!D9*Assumptions!D13</f>
        <v>15257419.942512849</v>
      </c>
      <c r="D12" s="2">
        <f>Assumptions!$C$25*Assumptions!E9*Assumptions!E13</f>
        <v>15864035.934454735</v>
      </c>
      <c r="E12" s="2">
        <f>Assumptions!$C$25*Assumptions!F9*Assumptions!F13</f>
        <v>16494770.221827049</v>
      </c>
      <c r="F12" s="2">
        <f>Assumptions!$C$25*Assumptions!G9*Assumptions!G13</f>
        <v>17150581.717982221</v>
      </c>
      <c r="G12" s="2">
        <f>Assumptions!$C$25*Assumptions!H9*Assumptions!H13</f>
        <v>17832467.461471874</v>
      </c>
      <c r="H12" s="2">
        <f>Assumptions!$C$25*Assumptions!I9*Assumptions!I13</f>
        <v>18541464.13185719</v>
      </c>
      <c r="I12" s="2">
        <f>Assumptions!$C$25*Assumptions!J9*Assumptions!J13</f>
        <v>19278649.625786055</v>
      </c>
      <c r="J12" s="2">
        <f>Assumptions!$C$25*Assumptions!K9*Assumptions!K13</f>
        <v>20045144.695733007</v>
      </c>
      <c r="K12" s="2">
        <f>Assumptions!$C$25*Assumptions!L9*Assumptions!L13</f>
        <v>20842114.653893445</v>
      </c>
      <c r="L12" s="2">
        <f>Assumptions!$C$25*Assumptions!M9*Assumptions!M13</f>
        <v>21670771.143822622</v>
      </c>
      <c r="M12" s="2">
        <f>Assumptions!$C$25*Assumptions!N9*Assumptions!N13</f>
        <v>22532373.98251269</v>
      </c>
      <c r="N12" s="2">
        <f>Assumptions!$C$25*Assumptions!O9*Assumptions!O13</f>
        <v>23428233.07570852</v>
      </c>
      <c r="O12" s="2">
        <f>Assumptions!$C$25*Assumptions!P9*Assumptions!P13</f>
        <v>24359710.409374014</v>
      </c>
      <c r="P12" s="2">
        <f>Assumptions!$C$25*Assumptions!Q9*Assumptions!Q13</f>
        <v>25328222.120336711</v>
      </c>
      <c r="Q12" s="2">
        <f>Assumptions!$C$25*Assumptions!R9*Assumptions!R13</f>
        <v>26335240.64925858</v>
      </c>
      <c r="R12" s="2">
        <f>Assumptions!$C$25*Assumptions!S9*Assumptions!S13</f>
        <v>27382296.979206283</v>
      </c>
      <c r="S12" s="2">
        <f>Assumptions!$C$25*Assumptions!T9*Assumptions!T13</f>
        <v>28470982.963224158</v>
      </c>
      <c r="T12" s="2">
        <f>Assumptions!$C$25*Assumptions!U9*Assumptions!U13</f>
        <v>29602953.744448673</v>
      </c>
      <c r="U12" s="2">
        <f>Assumptions!$C$25*Assumptions!V9*Assumptions!V13</f>
        <v>30779930.272443544</v>
      </c>
      <c r="V12" s="2">
        <f>Assumptions!$C$25*Assumptions!W9*Assumptions!W13</f>
        <v>32003701.919581242</v>
      </c>
      <c r="W12" s="2">
        <f>Assumptions!$C$25*Assumptions!X9*Assumptions!X13</f>
        <v>33276129.201448523</v>
      </c>
      <c r="X12" s="2">
        <f>Assumptions!$C$25*Assumptions!Y9*Assumptions!Y13</f>
        <v>34599146.605411947</v>
      </c>
      <c r="Y12" s="2">
        <f>Assumptions!$C$25*Assumptions!Z9*Assumptions!Z13</f>
        <v>35974765.531643577</v>
      </c>
      <c r="Z12" s="2">
        <f>Assumptions!$C$25*Assumptions!AA9*Assumptions!AA13</f>
        <v>37405077.351078279</v>
      </c>
      <c r="AA12" s="2">
        <f>Assumptions!$C$25*Assumptions!AB9*Assumptions!AB13</f>
        <v>38892256.584951438</v>
      </c>
      <c r="AB12" s="2">
        <f>Assumptions!$C$25*Assumptions!AC9*Assumptions!AC13</f>
        <v>40438564.210751317</v>
      </c>
      <c r="AC12" s="2">
        <f>Assumptions!$C$25*Assumptions!AD9*Assumptions!AD13</f>
        <v>42046351.099611789</v>
      </c>
      <c r="AD12" s="2">
        <f>Assumptions!$C$25*Assumptions!AE9*Assumptions!AE13</f>
        <v>43718061.590371683</v>
      </c>
      <c r="AE12" s="2">
        <f>Assumptions!$C$25*Assumptions!AF9*Assumptions!AF13</f>
        <v>45456237.205734089</v>
      </c>
      <c r="AF12" s="2">
        <f>Assumptions!$C$25*Assumptions!AG9*Assumptions!AG13</f>
        <v>47263520.516175665</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750780.13565239939</v>
      </c>
      <c r="D14" s="5">
        <f>Assumptions!E122*Assumptions!E9</f>
        <v>1534594.5972735041</v>
      </c>
      <c r="E14" s="5">
        <f>Assumptions!F122*Assumptions!F9</f>
        <v>2352533.5176202822</v>
      </c>
      <c r="F14" s="5">
        <f>Assumptions!G122*Assumptions!G9</f>
        <v>3205719.0066772378</v>
      </c>
      <c r="G14" s="5">
        <f>Assumptions!H122*Assumptions!H9</f>
        <v>4095306.0310301711</v>
      </c>
      <c r="H14" s="5">
        <f>Assumptions!I122*Assumptions!I9</f>
        <v>5022483.3164554024</v>
      </c>
      <c r="I14" s="5">
        <f>Assumptions!J122*Assumptions!J9</f>
        <v>5988474.274320324</v>
      </c>
      <c r="J14" s="5">
        <f>Assumptions!K122*Assumptions!K9</f>
        <v>6994537.9524061391</v>
      </c>
      <c r="K14" s="5">
        <f>Assumptions!L122*Assumptions!L9</f>
        <v>8041970.010778958</v>
      </c>
      <c r="L14" s="5">
        <f>Assumptions!M122*Assumptions!M9</f>
        <v>9132103.7233512178</v>
      </c>
      <c r="M14" s="5">
        <f>Assumptions!N122*Assumptions!N9</f>
        <v>10266311.005791439</v>
      </c>
      <c r="N14" s="5">
        <f>Assumptions!O122*Assumptions!O9</f>
        <v>11446003.47045693</v>
      </c>
      <c r="O14" s="5">
        <f>Assumptions!P122*Assumptions!P9</f>
        <v>12672633.509040896</v>
      </c>
      <c r="P14" s="5">
        <f>Assumptions!Q122*Assumptions!Q9</f>
        <v>13947695.403642856</v>
      </c>
      <c r="Q14" s="5">
        <f>Assumptions!R122*Assumptions!R9</f>
        <v>15272726.466988927</v>
      </c>
      <c r="R14" s="5">
        <f>Assumptions!S122*Assumptions!S9</f>
        <v>16649308.212546865</v>
      </c>
      <c r="S14" s="5">
        <f>Assumptions!T122*Assumptions!T9</f>
        <v>18079067.555299323</v>
      </c>
      <c r="T14" s="5">
        <f>Assumptions!U122*Assumptions!U9</f>
        <v>19563678.043958023</v>
      </c>
      <c r="U14" s="5">
        <f>Assumptions!V122*Assumptions!V9</f>
        <v>21104861.125420935</v>
      </c>
      <c r="V14" s="5">
        <f>Assumptions!W122*Assumptions!W9</f>
        <v>22704387.442294948</v>
      </c>
      <c r="W14" s="5">
        <f>Assumptions!X122*Assumptions!X9</f>
        <v>24364078.164326705</v>
      </c>
      <c r="X14" s="5">
        <f>Assumptions!Y122*Assumptions!Y9</f>
        <v>26085806.354605794</v>
      </c>
      <c r="Y14" s="5">
        <f>Assumptions!Z122*Assumptions!Z9</f>
        <v>27871498.371425625</v>
      </c>
      <c r="Z14" s="5">
        <f>Assumptions!AA122*Assumptions!AA9</f>
        <v>29723135.306709908</v>
      </c>
      <c r="AA14" s="5">
        <f>Assumptions!AB122*Assumptions!AB9</f>
        <v>31642754.46193492</v>
      </c>
      <c r="AB14" s="5">
        <f>Assumptions!AC122*Assumptions!AC9</f>
        <v>33632450.86250139</v>
      </c>
      <c r="AC14" s="5">
        <f>Assumptions!AD122*Assumptions!AD9</f>
        <v>35694378.811533205</v>
      </c>
      <c r="AD14" s="5">
        <f>Assumptions!AE122*Assumptions!AE9</f>
        <v>37830753.484104976</v>
      </c>
      <c r="AE14" s="5">
        <f>Assumptions!AF122*Assumptions!AF9</f>
        <v>40043852.562925115</v>
      </c>
      <c r="AF14" s="5">
        <f>Assumptions!AG122*Assumptions!AG9</f>
        <v>42336017.916527025</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195</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16008200.078165248</v>
      </c>
      <c r="D27" s="2">
        <f t="shared" ref="D27:AF27" si="8">D12+D13+D14+D19+D20+D22+D24+D25</f>
        <v>17398630.531728238</v>
      </c>
      <c r="E27" s="2">
        <f t="shared" si="8"/>
        <v>18847303.739447333</v>
      </c>
      <c r="F27" s="2">
        <f t="shared" si="8"/>
        <v>20356300.724659458</v>
      </c>
      <c r="G27" s="2">
        <f t="shared" si="8"/>
        <v>21927773.492502045</v>
      </c>
      <c r="H27" s="2">
        <f t="shared" si="8"/>
        <v>23563947.448312592</v>
      </c>
      <c r="I27" s="2">
        <f t="shared" si="8"/>
        <v>25267123.900106378</v>
      </c>
      <c r="J27" s="2">
        <f t="shared" si="8"/>
        <v>27039682.648139145</v>
      </c>
      <c r="K27" s="2">
        <f t="shared" si="8"/>
        <v>28884084.664672405</v>
      </c>
      <c r="L27" s="2">
        <f t="shared" si="8"/>
        <v>30802874.867173839</v>
      </c>
      <c r="M27" s="2">
        <f t="shared" si="8"/>
        <v>32798684.988304131</v>
      </c>
      <c r="N27" s="2">
        <f t="shared" si="8"/>
        <v>34874236.546165451</v>
      </c>
      <c r="O27" s="2">
        <f t="shared" si="8"/>
        <v>37032343.918414906</v>
      </c>
      <c r="P27" s="2">
        <f t="shared" si="8"/>
        <v>39275917.523979567</v>
      </c>
      <c r="Q27" s="2">
        <f t="shared" si="8"/>
        <v>41607967.116247505</v>
      </c>
      <c r="R27" s="2">
        <f t="shared" si="8"/>
        <v>44031605.191753149</v>
      </c>
      <c r="S27" s="2">
        <f t="shared" si="8"/>
        <v>46550050.518523484</v>
      </c>
      <c r="T27" s="2">
        <f t="shared" si="8"/>
        <v>49166631.7884067</v>
      </c>
      <c r="U27" s="2">
        <f t="shared" si="8"/>
        <v>51884791.397864476</v>
      </c>
      <c r="V27" s="2">
        <f t="shared" si="8"/>
        <v>54708089.36187619</v>
      </c>
      <c r="W27" s="2">
        <f t="shared" si="8"/>
        <v>57640207.365775228</v>
      </c>
      <c r="X27" s="2">
        <f t="shared" si="8"/>
        <v>60684952.960017741</v>
      </c>
      <c r="Y27" s="2">
        <f t="shared" si="8"/>
        <v>63846263.903069198</v>
      </c>
      <c r="Z27" s="2">
        <f t="shared" si="8"/>
        <v>67128212.657788187</v>
      </c>
      <c r="AA27" s="2">
        <f t="shared" si="8"/>
        <v>70535011.046886355</v>
      </c>
      <c r="AB27" s="2">
        <f t="shared" si="8"/>
        <v>74071015.073252708</v>
      </c>
      <c r="AC27" s="2">
        <f t="shared" si="8"/>
        <v>77740729.911145002</v>
      </c>
      <c r="AD27" s="2">
        <f t="shared" si="8"/>
        <v>81548815.074476659</v>
      </c>
      <c r="AE27" s="2">
        <f t="shared" si="8"/>
        <v>85500089.768659204</v>
      </c>
      <c r="AF27" s="2">
        <f t="shared" si="8"/>
        <v>89599538.43270269</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3W2DU3RAJ5R2-1900874439-867</_dlc_DocId>
    <_dlc_DocIdUrl xmlns="f54e2983-00ce-40fc-8108-18f351fc47bf">
      <Url>https://dia.cohesion.net.nz/Sites/LGV/TWRP/CAE/_layouts/15/DocIdRedir.aspx?ID=3W2DU3RAJ5R2-1900874439-867</Url>
      <Description>3W2DU3RAJ5R2-1900874439-867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D0E65064-A91A-492D-9518-14A11391E9CA}"/>
</file>

<file path=customXml/itemProps3.xml><?xml version="1.0" encoding="utf-8"?>
<ds:datastoreItem xmlns:ds="http://schemas.openxmlformats.org/officeDocument/2006/customXml" ds:itemID="{CBCC2D2A-763C-48F8-A3E5-6B0A81386C39}">
  <ds:schemaRefs>
    <ds:schemaRef ds:uri="http://schemas.microsoft.com/office/infopath/2007/PartnerControls"/>
    <ds:schemaRef ds:uri="http://purl.org/dc/elements/1.1/"/>
    <ds:schemaRef ds:uri="65b6d800-2dda-48d6-88d8-9e2b35e6f7ea"/>
    <ds:schemaRef ds:uri="08a23fc5-e034-477c-ac83-93bc1440f322"/>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31F5F9EF-9539-4C40-AEDF-DEA6576CA0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2021-07-05T14:37:55Z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582f6c1f-b093-42af-892f-5d612673abe0</vt:lpwstr>
  </property>
</Properties>
</file>