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706" documentId="8_{0A1B9779-3384-4A8C-A647-279E53E132F6}" xr6:coauthVersionLast="47" xr6:coauthVersionMax="47" xr10:uidLastSave="{F10747F3-4BD6-45D2-AE6F-E2968620AF2D}"/>
  <bookViews>
    <workbookView xWindow="1290" yWindow="-110" windowWidth="37220" windowHeight="21820" tabRatio="829"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90" i="2"/>
  <c r="C95" i="2"/>
  <c r="C58" i="2"/>
  <c r="C106" i="2"/>
  <c r="C63" i="2"/>
  <c r="C107" i="2"/>
  <c r="D11" i="2"/>
  <c r="C40" i="2"/>
  <c r="C41" i="2"/>
  <c r="C39" i="2"/>
  <c r="C36" i="2"/>
  <c r="C37" i="2"/>
  <c r="C35" i="2"/>
  <c r="F9" i="2"/>
  <c r="E9" i="2"/>
  <c r="D9" i="2"/>
  <c r="G11" i="2"/>
  <c r="V9" i="2"/>
  <c r="E11" i="2"/>
  <c r="F11" i="2"/>
  <c r="E9" i="9"/>
  <c r="H11" i="2"/>
  <c r="I11" i="2"/>
  <c r="C67" i="2"/>
  <c r="C72" i="2"/>
  <c r="C5" i="3"/>
  <c r="E6" i="7"/>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AG9" i="2"/>
  <c r="AF9" i="2"/>
  <c r="AE9" i="2"/>
  <c r="AD9" i="2"/>
  <c r="AC9" i="2"/>
  <c r="AB12" i="8"/>
  <c r="AB9" i="2"/>
  <c r="AA12" i="8"/>
  <c r="AA9" i="2"/>
  <c r="Z9" i="2"/>
  <c r="Y9" i="2"/>
  <c r="X9" i="2"/>
  <c r="W9" i="2"/>
  <c r="U9" i="2"/>
  <c r="T9" i="2"/>
  <c r="S12" i="8"/>
  <c r="S9" i="2"/>
  <c r="R12" i="8"/>
  <c r="R9" i="2"/>
  <c r="Q9" i="2"/>
  <c r="P9" i="2"/>
  <c r="O9" i="2"/>
  <c r="N9" i="2"/>
  <c r="M9" i="2"/>
  <c r="L9" i="2"/>
  <c r="K12" i="8"/>
  <c r="K9" i="2"/>
  <c r="J9" i="2"/>
  <c r="I12" i="8"/>
  <c r="I9" i="2"/>
  <c r="H9" i="2"/>
  <c r="G9" i="2"/>
  <c r="B11" i="5"/>
  <c r="C22" i="6"/>
  <c r="C129" i="2"/>
  <c r="C135" i="2"/>
  <c r="D135" i="2"/>
  <c r="H44" i="2"/>
  <c r="I44" i="2"/>
  <c r="H15" i="9"/>
  <c r="H43" i="2"/>
  <c r="J44" i="2"/>
  <c r="I43" i="2"/>
  <c r="J43" i="2"/>
  <c r="K43" i="2"/>
  <c r="G16" i="8"/>
  <c r="D13" i="2"/>
  <c r="E13" i="2"/>
  <c r="F13" i="2"/>
  <c r="E12" i="8"/>
  <c r="C5" i="8"/>
  <c r="G13" i="2"/>
  <c r="AF13" i="2"/>
  <c r="AE12" i="8"/>
  <c r="H16" i="8"/>
  <c r="AE13" i="2"/>
  <c r="AD12" i="8"/>
  <c r="V13" i="2"/>
  <c r="U12" i="8"/>
  <c r="U13" i="2"/>
  <c r="J13" i="2"/>
  <c r="C12" i="8"/>
  <c r="O13" i="2"/>
  <c r="N12" i="8"/>
  <c r="AB13" i="2"/>
  <c r="S13" i="2"/>
  <c r="Z13" i="2"/>
  <c r="AG13" i="2"/>
  <c r="AC13" i="2"/>
  <c r="AA13" i="2"/>
  <c r="Q13" i="2"/>
  <c r="P13" i="2"/>
  <c r="O12" i="8"/>
  <c r="W13" i="2"/>
  <c r="V12" i="8"/>
  <c r="T13" i="2"/>
  <c r="Y13" i="2"/>
  <c r="X12" i="8"/>
  <c r="N13" i="2"/>
  <c r="M12" i="8"/>
  <c r="L13" i="2"/>
  <c r="R13" i="2"/>
  <c r="Q12" i="8"/>
  <c r="I13" i="2"/>
  <c r="H12" i="8"/>
  <c r="X13" i="2"/>
  <c r="AD13" i="2"/>
  <c r="AC12" i="8"/>
  <c r="K13" i="2"/>
  <c r="J12" i="8"/>
  <c r="M13" i="2"/>
  <c r="L12" i="8"/>
  <c r="H13" i="2"/>
  <c r="G12" i="8"/>
  <c r="G19" i="8"/>
  <c r="I16" i="8"/>
  <c r="AE135" i="2"/>
  <c r="W12" i="8"/>
  <c r="Z12" i="8"/>
  <c r="D5" i="8"/>
  <c r="E5" i="8"/>
  <c r="F5" i="8"/>
  <c r="G5" i="8"/>
  <c r="H5" i="8"/>
  <c r="I5" i="8"/>
  <c r="J5" i="8"/>
  <c r="K5" i="8"/>
  <c r="L5" i="8"/>
  <c r="D12" i="8"/>
  <c r="D19" i="8"/>
  <c r="Y12" i="8"/>
  <c r="F12" i="8"/>
  <c r="T12" i="8"/>
  <c r="E19" i="8"/>
  <c r="H19" i="8"/>
  <c r="C17" i="2"/>
  <c r="B6" i="5"/>
  <c r="C66" i="2"/>
  <c r="C68" i="2"/>
  <c r="C71" i="2"/>
  <c r="C73" i="2"/>
  <c r="C75" i="2"/>
  <c r="S111" i="2"/>
  <c r="F19" i="8"/>
  <c r="C18" i="2"/>
  <c r="C7" i="6"/>
  <c r="C6" i="6"/>
  <c r="AG111" i="2"/>
  <c r="AF5" i="9"/>
  <c r="AF11" i="9"/>
  <c r="M111" i="2"/>
  <c r="L5" i="9"/>
  <c r="AF111" i="2"/>
  <c r="AE8" i="6"/>
  <c r="Z111" i="2"/>
  <c r="F111" i="2"/>
  <c r="E5" i="9"/>
  <c r="E11" i="9"/>
  <c r="N111" i="2"/>
  <c r="M5" i="9"/>
  <c r="M11" i="9"/>
  <c r="X111" i="2"/>
  <c r="W8" i="6"/>
  <c r="O111" i="2"/>
  <c r="N8" i="6"/>
  <c r="P111" i="2"/>
  <c r="O5" i="9"/>
  <c r="O11" i="9"/>
  <c r="R111" i="2"/>
  <c r="Q5" i="9"/>
  <c r="Q11" i="9"/>
  <c r="AD111" i="2"/>
  <c r="AC5" i="9"/>
  <c r="AC11" i="9"/>
  <c r="AA111" i="2"/>
  <c r="Z5" i="9"/>
  <c r="Z11" i="9"/>
  <c r="U111" i="2"/>
  <c r="T8" i="6"/>
  <c r="W5" i="9"/>
  <c r="W11" i="9"/>
  <c r="O8" i="6"/>
  <c r="L11" i="9"/>
  <c r="N5" i="9"/>
  <c r="N11" i="9"/>
  <c r="Z8" i="6"/>
  <c r="Q8" i="6"/>
  <c r="M5" i="8"/>
  <c r="B20" i="21"/>
  <c r="R5" i="9"/>
  <c r="R11" i="9"/>
  <c r="R8" i="6"/>
  <c r="I15" i="9"/>
  <c r="K44" i="2"/>
  <c r="E8" i="6"/>
  <c r="M8" i="6"/>
  <c r="V111" i="2"/>
  <c r="AC111" i="2"/>
  <c r="G111" i="2"/>
  <c r="AE5" i="9"/>
  <c r="AE11" i="9"/>
  <c r="AD135" i="2"/>
  <c r="C16" i="9"/>
  <c r="C17" i="8"/>
  <c r="C22" i="8"/>
  <c r="T5" i="9"/>
  <c r="T11" i="9"/>
  <c r="B10" i="21"/>
  <c r="B12" i="21"/>
  <c r="B16" i="21"/>
  <c r="AF135" i="2"/>
  <c r="Y135" i="2"/>
  <c r="P135" i="2"/>
  <c r="U135" i="2"/>
  <c r="G135" i="2"/>
  <c r="AB135" i="2"/>
  <c r="V135" i="2"/>
  <c r="F135" i="2"/>
  <c r="X135" i="2"/>
  <c r="I135" i="2"/>
  <c r="J135" i="2"/>
  <c r="O135" i="2"/>
  <c r="S135" i="2"/>
  <c r="H135" i="2"/>
  <c r="AC135" i="2"/>
  <c r="E135" i="2"/>
  <c r="AA135" i="2"/>
  <c r="Q135" i="2"/>
  <c r="AG135" i="2"/>
  <c r="B36" i="21"/>
  <c r="M135" i="2"/>
  <c r="B23" i="21"/>
  <c r="Z135" i="2"/>
  <c r="T135" i="2"/>
  <c r="R135" i="2"/>
  <c r="K135" i="2"/>
  <c r="N135" i="2"/>
  <c r="L135" i="2"/>
  <c r="W135" i="2"/>
  <c r="F45" i="2"/>
  <c r="D17" i="8"/>
  <c r="D22" i="8"/>
  <c r="D16" i="9"/>
  <c r="AF8" i="6"/>
  <c r="I111" i="2"/>
  <c r="AC8" i="6"/>
  <c r="Q111" i="2"/>
  <c r="L111" i="2"/>
  <c r="H111" i="2"/>
  <c r="L8" i="6"/>
  <c r="I19" i="8"/>
  <c r="L43" i="2"/>
  <c r="J16" i="8"/>
  <c r="J19" i="8"/>
  <c r="AF12" i="8"/>
  <c r="C89" i="2"/>
  <c r="C94" i="2"/>
  <c r="Y8" i="6"/>
  <c r="Y5" i="9"/>
  <c r="Y11" i="9"/>
  <c r="D111" i="2"/>
  <c r="AE111" i="2"/>
  <c r="T111" i="2"/>
  <c r="W111" i="2"/>
  <c r="E111" i="2"/>
  <c r="J111" i="2"/>
  <c r="Y111" i="2"/>
  <c r="AB111" i="2"/>
  <c r="K111" i="2"/>
  <c r="C19" i="8"/>
  <c r="P12" i="8"/>
  <c r="G15" i="9"/>
  <c r="D20" i="8"/>
  <c r="AD5" i="9"/>
  <c r="AD11" i="9"/>
  <c r="AD8" i="6"/>
  <c r="C96" i="2"/>
  <c r="C102" i="2"/>
  <c r="H8" i="6"/>
  <c r="H5" i="9"/>
  <c r="H11" i="9"/>
  <c r="F5" i="9"/>
  <c r="F11" i="9"/>
  <c r="F8" i="6"/>
  <c r="N5" i="8"/>
  <c r="J5" i="9"/>
  <c r="J11" i="9"/>
  <c r="J8" i="6"/>
  <c r="C5" i="9"/>
  <c r="C11" i="9"/>
  <c r="C8" i="6"/>
  <c r="AB8" i="6"/>
  <c r="AB5" i="9"/>
  <c r="AB11" i="9"/>
  <c r="C20" i="8"/>
  <c r="AA5" i="9"/>
  <c r="AA11" i="9"/>
  <c r="AA8" i="6"/>
  <c r="U5" i="9"/>
  <c r="U11" i="9"/>
  <c r="U8" i="6"/>
  <c r="X5" i="9"/>
  <c r="X11" i="9"/>
  <c r="X8" i="6"/>
  <c r="G5" i="9"/>
  <c r="G11" i="9"/>
  <c r="G8" i="6"/>
  <c r="E17" i="8"/>
  <c r="G45" i="2"/>
  <c r="E16" i="9"/>
  <c r="E18" i="9"/>
  <c r="I5" i="9"/>
  <c r="I11" i="9"/>
  <c r="I8" i="6"/>
  <c r="K16" i="8"/>
  <c r="K19" i="8"/>
  <c r="M43" i="2"/>
  <c r="K8" i="6"/>
  <c r="K5" i="9"/>
  <c r="K11" i="9"/>
  <c r="D8" i="6"/>
  <c r="D5" i="9"/>
  <c r="D11" i="9"/>
  <c r="P8" i="6"/>
  <c r="P5" i="9"/>
  <c r="P11" i="9"/>
  <c r="V5" i="9"/>
  <c r="V11" i="9"/>
  <c r="V8" i="6"/>
  <c r="S5" i="9"/>
  <c r="S11" i="9"/>
  <c r="S8" i="6"/>
  <c r="L44" i="2"/>
  <c r="J15" i="9"/>
  <c r="B25" i="21"/>
  <c r="B29" i="21"/>
  <c r="N43" i="2"/>
  <c r="L16" i="8"/>
  <c r="L19" i="8"/>
  <c r="C18" i="9"/>
  <c r="O5" i="8"/>
  <c r="F18" i="9"/>
  <c r="F16" i="9"/>
  <c r="H45" i="2"/>
  <c r="F17" i="8"/>
  <c r="D18" i="9"/>
  <c r="E22" i="8"/>
  <c r="E20" i="8"/>
  <c r="K15" i="9"/>
  <c r="M44" i="2"/>
  <c r="D113" i="2"/>
  <c r="Y113" i="2"/>
  <c r="G113" i="2"/>
  <c r="I113" i="2"/>
  <c r="L113" i="2"/>
  <c r="T113" i="2"/>
  <c r="O113" i="2"/>
  <c r="AG113" i="2"/>
  <c r="F113" i="2"/>
  <c r="W113" i="2"/>
  <c r="J113" i="2"/>
  <c r="N113" i="2"/>
  <c r="AE113" i="2"/>
  <c r="R113" i="2"/>
  <c r="E113" i="2"/>
  <c r="V113" i="2"/>
  <c r="H113" i="2"/>
  <c r="Z113" i="2"/>
  <c r="U113" i="2"/>
  <c r="Q113" i="2"/>
  <c r="X113" i="2"/>
  <c r="S113" i="2"/>
  <c r="AF113" i="2"/>
  <c r="K113" i="2"/>
  <c r="AA113" i="2"/>
  <c r="M113" i="2"/>
  <c r="AC113" i="2"/>
  <c r="AD113" i="2"/>
  <c r="AB113" i="2"/>
  <c r="P113" i="2"/>
  <c r="Q6" i="9"/>
  <c r="Q12" i="9"/>
  <c r="AB6" i="9"/>
  <c r="AB12" i="9"/>
  <c r="X6" i="9"/>
  <c r="X12" i="9"/>
  <c r="O43" i="2"/>
  <c r="M16" i="8"/>
  <c r="M19" i="8"/>
  <c r="N6" i="9"/>
  <c r="N12" i="9"/>
  <c r="S6" i="9"/>
  <c r="S12" i="9"/>
  <c r="T6" i="9"/>
  <c r="T12" i="9"/>
  <c r="F6" i="9"/>
  <c r="F12" i="9"/>
  <c r="G116" i="2"/>
  <c r="G118" i="2"/>
  <c r="G115" i="2"/>
  <c r="L6" i="9"/>
  <c r="L12" i="9"/>
  <c r="M115" i="2"/>
  <c r="Y6" i="9"/>
  <c r="Y12" i="9"/>
  <c r="V6" i="9"/>
  <c r="V12" i="9"/>
  <c r="Z6" i="9"/>
  <c r="Z12" i="9"/>
  <c r="H115" i="2"/>
  <c r="H118" i="2"/>
  <c r="H116" i="2"/>
  <c r="G6" i="9"/>
  <c r="G12" i="9"/>
  <c r="F115" i="2"/>
  <c r="E6" i="9"/>
  <c r="E12" i="9"/>
  <c r="F116" i="2"/>
  <c r="F118" i="2"/>
  <c r="D115" i="2"/>
  <c r="C113" i="2"/>
  <c r="C114" i="2"/>
  <c r="C6" i="9"/>
  <c r="C12" i="9"/>
  <c r="D118" i="2"/>
  <c r="D116" i="2"/>
  <c r="P5" i="8"/>
  <c r="AE6" i="9"/>
  <c r="AE12" i="9"/>
  <c r="R6" i="9"/>
  <c r="R12" i="9"/>
  <c r="J115" i="2"/>
  <c r="I6" i="9"/>
  <c r="I12" i="9"/>
  <c r="K115" i="2"/>
  <c r="J6" i="9"/>
  <c r="J12" i="9"/>
  <c r="U6" i="9"/>
  <c r="U12" i="9"/>
  <c r="AF6" i="9"/>
  <c r="AF12" i="9"/>
  <c r="F20" i="8"/>
  <c r="F22" i="8"/>
  <c r="E116" i="2"/>
  <c r="E115" i="2"/>
  <c r="E118" i="2"/>
  <c r="D6" i="9"/>
  <c r="D12" i="9"/>
  <c r="W6" i="9"/>
  <c r="W12" i="9"/>
  <c r="K6" i="9"/>
  <c r="K12" i="9"/>
  <c r="L115" i="2"/>
  <c r="O6" i="9"/>
  <c r="O12" i="9"/>
  <c r="AA6" i="9"/>
  <c r="AA12" i="9"/>
  <c r="AD6" i="9"/>
  <c r="AD12" i="9"/>
  <c r="I45" i="2"/>
  <c r="G17" i="8"/>
  <c r="G16" i="9"/>
  <c r="G18" i="9"/>
  <c r="AC6" i="9"/>
  <c r="AC12" i="9"/>
  <c r="P6" i="9"/>
  <c r="P12" i="9"/>
  <c r="N115" i="2"/>
  <c r="M6" i="9"/>
  <c r="M12" i="9"/>
  <c r="I116" i="2"/>
  <c r="I115" i="2"/>
  <c r="I118" i="2"/>
  <c r="H6" i="9"/>
  <c r="H12" i="9"/>
  <c r="L15" i="9"/>
  <c r="N44" i="2"/>
  <c r="Q5" i="8"/>
  <c r="E20" i="9"/>
  <c r="E21" i="9"/>
  <c r="K20" i="9"/>
  <c r="F20" i="9"/>
  <c r="F21" i="9"/>
  <c r="G22" i="8"/>
  <c r="G20" i="8"/>
  <c r="D20" i="9"/>
  <c r="D21" i="9"/>
  <c r="D122" i="2"/>
  <c r="C14" i="8"/>
  <c r="H122" i="2"/>
  <c r="G14" i="8"/>
  <c r="E122" i="2"/>
  <c r="D14" i="8"/>
  <c r="G122" i="2"/>
  <c r="F14" i="8"/>
  <c r="I122" i="2"/>
  <c r="H14" i="8"/>
  <c r="F122" i="2"/>
  <c r="E14" i="8"/>
  <c r="D120" i="2"/>
  <c r="H120" i="2"/>
  <c r="E120" i="2"/>
  <c r="G120" i="2"/>
  <c r="I120" i="2"/>
  <c r="F120" i="2"/>
  <c r="G20" i="9"/>
  <c r="G21" i="9"/>
  <c r="H20" i="9"/>
  <c r="J45" i="2"/>
  <c r="H17" i="8"/>
  <c r="H16" i="9"/>
  <c r="H18" i="9"/>
  <c r="C20" i="9"/>
  <c r="C21" i="9"/>
  <c r="N16" i="8"/>
  <c r="N19" i="8"/>
  <c r="P43" i="2"/>
  <c r="L20" i="9"/>
  <c r="J20" i="9"/>
  <c r="O44" i="2"/>
  <c r="M15" i="9"/>
  <c r="M20" i="9"/>
  <c r="I20" i="9"/>
  <c r="H7" i="9"/>
  <c r="H13" i="9"/>
  <c r="H9" i="6"/>
  <c r="F7" i="9"/>
  <c r="F13" i="9"/>
  <c r="F9" i="6"/>
  <c r="G24" i="8"/>
  <c r="G27" i="8"/>
  <c r="G6" i="8"/>
  <c r="G25" i="8"/>
  <c r="H22" i="8"/>
  <c r="H20" i="8"/>
  <c r="H21" i="9"/>
  <c r="D7" i="9"/>
  <c r="D13" i="9"/>
  <c r="D9" i="6"/>
  <c r="C24" i="8"/>
  <c r="C27" i="8"/>
  <c r="C6" i="8"/>
  <c r="C25" i="8"/>
  <c r="I16" i="9"/>
  <c r="K45" i="2"/>
  <c r="I17" i="8"/>
  <c r="J116" i="2"/>
  <c r="J118" i="2"/>
  <c r="H24" i="8"/>
  <c r="H25" i="8"/>
  <c r="H27" i="8"/>
  <c r="H6" i="8"/>
  <c r="F25" i="8"/>
  <c r="F24" i="8"/>
  <c r="F27" i="8"/>
  <c r="F6" i="8"/>
  <c r="G9" i="6"/>
  <c r="G7" i="9"/>
  <c r="G13" i="9"/>
  <c r="C7" i="9"/>
  <c r="C13" i="9"/>
  <c r="C9" i="6"/>
  <c r="D24" i="8"/>
  <c r="D25" i="8"/>
  <c r="D27" i="8"/>
  <c r="D6" i="8"/>
  <c r="N15" i="9"/>
  <c r="N20" i="9"/>
  <c r="P44" i="2"/>
  <c r="O115" i="2"/>
  <c r="Q43" i="2"/>
  <c r="O16" i="8"/>
  <c r="O19" i="8"/>
  <c r="E7" i="9"/>
  <c r="E13" i="9"/>
  <c r="E9" i="6"/>
  <c r="E25" i="8"/>
  <c r="E27" i="8"/>
  <c r="E6" i="8"/>
  <c r="E24" i="8"/>
  <c r="R5" i="8"/>
  <c r="J122" i="2"/>
  <c r="I14" i="8"/>
  <c r="J120" i="2"/>
  <c r="K122" i="2"/>
  <c r="J14" i="8"/>
  <c r="O15" i="9"/>
  <c r="O20" i="9"/>
  <c r="Q44" i="2"/>
  <c r="P115" i="2"/>
  <c r="J16" i="9"/>
  <c r="L45" i="2"/>
  <c r="J17" i="8"/>
  <c r="K116" i="2"/>
  <c r="K118" i="2"/>
  <c r="D7" i="8"/>
  <c r="D6" i="4"/>
  <c r="G6" i="4"/>
  <c r="G7" i="8"/>
  <c r="H23" i="9"/>
  <c r="H25" i="9"/>
  <c r="I22" i="8"/>
  <c r="I20" i="8"/>
  <c r="H10" i="6"/>
  <c r="G10" i="6"/>
  <c r="C7" i="8"/>
  <c r="C10" i="6"/>
  <c r="F10" i="6"/>
  <c r="C12" i="6"/>
  <c r="D10" i="6"/>
  <c r="C6" i="4"/>
  <c r="E10" i="6"/>
  <c r="I18" i="9"/>
  <c r="I21" i="9"/>
  <c r="D23" i="9"/>
  <c r="D25" i="9"/>
  <c r="C23" i="9"/>
  <c r="C25" i="9"/>
  <c r="F7" i="8"/>
  <c r="F6" i="4"/>
  <c r="F23" i="9"/>
  <c r="F25" i="9"/>
  <c r="E7" i="8"/>
  <c r="E6" i="4"/>
  <c r="S5" i="8"/>
  <c r="E23" i="9"/>
  <c r="E25" i="9"/>
  <c r="R43" i="2"/>
  <c r="P16" i="8"/>
  <c r="P19" i="8"/>
  <c r="G23" i="9"/>
  <c r="G25" i="9"/>
  <c r="H6" i="4"/>
  <c r="H7" i="8"/>
  <c r="F18" i="6"/>
  <c r="F10" i="4"/>
  <c r="D10" i="4"/>
  <c r="D18" i="6"/>
  <c r="J22" i="8"/>
  <c r="J20" i="8"/>
  <c r="P15" i="9"/>
  <c r="P20" i="9"/>
  <c r="R44" i="2"/>
  <c r="Q115" i="2"/>
  <c r="I7" i="9"/>
  <c r="I13" i="9"/>
  <c r="I9" i="6"/>
  <c r="L122" i="2"/>
  <c r="K14" i="8"/>
  <c r="T5" i="8"/>
  <c r="S43" i="2"/>
  <c r="Q16" i="8"/>
  <c r="Q19" i="8"/>
  <c r="E18" i="6"/>
  <c r="E10" i="4"/>
  <c r="H10" i="4"/>
  <c r="H18" i="6"/>
  <c r="M45" i="2"/>
  <c r="K17" i="8"/>
  <c r="K16" i="9"/>
  <c r="L116" i="2"/>
  <c r="L118" i="2"/>
  <c r="D7" i="6"/>
  <c r="D12" i="6"/>
  <c r="B7" i="5"/>
  <c r="B8" i="5"/>
  <c r="J18" i="9"/>
  <c r="J21" i="9"/>
  <c r="I24" i="8"/>
  <c r="I27" i="8"/>
  <c r="I6" i="8"/>
  <c r="I25" i="8"/>
  <c r="J25" i="8"/>
  <c r="J24" i="8"/>
  <c r="J27" i="8"/>
  <c r="J6" i="8"/>
  <c r="G18" i="6"/>
  <c r="G10" i="4"/>
  <c r="C18" i="6"/>
  <c r="C10" i="4"/>
  <c r="K120" i="2"/>
  <c r="K25" i="8"/>
  <c r="K24" i="8"/>
  <c r="B10" i="5"/>
  <c r="E8" i="7"/>
  <c r="I23" i="9"/>
  <c r="I25" i="9"/>
  <c r="L16" i="9"/>
  <c r="N45" i="2"/>
  <c r="L17" i="8"/>
  <c r="M116" i="2"/>
  <c r="M118" i="2"/>
  <c r="T43" i="2"/>
  <c r="R16" i="8"/>
  <c r="R19" i="8"/>
  <c r="U5" i="8"/>
  <c r="L120" i="2"/>
  <c r="E7" i="6"/>
  <c r="E12" i="6"/>
  <c r="C7" i="5"/>
  <c r="I7" i="8"/>
  <c r="I6" i="4"/>
  <c r="I10" i="6"/>
  <c r="J7" i="9"/>
  <c r="J13" i="9"/>
  <c r="J9" i="6"/>
  <c r="K18" i="9"/>
  <c r="K21" i="9"/>
  <c r="Q15" i="9"/>
  <c r="Q20" i="9"/>
  <c r="S44" i="2"/>
  <c r="R115" i="2"/>
  <c r="C19" i="6"/>
  <c r="C20" i="6"/>
  <c r="C23" i="6"/>
  <c r="K22" i="8"/>
  <c r="K20" i="8"/>
  <c r="K27" i="8"/>
  <c r="K6" i="8"/>
  <c r="K10" i="6"/>
  <c r="L22" i="8"/>
  <c r="L20" i="8"/>
  <c r="S16" i="8"/>
  <c r="S19" i="8"/>
  <c r="U43" i="2"/>
  <c r="M17" i="8"/>
  <c r="O45" i="2"/>
  <c r="M16" i="9"/>
  <c r="N116" i="2"/>
  <c r="N118" i="2"/>
  <c r="K9" i="6"/>
  <c r="K7" i="9"/>
  <c r="K13" i="9"/>
  <c r="J7" i="8"/>
  <c r="J6" i="4"/>
  <c r="J10" i="6"/>
  <c r="D19" i="6"/>
  <c r="D20" i="6"/>
  <c r="J23" i="9"/>
  <c r="J25" i="9"/>
  <c r="D7" i="5"/>
  <c r="F7" i="6"/>
  <c r="F12" i="6"/>
  <c r="I10" i="4"/>
  <c r="I18" i="6"/>
  <c r="L18" i="9"/>
  <c r="L21" i="9"/>
  <c r="T44" i="2"/>
  <c r="R15" i="9"/>
  <c r="R20" i="9"/>
  <c r="S115" i="2"/>
  <c r="V5" i="8"/>
  <c r="M120" i="2"/>
  <c r="M122" i="2"/>
  <c r="L14" i="8"/>
  <c r="N122" i="2"/>
  <c r="M14" i="8"/>
  <c r="N120" i="2"/>
  <c r="K23" i="9"/>
  <c r="K25" i="9"/>
  <c r="P45" i="2"/>
  <c r="N17" i="8"/>
  <c r="N16" i="9"/>
  <c r="O116" i="2"/>
  <c r="O118" i="2"/>
  <c r="M9" i="6"/>
  <c r="M7" i="9"/>
  <c r="M13" i="9"/>
  <c r="K7" i="8"/>
  <c r="K6" i="4"/>
  <c r="M20" i="8"/>
  <c r="M22" i="8"/>
  <c r="L24" i="8"/>
  <c r="L27" i="8"/>
  <c r="L6" i="8"/>
  <c r="L25" i="8"/>
  <c r="T16" i="8"/>
  <c r="T19" i="8"/>
  <c r="V43" i="2"/>
  <c r="J18" i="6"/>
  <c r="J10" i="4"/>
  <c r="W5" i="8"/>
  <c r="M24" i="8"/>
  <c r="M27" i="8"/>
  <c r="M6" i="8"/>
  <c r="M25" i="8"/>
  <c r="E7" i="5"/>
  <c r="G7" i="6"/>
  <c r="G12" i="6"/>
  <c r="E19" i="6"/>
  <c r="E20" i="6"/>
  <c r="L9" i="6"/>
  <c r="L7" i="9"/>
  <c r="L13" i="9"/>
  <c r="M18" i="9"/>
  <c r="M21" i="9"/>
  <c r="S15" i="9"/>
  <c r="S20" i="9"/>
  <c r="U44" i="2"/>
  <c r="T115" i="2"/>
  <c r="K10" i="4"/>
  <c r="K18" i="6"/>
  <c r="L23" i="9"/>
  <c r="L25" i="9"/>
  <c r="M7" i="8"/>
  <c r="M6" i="4"/>
  <c r="L6" i="4"/>
  <c r="L7" i="8"/>
  <c r="M10" i="6"/>
  <c r="L10" i="6"/>
  <c r="P122" i="2"/>
  <c r="O14" i="8"/>
  <c r="O120" i="2"/>
  <c r="O122" i="2"/>
  <c r="N14" i="8"/>
  <c r="N18" i="9"/>
  <c r="N21" i="9"/>
  <c r="F7" i="5"/>
  <c r="H7" i="6"/>
  <c r="H12" i="6"/>
  <c r="N22" i="8"/>
  <c r="N20" i="8"/>
  <c r="T15" i="9"/>
  <c r="T20" i="9"/>
  <c r="V44" i="2"/>
  <c r="U115" i="2"/>
  <c r="O16" i="9"/>
  <c r="Q45" i="2"/>
  <c r="O17" i="8"/>
  <c r="P116" i="2"/>
  <c r="P118" i="2"/>
  <c r="F19" i="6"/>
  <c r="F20" i="6"/>
  <c r="X5" i="8"/>
  <c r="U16" i="8"/>
  <c r="U19" i="8"/>
  <c r="W43" i="2"/>
  <c r="M23" i="9"/>
  <c r="M25" i="9"/>
  <c r="M10" i="4"/>
  <c r="M18" i="6"/>
  <c r="U15" i="9"/>
  <c r="U20" i="9"/>
  <c r="W44" i="2"/>
  <c r="V115" i="2"/>
  <c r="N9" i="6"/>
  <c r="N7" i="9"/>
  <c r="N13" i="9"/>
  <c r="G7" i="5"/>
  <c r="I7" i="6"/>
  <c r="I12" i="6"/>
  <c r="N24" i="8"/>
  <c r="N25" i="8"/>
  <c r="N27" i="8"/>
  <c r="N6" i="8"/>
  <c r="Y5" i="8"/>
  <c r="P120" i="2"/>
  <c r="L18" i="6"/>
  <c r="L10" i="4"/>
  <c r="G19" i="6"/>
  <c r="G20" i="6"/>
  <c r="O22" i="8"/>
  <c r="O20" i="8"/>
  <c r="R45" i="2"/>
  <c r="P17" i="8"/>
  <c r="P16" i="9"/>
  <c r="Q116" i="2"/>
  <c r="Q118" i="2"/>
  <c r="O25" i="8"/>
  <c r="O24" i="8"/>
  <c r="O27" i="8"/>
  <c r="O6" i="8"/>
  <c r="X43" i="2"/>
  <c r="V16" i="8"/>
  <c r="V19" i="8"/>
  <c r="O18" i="9"/>
  <c r="O21" i="9"/>
  <c r="S45" i="2"/>
  <c r="Q17" i="8"/>
  <c r="Q16" i="9"/>
  <c r="R116" i="2"/>
  <c r="R118" i="2"/>
  <c r="Z5" i="8"/>
  <c r="N23" i="9"/>
  <c r="N25" i="9"/>
  <c r="Y43" i="2"/>
  <c r="W16" i="8"/>
  <c r="W19" i="8"/>
  <c r="O9" i="6"/>
  <c r="O7" i="9"/>
  <c r="O13" i="9"/>
  <c r="N6" i="4"/>
  <c r="N7" i="8"/>
  <c r="N10" i="6"/>
  <c r="X44" i="2"/>
  <c r="V15" i="9"/>
  <c r="V20" i="9"/>
  <c r="W115" i="2"/>
  <c r="H19" i="6"/>
  <c r="H20" i="6"/>
  <c r="J7" i="6"/>
  <c r="J12" i="6"/>
  <c r="H7" i="5"/>
  <c r="Q120" i="2"/>
  <c r="Q122" i="2"/>
  <c r="P14" i="8"/>
  <c r="P18" i="9"/>
  <c r="P21" i="9"/>
  <c r="P22" i="8"/>
  <c r="P20" i="8"/>
  <c r="P7" i="9"/>
  <c r="P13" i="9"/>
  <c r="P9" i="6"/>
  <c r="Y44" i="2"/>
  <c r="W15" i="9"/>
  <c r="W20" i="9"/>
  <c r="X115" i="2"/>
  <c r="O7" i="8"/>
  <c r="O6" i="4"/>
  <c r="O10" i="6"/>
  <c r="R122" i="2"/>
  <c r="Q14" i="8"/>
  <c r="R120" i="2"/>
  <c r="I19" i="6"/>
  <c r="I20" i="6"/>
  <c r="AA5" i="8"/>
  <c r="Q18" i="9"/>
  <c r="Q21" i="9"/>
  <c r="N10" i="4"/>
  <c r="N18" i="6"/>
  <c r="Z43" i="2"/>
  <c r="X16" i="8"/>
  <c r="X19" i="8"/>
  <c r="O23" i="9"/>
  <c r="O25" i="9"/>
  <c r="Q22" i="8"/>
  <c r="Q20" i="8"/>
  <c r="R16" i="9"/>
  <c r="T45" i="2"/>
  <c r="R17" i="8"/>
  <c r="S116" i="2"/>
  <c r="S118" i="2"/>
  <c r="P25" i="8"/>
  <c r="P24" i="8"/>
  <c r="P27" i="8"/>
  <c r="P6" i="8"/>
  <c r="K7" i="6"/>
  <c r="K12" i="6"/>
  <c r="I7" i="5"/>
  <c r="J7" i="5"/>
  <c r="L7" i="6"/>
  <c r="L12" i="6"/>
  <c r="J19" i="6"/>
  <c r="J20" i="6"/>
  <c r="Q9" i="6"/>
  <c r="Q7" i="9"/>
  <c r="Q13" i="9"/>
  <c r="Q25" i="8"/>
  <c r="Q24" i="8"/>
  <c r="Q27" i="8"/>
  <c r="Q6" i="8"/>
  <c r="X15" i="9"/>
  <c r="X20" i="9"/>
  <c r="Z44" i="2"/>
  <c r="Y115" i="2"/>
  <c r="P23" i="9"/>
  <c r="P25" i="9"/>
  <c r="P6" i="4"/>
  <c r="P7" i="8"/>
  <c r="P10" i="6"/>
  <c r="S120" i="2"/>
  <c r="S122" i="2"/>
  <c r="R14" i="8"/>
  <c r="R22" i="8"/>
  <c r="R20" i="8"/>
  <c r="O18" i="6"/>
  <c r="O10" i="4"/>
  <c r="U45" i="2"/>
  <c r="S17" i="8"/>
  <c r="S16" i="9"/>
  <c r="T116" i="2"/>
  <c r="T118" i="2"/>
  <c r="R18" i="9"/>
  <c r="R21" i="9"/>
  <c r="AA43" i="2"/>
  <c r="Y16" i="8"/>
  <c r="Y19" i="8"/>
  <c r="AB5" i="8"/>
  <c r="P10" i="4"/>
  <c r="P18" i="6"/>
  <c r="T122" i="2"/>
  <c r="S14" i="8"/>
  <c r="T120" i="2"/>
  <c r="S22" i="8"/>
  <c r="S20" i="8"/>
  <c r="R9" i="6"/>
  <c r="R7" i="9"/>
  <c r="R13" i="9"/>
  <c r="Q23" i="9"/>
  <c r="Q25" i="9"/>
  <c r="R24" i="8"/>
  <c r="R27" i="8"/>
  <c r="R6" i="8"/>
  <c r="R25" i="8"/>
  <c r="Q7" i="8"/>
  <c r="Q6" i="4"/>
  <c r="Q10" i="6"/>
  <c r="K7" i="5"/>
  <c r="M7" i="6"/>
  <c r="M12" i="6"/>
  <c r="Z16" i="8"/>
  <c r="Z19" i="8"/>
  <c r="AB43" i="2"/>
  <c r="S18" i="9"/>
  <c r="S21" i="9"/>
  <c r="Y15" i="9"/>
  <c r="Y20" i="9"/>
  <c r="AA44" i="2"/>
  <c r="Z115" i="2"/>
  <c r="AC5" i="8"/>
  <c r="V45" i="2"/>
  <c r="T17" i="8"/>
  <c r="T16" i="9"/>
  <c r="U116" i="2"/>
  <c r="U118" i="2"/>
  <c r="K19" i="6"/>
  <c r="K20" i="6"/>
  <c r="AC43" i="2"/>
  <c r="AA16" i="8"/>
  <c r="AA19" i="8"/>
  <c r="AB44" i="2"/>
  <c r="Z15" i="9"/>
  <c r="Z20" i="9"/>
  <c r="AA115" i="2"/>
  <c r="U122" i="2"/>
  <c r="T14" i="8"/>
  <c r="U120" i="2"/>
  <c r="T18" i="9"/>
  <c r="T21" i="9"/>
  <c r="L7" i="5"/>
  <c r="N7" i="6"/>
  <c r="N12" i="6"/>
  <c r="R7" i="8"/>
  <c r="R6" i="4"/>
  <c r="R10" i="6"/>
  <c r="T22" i="8"/>
  <c r="T20" i="8"/>
  <c r="Q10" i="4"/>
  <c r="Q18" i="6"/>
  <c r="S24" i="8"/>
  <c r="S27" i="8"/>
  <c r="S6" i="8"/>
  <c r="S25" i="8"/>
  <c r="L19" i="6"/>
  <c r="L20" i="6"/>
  <c r="U17" i="8"/>
  <c r="W45" i="2"/>
  <c r="U16" i="9"/>
  <c r="V116" i="2"/>
  <c r="V118" i="2"/>
  <c r="AD5" i="8"/>
  <c r="R23" i="9"/>
  <c r="R25" i="9"/>
  <c r="S7" i="9"/>
  <c r="S13" i="9"/>
  <c r="S9" i="6"/>
  <c r="R18" i="6"/>
  <c r="R10" i="4"/>
  <c r="M7" i="5"/>
  <c r="O7" i="6"/>
  <c r="O12" i="6"/>
  <c r="U18" i="9"/>
  <c r="U21" i="9"/>
  <c r="AE5" i="8"/>
  <c r="X45" i="2"/>
  <c r="V17" i="8"/>
  <c r="V16" i="9"/>
  <c r="W116" i="2"/>
  <c r="W118" i="2"/>
  <c r="AC44" i="2"/>
  <c r="AA15" i="9"/>
  <c r="AA20" i="9"/>
  <c r="AB115" i="2"/>
  <c r="V122" i="2"/>
  <c r="U14" i="8"/>
  <c r="V120" i="2"/>
  <c r="T9" i="6"/>
  <c r="T7" i="9"/>
  <c r="T13" i="9"/>
  <c r="T25" i="8"/>
  <c r="T27" i="8"/>
  <c r="T6" i="8"/>
  <c r="T24" i="8"/>
  <c r="M19" i="6"/>
  <c r="M20" i="6"/>
  <c r="U22" i="8"/>
  <c r="U20" i="8"/>
  <c r="S23" i="9"/>
  <c r="S25" i="9"/>
  <c r="S7" i="8"/>
  <c r="S6" i="4"/>
  <c r="S10" i="6"/>
  <c r="AD43" i="2"/>
  <c r="AB16" i="8"/>
  <c r="AB19" i="8"/>
  <c r="U7" i="9"/>
  <c r="U13" i="9"/>
  <c r="U9" i="6"/>
  <c r="U24" i="8"/>
  <c r="U25" i="8"/>
  <c r="U27" i="8"/>
  <c r="U6" i="8"/>
  <c r="AB15" i="9"/>
  <c r="AB20" i="9"/>
  <c r="AD44" i="2"/>
  <c r="AC115" i="2"/>
  <c r="W120" i="2"/>
  <c r="W122" i="2"/>
  <c r="V14" i="8"/>
  <c r="S10" i="4"/>
  <c r="S18" i="6"/>
  <c r="V22" i="8"/>
  <c r="V20" i="8"/>
  <c r="AF5" i="8"/>
  <c r="N19" i="6"/>
  <c r="N20" i="6"/>
  <c r="V18" i="9"/>
  <c r="V21" i="9"/>
  <c r="P7" i="6"/>
  <c r="P12" i="6"/>
  <c r="N7" i="5"/>
  <c r="T23" i="9"/>
  <c r="T25" i="9"/>
  <c r="Y45" i="2"/>
  <c r="W17" i="8"/>
  <c r="W16" i="9"/>
  <c r="X116" i="2"/>
  <c r="X118" i="2"/>
  <c r="AE43" i="2"/>
  <c r="AC16" i="8"/>
  <c r="AC19" i="8"/>
  <c r="T6" i="4"/>
  <c r="T7" i="8"/>
  <c r="T10" i="6"/>
  <c r="X122" i="2"/>
  <c r="W14" i="8"/>
  <c r="X120" i="2"/>
  <c r="O19" i="6"/>
  <c r="O20" i="6"/>
  <c r="V24" i="8"/>
  <c r="V27" i="8"/>
  <c r="V6" i="8"/>
  <c r="V25" i="8"/>
  <c r="W20" i="8"/>
  <c r="W22" i="8"/>
  <c r="W18" i="9"/>
  <c r="W21" i="9"/>
  <c r="V9" i="6"/>
  <c r="V7" i="9"/>
  <c r="V13" i="9"/>
  <c r="AD16" i="8"/>
  <c r="AD19" i="8"/>
  <c r="AF43" i="2"/>
  <c r="Z45" i="2"/>
  <c r="X17" i="8"/>
  <c r="X16" i="9"/>
  <c r="Y116" i="2"/>
  <c r="Y118" i="2"/>
  <c r="O7" i="5"/>
  <c r="Q7" i="6"/>
  <c r="Q12" i="6"/>
  <c r="B33" i="21"/>
  <c r="B38" i="21"/>
  <c r="B42" i="21"/>
  <c r="AE44" i="2"/>
  <c r="AC15" i="9"/>
  <c r="AC20" i="9"/>
  <c r="AD115" i="2"/>
  <c r="U23" i="9"/>
  <c r="U25" i="9"/>
  <c r="U6" i="4"/>
  <c r="U7" i="8"/>
  <c r="U10" i="6"/>
  <c r="T10" i="4"/>
  <c r="T18" i="6"/>
  <c r="AG43" i="2"/>
  <c r="AF16" i="8"/>
  <c r="AF19" i="8"/>
  <c r="AE16" i="8"/>
  <c r="AE19" i="8"/>
  <c r="V23" i="9"/>
  <c r="V25" i="9"/>
  <c r="P19" i="6"/>
  <c r="P20" i="6"/>
  <c r="U10" i="4"/>
  <c r="U18" i="6"/>
  <c r="W9" i="6"/>
  <c r="W7" i="9"/>
  <c r="W13" i="9"/>
  <c r="Y122" i="2"/>
  <c r="X14" i="8"/>
  <c r="Y120" i="2"/>
  <c r="W25" i="8"/>
  <c r="W27" i="8"/>
  <c r="W6" i="8"/>
  <c r="W24" i="8"/>
  <c r="P7" i="5"/>
  <c r="R7" i="6"/>
  <c r="R12" i="6"/>
  <c r="X18" i="9"/>
  <c r="X21" i="9"/>
  <c r="X22" i="8"/>
  <c r="X20" i="8"/>
  <c r="V6" i="4"/>
  <c r="V7" i="8"/>
  <c r="V10" i="6"/>
  <c r="AD15" i="9"/>
  <c r="AD20" i="9"/>
  <c r="AF44" i="2"/>
  <c r="AE115" i="2"/>
  <c r="AA45" i="2"/>
  <c r="Y17" i="8"/>
  <c r="Y16" i="9"/>
  <c r="Z116" i="2"/>
  <c r="Z118" i="2"/>
  <c r="Y22" i="8"/>
  <c r="Y20" i="8"/>
  <c r="V18" i="6"/>
  <c r="V10" i="4"/>
  <c r="AB45" i="2"/>
  <c r="Z17" i="8"/>
  <c r="Z16" i="9"/>
  <c r="AA116" i="2"/>
  <c r="AA118" i="2"/>
  <c r="Q7" i="5"/>
  <c r="S7" i="6"/>
  <c r="S12" i="6"/>
  <c r="W23" i="9"/>
  <c r="W25" i="9"/>
  <c r="AE15" i="9"/>
  <c r="AE20" i="9"/>
  <c r="AG44" i="2"/>
  <c r="AF115" i="2"/>
  <c r="Z122" i="2"/>
  <c r="Y14" i="8"/>
  <c r="Z120" i="2"/>
  <c r="X9" i="6"/>
  <c r="X7" i="9"/>
  <c r="X13" i="9"/>
  <c r="W7" i="8"/>
  <c r="W6" i="4"/>
  <c r="W10" i="6"/>
  <c r="Q19" i="6"/>
  <c r="Q20" i="6"/>
  <c r="Y18" i="9"/>
  <c r="Y21" i="9"/>
  <c r="X24" i="8"/>
  <c r="X27" i="8"/>
  <c r="X6" i="8"/>
  <c r="X25" i="8"/>
  <c r="W18" i="6"/>
  <c r="W10" i="4"/>
  <c r="Z22" i="8"/>
  <c r="Z20" i="8"/>
  <c r="AA16" i="9"/>
  <c r="AC45" i="2"/>
  <c r="AA17" i="8"/>
  <c r="AB116" i="2"/>
  <c r="AB118" i="2"/>
  <c r="AF15" i="9"/>
  <c r="AF20" i="9"/>
  <c r="AG115" i="2"/>
  <c r="T7" i="6"/>
  <c r="T12" i="6"/>
  <c r="R7" i="5"/>
  <c r="X23" i="9"/>
  <c r="X25" i="9"/>
  <c r="R19" i="6"/>
  <c r="R20" i="6"/>
  <c r="Y9" i="6"/>
  <c r="Y7" i="9"/>
  <c r="Y13" i="9"/>
  <c r="AA120" i="2"/>
  <c r="AA122" i="2"/>
  <c r="Z14" i="8"/>
  <c r="X6" i="4"/>
  <c r="X7" i="8"/>
  <c r="X10" i="6"/>
  <c r="Y27" i="8"/>
  <c r="Y6" i="8"/>
  <c r="Y24" i="8"/>
  <c r="Y25" i="8"/>
  <c r="Z18" i="9"/>
  <c r="Z21" i="9"/>
  <c r="X10" i="4"/>
  <c r="X18" i="6"/>
  <c r="AD45" i="2"/>
  <c r="AB17" i="8"/>
  <c r="AB16" i="9"/>
  <c r="AC116" i="2"/>
  <c r="AC118" i="2"/>
  <c r="AA18" i="9"/>
  <c r="AA21" i="9"/>
  <c r="Z25" i="8"/>
  <c r="Z24" i="8"/>
  <c r="Z27" i="8"/>
  <c r="Z6" i="8"/>
  <c r="U7" i="6"/>
  <c r="U12" i="6"/>
  <c r="S7" i="5"/>
  <c r="Y23" i="9"/>
  <c r="Y25" i="9"/>
  <c r="Z9" i="6"/>
  <c r="Z7" i="9"/>
  <c r="Z13" i="9"/>
  <c r="Y7" i="8"/>
  <c r="Y6" i="4"/>
  <c r="Y10" i="6"/>
  <c r="S19" i="6"/>
  <c r="S20" i="6"/>
  <c r="AB122" i="2"/>
  <c r="AA14" i="8"/>
  <c r="AB120" i="2"/>
  <c r="AA22" i="8"/>
  <c r="AA20" i="8"/>
  <c r="Y10" i="4"/>
  <c r="Y18" i="6"/>
  <c r="Z6" i="4"/>
  <c r="Z7" i="8"/>
  <c r="Z10" i="6"/>
  <c r="AA7" i="9"/>
  <c r="AA13" i="9"/>
  <c r="AA9" i="6"/>
  <c r="V7" i="6"/>
  <c r="V12" i="6"/>
  <c r="T7" i="5"/>
  <c r="AA25" i="8"/>
  <c r="AA24" i="8"/>
  <c r="AA27" i="8"/>
  <c r="AA6" i="8"/>
  <c r="AC120" i="2"/>
  <c r="AC122" i="2"/>
  <c r="AB14" i="8"/>
  <c r="Z23" i="9"/>
  <c r="Z25" i="9"/>
  <c r="AE45" i="2"/>
  <c r="AC16" i="9"/>
  <c r="AC17" i="8"/>
  <c r="AD116" i="2"/>
  <c r="AD118" i="2"/>
  <c r="T19" i="6"/>
  <c r="T20" i="6"/>
  <c r="AB18" i="9"/>
  <c r="AB21" i="9"/>
  <c r="AB22" i="8"/>
  <c r="AB20" i="8"/>
  <c r="AA23" i="9"/>
  <c r="AA25" i="9"/>
  <c r="U19" i="6"/>
  <c r="U20" i="6"/>
  <c r="Z18" i="6"/>
  <c r="Z10" i="4"/>
  <c r="AD122" i="2"/>
  <c r="AC14" i="8"/>
  <c r="AD120" i="2"/>
  <c r="W7" i="6"/>
  <c r="W12" i="6"/>
  <c r="U7" i="5"/>
  <c r="AC22" i="8"/>
  <c r="AC20" i="8"/>
  <c r="AB24" i="8"/>
  <c r="AB27" i="8"/>
  <c r="AB6" i="8"/>
  <c r="AB25" i="8"/>
  <c r="AB7" i="9"/>
  <c r="AB13" i="9"/>
  <c r="AB9" i="6"/>
  <c r="AC18" i="9"/>
  <c r="AC21" i="9"/>
  <c r="AD17" i="8"/>
  <c r="AD16" i="9"/>
  <c r="AF45" i="2"/>
  <c r="AE116" i="2"/>
  <c r="AE118" i="2"/>
  <c r="AA7" i="8"/>
  <c r="AA6" i="4"/>
  <c r="AA10" i="6"/>
  <c r="AA18" i="6"/>
  <c r="AA10" i="4"/>
  <c r="V7" i="5"/>
  <c r="X7" i="6"/>
  <c r="X12" i="6"/>
  <c r="V19" i="6"/>
  <c r="V20" i="6"/>
  <c r="AE122" i="2"/>
  <c r="AD14" i="8"/>
  <c r="AE120" i="2"/>
  <c r="AG45" i="2"/>
  <c r="AE17" i="8"/>
  <c r="AE16" i="9"/>
  <c r="AF116" i="2"/>
  <c r="AF118" i="2"/>
  <c r="AD18" i="9"/>
  <c r="AD21" i="9"/>
  <c r="AB7" i="8"/>
  <c r="AB6" i="4"/>
  <c r="AB10" i="6"/>
  <c r="AD22" i="8"/>
  <c r="AD20" i="8"/>
  <c r="AB23" i="9"/>
  <c r="AB25" i="9"/>
  <c r="AC7" i="9"/>
  <c r="AC13" i="9"/>
  <c r="AC9" i="6"/>
  <c r="AC24" i="8"/>
  <c r="AC27" i="8"/>
  <c r="AC6" i="8"/>
  <c r="AC25" i="8"/>
  <c r="AB10" i="4"/>
  <c r="AB18" i="6"/>
  <c r="W19" i="6"/>
  <c r="W20" i="6"/>
  <c r="AC7" i="8"/>
  <c r="AC6" i="4"/>
  <c r="AC10" i="6"/>
  <c r="AF120" i="2"/>
  <c r="AF122" i="2"/>
  <c r="AE14" i="8"/>
  <c r="AD7" i="9"/>
  <c r="AD13" i="9"/>
  <c r="AD9" i="6"/>
  <c r="AC23" i="9"/>
  <c r="AC25" i="9"/>
  <c r="AE18" i="9"/>
  <c r="AE21" i="9"/>
  <c r="AD24" i="8"/>
  <c r="AD25" i="8"/>
  <c r="AD27" i="8"/>
  <c r="AD6" i="8"/>
  <c r="AE22" i="8"/>
  <c r="AE20" i="8"/>
  <c r="AF16" i="9"/>
  <c r="AF17" i="8"/>
  <c r="AG116" i="2"/>
  <c r="AG118" i="2"/>
  <c r="Y7" i="6"/>
  <c r="Y12" i="6"/>
  <c r="W7" i="5"/>
  <c r="AG122" i="2"/>
  <c r="AF14" i="8"/>
  <c r="AG120" i="2"/>
  <c r="AD23" i="9"/>
  <c r="AD25" i="9"/>
  <c r="AE7" i="9"/>
  <c r="AE13" i="9"/>
  <c r="AE9" i="6"/>
  <c r="X7" i="5"/>
  <c r="Z7" i="6"/>
  <c r="Z12" i="6"/>
  <c r="AF22" i="8"/>
  <c r="AF20" i="8"/>
  <c r="AE24" i="8"/>
  <c r="AE27" i="8"/>
  <c r="AE6" i="8"/>
  <c r="AE25" i="8"/>
  <c r="X19" i="6"/>
  <c r="X20" i="6"/>
  <c r="AC18" i="6"/>
  <c r="AC10" i="4"/>
  <c r="AF18" i="9"/>
  <c r="AF21" i="9"/>
  <c r="AD7" i="8"/>
  <c r="AD6" i="4"/>
  <c r="AD10" i="6"/>
  <c r="Y19" i="6"/>
  <c r="Y20" i="6"/>
  <c r="AF25" i="8"/>
  <c r="AF24" i="8"/>
  <c r="AF27" i="8"/>
  <c r="AF6" i="8"/>
  <c r="AE7" i="8"/>
  <c r="AE6" i="4"/>
  <c r="AE10" i="6"/>
  <c r="AE23" i="9"/>
  <c r="AE25" i="9"/>
  <c r="Y7" i="5"/>
  <c r="AA7" i="6"/>
  <c r="AA12" i="6"/>
  <c r="AD18" i="6"/>
  <c r="AD10" i="4"/>
  <c r="AF9" i="6"/>
  <c r="AF7" i="9"/>
  <c r="AF13" i="9"/>
  <c r="AE10" i="4"/>
  <c r="AE18" i="6"/>
  <c r="AF23" i="9"/>
  <c r="AF25" i="9"/>
  <c r="AF7" i="8"/>
  <c r="AF6" i="4"/>
  <c r="AF10" i="6"/>
  <c r="Z7" i="5"/>
  <c r="AB7" i="6"/>
  <c r="AB12" i="6"/>
  <c r="Z19" i="6"/>
  <c r="Z20" i="6"/>
  <c r="AF10" i="4"/>
  <c r="AF18" i="6"/>
  <c r="AA19" i="6"/>
  <c r="AA20" i="6"/>
  <c r="AC7" i="6"/>
  <c r="AC12" i="6"/>
  <c r="AA7" i="5"/>
  <c r="AB19" i="6"/>
  <c r="AB20" i="6"/>
  <c r="AB7" i="5"/>
  <c r="AD7" i="6"/>
  <c r="AD12" i="6"/>
  <c r="AC19" i="6"/>
  <c r="AC20" i="6"/>
  <c r="AC7" i="5"/>
  <c r="AE7" i="6"/>
  <c r="AE12" i="6"/>
  <c r="AD19" i="6"/>
  <c r="AD20" i="6"/>
  <c r="AD7" i="5"/>
  <c r="AF7" i="6"/>
  <c r="AF12" i="6"/>
  <c r="AE7" i="5"/>
  <c r="AE19" i="6"/>
  <c r="AE20" i="6"/>
  <c r="AF19" i="6"/>
  <c r="AF20" i="6"/>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<sst xmlns="http://schemas.openxmlformats.org/spreadsheetml/2006/main" count="276" uniqueCount="204">
  <si>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</si>
  <si>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</si>
  <si>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</si>
  <si>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</si>
  <si>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</si>
  <si>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</si>
  <si>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</si>
  <si>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</si>
  <si>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</si>
  <si>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</si>
  <si>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</si>
  <si>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</si>
  <si>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</si>
  <si>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</si>
  <si>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</si>
  <si>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</si>
  <si>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</si>
  <si>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</si>
  <si>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</si>
  <si>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</si>
  <si>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</si>
  <si>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</si>
  <si>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</si>
  <si>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</si>
  <si>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</si>
  <si>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</si>
  <si>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</si>
  <si>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</si>
  <si>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</si>
  <si>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</si>
  <si>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</si>
  <si>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</si>
  <si>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</si>
  <si>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</si>
  <si>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</si>
  <si>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</si>
  <si>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</si>
  <si>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</si>
  <si>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</si>
  <si>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</si>
  <si>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</si>
  <si>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</si>
  <si>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</si>
  <si>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</si>
  <si>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</si>
  <si>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</si>
  <si>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</si>
  <si>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</si>
  <si>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</si>
  <si>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</si>
  <si>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</si>
  <si>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</si>
  <si>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</si>
  <si>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</si>
  <si>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</si>
  <si>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</si>
  <si>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</si>
  <si>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</si>
  <si>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</si>
  <si>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</si>
  <si>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</si>
  <si>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</si>
  <si>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</si>
  <si>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</si>
  <si>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</si>
  <si>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</si>
  <si>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</si>
  <si>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</si>
  <si>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</si>
  <si>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</si>
  <si>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</si>
  <si>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</si>
  <si>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</si>
  <si>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</si>
  <si>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</si>
  <si>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</si>
  <si>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</si>
  <si>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</si>
  <si>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</si>
  <si>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</si>
  <si>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</si>
  <si>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</si>
  <si>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</si>
  <si>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</si>
  <si>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</si>
  <si>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</si>
  <si>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</si>
  <si>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</si>
  <si>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</si>
  <si>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</si>
  <si>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</si>
  <si>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</si>
  <si>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</si>
  <si>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</si>
  <si>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</si>
  <si>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</si>
  <si>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</si>
  <si>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</si>
  <si>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</si>
  <si>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</si>
  <si>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</si>
  <si>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</si>
  <si>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</si>
  <si>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</si>
  <si>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</si>
  <si>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</si>
  <si>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</si>
  <si>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</si>
  <si>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</si>
  <si>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</si>
  <si>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</si>
  <si>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</si>
  <si>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</si>
  <si>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</si>
  <si>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</si>
  <si>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</si>
  <si>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</si>
  <si>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</si>
  <si>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</si>
  <si>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</si>
  <si>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</si>
  <si>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</si>
  <si>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</si>
  <si>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</si>
  <si>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</si>
  <si>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</si>
  <si>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</si>
  <si>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</si>
  <si>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</si>
  <si>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</si>
  <si>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</si>
  <si>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</si>
  <si>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</si>
  <si>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</si>
  <si>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</si>
  <si>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</si>
  <si>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</si>
  <si>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</si>
  <si>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</si>
  <si>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</si>
  <si>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</si>
  <si>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</si>
  <si>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</si>
  <si>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</si>
  <si>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</si>
  <si>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</si>
  <si>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</si>
  <si>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</si>
  <si>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</si>
  <si>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</si>
  <si>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</si>
  <si>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</si>
  <si>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</si>
  <si>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</si>
  <si>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</si>
  <si>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</si>
  <si>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</si>
  <si>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</si>
  <si>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</si>
  <si>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</si>
  <si>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</si>
  <si>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</si>
  <si>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</si>
  <si>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</si>
  <si>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</si>
  <si>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</si>
  <si>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</si>
  <si>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</si>
  <si>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</si>
  <si>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</si>
  <si>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</si>
  <si>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</si>
  <si>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</si>
  <si>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</si>
  <si>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</si>
  <si>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</si>
  <si>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</si>
  <si>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</si>
  <si>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</si>
  <si>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</si>
  <si>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</si>
  <si>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</si>
  <si>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</si>
  <si>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</si>
  <si>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</si>
  <si>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</si>
  <si>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</si>
  <si>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</si>
  <si>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</si>
  <si>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</si>
  <si>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</si>
  <si>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</si>
  <si>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</si>
  <si>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</si>
  <si>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</si>
  <si>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</si>
  <si>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</si>
  <si>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Taupo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</si>
  <si>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</si>
  <si>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</si>
  <si>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</si>
  <si>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</si>
  <si>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</si>
  <si>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RFI Table 'G1 unconstrained'; Line G1.3 (adjusted for projected inflation in RFI Table G5). 
Where forecasts were not provided for 2032-51, the average annual growth investment over 2022-31 is assumed to continue over 2032-51.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</si>
</sst>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8" xfId="0" applyFill="1" applyBorder="1" applyAlignment="1">
      <alignment vertical="top" wrapText="1"/>
    </xf>
    <xf numFmtId="0" fontId="7" fillId="0" borderId="7" xfId="0" applyFont="1" applyFill="1" applyBorder="1" applyAlignment="1">
      <alignment vertical="top" wrapText="1"/>
    </xf>
    <xf numFmtId="0" fontId="14" fillId="0" borderId="9" xfId="0" applyFont="1" applyFill="1" applyBorder="1" applyAlignment="1">
      <alignment vertical="top"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93" zoomScaleNormal="93"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188</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670255000</v>
      </c>
      <c r="C6" s="12">
        <f ca="1">B6+Depreciation!C18+'Cash Flow'!C13</f>
        <v>689940179.93949568</v>
      </c>
      <c r="D6" s="1">
        <f ca="1">C6+Depreciation!D18</f>
        <v>756198879.4464674</v>
      </c>
      <c r="E6" s="1">
        <f ca="1">D6+Depreciation!E18</f>
        <v>825907306.51946521</v>
      </c>
      <c r="F6" s="1">
        <f ca="1">E6+Depreciation!F18</f>
        <v>899218394.81441951</v>
      </c>
      <c r="G6" s="1">
        <f ca="1">F6+Depreciation!G18</f>
        <v>976291333.22021282</v>
      </c>
      <c r="H6" s="1">
        <f ca="1">G6+Depreciation!H18</f>
        <v>1057291809.5895247</v>
      </c>
      <c r="I6" s="1">
        <f ca="1">H6+Depreciation!I18</f>
        <v>1142392263.6630931</v>
      </c>
      <c r="J6" s="1">
        <f ca="1">I6+Depreciation!J18</f>
        <v>1231772149.5261879</v>
      </c>
      <c r="K6" s="1">
        <f ca="1">J6+Depreciation!K18</f>
        <v>1325618207.9483676</v>
      </c>
      <c r="L6" s="1">
        <f ca="1">K6+Depreciation!L18</f>
        <v>1424124748.9702899</v>
      </c>
      <c r="M6" s="1">
        <f ca="1">L6+Depreciation!M18</f>
        <v>1527493945.1145141</v>
      </c>
      <c r="N6" s="1">
        <f ca="1">M6+Depreciation!N18</f>
        <v>1635936135.6108608</v>
      </c>
      <c r="O6" s="1">
        <f ca="1">N6+Depreciation!O18</f>
        <v>1749670142.0410144</v>
      </c>
      <c r="P6" s="1">
        <f ca="1">O6+Depreciation!P18</f>
        <v>1868923595.8216701</v>
      </c>
      <c r="Q6" s="1">
        <f ca="1">P6+Depreciation!Q18</f>
        <v>1993933277.9606755</v>
      </c>
      <c r="R6" s="1">
        <f ca="1">Q6+Depreciation!R18</f>
        <v>2124945471.5362937</v>
      </c>
      <c r="S6" s="1">
        <f ca="1">R6+Depreciation!S18</f>
        <v>2262216327.3659577</v>
      </c>
      <c r="T6" s="1">
        <f ca="1">S6+Depreciation!T18</f>
        <v>2406012243.3477049</v>
      </c>
      <c r="U6" s="1">
        <f ca="1">T6+Depreciation!U18</f>
        <v>2556610257.9748988</v>
      </c>
      <c r="V6" s="1">
        <f ca="1">U6+Depreciation!V18</f>
        <v>2714298458.5428829</v>
      </c>
      <c r="W6" s="1">
        <f ca="1">V6+Depreciation!W18</f>
        <v>2879376404.5848899</v>
      </c>
      <c r="X6" s="1">
        <f ca="1">W6+Depreciation!X18</f>
        <v>3052155567.0938749</v>
      </c>
      <c r="Y6" s="1">
        <f ca="1">X6+Depreciation!Y18</f>
        <v>3232959784.1069784</v>
      </c>
      <c r="Z6" s="1">
        <f ca="1">Y6+Depreciation!Z18</f>
        <v>3422125733.2500539</v>
      </c>
      <c r="AA6" s="1">
        <f ca="1">Z6+Depreciation!AA18</f>
        <v>3620003421.8611989</v>
      </c>
      <c r="AB6" s="1">
        <f ca="1">AA6+Depreciation!AB18</f>
        <v>3826956695.3344469</v>
      </c>
      <c r="AC6" s="1">
        <f ca="1">AB6+Depreciation!AC18</f>
        <v>4043363764.3478346</v>
      </c>
      <c r="AD6" s="1">
        <f ca="1">AC6+Depreciation!AD18</f>
        <v>4269617751.6638947</v>
      </c>
      <c r="AE6" s="1">
        <f ca="1">AD6+Depreciation!AE18</f>
        <v>4506127259.2153282</v>
      </c>
      <c r="AF6" s="1"/>
      <c r="AG6" s="1"/>
      <c r="AH6" s="1"/>
      <c r="AI6" s="1"/>
      <c r="AJ6" s="1"/>
      <c r="AK6" s="1"/>
      <c r="AL6" s="1"/>
      <c r="AM6" s="1"/>
      <c r="AN6" s="1"/>
      <c r="AO6" s="1"/>
      <c r="AP6" s="1"/>
    </row>
    <row r="7" spans="1:42" x14ac:dyDescent="0.35">
      <c r="A7" t="s">
        <v>12</v>
      </c>
      <c r="B7" s="1">
        <f>Depreciation!C12</f>
        <v>346071678.53582382</v>
      </c>
      <c r="C7" s="1">
        <f>Depreciation!D12</f>
        <v>358654296.73615348</v>
      </c>
      <c r="D7" s="1">
        <f>Depreciation!E12</f>
        <v>372969007.90069658</v>
      </c>
      <c r="E7" s="1">
        <f>Depreciation!F12</f>
        <v>389113781.37812567</v>
      </c>
      <c r="F7" s="1">
        <f>Depreciation!G12</f>
        <v>407191082.89223295</v>
      </c>
      <c r="G7" s="1">
        <f>Depreciation!H12</f>
        <v>427308061.98932493</v>
      </c>
      <c r="H7" s="1">
        <f>Depreciation!I12</f>
        <v>449576746.87796223</v>
      </c>
      <c r="I7" s="1">
        <f>Depreciation!J12</f>
        <v>474114246.94220829</v>
      </c>
      <c r="J7" s="1">
        <f>Depreciation!K12</f>
        <v>501042963.21997613</v>
      </c>
      <c r="K7" s="1">
        <f>Depreciation!L12</f>
        <v>530490807.14886528</v>
      </c>
      <c r="L7" s="1">
        <f>Depreciation!M12</f>
        <v>562591427.89307916</v>
      </c>
      <c r="M7" s="1">
        <f>Depreciation!N12</f>
        <v>597484448.57661533</v>
      </c>
      <c r="N7" s="1">
        <f>Depreciation!O12</f>
        <v>635315711.75994837</v>
      </c>
      <c r="O7" s="1">
        <f>Depreciation!P12</f>
        <v>676237534.50988531</v>
      </c>
      <c r="P7" s="1">
        <f>Depreciation!Q12</f>
        <v>720408973.42518902</v>
      </c>
      <c r="Q7" s="1">
        <f>Depreciation!R12</f>
        <v>767996099.99394715</v>
      </c>
      <c r="R7" s="1">
        <f>Depreciation!S12</f>
        <v>819172286.67253149</v>
      </c>
      <c r="S7" s="1">
        <f>Depreciation!T12</f>
        <v>874118504.09036446</v>
      </c>
      <c r="T7" s="1">
        <f>Depreciation!U12</f>
        <v>933023629.79959905</v>
      </c>
      <c r="U7" s="1">
        <f>Depreciation!V12</f>
        <v>996084769.00424922</v>
      </c>
      <c r="V7" s="1">
        <f>Depreciation!W12</f>
        <v>1063507587.7192951</v>
      </c>
      <c r="W7" s="1">
        <f>Depreciation!X12</f>
        <v>1135506658.8268566</v>
      </c>
      <c r="X7" s="1">
        <f>Depreciation!Y12</f>
        <v>1212305821.5136905</v>
      </c>
      <c r="Y7" s="1">
        <f>Depreciation!Z12</f>
        <v>1294138554.5920563</v>
      </c>
      <c r="Z7" s="1">
        <f>Depreciation!AA12</f>
        <v>1381248364.2244205</v>
      </c>
      <c r="AA7" s="1">
        <f>Depreciation!AB12</f>
        <v>1473889186.591567</v>
      </c>
      <c r="AB7" s="1">
        <f>Depreciation!AC12</f>
        <v>1572325806.063458</v>
      </c>
      <c r="AC7" s="1">
        <f>Depreciation!AD12</f>
        <v>1676834289.4526932</v>
      </c>
      <c r="AD7" s="1">
        <f>Depreciation!AE12</f>
        <v>1787702436.9516437</v>
      </c>
      <c r="AE7" s="1">
        <f>Depreciation!AF12</f>
        <v>1905230250.3763404</v>
      </c>
      <c r="AF7" s="1"/>
      <c r="AG7" s="1"/>
      <c r="AH7" s="1"/>
      <c r="AI7" s="1"/>
      <c r="AJ7" s="1"/>
      <c r="AK7" s="1"/>
      <c r="AL7" s="1"/>
      <c r="AM7" s="1"/>
      <c r="AN7" s="1"/>
      <c r="AO7" s="1"/>
      <c r="AP7" s="1"/>
    </row>
    <row r="8" spans="1:42" x14ac:dyDescent="0.35">
      <c r="A8" t="s">
        <v>190</v>
      </c>
      <c r="B8" s="1">
        <f t="shared" ref="B8:AE8" si="1">B6-B7</f>
        <v>324183321.46417618</v>
      </c>
      <c r="C8" s="1">
        <f t="shared" ca="1" si="1"/>
        <v>331285883.2033422</v>
      </c>
      <c r="D8" s="1">
        <f ca="1">D6-D7</f>
        <v>383229871.54577082</v>
      </c>
      <c r="E8" s="1">
        <f t="shared" ca="1" si="1"/>
        <v>436793525.14133954</v>
      </c>
      <c r="F8" s="1">
        <f t="shared" ca="1" si="1"/>
        <v>492027311.92218655</v>
      </c>
      <c r="G8" s="1">
        <f t="shared" ca="1" si="1"/>
        <v>548983271.23088789</v>
      </c>
      <c r="H8" s="1">
        <f t="shared" ca="1" si="1"/>
        <v>607715062.71156251</v>
      </c>
      <c r="I8" s="1">
        <f t="shared" ca="1" si="1"/>
        <v>668278016.7208848</v>
      </c>
      <c r="J8" s="1">
        <f t="shared" ca="1" si="1"/>
        <v>730729186.30621171</v>
      </c>
      <c r="K8" s="1">
        <f t="shared" ca="1" si="1"/>
        <v>795127400.79950237</v>
      </c>
      <c r="L8" s="1">
        <f t="shared" ca="1" si="1"/>
        <v>861533321.07721078</v>
      </c>
      <c r="M8" s="1">
        <f t="shared" ca="1" si="1"/>
        <v>930009496.53789878</v>
      </c>
      <c r="N8" s="1">
        <f t="shared" ca="1" si="1"/>
        <v>1000620423.8509125</v>
      </c>
      <c r="O8" s="1">
        <f t="shared" ca="1" si="1"/>
        <v>1073432607.5311291</v>
      </c>
      <c r="P8" s="1">
        <f t="shared" ca="1" si="1"/>
        <v>1148514622.396481</v>
      </c>
      <c r="Q8" s="1">
        <f t="shared" ca="1" si="1"/>
        <v>1225937177.9667282</v>
      </c>
      <c r="R8" s="1">
        <f t="shared" ca="1" si="1"/>
        <v>1305773184.8637624</v>
      </c>
      <c r="S8" s="1">
        <f t="shared" ca="1" si="1"/>
        <v>1388097823.2755933</v>
      </c>
      <c r="T8" s="1">
        <f t="shared" ca="1" si="1"/>
        <v>1472988613.5481057</v>
      </c>
      <c r="U8" s="1">
        <f t="shared" ca="1" si="1"/>
        <v>1560525488.9706497</v>
      </c>
      <c r="V8" s="1">
        <f t="shared" ca="1" si="1"/>
        <v>1650790870.8235879</v>
      </c>
      <c r="W8" s="1">
        <f t="shared" ca="1" si="1"/>
        <v>1743869745.7580333</v>
      </c>
      <c r="X8" s="1">
        <f t="shared" ca="1" si="1"/>
        <v>1839849745.5801845</v>
      </c>
      <c r="Y8" s="1">
        <f t="shared" ca="1" si="1"/>
        <v>1938821229.5149221</v>
      </c>
      <c r="Z8" s="1">
        <f t="shared" ca="1" si="1"/>
        <v>2040877369.0256333</v>
      </c>
      <c r="AA8" s="1">
        <f t="shared" ca="1" si="1"/>
        <v>2146114235.2696319</v>
      </c>
      <c r="AB8" s="1">
        <f t="shared" ca="1" si="1"/>
        <v>2254630889.2709889</v>
      </c>
      <c r="AC8" s="1">
        <f t="shared" ca="1" si="1"/>
        <v>2366529474.8951416</v>
      </c>
      <c r="AD8" s="1">
        <f t="shared" ca="1" si="1"/>
        <v>2481915314.7122507</v>
      </c>
      <c r="AE8" s="1">
        <f t="shared" ca="1" si="1"/>
        <v>2600897008.8389878</v>
      </c>
      <c r="AF8" s="1"/>
      <c r="AG8" s="1"/>
      <c r="AH8" s="1"/>
      <c r="AI8" s="1"/>
      <c r="AJ8" s="1"/>
      <c r="AK8" s="1"/>
      <c r="AL8" s="1"/>
      <c r="AM8" s="1"/>
      <c r="AN8" s="1"/>
      <c r="AO8" s="1"/>
      <c r="AP8" s="1"/>
    </row>
    <row r="10" spans="1:42" x14ac:dyDescent="0.35">
      <c r="A10" t="s">
        <v>17</v>
      </c>
      <c r="B10" s="1">
        <f>B8-B11</f>
        <v>244889321.46417618</v>
      </c>
      <c r="C10" s="1">
        <f ca="1">C8-C11</f>
        <v>208721177.91453138</v>
      </c>
      <c r="D10" s="1">
        <f ca="1">D8-D11</f>
        <v>222662518.22359776</v>
      </c>
      <c r="E10" s="1">
        <f t="shared" ref="E10:AE10" ca="1" si="2">E8-E11</f>
        <v>247231883.72301775</v>
      </c>
      <c r="F10" s="1">
        <f t="shared" ca="1" si="2"/>
        <v>277184560.94316393</v>
      </c>
      <c r="G10" s="1">
        <f ca="1">G8-G11</f>
        <v>311743249.67860407</v>
      </c>
      <c r="H10" s="1">
        <f t="shared" ca="1" si="2"/>
        <v>350274327.09425968</v>
      </c>
      <c r="I10" s="1">
        <f t="shared" ca="1" si="2"/>
        <v>391662838.24283171</v>
      </c>
      <c r="J10" s="1">
        <f t="shared" ca="1" si="2"/>
        <v>435374632.63641399</v>
      </c>
      <c r="K10" s="1">
        <f t="shared" ca="1" si="2"/>
        <v>481811150.03927809</v>
      </c>
      <c r="L10" s="1">
        <f t="shared" ca="1" si="2"/>
        <v>530176327.26740766</v>
      </c>
      <c r="M10" s="1">
        <f t="shared" ca="1" si="2"/>
        <v>579424440.26576471</v>
      </c>
      <c r="N10" s="1">
        <f t="shared" ca="1" si="2"/>
        <v>629663498.34410536</v>
      </c>
      <c r="O10" s="1">
        <f t="shared" ca="1" si="2"/>
        <v>681016082.17345405</v>
      </c>
      <c r="P10" s="1">
        <f t="shared" ca="1" si="2"/>
        <v>733620725.01004267</v>
      </c>
      <c r="Q10" s="1">
        <f t="shared" ca="1" si="2"/>
        <v>787633401.19518995</v>
      </c>
      <c r="R10" s="1">
        <f t="shared" ca="1" si="2"/>
        <v>843229129.35945392</v>
      </c>
      <c r="S10" s="1">
        <f t="shared" ca="1" si="2"/>
        <v>900603698.23868489</v>
      </c>
      <c r="T10" s="1">
        <f t="shared" ca="1" si="2"/>
        <v>959975523.51845241</v>
      </c>
      <c r="U10" s="1">
        <f t="shared" ca="1" si="2"/>
        <v>1021587644.6634548</v>
      </c>
      <c r="V10" s="1">
        <f t="shared" ca="1" si="2"/>
        <v>1085709871.2618794</v>
      </c>
      <c r="W10" s="1">
        <f t="shared" ca="1" si="2"/>
        <v>1152641089.0231693</v>
      </c>
      <c r="X10" s="1">
        <f t="shared" ca="1" si="2"/>
        <v>1222711736.2134218</v>
      </c>
      <c r="Y10" s="1">
        <f t="shared" ca="1" si="2"/>
        <v>1293727655.2419062</v>
      </c>
      <c r="Z10" s="1">
        <f t="shared" ca="1" si="2"/>
        <v>1365736829.4718993</v>
      </c>
      <c r="AA10" s="1">
        <f t="shared" ca="1" si="2"/>
        <v>1438794516.0667832</v>
      </c>
      <c r="AB10" s="1">
        <f t="shared" ca="1" si="2"/>
        <v>1512963965.219233</v>
      </c>
      <c r="AC10" s="1">
        <f t="shared" ca="1" si="2"/>
        <v>1588317193.8636212</v>
      </c>
      <c r="AD10" s="1">
        <f t="shared" ca="1" si="2"/>
        <v>1663334137.2671056</v>
      </c>
      <c r="AE10" s="1">
        <f t="shared" ca="1" si="2"/>
        <v>1737909649.5956674</v>
      </c>
      <c r="AF10" s="1"/>
      <c r="AG10" s="1"/>
      <c r="AH10" s="1"/>
      <c r="AI10" s="1"/>
      <c r="AJ10" s="1"/>
      <c r="AK10" s="1"/>
      <c r="AL10" s="1"/>
      <c r="AM10" s="1"/>
      <c r="AN10" s="1"/>
      <c r="AO10" s="1"/>
    </row>
    <row r="11" spans="1:42" x14ac:dyDescent="0.35">
      <c r="A11" t="s">
        <v>9</v>
      </c>
      <c r="B11" s="1">
        <f>Assumptions!$C$20</f>
        <v>79294000</v>
      </c>
      <c r="C11" s="1">
        <f ca="1">'Debt worksheet'!D5</f>
        <v>122564705.28881082</v>
      </c>
      <c r="D11" s="1">
        <f ca="1">'Debt worksheet'!E5</f>
        <v>160567353.32217306</v>
      </c>
      <c r="E11" s="1">
        <f ca="1">'Debt worksheet'!F5</f>
        <v>189561641.41832179</v>
      </c>
      <c r="F11" s="1">
        <f ca="1">'Debt worksheet'!G5</f>
        <v>214842750.97902262</v>
      </c>
      <c r="G11" s="1">
        <f ca="1">'Debt worksheet'!H5</f>
        <v>237240021.55228382</v>
      </c>
      <c r="H11" s="1">
        <f ca="1">'Debt worksheet'!I5</f>
        <v>257440735.61730283</v>
      </c>
      <c r="I11" s="1">
        <f ca="1">'Debt worksheet'!J5</f>
        <v>276615178.47805309</v>
      </c>
      <c r="J11" s="1">
        <f ca="1">'Debt worksheet'!K5</f>
        <v>295354553.66979772</v>
      </c>
      <c r="K11" s="1">
        <f ca="1">'Debt worksheet'!L5</f>
        <v>313316250.76022428</v>
      </c>
      <c r="L11" s="1">
        <f ca="1">'Debt worksheet'!M5</f>
        <v>331356993.80980313</v>
      </c>
      <c r="M11" s="1">
        <f ca="1">'Debt worksheet'!N5</f>
        <v>350585056.27213407</v>
      </c>
      <c r="N11" s="1">
        <f ca="1">'Debt worksheet'!O5</f>
        <v>370956925.50680709</v>
      </c>
      <c r="O11" s="1">
        <f ca="1">'Debt worksheet'!P5</f>
        <v>392416525.35767514</v>
      </c>
      <c r="P11" s="1">
        <f ca="1">'Debt worksheet'!Q5</f>
        <v>414893897.38643837</v>
      </c>
      <c r="Q11" s="1">
        <f ca="1">'Debt worksheet'!R5</f>
        <v>438303776.77153826</v>
      </c>
      <c r="R11" s="1">
        <f ca="1">'Debt worksheet'!S5</f>
        <v>462544055.50430852</v>
      </c>
      <c r="S11" s="1">
        <f ca="1">'Debt worksheet'!T5</f>
        <v>487494125.03690833</v>
      </c>
      <c r="T11" s="1">
        <f ca="1">'Debt worksheet'!U5</f>
        <v>513013090.02965337</v>
      </c>
      <c r="U11" s="1">
        <f ca="1">'Debt worksheet'!V5</f>
        <v>538937844.30719495</v>
      </c>
      <c r="V11" s="1">
        <f ca="1">'Debt worksheet'!W5</f>
        <v>565080999.56170857</v>
      </c>
      <c r="W11" s="1">
        <f ca="1">'Debt worksheet'!X5</f>
        <v>591228656.734864</v>
      </c>
      <c r="X11" s="1">
        <f ca="1">'Debt worksheet'!Y5</f>
        <v>617138009.36676264</v>
      </c>
      <c r="Y11" s="1">
        <f ca="1">'Debt worksheet'!Z5</f>
        <v>645093574.27301598</v>
      </c>
      <c r="Z11" s="1">
        <f ca="1">'Debt worksheet'!AA5</f>
        <v>675140539.55373406</v>
      </c>
      <c r="AA11" s="1">
        <f ca="1">'Debt worksheet'!AB5</f>
        <v>707319719.20284867</v>
      </c>
      <c r="AB11" s="1">
        <f ca="1">'Debt worksheet'!AC5</f>
        <v>741666924.05175602</v>
      </c>
      <c r="AC11" s="1">
        <f ca="1">'Debt worksheet'!AD5</f>
        <v>778212281.03152049</v>
      </c>
      <c r="AD11" s="1">
        <f ca="1">'Debt worksheet'!AE5</f>
        <v>818581177.44514525</v>
      </c>
      <c r="AE11" s="1">
        <f ca="1">'Debt worksheet'!AF5</f>
        <v>862987359.24332035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15" zoomScaleNormal="115"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8741001.4036718681</v>
      </c>
      <c r="D5" s="4">
        <f ca="1">'Profit and Loss'!D9</f>
        <v>15673433.273279896</v>
      </c>
      <c r="E5" s="4">
        <f ca="1">'Profit and Loss'!E9</f>
        <v>26399427.812305942</v>
      </c>
      <c r="F5" s="4">
        <f ca="1">'Profit and Loss'!F9</f>
        <v>31885205.256824367</v>
      </c>
      <c r="G5" s="4">
        <f ca="1">'Profit and Loss'!G9</f>
        <v>36598366.318424843</v>
      </c>
      <c r="H5" s="4">
        <f ca="1">'Profit and Loss'!H9</f>
        <v>40682783.207200967</v>
      </c>
      <c r="I5" s="4">
        <f ca="1">'Profit and Loss'!I9</f>
        <v>43657326.324180752</v>
      </c>
      <c r="J5" s="4">
        <f ca="1">'Profit and Loss'!J9</f>
        <v>46103010.60710419</v>
      </c>
      <c r="K5" s="4">
        <f ca="1">'Profit and Loss'!K9</f>
        <v>48955645.05398538</v>
      </c>
      <c r="L5" s="4">
        <f ca="1">'Profit and Loss'!L9</f>
        <v>51017954.043454334</v>
      </c>
      <c r="M5" s="4">
        <f ca="1">'Profit and Loss'!M9</f>
        <v>52040512.937679276</v>
      </c>
      <c r="N5" s="4">
        <f ca="1">'Profit and Loss'!N9</f>
        <v>53177300.578137502</v>
      </c>
      <c r="O5" s="4">
        <f ca="1">'Profit and Loss'!O9</f>
        <v>54443143.395952418</v>
      </c>
      <c r="P5" s="4">
        <f ca="1">'Profit and Loss'!P9</f>
        <v>55854259.001955509</v>
      </c>
      <c r="Q5" s="4">
        <f ca="1">'Profit and Loss'!Q9</f>
        <v>57428363.838601843</v>
      </c>
      <c r="R5" s="4">
        <f ca="1">'Profit and Loss'!R9</f>
        <v>59184788.27408991</v>
      </c>
      <c r="S5" s="4">
        <f ca="1">'Profit and Loss'!S9</f>
        <v>61144599.618479893</v>
      </c>
      <c r="T5" s="4">
        <f ca="1">'Profit and Loss'!T9</f>
        <v>63330733.571169198</v>
      </c>
      <c r="U5" s="4">
        <f ca="1">'Profit and Loss'!U9</f>
        <v>65768134.640417919</v>
      </c>
      <c r="V5" s="4">
        <f ca="1">'Profit and Loss'!V9</f>
        <v>68483906.108820558</v>
      </c>
      <c r="W5" s="4">
        <f ca="1">'Profit and Loss'!W9</f>
        <v>71507470.153805494</v>
      </c>
      <c r="X5" s="4">
        <f ca="1">'Profit and Loss'!X9</f>
        <v>74870738.769525006</v>
      </c>
      <c r="Y5" s="4">
        <f ca="1">'Profit and Loss'!Y9</f>
        <v>76049489.420015842</v>
      </c>
      <c r="Z5" s="4">
        <f ca="1">'Profit and Loss'!Z9</f>
        <v>77286250.78399168</v>
      </c>
      <c r="AA5" s="4">
        <f ca="1">'Profit and Loss'!AA9</f>
        <v>78588699.329666033</v>
      </c>
      <c r="AB5" s="4">
        <f ca="1">'Profit and Loss'!AB9</f>
        <v>79965246.257194206</v>
      </c>
      <c r="AC5" s="4">
        <f ca="1">'Profit and Loss'!AC9</f>
        <v>81425092.561732307</v>
      </c>
      <c r="AD5" s="4">
        <f ca="1">'Profit and Loss'!AD9</f>
        <v>81376607.513199896</v>
      </c>
      <c r="AE5" s="4">
        <f ca="1">'Profit and Loss'!AE9</f>
        <v>81235178.254307926</v>
      </c>
      <c r="AF5" s="4">
        <f ca="1">'Profit and Loss'!AF9</f>
        <v>80996509.690560296</v>
      </c>
      <c r="AG5" s="4"/>
      <c r="AH5" s="4"/>
      <c r="AI5" s="4"/>
      <c r="AJ5" s="4"/>
      <c r="AK5" s="4"/>
      <c r="AL5" s="4"/>
      <c r="AM5" s="4"/>
      <c r="AN5" s="4"/>
      <c r="AO5" s="4"/>
      <c r="AP5" s="4"/>
    </row>
    <row r="6" spans="1:42" x14ac:dyDescent="0.35">
      <c r="A6" t="s">
        <v>21</v>
      </c>
      <c r="C6" s="4">
        <f>Depreciation!C8+Depreciation!C9</f>
        <v>10944178.535823865</v>
      </c>
      <c r="D6" s="4">
        <f>Depreciation!D8+Depreciation!D9</f>
        <v>12582618.200329639</v>
      </c>
      <c r="E6" s="4">
        <f>Depreciation!E8+Depreciation!E9</f>
        <v>14314711.1645431</v>
      </c>
      <c r="F6" s="4">
        <f>Depreciation!F8+Depreciation!F9</f>
        <v>16144773.477429081</v>
      </c>
      <c r="G6" s="4">
        <f>Depreciation!G8+Depreciation!G9</f>
        <v>18077301.514107279</v>
      </c>
      <c r="H6" s="4">
        <f>Depreciation!H8+Depreciation!H9</f>
        <v>20116979.097091988</v>
      </c>
      <c r="I6" s="4">
        <f>Depreciation!I8+Depreciation!I9</f>
        <v>22268684.888637275</v>
      </c>
      <c r="J6" s="4">
        <f>Depreciation!J8+Depreciation!J9</f>
        <v>24537500.064246044</v>
      </c>
      <c r="K6" s="4">
        <f>Depreciation!K8+Depreciation!K9</f>
        <v>26928716.277767807</v>
      </c>
      <c r="L6" s="4">
        <f>Depreciation!L8+Depreciation!L9</f>
        <v>29447843.928889163</v>
      </c>
      <c r="M6" s="4">
        <f>Depreciation!M8+Depreciation!M9</f>
        <v>32100620.744213868</v>
      </c>
      <c r="N6" s="4">
        <f>Depreciation!N8+Depreciation!N9</f>
        <v>34893020.683536164</v>
      </c>
      <c r="O6" s="4">
        <f>Depreciation!O8+Depreciation!O9</f>
        <v>37831263.183333017</v>
      </c>
      <c r="P6" s="4">
        <f>Depreciation!P8+Depreciation!P9</f>
        <v>40921822.749936908</v>
      </c>
      <c r="Q6" s="4">
        <f>Depreciation!Q8+Depreciation!Q9</f>
        <v>44171438.915303729</v>
      </c>
      <c r="R6" s="4">
        <f>Depreciation!R8+Depreciation!R9</f>
        <v>47587126.5687581</v>
      </c>
      <c r="S6" s="4">
        <f>Depreciation!S8+Depreciation!S9</f>
        <v>51176186.678584278</v>
      </c>
      <c r="T6" s="4">
        <f>Depreciation!T8+Depreciation!T9</f>
        <v>54946217.417832911</v>
      </c>
      <c r="U6" s="4">
        <f>Depreciation!U8+Depreciation!U9</f>
        <v>58905125.709234595</v>
      </c>
      <c r="V6" s="4">
        <f>Depreciation!V8+Depreciation!V9</f>
        <v>63061139.204650119</v>
      </c>
      <c r="W6" s="4">
        <f>Depreciation!W8+Depreciation!W9</f>
        <v>67422818.715045989</v>
      </c>
      <c r="X6" s="4">
        <f>Depreciation!X8+Depreciation!X9</f>
        <v>71999071.107561633</v>
      </c>
      <c r="Y6" s="4">
        <f>Depreciation!Y8+Depreciation!Y9</f>
        <v>76799162.686834052</v>
      </c>
      <c r="Z6" s="4">
        <f>Depreciation!Z8+Depreciation!Z9</f>
        <v>81832733.078365788</v>
      </c>
      <c r="AA6" s="4">
        <f>Depreciation!AA8+Depreciation!AA9</f>
        <v>87109809.632364258</v>
      </c>
      <c r="AB6" s="4">
        <f>Depreciation!AB8+Depreciation!AB9</f>
        <v>92640822.367146343</v>
      </c>
      <c r="AC6" s="4">
        <f>Depreciation!AC8+Depreciation!AC9</f>
        <v>98436619.471890956</v>
      </c>
      <c r="AD6" s="4">
        <f>Depreciation!AD8+Depreciation!AD9</f>
        <v>104508483.38923526</v>
      </c>
      <c r="AE6" s="4">
        <f>Depreciation!AE8+Depreciation!AE9</f>
        <v>110868147.49895039</v>
      </c>
      <c r="AF6" s="4">
        <f>Depreciation!AF8+Depreciation!AF9</f>
        <v>117527813.42469668</v>
      </c>
      <c r="AG6" s="4"/>
      <c r="AH6" s="4"/>
      <c r="AI6" s="4"/>
      <c r="AJ6" s="4"/>
      <c r="AK6" s="4"/>
      <c r="AL6" s="4"/>
      <c r="AM6" s="4"/>
      <c r="AN6" s="4"/>
      <c r="AO6" s="4"/>
      <c r="AP6" s="4"/>
    </row>
    <row r="7" spans="1:42" x14ac:dyDescent="0.35">
      <c r="A7" t="s">
        <v>23</v>
      </c>
      <c r="C7" s="4">
        <f ca="1">C6+C5</f>
        <v>19685179.939495735</v>
      </c>
      <c r="D7" s="4">
        <f ca="1">D6+D5</f>
        <v>28256051.473609537</v>
      </c>
      <c r="E7" s="4">
        <f t="shared" ref="E7:AF7" ca="1" si="1">E6+E5</f>
        <v>40714138.976849042</v>
      </c>
      <c r="F7" s="4">
        <f t="shared" ca="1" si="1"/>
        <v>48029978.734253451</v>
      </c>
      <c r="G7" s="4">
        <f ca="1">G6+G5</f>
        <v>54675667.832532123</v>
      </c>
      <c r="H7" s="4">
        <f t="shared" ca="1" si="1"/>
        <v>60799762.304292955</v>
      </c>
      <c r="I7" s="4">
        <f t="shared" ca="1" si="1"/>
        <v>65926011.212818027</v>
      </c>
      <c r="J7" s="4">
        <f t="shared" ca="1" si="1"/>
        <v>70640510.671350241</v>
      </c>
      <c r="K7" s="4">
        <f t="shared" ca="1" si="1"/>
        <v>75884361.331753194</v>
      </c>
      <c r="L7" s="4">
        <f t="shared" ca="1" si="1"/>
        <v>80465797.972343504</v>
      </c>
      <c r="M7" s="4">
        <f t="shared" ca="1" si="1"/>
        <v>84141133.68189314</v>
      </c>
      <c r="N7" s="4">
        <f t="shared" ca="1" si="1"/>
        <v>88070321.261673659</v>
      </c>
      <c r="O7" s="4">
        <f t="shared" ca="1" si="1"/>
        <v>92274406.579285443</v>
      </c>
      <c r="P7" s="4">
        <f t="shared" ca="1" si="1"/>
        <v>96776081.751892418</v>
      </c>
      <c r="Q7" s="4">
        <f t="shared" ca="1" si="1"/>
        <v>101599802.75390556</v>
      </c>
      <c r="R7" s="4">
        <f t="shared" ca="1" si="1"/>
        <v>106771914.842848</v>
      </c>
      <c r="S7" s="4">
        <f t="shared" ca="1" si="1"/>
        <v>112320786.29706417</v>
      </c>
      <c r="T7" s="4">
        <f t="shared" ca="1" si="1"/>
        <v>118276950.98900211</v>
      </c>
      <c r="U7" s="4">
        <f t="shared" ca="1" si="1"/>
        <v>124673260.34965251</v>
      </c>
      <c r="V7" s="4">
        <f t="shared" ca="1" si="1"/>
        <v>131545045.31347068</v>
      </c>
      <c r="W7" s="4">
        <f t="shared" ca="1" si="1"/>
        <v>138930288.86885148</v>
      </c>
      <c r="X7" s="4">
        <f t="shared" ca="1" si="1"/>
        <v>146869809.87708664</v>
      </c>
      <c r="Y7" s="4">
        <f t="shared" ca="1" si="1"/>
        <v>152848652.10684991</v>
      </c>
      <c r="Z7" s="4">
        <f t="shared" ca="1" si="1"/>
        <v>159118983.86235747</v>
      </c>
      <c r="AA7" s="4">
        <f t="shared" ca="1" si="1"/>
        <v>165698508.96203029</v>
      </c>
      <c r="AB7" s="4">
        <f t="shared" ca="1" si="1"/>
        <v>172606068.62434053</v>
      </c>
      <c r="AC7" s="4">
        <f t="shared" ca="1" si="1"/>
        <v>179861712.03362328</v>
      </c>
      <c r="AD7" s="4">
        <f t="shared" ca="1" si="1"/>
        <v>185885090.90243515</v>
      </c>
      <c r="AE7" s="4">
        <f t="shared" ca="1" si="1"/>
        <v>192103325.75325832</v>
      </c>
      <c r="AF7" s="4">
        <f t="shared" ca="1" si="1"/>
        <v>198524323.11525697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62955885.228306547</v>
      </c>
      <c r="D10" s="9">
        <f>Investment!D25</f>
        <v>66258699.506971762</v>
      </c>
      <c r="E10" s="9">
        <f>Investment!E25</f>
        <v>69708427.072997764</v>
      </c>
      <c r="F10" s="9">
        <f>Investment!F25</f>
        <v>73311088.294954285</v>
      </c>
      <c r="G10" s="9">
        <f>Investment!G25</f>
        <v>77072938.405793309</v>
      </c>
      <c r="H10" s="9">
        <f>Investment!H25</f>
        <v>81000476.369311959</v>
      </c>
      <c r="I10" s="9">
        <f>Investment!I25</f>
        <v>85100454.073568285</v>
      </c>
      <c r="J10" s="9">
        <f>Investment!J25</f>
        <v>89379885.863094851</v>
      </c>
      <c r="K10" s="9">
        <f>Investment!K25</f>
        <v>93846058.422179773</v>
      </c>
      <c r="L10" s="9">
        <f>Investment!L25</f>
        <v>98506541.02192232</v>
      </c>
      <c r="M10" s="9">
        <f>Investment!M25</f>
        <v>103369196.14422408</v>
      </c>
      <c r="N10" s="9">
        <f>Investment!N25</f>
        <v>108442190.49634671</v>
      </c>
      <c r="O10" s="9">
        <f>Investment!O25</f>
        <v>113734006.4301535</v>
      </c>
      <c r="P10" s="9">
        <f>Investment!P25</f>
        <v>119253453.78065564</v>
      </c>
      <c r="Q10" s="9">
        <f>Investment!Q25</f>
        <v>125009682.13900544</v>
      </c>
      <c r="R10" s="9">
        <f>Investment!R25</f>
        <v>131012193.57561828</v>
      </c>
      <c r="S10" s="9">
        <f>Investment!S25</f>
        <v>137270855.82966399</v>
      </c>
      <c r="T10" s="9">
        <f>Investment!T25</f>
        <v>143795915.98174715</v>
      </c>
      <c r="U10" s="9">
        <f>Investment!U25</f>
        <v>150598014.62719411</v>
      </c>
      <c r="V10" s="9">
        <f>Investment!V25</f>
        <v>157688200.56798434</v>
      </c>
      <c r="W10" s="9">
        <f>Investment!W25</f>
        <v>165077946.04200691</v>
      </c>
      <c r="X10" s="9">
        <f>Investment!X25</f>
        <v>172779162.50898528</v>
      </c>
      <c r="Y10" s="9">
        <f>Investment!Y25</f>
        <v>180804217.01310325</v>
      </c>
      <c r="Z10" s="9">
        <f>Investment!Z25</f>
        <v>189165949.14307559</v>
      </c>
      <c r="AA10" s="9">
        <f>Investment!AA25</f>
        <v>197877688.61114484</v>
      </c>
      <c r="AB10" s="9">
        <f>Investment!AB25</f>
        <v>206953273.47324786</v>
      </c>
      <c r="AC10" s="9">
        <f>Investment!AC25</f>
        <v>216407069.01338771</v>
      </c>
      <c r="AD10" s="9">
        <f>Investment!AD25</f>
        <v>226253987.31605995</v>
      </c>
      <c r="AE10" s="9">
        <f>Investment!AE25</f>
        <v>236509507.55143344</v>
      </c>
      <c r="AF10" s="9">
        <f>Investment!AF25</f>
        <v>247189696.99885917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-43270705.288810812</v>
      </c>
      <c r="D12" s="1">
        <f t="shared" ref="D12:AF12" ca="1" si="2">D7-D9-D10</f>
        <v>-38002648.033362225</v>
      </c>
      <c r="E12" s="1">
        <f ca="1">E7-E9-E10</f>
        <v>-28994288.096148722</v>
      </c>
      <c r="F12" s="1">
        <f t="shared" ca="1" si="2"/>
        <v>-25281109.560700834</v>
      </c>
      <c r="G12" s="1">
        <f ca="1">G7-G9-G10</f>
        <v>-22397270.573261186</v>
      </c>
      <c r="H12" s="1">
        <f t="shared" ca="1" si="2"/>
        <v>-20200714.065019004</v>
      </c>
      <c r="I12" s="1">
        <f t="shared" ca="1" si="2"/>
        <v>-19174442.860750258</v>
      </c>
      <c r="J12" s="1">
        <f t="shared" ca="1" si="2"/>
        <v>-18739375.191744611</v>
      </c>
      <c r="K12" s="1">
        <f t="shared" ca="1" si="2"/>
        <v>-17961697.090426579</v>
      </c>
      <c r="L12" s="1">
        <f t="shared" ca="1" si="2"/>
        <v>-18040743.049578816</v>
      </c>
      <c r="M12" s="1">
        <f t="shared" ca="1" si="2"/>
        <v>-19228062.462330937</v>
      </c>
      <c r="N12" s="1">
        <f t="shared" ca="1" si="2"/>
        <v>-20371869.234673053</v>
      </c>
      <c r="O12" s="1">
        <f t="shared" ca="1" si="2"/>
        <v>-21459599.850868061</v>
      </c>
      <c r="P12" s="1">
        <f t="shared" ca="1" si="2"/>
        <v>-22477372.02876322</v>
      </c>
      <c r="Q12" s="1">
        <f t="shared" ca="1" si="2"/>
        <v>-23409879.385099873</v>
      </c>
      <c r="R12" s="1">
        <f t="shared" ca="1" si="2"/>
        <v>-24240278.732770279</v>
      </c>
      <c r="S12" s="1">
        <f t="shared" ca="1" si="2"/>
        <v>-24950069.532599822</v>
      </c>
      <c r="T12" s="1">
        <f t="shared" ca="1" si="2"/>
        <v>-25518964.992745042</v>
      </c>
      <c r="U12" s="1">
        <f t="shared" ca="1" si="2"/>
        <v>-25924754.277541593</v>
      </c>
      <c r="V12" s="1">
        <f t="shared" ca="1" si="2"/>
        <v>-26143155.254513666</v>
      </c>
      <c r="W12" s="1">
        <f t="shared" ca="1" si="2"/>
        <v>-26147657.173155427</v>
      </c>
      <c r="X12" s="1">
        <f t="shared" ca="1" si="2"/>
        <v>-25909352.631898642</v>
      </c>
      <c r="Y12" s="1">
        <f t="shared" ca="1" si="2"/>
        <v>-27955564.906253338</v>
      </c>
      <c r="Z12" s="1">
        <f t="shared" ca="1" si="2"/>
        <v>-30046965.280718118</v>
      </c>
      <c r="AA12" s="1">
        <f t="shared" ca="1" si="2"/>
        <v>-32179179.649114549</v>
      </c>
      <c r="AB12" s="1">
        <f t="shared" ca="1" si="2"/>
        <v>-34347204.848907322</v>
      </c>
      <c r="AC12" s="1">
        <f t="shared" ca="1" si="2"/>
        <v>-36545356.979764432</v>
      </c>
      <c r="AD12" s="1">
        <f t="shared" ca="1" si="2"/>
        <v>-40368896.413624793</v>
      </c>
      <c r="AE12" s="1">
        <f t="shared" ca="1" si="2"/>
        <v>-44406181.798175126</v>
      </c>
      <c r="AF12" s="1">
        <f t="shared" ca="1" si="2"/>
        <v>-48665373.883602202</v>
      </c>
      <c r="AG12" s="1"/>
      <c r="AH12" s="1"/>
      <c r="AI12" s="1"/>
      <c r="AJ12" s="1"/>
      <c r="AK12" s="1"/>
      <c r="AL12" s="1"/>
      <c r="AM12" s="1"/>
      <c r="AN12" s="1"/>
      <c r="AO12" s="1"/>
      <c r="AP12" s="1"/>
    </row>
    <row r="13" spans="1:42" x14ac:dyDescent="0.35">
      <c r="A13" t="s">
        <v>19</v>
      </c>
      <c r="C13" s="1">
        <f ca="1">C12</f>
        <v>-43270705.288810812</v>
      </c>
      <c r="D13" s="1">
        <f ca="1">D12</f>
        <v>-38002648.033362225</v>
      </c>
      <c r="E13" s="1">
        <f ca="1">E12</f>
        <v>-28994288.096148722</v>
      </c>
      <c r="F13" s="1">
        <f t="shared" ref="F13:AF13" ca="1" si="3">F12</f>
        <v>-25281109.560700834</v>
      </c>
      <c r="G13" s="1">
        <f ca="1">G12</f>
        <v>-22397270.573261186</v>
      </c>
      <c r="H13" s="1">
        <f t="shared" ca="1" si="3"/>
        <v>-20200714.065019004</v>
      </c>
      <c r="I13" s="1">
        <f t="shared" ca="1" si="3"/>
        <v>-19174442.860750258</v>
      </c>
      <c r="J13" s="1">
        <f t="shared" ca="1" si="3"/>
        <v>-18739375.191744611</v>
      </c>
      <c r="K13" s="1">
        <f t="shared" ca="1" si="3"/>
        <v>-17961697.090426579</v>
      </c>
      <c r="L13" s="1">
        <f t="shared" ca="1" si="3"/>
        <v>-18040743.049578816</v>
      </c>
      <c r="M13" s="1">
        <f t="shared" ca="1" si="3"/>
        <v>-19228062.462330937</v>
      </c>
      <c r="N13" s="1">
        <f t="shared" ca="1" si="3"/>
        <v>-20371869.234673053</v>
      </c>
      <c r="O13" s="1">
        <f t="shared" ca="1" si="3"/>
        <v>-21459599.850868061</v>
      </c>
      <c r="P13" s="1">
        <f t="shared" ca="1" si="3"/>
        <v>-22477372.02876322</v>
      </c>
      <c r="Q13" s="1">
        <f t="shared" ca="1" si="3"/>
        <v>-23409879.385099873</v>
      </c>
      <c r="R13" s="1">
        <f t="shared" ca="1" si="3"/>
        <v>-24240278.732770279</v>
      </c>
      <c r="S13" s="1">
        <f t="shared" ca="1" si="3"/>
        <v>-24950069.532599822</v>
      </c>
      <c r="T13" s="1">
        <f t="shared" ca="1" si="3"/>
        <v>-25518964.992745042</v>
      </c>
      <c r="U13" s="1">
        <f t="shared" ca="1" si="3"/>
        <v>-25924754.277541593</v>
      </c>
      <c r="V13" s="1">
        <f t="shared" ca="1" si="3"/>
        <v>-26143155.254513666</v>
      </c>
      <c r="W13" s="1">
        <f t="shared" ca="1" si="3"/>
        <v>-26147657.173155427</v>
      </c>
      <c r="X13" s="1">
        <f t="shared" ca="1" si="3"/>
        <v>-25909352.631898642</v>
      </c>
      <c r="Y13" s="1">
        <f t="shared" ca="1" si="3"/>
        <v>-27955564.906253338</v>
      </c>
      <c r="Z13" s="1">
        <f t="shared" ca="1" si="3"/>
        <v>-30046965.280718118</v>
      </c>
      <c r="AA13" s="1">
        <f t="shared" ca="1" si="3"/>
        <v>-32179179.649114549</v>
      </c>
      <c r="AB13" s="1">
        <f t="shared" ca="1" si="3"/>
        <v>-34347204.848907322</v>
      </c>
      <c r="AC13" s="1">
        <f t="shared" ca="1" si="3"/>
        <v>-36545356.979764432</v>
      </c>
      <c r="AD13" s="1">
        <f t="shared" ca="1" si="3"/>
        <v>-40368896.413624793</v>
      </c>
      <c r="AE13" s="1">
        <f t="shared" ca="1" si="3"/>
        <v>-44406181.798175126</v>
      </c>
      <c r="AF13" s="1">
        <f t="shared" ca="1" si="3"/>
        <v>-48665373.883602202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5" zoomScaleNormal="85"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670255000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335127500</v>
      </c>
      <c r="D7" s="9">
        <f>C12</f>
        <v>346071678.53582382</v>
      </c>
      <c r="E7" s="9">
        <f>D12</f>
        <v>358654296.73615348</v>
      </c>
      <c r="F7" s="9">
        <f t="shared" ref="F7:H7" si="1">E12</f>
        <v>372969007.90069658</v>
      </c>
      <c r="G7" s="9">
        <f t="shared" si="1"/>
        <v>389113781.37812567</v>
      </c>
      <c r="H7" s="9">
        <f t="shared" si="1"/>
        <v>407191082.89223295</v>
      </c>
      <c r="I7" s="9">
        <f t="shared" ref="I7" si="2">H12</f>
        <v>427308061.98932493</v>
      </c>
      <c r="J7" s="9">
        <f t="shared" ref="J7" si="3">I12</f>
        <v>449576746.87796223</v>
      </c>
      <c r="K7" s="9">
        <f t="shared" ref="K7" si="4">J12</f>
        <v>474114246.94220829</v>
      </c>
      <c r="L7" s="9">
        <f t="shared" ref="L7" si="5">K12</f>
        <v>501042963.21997613</v>
      </c>
      <c r="M7" s="9">
        <f t="shared" ref="M7" si="6">L12</f>
        <v>530490807.14886528</v>
      </c>
      <c r="N7" s="9">
        <f t="shared" ref="N7" si="7">M12</f>
        <v>562591427.89307916</v>
      </c>
      <c r="O7" s="9">
        <f t="shared" ref="O7" si="8">N12</f>
        <v>597484448.57661533</v>
      </c>
      <c r="P7" s="9">
        <f t="shared" ref="P7" si="9">O12</f>
        <v>635315711.75994837</v>
      </c>
      <c r="Q7" s="9">
        <f t="shared" ref="Q7" si="10">P12</f>
        <v>676237534.50988531</v>
      </c>
      <c r="R7" s="9">
        <f t="shared" ref="R7" si="11">Q12</f>
        <v>720408973.42518902</v>
      </c>
      <c r="S7" s="9">
        <f t="shared" ref="S7" si="12">R12</f>
        <v>767996099.99394715</v>
      </c>
      <c r="T7" s="9">
        <f t="shared" ref="T7" si="13">S12</f>
        <v>819172286.67253149</v>
      </c>
      <c r="U7" s="9">
        <f t="shared" ref="U7" si="14">T12</f>
        <v>874118504.09036446</v>
      </c>
      <c r="V7" s="9">
        <f t="shared" ref="V7" si="15">U12</f>
        <v>933023629.79959905</v>
      </c>
      <c r="W7" s="9">
        <f t="shared" ref="W7" si="16">V12</f>
        <v>996084769.00424922</v>
      </c>
      <c r="X7" s="9">
        <f t="shared" ref="X7" si="17">W12</f>
        <v>1063507587.7192951</v>
      </c>
      <c r="Y7" s="9">
        <f t="shared" ref="Y7" si="18">X12</f>
        <v>1135506658.8268566</v>
      </c>
      <c r="Z7" s="9">
        <f t="shared" ref="Z7" si="19">Y12</f>
        <v>1212305821.5136905</v>
      </c>
      <c r="AA7" s="9">
        <f t="shared" ref="AA7" si="20">Z12</f>
        <v>1294138554.5920563</v>
      </c>
      <c r="AB7" s="9">
        <f t="shared" ref="AB7" si="21">AA12</f>
        <v>1381248364.2244205</v>
      </c>
      <c r="AC7" s="9">
        <f t="shared" ref="AC7" si="22">AB12</f>
        <v>1473889186.591567</v>
      </c>
      <c r="AD7" s="9">
        <f t="shared" ref="AD7" si="23">AC12</f>
        <v>1572325806.063458</v>
      </c>
      <c r="AE7" s="9">
        <f t="shared" ref="AE7" si="24">AD12</f>
        <v>1676834289.4526932</v>
      </c>
      <c r="AF7" s="9">
        <f t="shared" ref="AF7" si="25">AE12</f>
        <v>1787702436.9516437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9695897.5752042811</v>
      </c>
      <c r="D8" s="9">
        <f>Assumptions!E111*Assumptions!E11</f>
        <v>10006166.297610817</v>
      </c>
      <c r="E8" s="9">
        <f>Assumptions!F111*Assumptions!F11</f>
        <v>10326363.619134363</v>
      </c>
      <c r="F8" s="9">
        <f>Assumptions!G111*Assumptions!G11</f>
        <v>10656807.254946662</v>
      </c>
      <c r="G8" s="9">
        <f>Assumptions!H111*Assumptions!H11</f>
        <v>10997825.087104958</v>
      </c>
      <c r="H8" s="9">
        <f>Assumptions!I111*Assumptions!I11</f>
        <v>11349755.489892313</v>
      </c>
      <c r="I8" s="9">
        <f>Assumptions!J111*Assumptions!J11</f>
        <v>11712947.665568866</v>
      </c>
      <c r="J8" s="9">
        <f>Assumptions!K111*Assumptions!K11</f>
        <v>12087761.990867073</v>
      </c>
      <c r="K8" s="9">
        <f>Assumptions!L111*Assumptions!L11</f>
        <v>12474570.37457482</v>
      </c>
      <c r="L8" s="9">
        <f>Assumptions!M111*Assumptions!M11</f>
        <v>12873756.626561211</v>
      </c>
      <c r="M8" s="9">
        <f>Assumptions!N111*Assumptions!N11</f>
        <v>13285716.838611171</v>
      </c>
      <c r="N8" s="9">
        <f>Assumptions!O111*Assumptions!O11</f>
        <v>13710859.777446728</v>
      </c>
      <c r="O8" s="9">
        <f>Assumptions!P111*Assumptions!P11</f>
        <v>14149607.290325025</v>
      </c>
      <c r="P8" s="9">
        <f>Assumptions!Q111*Assumptions!Q11</f>
        <v>14602394.723615423</v>
      </c>
      <c r="Q8" s="9">
        <f>Assumptions!R111*Assumptions!R11</f>
        <v>15069671.354771115</v>
      </c>
      <c r="R8" s="9">
        <f>Assumptions!S111*Assumptions!S11</f>
        <v>15551900.838123793</v>
      </c>
      <c r="S8" s="9">
        <f>Assumptions!T111*Assumptions!T11</f>
        <v>16049561.664943757</v>
      </c>
      <c r="T8" s="9">
        <f>Assumptions!U111*Assumptions!U11</f>
        <v>16563147.638221955</v>
      </c>
      <c r="U8" s="9">
        <f>Assumptions!V111*Assumptions!V11</f>
        <v>17093168.362645056</v>
      </c>
      <c r="V8" s="9">
        <f>Assumptions!W111*Assumptions!W11</f>
        <v>17640149.750249699</v>
      </c>
      <c r="W8" s="9">
        <f>Assumptions!X111*Assumptions!X11</f>
        <v>18204634.542257693</v>
      </c>
      <c r="X8" s="9">
        <f>Assumptions!Y111*Assumptions!Y11</f>
        <v>18787182.847609933</v>
      </c>
      <c r="Y8" s="9">
        <f>Assumptions!Z111*Assumptions!Z11</f>
        <v>19388372.698733449</v>
      </c>
      <c r="Z8" s="9">
        <f>Assumptions!AA111*Assumptions!AA11</f>
        <v>20008800.62509292</v>
      </c>
      <c r="AA8" s="9">
        <f>Assumptions!AB111*Assumptions!AB11</f>
        <v>20649082.245095901</v>
      </c>
      <c r="AB8" s="9">
        <f>Assumptions!AC111*Assumptions!AC11</f>
        <v>21309852.876938965</v>
      </c>
      <c r="AC8" s="9">
        <f>Assumptions!AD111*Assumptions!AD11</f>
        <v>21991768.169001009</v>
      </c>
      <c r="AD8" s="9">
        <f>Assumptions!AE111*Assumptions!AE11</f>
        <v>22695504.750409044</v>
      </c>
      <c r="AE8" s="9">
        <f>Assumptions!AF111*Assumptions!AF11</f>
        <v>23421760.902422134</v>
      </c>
      <c r="AF8" s="9">
        <f>Assumptions!AG111*Assumptions!AG11</f>
        <v>24171257.251299638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1248280.9606195842</v>
      </c>
      <c r="D9" s="9">
        <f>Assumptions!E120*Assumptions!E11</f>
        <v>2576451.9027188215</v>
      </c>
      <c r="E9" s="9">
        <f>Assumptions!F120*Assumptions!F11</f>
        <v>3988347.545408736</v>
      </c>
      <c r="F9" s="9">
        <f>Assumptions!G120*Assumptions!G11</f>
        <v>5487966.2224824196</v>
      </c>
      <c r="G9" s="9">
        <f>Assumptions!H120*Assumptions!H11</f>
        <v>7079476.4270023229</v>
      </c>
      <c r="H9" s="9">
        <f>Assumptions!I120*Assumptions!I11</f>
        <v>8767223.6071996763</v>
      </c>
      <c r="I9" s="9">
        <f>Assumptions!J120*Assumptions!J11</f>
        <v>10555737.223068409</v>
      </c>
      <c r="J9" s="9">
        <f>Assumptions!K120*Assumptions!K11</f>
        <v>12449738.073378969</v>
      </c>
      <c r="K9" s="9">
        <f>Assumptions!L120*Assumptions!L11</f>
        <v>14454145.903192986</v>
      </c>
      <c r="L9" s="9">
        <f>Assumptions!M120*Assumptions!M11</f>
        <v>16574087.302327953</v>
      </c>
      <c r="M9" s="9">
        <f>Assumptions!N120*Assumptions!N11</f>
        <v>18814903.905602697</v>
      </c>
      <c r="N9" s="9">
        <f>Assumptions!O120*Assumptions!O11</f>
        <v>21182160.906089436</v>
      </c>
      <c r="O9" s="9">
        <f>Assumptions!P120*Assumptions!P11</f>
        <v>23681655.89300799</v>
      </c>
      <c r="P9" s="9">
        <f>Assumptions!Q120*Assumptions!Q11</f>
        <v>26319428.026321489</v>
      </c>
      <c r="Q9" s="9">
        <f>Assumptions!R120*Assumptions!R11</f>
        <v>29101767.560532615</v>
      </c>
      <c r="R9" s="9">
        <f>Assumptions!S120*Assumptions!S11</f>
        <v>32035225.730634306</v>
      </c>
      <c r="S9" s="9">
        <f>Assumptions!T120*Assumptions!T11</f>
        <v>35126625.013640523</v>
      </c>
      <c r="T9" s="9">
        <f>Assumptions!U120*Assumptions!U11</f>
        <v>38383069.779610954</v>
      </c>
      <c r="U9" s="9">
        <f>Assumptions!V120*Assumptions!V11</f>
        <v>41811957.346589535</v>
      </c>
      <c r="V9" s="9">
        <f>Assumptions!W120*Assumptions!W11</f>
        <v>45420989.45440042</v>
      </c>
      <c r="W9" s="9">
        <f>Assumptions!X120*Assumptions!X11</f>
        <v>49218184.1727883</v>
      </c>
      <c r="X9" s="9">
        <f>Assumptions!Y120*Assumptions!Y11</f>
        <v>53211888.259951696</v>
      </c>
      <c r="Y9" s="9">
        <f>Assumptions!Z120*Assumptions!Z11</f>
        <v>57410789.988100603</v>
      </c>
      <c r="Z9" s="9">
        <f>Assumptions!AA120*Assumptions!AA11</f>
        <v>61823932.453272864</v>
      </c>
      <c r="AA9" s="9">
        <f>Assumptions!AB120*Assumptions!AB11</f>
        <v>66460727.387268357</v>
      </c>
      <c r="AB9" s="9">
        <f>Assumptions!AC120*Assumptions!AC11</f>
        <v>71330969.490207374</v>
      </c>
      <c r="AC9" s="9">
        <f>Assumptions!AD120*Assumptions!AD11</f>
        <v>76444851.302889943</v>
      </c>
      <c r="AD9" s="9">
        <f>Assumptions!AE120*Assumptions!AE11</f>
        <v>81812978.638826206</v>
      </c>
      <c r="AE9" s="9">
        <f>Assumptions!AF120*Assumptions!AF11</f>
        <v>87446386.596528262</v>
      </c>
      <c r="AF9" s="9">
        <f>Assumptions!AG120*Assumptions!AG11</f>
        <v>93356556.173397049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10944178.535823865</v>
      </c>
      <c r="D10" s="9">
        <f>SUM($C$8:D9)</f>
        <v>23526796.736153506</v>
      </c>
      <c r="E10" s="9">
        <f>SUM($C$8:E9)</f>
        <v>37841507.900696598</v>
      </c>
      <c r="F10" s="9">
        <f>SUM($C$8:F9)</f>
        <v>53986281.378125682</v>
      </c>
      <c r="G10" s="9">
        <f>SUM($C$8:G9)</f>
        <v>72063582.892232955</v>
      </c>
      <c r="H10" s="9">
        <f>SUM($C$8:H9)</f>
        <v>92180561.989324957</v>
      </c>
      <c r="I10" s="9">
        <f>SUM($C$8:I9)</f>
        <v>114449246.87796223</v>
      </c>
      <c r="J10" s="9">
        <f>SUM($C$8:J9)</f>
        <v>138986746.94220829</v>
      </c>
      <c r="K10" s="9">
        <f>SUM($C$8:K9)</f>
        <v>165915463.21997613</v>
      </c>
      <c r="L10" s="9">
        <f>SUM($C$8:L9)</f>
        <v>195363307.14886528</v>
      </c>
      <c r="M10" s="9">
        <f>SUM($C$8:M9)</f>
        <v>227463927.89307913</v>
      </c>
      <c r="N10" s="9">
        <f>SUM($C$8:N9)</f>
        <v>262356948.57661527</v>
      </c>
      <c r="O10" s="9">
        <f>SUM($C$8:O9)</f>
        <v>300188211.75994831</v>
      </c>
      <c r="P10" s="9">
        <f>SUM($C$8:P9)</f>
        <v>341110034.50988519</v>
      </c>
      <c r="Q10" s="9">
        <f>SUM($C$8:Q9)</f>
        <v>385281473.42518896</v>
      </c>
      <c r="R10" s="9">
        <f>SUM($C$8:R9)</f>
        <v>432868599.99394703</v>
      </c>
      <c r="S10" s="9">
        <f>SUM($C$8:S9)</f>
        <v>484044786.67253131</v>
      </c>
      <c r="T10" s="9">
        <f>SUM($C$8:T9)</f>
        <v>538991004.09036422</v>
      </c>
      <c r="U10" s="9">
        <f>SUM($C$8:U9)</f>
        <v>597896129.79959881</v>
      </c>
      <c r="V10" s="9">
        <f>SUM($C$8:V9)</f>
        <v>660957269.00424898</v>
      </c>
      <c r="W10" s="9">
        <f>SUM($C$8:W9)</f>
        <v>728380087.71929491</v>
      </c>
      <c r="X10" s="9">
        <f>SUM($C$8:X9)</f>
        <v>800379158.82685661</v>
      </c>
      <c r="Y10" s="9">
        <f>SUM($C$8:Y9)</f>
        <v>877178321.51369071</v>
      </c>
      <c r="Z10" s="9">
        <f>SUM($C$8:Z9)</f>
        <v>959011054.59205639</v>
      </c>
      <c r="AA10" s="9">
        <f>SUM($C$8:AA9)</f>
        <v>1046120864.2244207</v>
      </c>
      <c r="AB10" s="9">
        <f>SUM($C$8:AB9)</f>
        <v>1138761686.591567</v>
      </c>
      <c r="AC10" s="9">
        <f>SUM($C$8:AC9)</f>
        <v>1237198306.063458</v>
      </c>
      <c r="AD10" s="9">
        <f>SUM($C$8:AD9)</f>
        <v>1341706789.4526932</v>
      </c>
      <c r="AE10" s="9">
        <f>SUM($C$8:AE9)</f>
        <v>1452574936.9516435</v>
      </c>
      <c r="AF10" s="9">
        <f>SUM($C$8:AF9)</f>
        <v>1570102750.3763404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346071678.53582382</v>
      </c>
      <c r="D12" s="9">
        <f>D7+D8+D9</f>
        <v>358654296.73615348</v>
      </c>
      <c r="E12" s="9">
        <f>E7+E8+E9</f>
        <v>372969007.90069658</v>
      </c>
      <c r="F12" s="9">
        <f t="shared" ref="F12:H12" si="26">F7+F8+F9</f>
        <v>389113781.37812567</v>
      </c>
      <c r="G12" s="9">
        <f t="shared" si="26"/>
        <v>407191082.89223295</v>
      </c>
      <c r="H12" s="9">
        <f t="shared" si="26"/>
        <v>427308061.98932493</v>
      </c>
      <c r="I12" s="9">
        <f t="shared" ref="I12:AF12" si="27">I7+I8+I9</f>
        <v>449576746.87796223</v>
      </c>
      <c r="J12" s="9">
        <f t="shared" si="27"/>
        <v>474114246.94220829</v>
      </c>
      <c r="K12" s="9">
        <f t="shared" si="27"/>
        <v>501042963.21997613</v>
      </c>
      <c r="L12" s="9">
        <f t="shared" si="27"/>
        <v>530490807.14886528</v>
      </c>
      <c r="M12" s="9">
        <f t="shared" si="27"/>
        <v>562591427.89307916</v>
      </c>
      <c r="N12" s="9">
        <f t="shared" si="27"/>
        <v>597484448.57661533</v>
      </c>
      <c r="O12" s="9">
        <f t="shared" si="27"/>
        <v>635315711.75994837</v>
      </c>
      <c r="P12" s="9">
        <f t="shared" si="27"/>
        <v>676237534.50988531</v>
      </c>
      <c r="Q12" s="9">
        <f t="shared" si="27"/>
        <v>720408973.42518902</v>
      </c>
      <c r="R12" s="9">
        <f t="shared" si="27"/>
        <v>767996099.99394715</v>
      </c>
      <c r="S12" s="9">
        <f t="shared" si="27"/>
        <v>819172286.67253149</v>
      </c>
      <c r="T12" s="9">
        <f t="shared" si="27"/>
        <v>874118504.09036446</v>
      </c>
      <c r="U12" s="9">
        <f t="shared" si="27"/>
        <v>933023629.79959905</v>
      </c>
      <c r="V12" s="9">
        <f t="shared" si="27"/>
        <v>996084769.00424922</v>
      </c>
      <c r="W12" s="9">
        <f t="shared" si="27"/>
        <v>1063507587.7192951</v>
      </c>
      <c r="X12" s="9">
        <f t="shared" si="27"/>
        <v>1135506658.8268566</v>
      </c>
      <c r="Y12" s="9">
        <f t="shared" si="27"/>
        <v>1212305821.5136905</v>
      </c>
      <c r="Z12" s="9">
        <f t="shared" si="27"/>
        <v>1294138554.5920563</v>
      </c>
      <c r="AA12" s="9">
        <f t="shared" si="27"/>
        <v>1381248364.2244205</v>
      </c>
      <c r="AB12" s="9">
        <f t="shared" si="27"/>
        <v>1473889186.591567</v>
      </c>
      <c r="AC12" s="9">
        <f t="shared" si="27"/>
        <v>1572325806.063458</v>
      </c>
      <c r="AD12" s="9">
        <f t="shared" si="27"/>
        <v>1676834289.4526932</v>
      </c>
      <c r="AE12" s="9">
        <f t="shared" si="27"/>
        <v>1787702436.9516437</v>
      </c>
      <c r="AF12" s="9">
        <f t="shared" si="27"/>
        <v>1905230250.3763404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62955885.228306547</v>
      </c>
      <c r="D18" s="9">
        <f>Investment!D25</f>
        <v>66258699.506971762</v>
      </c>
      <c r="E18" s="9">
        <f>Investment!E25</f>
        <v>69708427.072997764</v>
      </c>
      <c r="F18" s="9">
        <f>Investment!F25</f>
        <v>73311088.294954285</v>
      </c>
      <c r="G18" s="9">
        <f>Investment!G25</f>
        <v>77072938.405793309</v>
      </c>
      <c r="H18" s="9">
        <f>Investment!H25</f>
        <v>81000476.369311959</v>
      </c>
      <c r="I18" s="9">
        <f>Investment!I25</f>
        <v>85100454.073568285</v>
      </c>
      <c r="J18" s="9">
        <f>Investment!J25</f>
        <v>89379885.863094851</v>
      </c>
      <c r="K18" s="9">
        <f>Investment!K25</f>
        <v>93846058.422179773</v>
      </c>
      <c r="L18" s="9">
        <f>Investment!L25</f>
        <v>98506541.02192232</v>
      </c>
      <c r="M18" s="9">
        <f>Investment!M25</f>
        <v>103369196.14422408</v>
      </c>
      <c r="N18" s="9">
        <f>Investment!N25</f>
        <v>108442190.49634671</v>
      </c>
      <c r="O18" s="9">
        <f>Investment!O25</f>
        <v>113734006.4301535</v>
      </c>
      <c r="P18" s="9">
        <f>Investment!P25</f>
        <v>119253453.78065564</v>
      </c>
      <c r="Q18" s="9">
        <f>Investment!Q25</f>
        <v>125009682.13900544</v>
      </c>
      <c r="R18" s="9">
        <f>Investment!R25</f>
        <v>131012193.57561828</v>
      </c>
      <c r="S18" s="9">
        <f>Investment!S25</f>
        <v>137270855.82966399</v>
      </c>
      <c r="T18" s="9">
        <f>Investment!T25</f>
        <v>143795915.98174715</v>
      </c>
      <c r="U18" s="9">
        <f>Investment!U25</f>
        <v>150598014.62719411</v>
      </c>
      <c r="V18" s="9">
        <f>Investment!V25</f>
        <v>157688200.56798434</v>
      </c>
      <c r="W18" s="9">
        <f>Investment!W25</f>
        <v>165077946.04200691</v>
      </c>
      <c r="X18" s="9">
        <f>Investment!X25</f>
        <v>172779162.50898528</v>
      </c>
      <c r="Y18" s="9">
        <f>Investment!Y25</f>
        <v>180804217.01310325</v>
      </c>
      <c r="Z18" s="9">
        <f>Investment!Z25</f>
        <v>189165949.14307559</v>
      </c>
      <c r="AA18" s="9">
        <f>Investment!AA25</f>
        <v>197877688.61114484</v>
      </c>
      <c r="AB18" s="9">
        <f>Investment!AB25</f>
        <v>206953273.47324786</v>
      </c>
      <c r="AC18" s="9">
        <f>Investment!AC25</f>
        <v>216407069.01338771</v>
      </c>
      <c r="AD18" s="9">
        <f>Investment!AD25</f>
        <v>226253987.31605995</v>
      </c>
      <c r="AE18" s="9">
        <f>Investment!AE25</f>
        <v>236509507.55143344</v>
      </c>
      <c r="AF18" s="9">
        <f>Investment!AF25</f>
        <v>247189696.99885917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398083385.22830653</v>
      </c>
      <c r="D19" s="9">
        <f>D18+C20</f>
        <v>453397906.19945449</v>
      </c>
      <c r="E19" s="9">
        <f>E18+D20</f>
        <v>510523715.07212257</v>
      </c>
      <c r="F19" s="9">
        <f t="shared" ref="F19:AF19" si="28">F18+E20</f>
        <v>569520092.20253372</v>
      </c>
      <c r="G19" s="9">
        <f t="shared" si="28"/>
        <v>630448257.13089788</v>
      </c>
      <c r="H19" s="9">
        <f t="shared" si="28"/>
        <v>693371431.98610258</v>
      </c>
      <c r="I19" s="9">
        <f t="shared" si="28"/>
        <v>758354906.96257877</v>
      </c>
      <c r="J19" s="9">
        <f t="shared" si="28"/>
        <v>825466107.9370364</v>
      </c>
      <c r="K19" s="9">
        <f t="shared" si="28"/>
        <v>894774666.29497027</v>
      </c>
      <c r="L19" s="9">
        <f t="shared" si="28"/>
        <v>966352491.03912485</v>
      </c>
      <c r="M19" s="9">
        <f t="shared" si="28"/>
        <v>1040273843.2544597</v>
      </c>
      <c r="N19" s="9">
        <f t="shared" si="28"/>
        <v>1116615413.0065928</v>
      </c>
      <c r="O19" s="9">
        <f t="shared" si="28"/>
        <v>1195456398.7532101</v>
      </c>
      <c r="P19" s="9">
        <f t="shared" si="28"/>
        <v>1276878589.3505328</v>
      </c>
      <c r="Q19" s="9">
        <f t="shared" si="28"/>
        <v>1360966448.7396014</v>
      </c>
      <c r="R19" s="9">
        <f t="shared" si="28"/>
        <v>1447807203.3999159</v>
      </c>
      <c r="S19" s="9">
        <f t="shared" si="28"/>
        <v>1537490932.6608219</v>
      </c>
      <c r="T19" s="9">
        <f t="shared" si="28"/>
        <v>1630110661.963985</v>
      </c>
      <c r="U19" s="9">
        <f t="shared" si="28"/>
        <v>1725762459.1733463</v>
      </c>
      <c r="V19" s="9">
        <f t="shared" si="28"/>
        <v>1824545534.0320959</v>
      </c>
      <c r="W19" s="9">
        <f t="shared" si="28"/>
        <v>1926562340.869453</v>
      </c>
      <c r="X19" s="9">
        <f t="shared" si="28"/>
        <v>2031918684.6633921</v>
      </c>
      <c r="Y19" s="9">
        <f t="shared" si="28"/>
        <v>2140723830.5689337</v>
      </c>
      <c r="Z19" s="9">
        <f t="shared" si="28"/>
        <v>2253090617.0251751</v>
      </c>
      <c r="AA19" s="9">
        <f t="shared" si="28"/>
        <v>2369135572.5579543</v>
      </c>
      <c r="AB19" s="9">
        <f t="shared" si="28"/>
        <v>2488979036.398838</v>
      </c>
      <c r="AC19" s="9">
        <f t="shared" si="28"/>
        <v>2612745283.0450797</v>
      </c>
      <c r="AD19" s="9">
        <f t="shared" si="28"/>
        <v>2740562650.8892488</v>
      </c>
      <c r="AE19" s="9">
        <f t="shared" si="28"/>
        <v>2872563675.0514469</v>
      </c>
      <c r="AF19" s="9">
        <f t="shared" si="28"/>
        <v>3008885224.5513563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387139206.69248271</v>
      </c>
      <c r="D20" s="9">
        <f>D19-D8-D9</f>
        <v>440815287.99912483</v>
      </c>
      <c r="E20" s="9">
        <f t="shared" ref="E20:AF20" si="29">E19-E8-E9</f>
        <v>496209003.90757948</v>
      </c>
      <c r="F20" s="9">
        <f t="shared" si="29"/>
        <v>553375318.72510457</v>
      </c>
      <c r="G20" s="9">
        <f t="shared" si="29"/>
        <v>612370955.61679065</v>
      </c>
      <c r="H20" s="9">
        <f t="shared" si="29"/>
        <v>673254452.88901055</v>
      </c>
      <c r="I20" s="9">
        <f t="shared" si="29"/>
        <v>736086222.07394159</v>
      </c>
      <c r="J20" s="9">
        <f t="shared" si="29"/>
        <v>800928607.87279046</v>
      </c>
      <c r="K20" s="9">
        <f t="shared" si="29"/>
        <v>867845950.0172025</v>
      </c>
      <c r="L20" s="9">
        <f t="shared" si="29"/>
        <v>936904647.11023569</v>
      </c>
      <c r="M20" s="9">
        <f t="shared" si="29"/>
        <v>1008173222.5102459</v>
      </c>
      <c r="N20" s="9">
        <f t="shared" si="29"/>
        <v>1081722392.3230565</v>
      </c>
      <c r="O20" s="9">
        <f t="shared" si="29"/>
        <v>1157625135.5698771</v>
      </c>
      <c r="P20" s="9">
        <f t="shared" si="29"/>
        <v>1235956766.600596</v>
      </c>
      <c r="Q20" s="9">
        <f t="shared" si="29"/>
        <v>1316795009.8242977</v>
      </c>
      <c r="R20" s="9">
        <f t="shared" si="29"/>
        <v>1400220076.8311579</v>
      </c>
      <c r="S20" s="9">
        <f t="shared" si="29"/>
        <v>1486314745.9822378</v>
      </c>
      <c r="T20" s="9">
        <f t="shared" si="29"/>
        <v>1575164444.5461521</v>
      </c>
      <c r="U20" s="9">
        <f t="shared" si="29"/>
        <v>1666857333.4641116</v>
      </c>
      <c r="V20" s="9">
        <f t="shared" si="29"/>
        <v>1761484394.827446</v>
      </c>
      <c r="W20" s="9">
        <f t="shared" si="29"/>
        <v>1859139522.1544068</v>
      </c>
      <c r="X20" s="9">
        <f t="shared" si="29"/>
        <v>1959919613.5558305</v>
      </c>
      <c r="Y20" s="9">
        <f t="shared" si="29"/>
        <v>2063924667.8820996</v>
      </c>
      <c r="Z20" s="9">
        <f t="shared" si="29"/>
        <v>2171257883.9468093</v>
      </c>
      <c r="AA20" s="9">
        <f t="shared" si="29"/>
        <v>2282025762.92559</v>
      </c>
      <c r="AB20" s="9">
        <f t="shared" si="29"/>
        <v>2396338214.031692</v>
      </c>
      <c r="AC20" s="9">
        <f t="shared" si="29"/>
        <v>2514308663.5731888</v>
      </c>
      <c r="AD20" s="9">
        <f t="shared" si="29"/>
        <v>2636054167.5000134</v>
      </c>
      <c r="AE20" s="9">
        <f t="shared" si="29"/>
        <v>2761695527.5524969</v>
      </c>
      <c r="AF20" s="9">
        <f t="shared" si="29"/>
        <v>2891357411.1266594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79294000</v>
      </c>
      <c r="D22" s="9">
        <f ca="1">'Balance Sheet'!C11</f>
        <v>122564705.28881082</v>
      </c>
      <c r="E22" s="9">
        <f ca="1">'Balance Sheet'!D11</f>
        <v>160567353.32217306</v>
      </c>
      <c r="F22" s="9">
        <f ca="1">'Balance Sheet'!E11</f>
        <v>189561641.41832179</v>
      </c>
      <c r="G22" s="9">
        <f ca="1">'Balance Sheet'!F11</f>
        <v>214842750.97902262</v>
      </c>
      <c r="H22" s="9">
        <f ca="1">'Balance Sheet'!G11</f>
        <v>237240021.55228382</v>
      </c>
      <c r="I22" s="9">
        <f ca="1">'Balance Sheet'!H11</f>
        <v>257440735.61730283</v>
      </c>
      <c r="J22" s="9">
        <f ca="1">'Balance Sheet'!I11</f>
        <v>276615178.47805309</v>
      </c>
      <c r="K22" s="9">
        <f ca="1">'Balance Sheet'!J11</f>
        <v>295354553.66979772</v>
      </c>
      <c r="L22" s="9">
        <f ca="1">'Balance Sheet'!K11</f>
        <v>313316250.76022428</v>
      </c>
      <c r="M22" s="9">
        <f ca="1">'Balance Sheet'!L11</f>
        <v>331356993.80980313</v>
      </c>
      <c r="N22" s="9">
        <f ca="1">'Balance Sheet'!M11</f>
        <v>350585056.27213407</v>
      </c>
      <c r="O22" s="9">
        <f ca="1">'Balance Sheet'!N11</f>
        <v>370956925.50680709</v>
      </c>
      <c r="P22" s="9">
        <f ca="1">'Balance Sheet'!O11</f>
        <v>392416525.35767514</v>
      </c>
      <c r="Q22" s="9">
        <f ca="1">'Balance Sheet'!P11</f>
        <v>414893897.38643837</v>
      </c>
      <c r="R22" s="9">
        <f ca="1">'Balance Sheet'!Q11</f>
        <v>438303776.77153826</v>
      </c>
      <c r="S22" s="9">
        <f ca="1">'Balance Sheet'!R11</f>
        <v>462544055.50430852</v>
      </c>
      <c r="T22" s="9">
        <f ca="1">'Balance Sheet'!S11</f>
        <v>487494125.03690833</v>
      </c>
      <c r="U22" s="9">
        <f ca="1">'Balance Sheet'!T11</f>
        <v>513013090.02965337</v>
      </c>
      <c r="V22" s="9">
        <f ca="1">'Balance Sheet'!U11</f>
        <v>538937844.30719495</v>
      </c>
      <c r="W22" s="9">
        <f ca="1">'Balance Sheet'!V11</f>
        <v>565080999.56170857</v>
      </c>
      <c r="X22" s="9">
        <f ca="1">'Balance Sheet'!W11</f>
        <v>591228656.734864</v>
      </c>
      <c r="Y22" s="9">
        <f ca="1">'Balance Sheet'!X11</f>
        <v>617138009.36676264</v>
      </c>
      <c r="Z22" s="9">
        <f ca="1">'Balance Sheet'!Y11</f>
        <v>645093574.27301598</v>
      </c>
      <c r="AA22" s="9">
        <f ca="1">'Balance Sheet'!Z11</f>
        <v>675140539.55373406</v>
      </c>
      <c r="AB22" s="9">
        <f ca="1">'Balance Sheet'!AA11</f>
        <v>707319719.20284867</v>
      </c>
      <c r="AC22" s="9">
        <f ca="1">'Balance Sheet'!AB11</f>
        <v>741666924.05175602</v>
      </c>
      <c r="AD22" s="9">
        <f ca="1">'Balance Sheet'!AC11</f>
        <v>778212281.03152049</v>
      </c>
      <c r="AE22" s="9">
        <f ca="1">'Balance Sheet'!AD11</f>
        <v>818581177.44514525</v>
      </c>
      <c r="AF22" s="9">
        <f ca="1">'Balance Sheet'!AE11</f>
        <v>862987359.24332035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307845206.69248271</v>
      </c>
      <c r="D23" s="9">
        <f t="shared" ref="D23:AF23" ca="1" si="30">D20-D22</f>
        <v>318250582.71031404</v>
      </c>
      <c r="E23" s="9">
        <f t="shared" ca="1" si="30"/>
        <v>335641650.58540642</v>
      </c>
      <c r="F23" s="9">
        <f t="shared" ca="1" si="30"/>
        <v>363813677.30678278</v>
      </c>
      <c r="G23" s="9">
        <f t="shared" ca="1" si="30"/>
        <v>397528204.63776803</v>
      </c>
      <c r="H23" s="9">
        <f t="shared" ca="1" si="30"/>
        <v>436014431.33672673</v>
      </c>
      <c r="I23" s="9">
        <f t="shared" ca="1" si="30"/>
        <v>478645486.45663875</v>
      </c>
      <c r="J23" s="9">
        <f ca="1">J20-J22</f>
        <v>524313429.39473736</v>
      </c>
      <c r="K23" s="9">
        <f t="shared" ca="1" si="30"/>
        <v>572491396.34740472</v>
      </c>
      <c r="L23" s="9">
        <f t="shared" ca="1" si="30"/>
        <v>623588396.35001135</v>
      </c>
      <c r="M23" s="9">
        <f t="shared" ca="1" si="30"/>
        <v>676816228.70044279</v>
      </c>
      <c r="N23" s="9">
        <f t="shared" ca="1" si="30"/>
        <v>731137336.05092239</v>
      </c>
      <c r="O23" s="9">
        <f t="shared" ca="1" si="30"/>
        <v>786668210.06307006</v>
      </c>
      <c r="P23" s="9">
        <f t="shared" ca="1" si="30"/>
        <v>843540241.24292088</v>
      </c>
      <c r="Q23" s="9">
        <f t="shared" ca="1" si="30"/>
        <v>901901112.4378593</v>
      </c>
      <c r="R23" s="9">
        <f t="shared" ca="1" si="30"/>
        <v>961916300.05961967</v>
      </c>
      <c r="S23" s="9">
        <f t="shared" ca="1" si="30"/>
        <v>1023770690.4779294</v>
      </c>
      <c r="T23" s="9">
        <f t="shared" ca="1" si="30"/>
        <v>1087670319.5092437</v>
      </c>
      <c r="U23" s="9">
        <f t="shared" ca="1" si="30"/>
        <v>1153844243.4344583</v>
      </c>
      <c r="V23" s="9">
        <f t="shared" ca="1" si="30"/>
        <v>1222546550.520251</v>
      </c>
      <c r="W23" s="9">
        <f t="shared" ca="1" si="30"/>
        <v>1294058522.5926981</v>
      </c>
      <c r="X23" s="9">
        <f t="shared" ca="1" si="30"/>
        <v>1368690956.8209665</v>
      </c>
      <c r="Y23" s="9">
        <f t="shared" ca="1" si="30"/>
        <v>1446786658.515337</v>
      </c>
      <c r="Z23" s="9">
        <f t="shared" ca="1" si="30"/>
        <v>1526164309.6737933</v>
      </c>
      <c r="AA23" s="9">
        <f t="shared" ca="1" si="30"/>
        <v>1606885223.371856</v>
      </c>
      <c r="AB23" s="9">
        <f t="shared" ca="1" si="30"/>
        <v>1689018494.8288434</v>
      </c>
      <c r="AC23" s="9">
        <f t="shared" ca="1" si="30"/>
        <v>1772641739.5214329</v>
      </c>
      <c r="AD23" s="9">
        <f t="shared" ca="1" si="30"/>
        <v>1857841886.468493</v>
      </c>
      <c r="AE23" s="9">
        <f t="shared" ca="1" si="30"/>
        <v>1943114350.1073518</v>
      </c>
      <c r="AF23" s="9">
        <f t="shared" ca="1" si="30"/>
        <v>2028370051.8833389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79294000</v>
      </c>
      <c r="D5" s="1">
        <f ca="1">C5+C6</f>
        <v>122564705.28881082</v>
      </c>
      <c r="E5" s="1">
        <f t="shared" ref="E5:AF5" ca="1" si="1">D5+D6</f>
        <v>160567353.32217306</v>
      </c>
      <c r="F5" s="1">
        <f t="shared" ca="1" si="1"/>
        <v>189561641.41832179</v>
      </c>
      <c r="G5" s="1">
        <f t="shared" ca="1" si="1"/>
        <v>214842750.97902262</v>
      </c>
      <c r="H5" s="1">
        <f t="shared" ca="1" si="1"/>
        <v>237240021.55228382</v>
      </c>
      <c r="I5" s="1">
        <f t="shared" ca="1" si="1"/>
        <v>257440735.61730283</v>
      </c>
      <c r="J5" s="1">
        <f t="shared" ca="1" si="1"/>
        <v>276615178.47805309</v>
      </c>
      <c r="K5" s="1">
        <f t="shared" ca="1" si="1"/>
        <v>295354553.66979772</v>
      </c>
      <c r="L5" s="1">
        <f t="shared" ca="1" si="1"/>
        <v>313316250.76022428</v>
      </c>
      <c r="M5" s="1">
        <f t="shared" ca="1" si="1"/>
        <v>331356993.80980313</v>
      </c>
      <c r="N5" s="1">
        <f t="shared" ca="1" si="1"/>
        <v>350585056.27213407</v>
      </c>
      <c r="O5" s="1">
        <f t="shared" ca="1" si="1"/>
        <v>370956925.50680709</v>
      </c>
      <c r="P5" s="1">
        <f t="shared" ca="1" si="1"/>
        <v>392416525.35767514</v>
      </c>
      <c r="Q5" s="1">
        <f t="shared" ca="1" si="1"/>
        <v>414893897.38643837</v>
      </c>
      <c r="R5" s="1">
        <f t="shared" ca="1" si="1"/>
        <v>438303776.77153826</v>
      </c>
      <c r="S5" s="1">
        <f t="shared" ca="1" si="1"/>
        <v>462544055.50430852</v>
      </c>
      <c r="T5" s="1">
        <f t="shared" ca="1" si="1"/>
        <v>487494125.03690833</v>
      </c>
      <c r="U5" s="1">
        <f t="shared" ca="1" si="1"/>
        <v>513013090.02965337</v>
      </c>
      <c r="V5" s="1">
        <f t="shared" ca="1" si="1"/>
        <v>538937844.30719495</v>
      </c>
      <c r="W5" s="1">
        <f t="shared" ca="1" si="1"/>
        <v>565080999.56170857</v>
      </c>
      <c r="X5" s="1">
        <f t="shared" ca="1" si="1"/>
        <v>591228656.734864</v>
      </c>
      <c r="Y5" s="1">
        <f t="shared" ca="1" si="1"/>
        <v>617138009.36676264</v>
      </c>
      <c r="Z5" s="1">
        <f t="shared" ca="1" si="1"/>
        <v>645093574.27301598</v>
      </c>
      <c r="AA5" s="1">
        <f t="shared" ca="1" si="1"/>
        <v>675140539.55373406</v>
      </c>
      <c r="AB5" s="1">
        <f t="shared" ca="1" si="1"/>
        <v>707319719.20284867</v>
      </c>
      <c r="AC5" s="1">
        <f t="shared" ca="1" si="1"/>
        <v>741666924.05175602</v>
      </c>
      <c r="AD5" s="1">
        <f t="shared" ca="1" si="1"/>
        <v>778212281.03152049</v>
      </c>
      <c r="AE5" s="1">
        <f t="shared" ca="1" si="1"/>
        <v>818581177.44514525</v>
      </c>
      <c r="AF5" s="1">
        <f t="shared" ca="1" si="1"/>
        <v>862987359.24332035</v>
      </c>
      <c r="AG5" s="1"/>
      <c r="AH5" s="1"/>
      <c r="AI5" s="1"/>
      <c r="AJ5" s="1"/>
      <c r="AK5" s="1"/>
      <c r="AL5" s="1"/>
      <c r="AM5" s="1"/>
      <c r="AN5" s="1"/>
      <c r="AO5" s="1"/>
      <c r="AP5" s="1"/>
    </row>
    <row r="6" spans="1:42" x14ac:dyDescent="0.35">
      <c r="A6" s="63" t="s">
        <v>3</v>
      </c>
      <c r="C6" s="1">
        <f ca="1">-'Cash Flow'!C13</f>
        <v>43270705.288810812</v>
      </c>
      <c r="D6" s="1">
        <f ca="1">-'Cash Flow'!D13</f>
        <v>38002648.033362225</v>
      </c>
      <c r="E6" s="1">
        <f ca="1">-'Cash Flow'!E13</f>
        <v>28994288.096148722</v>
      </c>
      <c r="F6" s="1">
        <f ca="1">-'Cash Flow'!F13</f>
        <v>25281109.560700834</v>
      </c>
      <c r="G6" s="1">
        <f ca="1">-'Cash Flow'!G13</f>
        <v>22397270.573261186</v>
      </c>
      <c r="H6" s="1">
        <f ca="1">-'Cash Flow'!H13</f>
        <v>20200714.065019004</v>
      </c>
      <c r="I6" s="1">
        <f ca="1">-'Cash Flow'!I13</f>
        <v>19174442.860750258</v>
      </c>
      <c r="J6" s="1">
        <f ca="1">-'Cash Flow'!J13</f>
        <v>18739375.191744611</v>
      </c>
      <c r="K6" s="1">
        <f ca="1">-'Cash Flow'!K13</f>
        <v>17961697.090426579</v>
      </c>
      <c r="L6" s="1">
        <f ca="1">-'Cash Flow'!L13</f>
        <v>18040743.049578816</v>
      </c>
      <c r="M6" s="1">
        <f ca="1">-'Cash Flow'!M13</f>
        <v>19228062.462330937</v>
      </c>
      <c r="N6" s="1">
        <f ca="1">-'Cash Flow'!N13</f>
        <v>20371869.234673053</v>
      </c>
      <c r="O6" s="1">
        <f ca="1">-'Cash Flow'!O13</f>
        <v>21459599.850868061</v>
      </c>
      <c r="P6" s="1">
        <f ca="1">-'Cash Flow'!P13</f>
        <v>22477372.02876322</v>
      </c>
      <c r="Q6" s="1">
        <f ca="1">-'Cash Flow'!Q13</f>
        <v>23409879.385099873</v>
      </c>
      <c r="R6" s="1">
        <f ca="1">-'Cash Flow'!R13</f>
        <v>24240278.732770279</v>
      </c>
      <c r="S6" s="1">
        <f ca="1">-'Cash Flow'!S13</f>
        <v>24950069.532599822</v>
      </c>
      <c r="T6" s="1">
        <f ca="1">-'Cash Flow'!T13</f>
        <v>25518964.992745042</v>
      </c>
      <c r="U6" s="1">
        <f ca="1">-'Cash Flow'!U13</f>
        <v>25924754.277541593</v>
      </c>
      <c r="V6" s="1">
        <f ca="1">-'Cash Flow'!V13</f>
        <v>26143155.254513666</v>
      </c>
      <c r="W6" s="1">
        <f ca="1">-'Cash Flow'!W13</f>
        <v>26147657.173155427</v>
      </c>
      <c r="X6" s="1">
        <f ca="1">-'Cash Flow'!X13</f>
        <v>25909352.631898642</v>
      </c>
      <c r="Y6" s="1">
        <f ca="1">-'Cash Flow'!Y13</f>
        <v>27955564.906253338</v>
      </c>
      <c r="Z6" s="1">
        <f ca="1">-'Cash Flow'!Z13</f>
        <v>30046965.280718118</v>
      </c>
      <c r="AA6" s="1">
        <f ca="1">-'Cash Flow'!AA13</f>
        <v>32179179.649114549</v>
      </c>
      <c r="AB6" s="1">
        <f ca="1">-'Cash Flow'!AB13</f>
        <v>34347204.848907322</v>
      </c>
      <c r="AC6" s="1">
        <f ca="1">-'Cash Flow'!AC13</f>
        <v>36545356.979764432</v>
      </c>
      <c r="AD6" s="1">
        <f ca="1">-'Cash Flow'!AD13</f>
        <v>40368896.413624793</v>
      </c>
      <c r="AE6" s="1">
        <f ca="1">-'Cash Flow'!AE13</f>
        <v>44406181.798175126</v>
      </c>
      <c r="AF6" s="1">
        <f ca="1">-'Cash Flow'!AF13</f>
        <v>48665373.883602202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4289764.6851083795</v>
      </c>
      <c r="D8" s="1">
        <f ca="1">IF(SUM(D5:D6)&gt;0,Assumptions!$C$26*SUM(D5:D6),Assumptions!$C$27*(SUM(D5:D6)))</f>
        <v>5619857.3662760574</v>
      </c>
      <c r="E8" s="1">
        <f ca="1">IF(SUM(E5:E6)&gt;0,Assumptions!$C$26*SUM(E5:E6),Assumptions!$C$27*(SUM(E5:E6)))</f>
        <v>6634657.4496412631</v>
      </c>
      <c r="F8" s="1">
        <f ca="1">IF(SUM(F5:F6)&gt;0,Assumptions!$C$26*SUM(F5:F6),Assumptions!$C$27*(SUM(F5:F6)))</f>
        <v>7519496.2842657929</v>
      </c>
      <c r="G8" s="1">
        <f ca="1">IF(SUM(G5:G6)&gt;0,Assumptions!$C$26*SUM(G5:G6),Assumptions!$C$27*(SUM(G5:G6)))</f>
        <v>8303400.7543299347</v>
      </c>
      <c r="H8" s="1">
        <f ca="1">IF(SUM(H5:H6)&gt;0,Assumptions!$C$26*SUM(H5:H6),Assumptions!$C$27*(SUM(H5:H6)))</f>
        <v>9010425.7466055993</v>
      </c>
      <c r="I8" s="1">
        <f ca="1">IF(SUM(I5:I6)&gt;0,Assumptions!$C$26*SUM(I5:I6),Assumptions!$C$27*(SUM(I5:I6)))</f>
        <v>9681531.2467318587</v>
      </c>
      <c r="J8" s="1">
        <f ca="1">IF(SUM(J5:J6)&gt;0,Assumptions!$C$26*SUM(J5:J6),Assumptions!$C$27*(SUM(J5:J6)))</f>
        <v>10337409.378442921</v>
      </c>
      <c r="K8" s="1">
        <f ca="1">IF(SUM(K5:K6)&gt;0,Assumptions!$C$26*SUM(K5:K6),Assumptions!$C$27*(SUM(K5:K6)))</f>
        <v>10966068.776607851</v>
      </c>
      <c r="L8" s="1">
        <f ca="1">IF(SUM(L5:L6)&gt;0,Assumptions!$C$26*SUM(L5:L6),Assumptions!$C$27*(SUM(L5:L6)))</f>
        <v>11597494.78334311</v>
      </c>
      <c r="M8" s="1">
        <f ca="1">IF(SUM(M5:M6)&gt;0,Assumptions!$C$26*SUM(M5:M6),Assumptions!$C$27*(SUM(M5:M6)))</f>
        <v>12270476.969524693</v>
      </c>
      <c r="N8" s="1">
        <f ca="1">IF(SUM(N5:N6)&gt;0,Assumptions!$C$26*SUM(N5:N6),Assumptions!$C$27*(SUM(N5:N6)))</f>
        <v>12983492.392738249</v>
      </c>
      <c r="O8" s="1">
        <f ca="1">IF(SUM(O5:O6)&gt;0,Assumptions!$C$26*SUM(O5:O6),Assumptions!$C$27*(SUM(O5:O6)))</f>
        <v>13734578.387518631</v>
      </c>
      <c r="P8" s="1">
        <f ca="1">IF(SUM(P5:P6)&gt;0,Assumptions!$C$26*SUM(P5:P6),Assumptions!$C$27*(SUM(P5:P6)))</f>
        <v>14521286.408525344</v>
      </c>
      <c r="Q8" s="1">
        <f ca="1">IF(SUM(Q5:Q6)&gt;0,Assumptions!$C$26*SUM(Q5:Q6),Assumptions!$C$27*(SUM(Q5:Q6)))</f>
        <v>15340632.18700384</v>
      </c>
      <c r="R8" s="1">
        <f ca="1">IF(SUM(R5:R6)&gt;0,Assumptions!$C$26*SUM(R5:R6),Assumptions!$C$27*(SUM(R5:R6)))</f>
        <v>16189041.942650801</v>
      </c>
      <c r="S8" s="1">
        <f ca="1">IF(SUM(S5:S6)&gt;0,Assumptions!$C$26*SUM(S5:S6),Assumptions!$C$27*(SUM(S5:S6)))</f>
        <v>17062294.376291793</v>
      </c>
      <c r="T8" s="1">
        <f ca="1">IF(SUM(T5:T6)&gt;0,Assumptions!$C$26*SUM(T5:T6),Assumptions!$C$27*(SUM(T5:T6)))</f>
        <v>17955458.151037868</v>
      </c>
      <c r="U8" s="1">
        <f ca="1">IF(SUM(U5:U6)&gt;0,Assumptions!$C$26*SUM(U5:U6),Assumptions!$C$27*(SUM(U5:U6)))</f>
        <v>18862824.550751824</v>
      </c>
      <c r="V8" s="1">
        <f ca="1">IF(SUM(V5:V6)&gt;0,Assumptions!$C$26*SUM(V5:V6),Assumptions!$C$27*(SUM(V5:V6)))</f>
        <v>19777834.984659802</v>
      </c>
      <c r="W8" s="1">
        <f ca="1">IF(SUM(W5:W6)&gt;0,Assumptions!$C$26*SUM(W5:W6),Assumptions!$C$27*(SUM(W5:W6)))</f>
        <v>20693002.985720243</v>
      </c>
      <c r="X8" s="1">
        <f ca="1">IF(SUM(X5:X6)&gt;0,Assumptions!$C$26*SUM(X5:X6),Assumptions!$C$27*(SUM(X5:X6)))</f>
        <v>21599830.327836696</v>
      </c>
      <c r="Y8" s="1">
        <f ca="1">IF(SUM(Y5:Y6)&gt;0,Assumptions!$C$26*SUM(Y5:Y6),Assumptions!$C$27*(SUM(Y5:Y6)))</f>
        <v>22578275.099555559</v>
      </c>
      <c r="Z8" s="1">
        <f ca="1">IF(SUM(Z5:Z6)&gt;0,Assumptions!$C$26*SUM(Z5:Z6),Assumptions!$C$27*(SUM(Z5:Z6)))</f>
        <v>23629918.884380694</v>
      </c>
      <c r="AA8" s="1">
        <f ca="1">IF(SUM(AA5:AA6)&gt;0,Assumptions!$C$26*SUM(AA5:AA6),Assumptions!$C$27*(SUM(AA5:AA6)))</f>
        <v>24756190.172099706</v>
      </c>
      <c r="AB8" s="1">
        <f ca="1">IF(SUM(AB5:AB6)&gt;0,Assumptions!$C$26*SUM(AB5:AB6),Assumptions!$C$27*(SUM(AB5:AB6)))</f>
        <v>25958342.341811463</v>
      </c>
      <c r="AC8" s="1">
        <f ca="1">IF(SUM(AC5:AC6)&gt;0,Assumptions!$C$26*SUM(AC5:AC6),Assumptions!$C$27*(SUM(AC5:AC6)))</f>
        <v>27237429.83610322</v>
      </c>
      <c r="AD8" s="1">
        <f ca="1">IF(SUM(AD5:AD6)&gt;0,Assumptions!$C$26*SUM(AD5:AD6),Assumptions!$C$27*(SUM(AD5:AD6)))</f>
        <v>28650341.210580088</v>
      </c>
      <c r="AE8" s="1">
        <f ca="1">IF(SUM(AE5:AE6)&gt;0,Assumptions!$C$26*SUM(AE5:AE6),Assumptions!$C$27*(SUM(AE5:AE6)))</f>
        <v>30204557.573516216</v>
      </c>
      <c r="AF8" s="1">
        <f ca="1">IF(SUM(AF5:AF6)&gt;0,Assumptions!$C$26*SUM(AF5:AF6),Assumptions!$C$27*(SUM(AF5:AF6)))</f>
        <v>31907845.659442294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55" zoomScaleNormal="55" workbookViewId="0">
      <selection sqref="A1:XFD1048576"/>
    </sheetView>
  </sheetViews>
  <sheetFormatPr defaultRowHeight="15.5" x14ac:dyDescent="0.35"/>
  <cols>
    <col min="1" max="1" width="107.9140625" style="63" customWidth="1"/>
    <col min="2" max="2" width="18.1640625" style="63" bestFit="1" customWidth="1"/>
    <col min="3" max="3" width="58.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96</v>
      </c>
      <c r="B7" s="91">
        <f>Assumptions!C24</f>
        <v>28459000</v>
      </c>
      <c r="C7" s="180" t="str">
        <f>Assumptions!B24</f>
        <v>RFI Table F10; Lines F10.62 + F10.70</v>
      </c>
    </row>
    <row r="8" spans="1:3" ht="34" x14ac:dyDescent="0.45">
      <c r="A8" s="90" t="s">
        <v>174</v>
      </c>
      <c r="B8" s="92">
        <f>Assumptions!$C$133</f>
        <v>0.7</v>
      </c>
      <c r="C8" s="180" t="s">
        <v>198</v>
      </c>
    </row>
    <row r="9" spans="1:3" ht="18.5" x14ac:dyDescent="0.45">
      <c r="A9" s="90"/>
      <c r="B9" s="93"/>
      <c r="C9" s="180"/>
    </row>
    <row r="10" spans="1:3" ht="68" x14ac:dyDescent="0.45">
      <c r="A10" s="94" t="s">
        <v>102</v>
      </c>
      <c r="B10" s="95">
        <f>Assumptions!C135</f>
        <v>14249.111111111109</v>
      </c>
      <c r="C10" s="180" t="s">
        <v>199</v>
      </c>
    </row>
    <row r="11" spans="1:3" ht="18.5" x14ac:dyDescent="0.45">
      <c r="A11" s="94"/>
      <c r="B11" s="94"/>
      <c r="C11" s="180"/>
    </row>
    <row r="12" spans="1:3" ht="18.5" x14ac:dyDescent="0.45">
      <c r="A12" s="94" t="s">
        <v>183</v>
      </c>
      <c r="B12" s="91">
        <f>(B7*B8)/B10</f>
        <v>1398.0731741551131</v>
      </c>
      <c r="C12" s="180"/>
    </row>
    <row r="13" spans="1:3" ht="18.5" x14ac:dyDescent="0.45">
      <c r="A13" s="96"/>
      <c r="B13" s="97"/>
      <c r="C13" s="180"/>
    </row>
    <row r="14" spans="1:3" ht="18.5" x14ac:dyDescent="0.45">
      <c r="A14" s="94" t="s">
        <v>103</v>
      </c>
      <c r="B14" s="98">
        <v>1</v>
      </c>
      <c r="C14" s="180"/>
    </row>
    <row r="15" spans="1:3" ht="18.5" x14ac:dyDescent="0.45">
      <c r="A15" s="96"/>
      <c r="B15" s="99"/>
      <c r="C15" s="180"/>
    </row>
    <row r="16" spans="1:3" ht="18.5" x14ac:dyDescent="0.45">
      <c r="A16" s="96" t="s">
        <v>178</v>
      </c>
      <c r="B16" s="100">
        <f>B12/B14</f>
        <v>1398.0731741551131</v>
      </c>
      <c r="C16" s="180"/>
    </row>
    <row r="17" spans="1:3" ht="18.5" x14ac:dyDescent="0.45">
      <c r="A17" s="94"/>
      <c r="B17" s="101"/>
      <c r="C17" s="180"/>
    </row>
    <row r="18" spans="1:3" ht="18.5" x14ac:dyDescent="0.45">
      <c r="A18" s="102" t="s">
        <v>177</v>
      </c>
      <c r="B18" s="101"/>
      <c r="C18" s="180"/>
    </row>
    <row r="19" spans="1:3" ht="18.5" x14ac:dyDescent="0.45">
      <c r="A19" s="94"/>
      <c r="B19" s="101"/>
      <c r="C19" s="180"/>
    </row>
    <row r="20" spans="1:3" ht="34" x14ac:dyDescent="0.45">
      <c r="A20" s="94" t="s">
        <v>65</v>
      </c>
      <c r="B20" s="91">
        <f>'Profit and Loss'!L5</f>
        <v>127658295.62319946</v>
      </c>
      <c r="C20" s="180" t="s">
        <v>200</v>
      </c>
    </row>
    <row r="21" spans="1:3" ht="34" x14ac:dyDescent="0.45">
      <c r="A21" s="94" t="str">
        <f>A8</f>
        <v>Assumed revenue from households</v>
      </c>
      <c r="B21" s="92">
        <f>B8</f>
        <v>0.7</v>
      </c>
      <c r="C21" s="180" t="s">
        <v>198</v>
      </c>
    </row>
    <row r="22" spans="1:3" ht="18.5" x14ac:dyDescent="0.45">
      <c r="A22" s="94"/>
      <c r="B22" s="94"/>
      <c r="C22" s="180"/>
    </row>
    <row r="23" spans="1:3" ht="34" x14ac:dyDescent="0.45">
      <c r="A23" s="94" t="s">
        <v>101</v>
      </c>
      <c r="B23" s="95">
        <f>Assumptions!M135</f>
        <v>15086.586312372168</v>
      </c>
      <c r="C23" s="180" t="s">
        <v>201</v>
      </c>
    </row>
    <row r="24" spans="1:3" ht="18.5" x14ac:dyDescent="0.45">
      <c r="A24" s="94"/>
      <c r="B24" s="94"/>
      <c r="C24" s="180"/>
    </row>
    <row r="25" spans="1:3" ht="18.5" x14ac:dyDescent="0.45">
      <c r="A25" s="94" t="s">
        <v>182</v>
      </c>
      <c r="B25" s="91">
        <f>(B20*B21)/B23</f>
        <v>5923.1959494346866</v>
      </c>
      <c r="C25" s="180"/>
    </row>
    <row r="26" spans="1:3" ht="18.5" x14ac:dyDescent="0.45">
      <c r="A26" s="94"/>
      <c r="B26" s="91"/>
      <c r="C26" s="180"/>
    </row>
    <row r="27" spans="1:3" ht="34" x14ac:dyDescent="0.45">
      <c r="A27" s="94" t="s">
        <v>103</v>
      </c>
      <c r="B27" s="103">
        <f>1.022^11</f>
        <v>1.2704566586717592</v>
      </c>
      <c r="C27" s="180" t="s">
        <v>202</v>
      </c>
    </row>
    <row r="28" spans="1:3" ht="18.5" x14ac:dyDescent="0.45">
      <c r="A28" s="96"/>
      <c r="B28" s="97"/>
      <c r="C28" s="180"/>
    </row>
    <row r="29" spans="1:3" ht="18.5" x14ac:dyDescent="0.45">
      <c r="A29" s="96" t="s">
        <v>179</v>
      </c>
      <c r="B29" s="91">
        <f>B25/B27</f>
        <v>4662.2573930442359</v>
      </c>
      <c r="C29" s="180"/>
    </row>
    <row r="30" spans="1:3" ht="18.5" x14ac:dyDescent="0.45">
      <c r="A30" s="96"/>
      <c r="B30" s="97"/>
      <c r="C30" s="180"/>
    </row>
    <row r="31" spans="1:3" ht="18.5" x14ac:dyDescent="0.45">
      <c r="A31" s="102" t="s">
        <v>185</v>
      </c>
      <c r="B31" s="96"/>
      <c r="C31" s="180"/>
    </row>
    <row r="32" spans="1:3" ht="18.5" x14ac:dyDescent="0.45">
      <c r="A32" s="94"/>
      <c r="B32" s="91"/>
      <c r="C32" s="180"/>
    </row>
    <row r="33" spans="1:3" ht="34" x14ac:dyDescent="0.45">
      <c r="A33" s="94" t="s">
        <v>66</v>
      </c>
      <c r="B33" s="91">
        <f>'Profit and Loss'!AF5</f>
        <v>346668829.45753515</v>
      </c>
      <c r="C33" s="180" t="s">
        <v>200</v>
      </c>
    </row>
    <row r="34" spans="1:3" ht="34" x14ac:dyDescent="0.45">
      <c r="A34" s="94" t="str">
        <f>A21</f>
        <v>Assumed revenue from households</v>
      </c>
      <c r="B34" s="92">
        <f>B21</f>
        <v>0.7</v>
      </c>
      <c r="C34" s="180" t="s">
        <v>198</v>
      </c>
    </row>
    <row r="35" spans="1:3" ht="18.5" x14ac:dyDescent="0.45">
      <c r="A35" s="94"/>
      <c r="B35" s="94"/>
      <c r="C35" s="180"/>
    </row>
    <row r="36" spans="1:3" ht="34" x14ac:dyDescent="0.45">
      <c r="A36" s="94" t="s">
        <v>100</v>
      </c>
      <c r="B36" s="95">
        <f>Assumptions!AG135</f>
        <v>16912.094600920962</v>
      </c>
      <c r="C36" s="180" t="s">
        <v>201</v>
      </c>
    </row>
    <row r="37" spans="1:3" ht="18.5" x14ac:dyDescent="0.45">
      <c r="A37" s="94"/>
      <c r="B37" s="94"/>
      <c r="C37" s="180"/>
    </row>
    <row r="38" spans="1:3" ht="18.5" x14ac:dyDescent="0.45">
      <c r="A38" s="94" t="s">
        <v>181</v>
      </c>
      <c r="B38" s="91">
        <f>(B33*B34)/B36</f>
        <v>14348.795128372796</v>
      </c>
      <c r="C38" s="180"/>
    </row>
    <row r="39" spans="1:3" ht="18.5" x14ac:dyDescent="0.45">
      <c r="A39" s="94"/>
      <c r="B39" s="94"/>
      <c r="C39" s="180"/>
    </row>
    <row r="40" spans="1:3" ht="34" x14ac:dyDescent="0.45">
      <c r="A40" s="94" t="s">
        <v>103</v>
      </c>
      <c r="B40" s="103">
        <f>1.022^31</f>
        <v>1.9632597808456462</v>
      </c>
      <c r="C40" s="180" t="s">
        <v>202</v>
      </c>
    </row>
    <row r="41" spans="1:3" ht="18.5" x14ac:dyDescent="0.45">
      <c r="A41" s="96"/>
      <c r="B41" s="97"/>
    </row>
    <row r="42" spans="1:3" ht="18.5" x14ac:dyDescent="0.45">
      <c r="A42" s="96" t="s">
        <v>180</v>
      </c>
      <c r="B42" s="91">
        <f>B38/B40</f>
        <v>7308.6584202281456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40" zoomScaleNormal="4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4" t="s">
        <v>27</v>
      </c>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5.7274895820256244E-3</v>
      </c>
      <c r="D13" s="128">
        <f t="shared" ref="D13:AG13" si="3">(1+$C$13)^D8</f>
        <v>1.0057274895820256</v>
      </c>
      <c r="E13" s="128">
        <f t="shared" si="3"/>
        <v>1.0114877833009635</v>
      </c>
      <c r="F13" s="128">
        <f t="shared" si="3"/>
        <v>1.0172810690421659</v>
      </c>
      <c r="G13" s="128">
        <f t="shared" si="3"/>
        <v>1.0231075357670969</v>
      </c>
      <c r="H13" s="128">
        <f t="shared" si="3"/>
        <v>1.0289673735194949</v>
      </c>
      <c r="I13" s="128">
        <f t="shared" si="3"/>
        <v>1.034860773431572</v>
      </c>
      <c r="J13" s="128">
        <f t="shared" si="3"/>
        <v>1.0407879277302483</v>
      </c>
      <c r="K13" s="128">
        <f t="shared" si="3"/>
        <v>1.0467490297434214</v>
      </c>
      <c r="L13" s="128">
        <f t="shared" si="3"/>
        <v>1.0527442739062722</v>
      </c>
      <c r="M13" s="128">
        <f t="shared" si="3"/>
        <v>1.0587738557676076</v>
      </c>
      <c r="N13" s="128">
        <f t="shared" si="3"/>
        <v>1.0648379719962375</v>
      </c>
      <c r="O13" s="128">
        <f t="shared" si="3"/>
        <v>1.0709368203873915</v>
      </c>
      <c r="P13" s="128">
        <f t="shared" si="3"/>
        <v>1.0770705998691679</v>
      </c>
      <c r="Q13" s="128">
        <f t="shared" si="3"/>
        <v>1.0832395105090247</v>
      </c>
      <c r="R13" s="128">
        <f t="shared" si="3"/>
        <v>1.0894437535203036</v>
      </c>
      <c r="S13" s="128">
        <f t="shared" si="3"/>
        <v>1.0956835312687943</v>
      </c>
      <c r="T13" s="128">
        <f t="shared" si="3"/>
        <v>1.1019590472793332</v>
      </c>
      <c r="U13" s="128">
        <f t="shared" si="3"/>
        <v>1.1082705062424445</v>
      </c>
      <c r="V13" s="128">
        <f t="shared" si="3"/>
        <v>1.1146181140210143</v>
      </c>
      <c r="W13" s="128">
        <f t="shared" si="3"/>
        <v>1.1210020776570069</v>
      </c>
      <c r="X13" s="128">
        <f t="shared" si="3"/>
        <v>1.1274226053782166</v>
      </c>
      <c r="Y13" s="128">
        <f t="shared" si="3"/>
        <v>1.1338799066050604</v>
      </c>
      <c r="Z13" s="128">
        <f t="shared" si="3"/>
        <v>1.1403741919574091</v>
      </c>
      <c r="AA13" s="128">
        <f t="shared" si="3"/>
        <v>1.1469056732614562</v>
      </c>
      <c r="AB13" s="128">
        <f t="shared" si="3"/>
        <v>1.153474563556627</v>
      </c>
      <c r="AC13" s="128">
        <f t="shared" si="3"/>
        <v>1.1600810771025294</v>
      </c>
      <c r="AD13" s="128">
        <f t="shared" si="3"/>
        <v>1.166725429385939</v>
      </c>
      <c r="AE13" s="128">
        <f t="shared" si="3"/>
        <v>1.1734078371278316</v>
      </c>
      <c r="AF13" s="128">
        <f t="shared" si="3"/>
        <v>1.1801285182904484</v>
      </c>
      <c r="AG13" s="128">
        <f t="shared" si="3"/>
        <v>1.1868876920844083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670255000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335127500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79294000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28459000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12764000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ht="30.5" customHeight="1"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70"/>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70"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70"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70"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70"/>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70"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70"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70"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70"/>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70"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70"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70"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181"/>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182"/>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70"/>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106" t="s">
        <v>134</v>
      </c>
      <c r="C49" s="71">
        <v>614400000.00000012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106" t="s">
        <v>135</v>
      </c>
      <c r="C50" s="71">
        <v>726110000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70"/>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106"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106"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70"/>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183"/>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ht="34.5" customHeight="1" x14ac:dyDescent="0.35">
      <c r="A56" s="69" t="s">
        <v>108</v>
      </c>
      <c r="B56" s="106"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ht="34.5" customHeight="1" x14ac:dyDescent="0.35">
      <c r="A57" s="69" t="s">
        <v>109</v>
      </c>
      <c r="B57" s="106"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70"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1814657.3783125398</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3033080.4346114937</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2423868.9064620165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4946249.4911198271</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7778088.8164096661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6362169.1537647471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9395249.5883762408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79" t="s">
        <v>203</v>
      </c>
      <c r="C77" s="87">
        <v>277251679.06330472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1160428783.386822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1309004294.0960267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1437680462.4501266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1586255973.1593313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196</v>
      </c>
      <c r="C85" s="150">
        <v>41335.199999999997</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35610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38472.6</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37368.944715203201</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41230.797324831998</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1437680462.4501266</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1586255973.1593316</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1511968217.804729</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1511968217.804729</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50398940.593490966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9395249.5883762408</v>
      </c>
      <c r="E111" s="149">
        <f t="shared" si="9"/>
        <v>9395249.5883762408</v>
      </c>
      <c r="F111" s="149">
        <f t="shared" si="9"/>
        <v>9395249.5883762408</v>
      </c>
      <c r="G111" s="149">
        <f t="shared" si="9"/>
        <v>9395249.5883762408</v>
      </c>
      <c r="H111" s="149">
        <f t="shared" si="9"/>
        <v>9395249.5883762408</v>
      </c>
      <c r="I111" s="149">
        <f t="shared" si="9"/>
        <v>9395249.5883762408</v>
      </c>
      <c r="J111" s="149">
        <f t="shared" si="9"/>
        <v>9395249.5883762408</v>
      </c>
      <c r="K111" s="149">
        <f t="shared" si="9"/>
        <v>9395249.5883762408</v>
      </c>
      <c r="L111" s="149">
        <f t="shared" si="9"/>
        <v>9395249.5883762408</v>
      </c>
      <c r="M111" s="149">
        <f t="shared" si="9"/>
        <v>9395249.5883762408</v>
      </c>
      <c r="N111" s="149">
        <f t="shared" si="9"/>
        <v>9395249.5883762408</v>
      </c>
      <c r="O111" s="149">
        <f t="shared" si="9"/>
        <v>9395249.5883762408</v>
      </c>
      <c r="P111" s="149">
        <f t="shared" si="9"/>
        <v>9395249.5883762408</v>
      </c>
      <c r="Q111" s="149">
        <f t="shared" si="9"/>
        <v>9395249.5883762408</v>
      </c>
      <c r="R111" s="149">
        <f t="shared" si="9"/>
        <v>9395249.5883762408</v>
      </c>
      <c r="S111" s="149">
        <f t="shared" si="9"/>
        <v>9395249.5883762408</v>
      </c>
      <c r="T111" s="149">
        <f t="shared" si="9"/>
        <v>9395249.5883762408</v>
      </c>
      <c r="U111" s="149">
        <f t="shared" si="9"/>
        <v>9395249.5883762408</v>
      </c>
      <c r="V111" s="149">
        <f t="shared" si="9"/>
        <v>9395249.5883762408</v>
      </c>
      <c r="W111" s="149">
        <f t="shared" si="9"/>
        <v>9395249.5883762408</v>
      </c>
      <c r="X111" s="149">
        <f t="shared" si="9"/>
        <v>9395249.5883762408</v>
      </c>
      <c r="Y111" s="149">
        <f t="shared" si="9"/>
        <v>9395249.5883762408</v>
      </c>
      <c r="Z111" s="149">
        <f t="shared" si="9"/>
        <v>9395249.5883762408</v>
      </c>
      <c r="AA111" s="149">
        <f t="shared" si="9"/>
        <v>9395249.5883762408</v>
      </c>
      <c r="AB111" s="149">
        <f t="shared" si="9"/>
        <v>9395249.5883762408</v>
      </c>
      <c r="AC111" s="149">
        <f t="shared" si="9"/>
        <v>9395249.5883762408</v>
      </c>
      <c r="AD111" s="149">
        <f t="shared" si="9"/>
        <v>9395249.5883762408</v>
      </c>
      <c r="AE111" s="149">
        <f t="shared" si="9"/>
        <v>9395249.5883762408</v>
      </c>
      <c r="AF111" s="149">
        <f t="shared" si="9"/>
        <v>9395249.5883762408</v>
      </c>
      <c r="AG111" s="149">
        <f t="shared" si="9"/>
        <v>9395249.5883762408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1511968217.8047299</v>
      </c>
      <c r="D113" s="149">
        <f t="shared" ref="D113:AG113" si="10">$C$102</f>
        <v>50398940.593490966</v>
      </c>
      <c r="E113" s="149">
        <f t="shared" si="10"/>
        <v>50398940.593490966</v>
      </c>
      <c r="F113" s="149">
        <f t="shared" si="10"/>
        <v>50398940.593490966</v>
      </c>
      <c r="G113" s="149">
        <f t="shared" si="10"/>
        <v>50398940.593490966</v>
      </c>
      <c r="H113" s="149">
        <f t="shared" si="10"/>
        <v>50398940.593490966</v>
      </c>
      <c r="I113" s="149">
        <f t="shared" si="10"/>
        <v>50398940.593490966</v>
      </c>
      <c r="J113" s="149">
        <f t="shared" si="10"/>
        <v>50398940.593490966</v>
      </c>
      <c r="K113" s="149">
        <f t="shared" si="10"/>
        <v>50398940.593490966</v>
      </c>
      <c r="L113" s="149">
        <f t="shared" si="10"/>
        <v>50398940.593490966</v>
      </c>
      <c r="M113" s="149">
        <f t="shared" si="10"/>
        <v>50398940.593490966</v>
      </c>
      <c r="N113" s="149">
        <f t="shared" si="10"/>
        <v>50398940.593490966</v>
      </c>
      <c r="O113" s="149">
        <f t="shared" si="10"/>
        <v>50398940.593490966</v>
      </c>
      <c r="P113" s="149">
        <f t="shared" si="10"/>
        <v>50398940.593490966</v>
      </c>
      <c r="Q113" s="149">
        <f t="shared" si="10"/>
        <v>50398940.593490966</v>
      </c>
      <c r="R113" s="149">
        <f t="shared" si="10"/>
        <v>50398940.593490966</v>
      </c>
      <c r="S113" s="149">
        <f t="shared" si="10"/>
        <v>50398940.593490966</v>
      </c>
      <c r="T113" s="149">
        <f t="shared" si="10"/>
        <v>50398940.593490966</v>
      </c>
      <c r="U113" s="149">
        <f t="shared" si="10"/>
        <v>50398940.593490966</v>
      </c>
      <c r="V113" s="149">
        <f t="shared" si="10"/>
        <v>50398940.593490966</v>
      </c>
      <c r="W113" s="149">
        <f t="shared" si="10"/>
        <v>50398940.593490966</v>
      </c>
      <c r="X113" s="149">
        <f t="shared" si="10"/>
        <v>50398940.593490966</v>
      </c>
      <c r="Y113" s="149">
        <f t="shared" si="10"/>
        <v>50398940.593490966</v>
      </c>
      <c r="Z113" s="149">
        <f t="shared" si="10"/>
        <v>50398940.593490966</v>
      </c>
      <c r="AA113" s="149">
        <f t="shared" si="10"/>
        <v>50398940.593490966</v>
      </c>
      <c r="AB113" s="149">
        <f t="shared" si="10"/>
        <v>50398940.593490966</v>
      </c>
      <c r="AC113" s="149">
        <f t="shared" si="10"/>
        <v>50398940.593490966</v>
      </c>
      <c r="AD113" s="149">
        <f t="shared" si="10"/>
        <v>50398940.593490966</v>
      </c>
      <c r="AE113" s="149">
        <f t="shared" si="10"/>
        <v>50398940.593490966</v>
      </c>
      <c r="AF113" s="149">
        <f t="shared" si="10"/>
        <v>50398940.593490966</v>
      </c>
      <c r="AG113" s="149">
        <f t="shared" si="10"/>
        <v>50398940.593490966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50398940.593490966</v>
      </c>
      <c r="E118" s="149">
        <f t="shared" ref="E118:AG118" si="13">E113+E115+E116</f>
        <v>50398940.593490966</v>
      </c>
      <c r="F118" s="149">
        <f>F113+F115+F116</f>
        <v>50398940.593490966</v>
      </c>
      <c r="G118" s="149">
        <f t="shared" si="13"/>
        <v>50398940.593490966</v>
      </c>
      <c r="H118" s="149">
        <f t="shared" si="13"/>
        <v>50398940.593490966</v>
      </c>
      <c r="I118" s="149">
        <f t="shared" si="13"/>
        <v>50398940.593490966</v>
      </c>
      <c r="J118" s="149">
        <f t="shared" si="13"/>
        <v>50398940.593490966</v>
      </c>
      <c r="K118" s="149">
        <f t="shared" si="13"/>
        <v>50398940.593490966</v>
      </c>
      <c r="L118" s="149">
        <f t="shared" si="13"/>
        <v>50398940.593490966</v>
      </c>
      <c r="M118" s="149">
        <f t="shared" si="13"/>
        <v>50398940.593490966</v>
      </c>
      <c r="N118" s="149">
        <f t="shared" si="13"/>
        <v>50398940.593490966</v>
      </c>
      <c r="O118" s="149">
        <f t="shared" si="13"/>
        <v>50398940.593490966</v>
      </c>
      <c r="P118" s="149">
        <f t="shared" si="13"/>
        <v>50398940.593490966</v>
      </c>
      <c r="Q118" s="149">
        <f t="shared" si="13"/>
        <v>50398940.593490966</v>
      </c>
      <c r="R118" s="149">
        <f t="shared" si="13"/>
        <v>50398940.593490966</v>
      </c>
      <c r="S118" s="149">
        <f t="shared" si="13"/>
        <v>50398940.593490966</v>
      </c>
      <c r="T118" s="149">
        <f t="shared" si="13"/>
        <v>50398940.593490966</v>
      </c>
      <c r="U118" s="149">
        <f t="shared" si="13"/>
        <v>50398940.593490966</v>
      </c>
      <c r="V118" s="149">
        <f t="shared" si="13"/>
        <v>50398940.593490966</v>
      </c>
      <c r="W118" s="149">
        <f t="shared" si="13"/>
        <v>50398940.593490966</v>
      </c>
      <c r="X118" s="149">
        <f t="shared" si="13"/>
        <v>50398940.593490966</v>
      </c>
      <c r="Y118" s="149">
        <f t="shared" si="13"/>
        <v>50398940.593490966</v>
      </c>
      <c r="Z118" s="149">
        <f t="shared" si="13"/>
        <v>50398940.593490966</v>
      </c>
      <c r="AA118" s="149">
        <f t="shared" si="13"/>
        <v>50398940.593490966</v>
      </c>
      <c r="AB118" s="149">
        <f t="shared" si="13"/>
        <v>50398940.593490966</v>
      </c>
      <c r="AC118" s="149">
        <f t="shared" si="13"/>
        <v>50398940.593490966</v>
      </c>
      <c r="AD118" s="149">
        <f t="shared" si="13"/>
        <v>50398940.593490966</v>
      </c>
      <c r="AE118" s="149">
        <f t="shared" si="13"/>
        <v>50398940.593490966</v>
      </c>
      <c r="AF118" s="149">
        <f t="shared" si="13"/>
        <v>50398940.593490966</v>
      </c>
      <c r="AG118" s="149">
        <f t="shared" si="13"/>
        <v>50398940.593490966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1209574.574243783</v>
      </c>
      <c r="E120" s="149">
        <f>(SUM($D$118:E118)*$C$104/$C$106)+(SUM($D$118:E118)*$C$105/$C$107)</f>
        <v>2419149.148487566</v>
      </c>
      <c r="F120" s="149">
        <f>(SUM($D$118:F118)*$C$104/$C$106)+(SUM($D$118:F118)*$C$105/$C$107)</f>
        <v>3628723.7227313495</v>
      </c>
      <c r="G120" s="149">
        <f>(SUM($D$118:G118)*$C$104/$C$106)+(SUM($D$118:G118)*$C$105/$C$107)</f>
        <v>4838298.2969751321</v>
      </c>
      <c r="H120" s="149">
        <f>(SUM($D$118:H118)*$C$104/$C$106)+(SUM($D$118:H118)*$C$105/$C$107)</f>
        <v>6047872.8712189151</v>
      </c>
      <c r="I120" s="149">
        <f>(SUM($D$118:I118)*$C$104/$C$106)+(SUM($D$118:I118)*$C$105/$C$107)</f>
        <v>7257447.445462699</v>
      </c>
      <c r="J120" s="149">
        <f>(SUM($D$118:J118)*$C$104/$C$106)+(SUM($D$118:J118)*$C$105/$C$107)</f>
        <v>8467022.0197064821</v>
      </c>
      <c r="K120" s="149">
        <f>(SUM($D$118:K118)*$C$104/$C$106)+(SUM($D$118:K118)*$C$105/$C$107)</f>
        <v>9676596.5939502642</v>
      </c>
      <c r="L120" s="149">
        <f>(SUM($D$118:L118)*$C$104/$C$106)+(SUM($D$118:L118)*$C$105/$C$107)</f>
        <v>10886171.168194048</v>
      </c>
      <c r="M120" s="149">
        <f>(SUM($D$118:M118)*$C$104/$C$106)+(SUM($D$118:M118)*$C$105/$C$107)</f>
        <v>12095745.74243783</v>
      </c>
      <c r="N120" s="149">
        <f>(SUM($D$118:N118)*$C$104/$C$106)+(SUM($D$118:N118)*$C$105/$C$107)</f>
        <v>13305320.316681616</v>
      </c>
      <c r="O120" s="149">
        <f>(SUM($D$118:O118)*$C$104/$C$106)+(SUM($D$118:O118)*$C$105/$C$107)</f>
        <v>14514894.890925398</v>
      </c>
      <c r="P120" s="149">
        <f>(SUM($D$118:P118)*$C$104/$C$106)+(SUM($D$118:P118)*$C$105/$C$107)</f>
        <v>15724469.46516918</v>
      </c>
      <c r="Q120" s="149">
        <f>(SUM($D$118:Q118)*$C$104/$C$106)+(SUM($D$118:Q118)*$C$105/$C$107)</f>
        <v>16934044.039412964</v>
      </c>
      <c r="R120" s="149">
        <f>(SUM($D$118:R118)*$C$104/$C$106)+(SUM($D$118:R118)*$C$105/$C$107)</f>
        <v>18143618.613656748</v>
      </c>
      <c r="S120" s="149">
        <f>(SUM($D$118:S118)*$C$104/$C$106)+(SUM($D$118:S118)*$C$105/$C$107)</f>
        <v>19353193.187900528</v>
      </c>
      <c r="T120" s="149">
        <f>(SUM($D$118:T118)*$C$104/$C$106)+(SUM($D$118:T118)*$C$105/$C$107)</f>
        <v>20562767.762144312</v>
      </c>
      <c r="U120" s="149">
        <f>(SUM($D$118:U118)*$C$104/$C$106)+(SUM($D$118:U118)*$C$105/$C$107)</f>
        <v>21772342.336388096</v>
      </c>
      <c r="V120" s="149">
        <f>(SUM($D$118:V118)*$C$104/$C$106)+(SUM($D$118:V118)*$C$105/$C$107)</f>
        <v>22981916.91063188</v>
      </c>
      <c r="W120" s="149">
        <f>(SUM($D$118:W118)*$C$104/$C$106)+(SUM($D$118:W118)*$C$105/$C$107)</f>
        <v>24191491.48487566</v>
      </c>
      <c r="X120" s="149">
        <f>(SUM($D$118:X118)*$C$104/$C$106)+(SUM($D$118:X118)*$C$105/$C$107)</f>
        <v>25401066.059119444</v>
      </c>
      <c r="Y120" s="149">
        <f>(SUM($D$118:Y118)*$C$104/$C$106)+(SUM($D$118:Y118)*$C$105/$C$107)</f>
        <v>26610640.633363232</v>
      </c>
      <c r="Z120" s="149">
        <f>(SUM($D$118:Z118)*$C$104/$C$106)+(SUM($D$118:Z118)*$C$105/$C$107)</f>
        <v>27820215.207607016</v>
      </c>
      <c r="AA120" s="149">
        <f>(SUM($D$118:AA118)*$C$104/$C$106)+(SUM($D$118:AA118)*$C$105/$C$107)</f>
        <v>29029789.7818508</v>
      </c>
      <c r="AB120" s="149">
        <f>(SUM($D$118:AB118)*$C$104/$C$106)+(SUM($D$118:AB118)*$C$105/$C$107)</f>
        <v>30239364.356094588</v>
      </c>
      <c r="AC120" s="149">
        <f>(SUM($D$118:AC118)*$C$104/$C$106)+(SUM($D$118:AC118)*$C$105/$C$107)</f>
        <v>31448938.930338375</v>
      </c>
      <c r="AD120" s="149">
        <f>(SUM($D$118:AD118)*$C$104/$C$106)+(SUM($D$118:AD118)*$C$105/$C$107)</f>
        <v>32658513.504582163</v>
      </c>
      <c r="AE120" s="149">
        <f>(SUM($D$118:AE118)*$C$104/$C$106)+(SUM($D$118:AE118)*$C$105/$C$107)</f>
        <v>33868088.078825943</v>
      </c>
      <c r="AF120" s="149">
        <f>(SUM($D$118:AF118)*$C$104/$C$106)+(SUM($D$118:AF118)*$C$105/$C$107)</f>
        <v>35077662.653069735</v>
      </c>
      <c r="AG120" s="149">
        <f>(SUM($D$118:AG118)*$C$104/$C$106)+(SUM($D$118:AG118)*$C$105/$C$107)</f>
        <v>36287237.227313519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1511968.217804729</v>
      </c>
      <c r="E122" s="72">
        <f>(SUM($D$118:E118)*$C$109)</f>
        <v>3023936.435609458</v>
      </c>
      <c r="F122" s="72">
        <f>(SUM($D$118:F118)*$C$109)</f>
        <v>4535904.653414187</v>
      </c>
      <c r="G122" s="72">
        <f>(SUM($D$118:G118)*$C$109)</f>
        <v>6047872.871218916</v>
      </c>
      <c r="H122" s="72">
        <f>(SUM($D$118:H118)*$C$109)</f>
        <v>7559841.0890236441</v>
      </c>
      <c r="I122" s="72">
        <f>(SUM($D$118:I118)*$C$109)</f>
        <v>9071809.306828374</v>
      </c>
      <c r="J122" s="72">
        <f>(SUM($D$118:J118)*$C$109)</f>
        <v>10583777.524633102</v>
      </c>
      <c r="K122" s="72">
        <f>(SUM($D$118:K118)*$C$109)</f>
        <v>12095745.742437832</v>
      </c>
      <c r="L122" s="72">
        <f>(SUM($D$118:L118)*$C$109)</f>
        <v>13607713.96024256</v>
      </c>
      <c r="M122" s="72">
        <f>(SUM($D$118:M118)*$C$109)</f>
        <v>15119682.178047288</v>
      </c>
      <c r="N122" s="72">
        <f>(SUM($D$118:N118)*$C$109)</f>
        <v>16631650.39585202</v>
      </c>
      <c r="O122" s="72">
        <f>(SUM($D$118:O118)*$C$109)</f>
        <v>18143618.613656748</v>
      </c>
      <c r="P122" s="72">
        <f>(SUM($D$118:P118)*$C$109)</f>
        <v>19655586.831461478</v>
      </c>
      <c r="Q122" s="72">
        <f>(SUM($D$118:Q118)*$C$109)</f>
        <v>21167555.049266204</v>
      </c>
      <c r="R122" s="72">
        <f>(SUM($D$118:R118)*$C$109)</f>
        <v>22679523.267070934</v>
      </c>
      <c r="S122" s="72">
        <f>(SUM($D$118:S118)*$C$109)</f>
        <v>24191491.484875664</v>
      </c>
      <c r="T122" s="72">
        <f>(SUM($D$118:T118)*$C$109)</f>
        <v>25703459.70268039</v>
      </c>
      <c r="U122" s="72">
        <f>(SUM($D$118:U118)*$C$109)</f>
        <v>27215427.92048512</v>
      </c>
      <c r="V122" s="72">
        <f>(SUM($D$118:V118)*$C$109)</f>
        <v>28727396.13828985</v>
      </c>
      <c r="W122" s="72">
        <f>(SUM($D$118:W118)*$C$109)</f>
        <v>30239364.356094576</v>
      </c>
      <c r="X122" s="72">
        <f>(SUM($D$118:X118)*$C$109)</f>
        <v>31751332.573899306</v>
      </c>
      <c r="Y122" s="72">
        <f>(SUM($D$118:Y118)*$C$109)</f>
        <v>33263300.79170404</v>
      </c>
      <c r="Z122" s="72">
        <f>(SUM($D$118:Z118)*$C$109)</f>
        <v>34775269.009508774</v>
      </c>
      <c r="AA122" s="72">
        <f>(SUM($D$118:AA118)*$C$109)</f>
        <v>36287237.227313504</v>
      </c>
      <c r="AB122" s="72">
        <f>(SUM($D$118:AB118)*$C$109)</f>
        <v>37799205.445118234</v>
      </c>
      <c r="AC122" s="72">
        <f>(SUM($D$118:AC118)*$C$109)</f>
        <v>39311173.662922971</v>
      </c>
      <c r="AD122" s="72">
        <f>(SUM($D$118:AD118)*$C$109)</f>
        <v>40823141.880727701</v>
      </c>
      <c r="AE122" s="72">
        <f>(SUM($D$118:AE118)*$C$109)</f>
        <v>42335110.098532431</v>
      </c>
      <c r="AF122" s="72">
        <f>(SUM($D$118:AF118)*$C$109)</f>
        <v>43847078.316337161</v>
      </c>
      <c r="AG122" s="72">
        <f>(SUM($D$118:AG118)*$C$109)</f>
        <v>45359046.534141898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196</v>
      </c>
      <c r="C126" s="71">
        <v>41335.199999999997</v>
      </c>
      <c r="D126" s="140"/>
    </row>
    <row r="127" spans="1:33" x14ac:dyDescent="0.35">
      <c r="A127" s="77" t="s">
        <v>151</v>
      </c>
      <c r="B127" s="77" t="s">
        <v>133</v>
      </c>
      <c r="C127" s="71">
        <v>35610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38472.6</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ht="30.5" customHeight="1" x14ac:dyDescent="0.35">
      <c r="A133" s="77" t="s">
        <v>156</v>
      </c>
      <c r="B133" s="106"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14249.111111111109</v>
      </c>
      <c r="D135" s="157">
        <f t="shared" ref="D135:AG135" si="14">$C$135*D13</f>
        <v>14330.722746553123</v>
      </c>
      <c r="E135" s="157">
        <f t="shared" si="14"/>
        <v>14412.801811786905</v>
      </c>
      <c r="F135" s="157">
        <f t="shared" si="14"/>
        <v>14495.350984011713</v>
      </c>
      <c r="G135" s="157">
        <f t="shared" si="14"/>
        <v>14578.372955760447</v>
      </c>
      <c r="H135" s="157">
        <f t="shared" si="14"/>
        <v>14661.87043498745</v>
      </c>
      <c r="I135" s="157">
        <f t="shared" si="14"/>
        <v>14745.846145156849</v>
      </c>
      <c r="J135" s="157">
        <f t="shared" si="14"/>
        <v>14830.302825331388</v>
      </c>
      <c r="K135" s="157">
        <f t="shared" si="14"/>
        <v>14915.24323026176</v>
      </c>
      <c r="L135" s="157">
        <f t="shared" si="14"/>
        <v>15000.670130476461</v>
      </c>
      <c r="M135" s="157">
        <f t="shared" si="14"/>
        <v>15086.586312372168</v>
      </c>
      <c r="N135" s="157">
        <f t="shared" si="14"/>
        <v>15172.994578304608</v>
      </c>
      <c r="O135" s="157">
        <f t="shared" si="14"/>
        <v>15259.897746679982</v>
      </c>
      <c r="P135" s="157">
        <f t="shared" si="14"/>
        <v>15347.298652046868</v>
      </c>
      <c r="Q135" s="157">
        <f t="shared" si="14"/>
        <v>15435.200145188703</v>
      </c>
      <c r="R135" s="157">
        <f t="shared" si="14"/>
        <v>15523.605093216751</v>
      </c>
      <c r="S135" s="157">
        <f t="shared" si="14"/>
        <v>15612.516379663633</v>
      </c>
      <c r="T135" s="157">
        <f t="shared" si="14"/>
        <v>15701.93690457736</v>
      </c>
      <c r="U135" s="157">
        <f t="shared" si="14"/>
        <v>15791.86958461595</v>
      </c>
      <c r="V135" s="157">
        <f t="shared" si="14"/>
        <v>15882.317353142544</v>
      </c>
      <c r="W135" s="157">
        <f t="shared" si="14"/>
        <v>15973.283160321096</v>
      </c>
      <c r="X135" s="157">
        <f t="shared" si="14"/>
        <v>16064.769973212582</v>
      </c>
      <c r="Y135" s="157">
        <f t="shared" si="14"/>
        <v>16156.780775871794</v>
      </c>
      <c r="Z135" s="157">
        <f t="shared" si="14"/>
        <v>16249.318569444671</v>
      </c>
      <c r="AA135" s="157">
        <f t="shared" si="14"/>
        <v>16342.386372266183</v>
      </c>
      <c r="AB135" s="157">
        <f t="shared" si="14"/>
        <v>16435.987219958773</v>
      </c>
      <c r="AC135" s="157">
        <f t="shared" si="14"/>
        <v>16530.124165531397</v>
      </c>
      <c r="AD135" s="157">
        <f t="shared" si="14"/>
        <v>16624.800279479063</v>
      </c>
      <c r="AE135" s="157">
        <f t="shared" si="14"/>
        <v>16720.018649883041</v>
      </c>
      <c r="AF135" s="157">
        <f t="shared" si="14"/>
        <v>16815.782382511519</v>
      </c>
      <c r="AG135" s="157">
        <f t="shared" si="14"/>
        <v>16912.094600920962</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55" zoomScaleNormal="55"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0.35</v>
      </c>
      <c r="F4" s="65">
        <v>0.3</v>
      </c>
      <c r="G4" s="65">
        <v>0.3</v>
      </c>
      <c r="H4" s="65">
        <v>0.15</v>
      </c>
      <c r="I4" s="65">
        <v>0.12</v>
      </c>
      <c r="J4" s="65">
        <v>0.1</v>
      </c>
      <c r="K4" s="65">
        <v>0.08</v>
      </c>
      <c r="L4" s="65">
        <v>7.0000000000000007E-2</v>
      </c>
      <c r="M4" s="65">
        <v>7.0000000000000007E-2</v>
      </c>
      <c r="N4" s="65">
        <v>0.06</v>
      </c>
      <c r="O4" s="65">
        <v>0.05</v>
      </c>
      <c r="P4" s="65">
        <v>0.05</v>
      </c>
      <c r="Q4" s="65">
        <v>0.05</v>
      </c>
      <c r="R4" s="65">
        <v>0.05</v>
      </c>
      <c r="S4" s="65">
        <v>0.05</v>
      </c>
      <c r="T4" s="65">
        <v>0.05</v>
      </c>
      <c r="U4" s="65">
        <v>0.05</v>
      </c>
      <c r="V4" s="65">
        <v>0.05</v>
      </c>
      <c r="W4" s="65">
        <v>0.05</v>
      </c>
      <c r="X4" s="65">
        <v>0.05</v>
      </c>
      <c r="Y4" s="65">
        <v>0.05</v>
      </c>
      <c r="Z4" s="65">
        <v>0.05</v>
      </c>
      <c r="AA4" s="65">
        <v>0.04</v>
      </c>
      <c r="AB4" s="65">
        <v>0.04</v>
      </c>
      <c r="AC4" s="65">
        <v>0.04</v>
      </c>
      <c r="AD4" s="65">
        <v>0.04</v>
      </c>
      <c r="AE4" s="65">
        <v>0.04</v>
      </c>
      <c r="AF4" s="65">
        <v>3.5000000000000003E-2</v>
      </c>
      <c r="AG4" s="65">
        <v>3.5000000000000003E-2</v>
      </c>
      <c r="AH4" s="65">
        <v>3.5000000000000003E-2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2.4966814155841504</v>
      </c>
      <c r="C6" s="25"/>
      <c r="D6" s="25"/>
      <c r="E6" s="27">
        <f>'Debt worksheet'!C5/'Profit and Loss'!C5</f>
        <v>2.0521381844701159</v>
      </c>
      <c r="F6" s="28">
        <f ca="1">'Debt worksheet'!D5/'Profit and Loss'!D5</f>
        <v>2.4260962529112593</v>
      </c>
      <c r="G6" s="28">
        <f ca="1">'Debt worksheet'!E5/'Profit and Loss'!E5</f>
        <v>2.4309508458183249</v>
      </c>
      <c r="H6" s="28">
        <f ca="1">'Debt worksheet'!F5/'Profit and Loss'!F5</f>
        <v>2.4813682900555327</v>
      </c>
      <c r="I6" s="28">
        <f ca="1">'Debt worksheet'!G5/'Profit and Loss'!G5</f>
        <v>2.4966814155841504</v>
      </c>
      <c r="J6" s="28">
        <f ca="1">'Debt worksheet'!H5/'Profit and Loss'!H5</f>
        <v>2.4920535630358973</v>
      </c>
      <c r="K6" s="28">
        <f ca="1">'Debt worksheet'!I5/'Profit and Loss'!I5</f>
        <v>2.4896747178329202</v>
      </c>
      <c r="L6" s="28">
        <f ca="1">'Debt worksheet'!J5/'Profit and Loss'!J5</f>
        <v>2.4858633417307128</v>
      </c>
      <c r="M6" s="28">
        <f ca="1">'Debt worksheet'!K5/'Profit and Loss'!K5</f>
        <v>2.46649827094872</v>
      </c>
      <c r="N6" s="28">
        <f ca="1">'Debt worksheet'!L5/'Profit and Loss'!L5</f>
        <v>2.4543352175484086</v>
      </c>
      <c r="O6" s="28">
        <f ca="1">'Debt worksheet'!M5/'Profit and Loss'!M5</f>
        <v>2.4579751038022803</v>
      </c>
      <c r="P6" s="28">
        <f ca="1">'Debt worksheet'!N5/'Profit and Loss'!N5</f>
        <v>2.4626637550429118</v>
      </c>
      <c r="Q6" s="28">
        <f ca="1">'Debt worksheet'!O5/'Profit and Loss'!O5</f>
        <v>2.4675478423857777</v>
      </c>
      <c r="R6" s="28">
        <f ca="1">'Debt worksheet'!P5/'Profit and Loss'!P5</f>
        <v>2.4718366451425053</v>
      </c>
      <c r="S6" s="28">
        <f ca="1">'Debt worksheet'!Q5/'Profit and Loss'!Q5</f>
        <v>2.474798848893673</v>
      </c>
      <c r="T6" s="28">
        <f ca="1">'Debt worksheet'!R5/'Profit and Loss'!R5</f>
        <v>2.4757594839699393</v>
      </c>
      <c r="U6" s="28">
        <f ca="1">'Debt worksheet'!S5/'Profit and Loss'!S5</f>
        <v>2.4740969986659636</v>
      </c>
      <c r="V6" s="28">
        <f ca="1">'Debt worksheet'!T5/'Profit and Loss'!T5</f>
        <v>2.4692404617302528</v>
      </c>
      <c r="W6" s="28">
        <f ca="1">'Debt worksheet'!U5/'Profit and Loss'!U5</f>
        <v>2.4606668888845258</v>
      </c>
      <c r="X6" s="28">
        <f ca="1">'Debt worksheet'!V5/'Profit and Loss'!V5</f>
        <v>2.4478986883288067</v>
      </c>
      <c r="Y6" s="28">
        <f ca="1">'Debt worksheet'!W5/'Profit and Loss'!W5</f>
        <v>2.4305012203834755</v>
      </c>
      <c r="Z6" s="28">
        <f ca="1">'Debt worksheet'!X5/'Profit and Loss'!X5</f>
        <v>2.4080804666072266</v>
      </c>
      <c r="AA6" s="28">
        <f ca="1">'Debt worksheet'!Y5/'Profit and Loss'!Y5</f>
        <v>2.4031681193327805</v>
      </c>
      <c r="AB6" s="28">
        <f ca="1">'Debt worksheet'!Z5/'Profit and Loss'!Z5</f>
        <v>2.401656624050299</v>
      </c>
      <c r="AC6" s="28">
        <f ca="1">'Debt worksheet'!AA5/'Profit and Loss'!AA5</f>
        <v>2.4030827433334756</v>
      </c>
      <c r="AD6" s="28">
        <f ca="1">'Debt worksheet'!AB5/'Profit and Loss'!AB5</f>
        <v>2.407003068765265</v>
      </c>
      <c r="AE6" s="28">
        <f ca="1">'Debt worksheet'!AC5/'Profit and Loss'!AC5</f>
        <v>2.4129933735065499</v>
      </c>
      <c r="AF6" s="28">
        <f ca="1">'Debt worksheet'!AD5/'Profit and Loss'!AD5</f>
        <v>2.4323419354331937</v>
      </c>
      <c r="AG6" s="28">
        <f ca="1">'Debt worksheet'!AE5/'Profit and Loss'!AE5</f>
        <v>2.4579193626543363</v>
      </c>
      <c r="AH6" s="28">
        <f ca="1">'Debt worksheet'!AF5/'Profit and Loss'!AF5</f>
        <v>2.4893710824642548</v>
      </c>
      <c r="AI6" s="31"/>
    </row>
    <row r="7" spans="1:35" ht="21" x14ac:dyDescent="0.5">
      <c r="A7" s="19" t="s">
        <v>38</v>
      </c>
      <c r="B7" s="26">
        <f ca="1">MIN('Price and Financial ratios'!E7:AH7)</f>
        <v>0.2300431414074546</v>
      </c>
      <c r="C7" s="26"/>
      <c r="D7" s="26"/>
      <c r="E7" s="56">
        <f ca="1">'Cash Flow'!C7/'Debt worksheet'!C5</f>
        <v>0.24825560495744614</v>
      </c>
      <c r="F7" s="32">
        <f ca="1">'Cash Flow'!D7/'Debt worksheet'!D5</f>
        <v>0.23053987203760762</v>
      </c>
      <c r="G7" s="32">
        <f ca="1">'Cash Flow'!E7/'Debt worksheet'!E5</f>
        <v>0.25356424039174064</v>
      </c>
      <c r="H7" s="32">
        <f ca="1">'Cash Flow'!F7/'Debt worksheet'!F5</f>
        <v>0.25337393353891474</v>
      </c>
      <c r="I7" s="32">
        <f ca="1">'Cash Flow'!G7/'Debt worksheet'!G5</f>
        <v>0.25449156456701061</v>
      </c>
      <c r="J7" s="32">
        <f ca="1">'Cash Flow'!H7/'Debt worksheet'!H5</f>
        <v>0.25627953456787933</v>
      </c>
      <c r="K7" s="32">
        <f ca="1">'Cash Flow'!I7/'Debt worksheet'!I5</f>
        <v>0.2560822826066656</v>
      </c>
      <c r="L7" s="32">
        <f ca="1">'Cash Flow'!J7/'Debt worksheet'!J5</f>
        <v>0.25537467271325071</v>
      </c>
      <c r="M7" s="17">
        <f ca="1">'Cash Flow'!K7/'Debt worksheet'!K5</f>
        <v>0.25692632935191123</v>
      </c>
      <c r="N7" s="17">
        <f ca="1">'Cash Flow'!L7/'Debt worksheet'!L5</f>
        <v>0.25681973972656352</v>
      </c>
      <c r="O7" s="17">
        <f ca="1">'Cash Flow'!M7/'Debt worksheet'!M5</f>
        <v>0.253928950508857</v>
      </c>
      <c r="P7" s="17">
        <f ca="1">'Cash Flow'!N7/'Debt worksheet'!N5</f>
        <v>0.25120957007737083</v>
      </c>
      <c r="Q7" s="17">
        <f ca="1">'Cash Flow'!O7/'Debt worksheet'!O5</f>
        <v>0.24874695748898265</v>
      </c>
      <c r="R7" s="17">
        <f ca="1">'Cash Flow'!P7/'Debt worksheet'!P5</f>
        <v>0.24661571442151706</v>
      </c>
      <c r="S7" s="17">
        <f ca="1">'Cash Flow'!Q7/'Debt worksheet'!Q5</f>
        <v>0.24488141038930247</v>
      </c>
      <c r="T7" s="17">
        <f ca="1">'Cash Flow'!R7/'Debt worksheet'!R5</f>
        <v>0.24360254349006411</v>
      </c>
      <c r="U7" s="17">
        <f ca="1">'Cash Flow'!S7/'Debt worksheet'!S5</f>
        <v>0.24283262309922374</v>
      </c>
      <c r="V7" s="17">
        <f ca="1">'Cash Flow'!T7/'Debt worksheet'!T5</f>
        <v>0.24262231053563429</v>
      </c>
      <c r="W7" s="17">
        <f ca="1">'Cash Flow'!U7/'Debt worksheet'!U5</f>
        <v>0.24302159686109784</v>
      </c>
      <c r="X7" s="17">
        <f ca="1">'Cash Flow'!V7/'Debt worksheet'!V5</f>
        <v>0.24408203413989593</v>
      </c>
      <c r="Y7" s="17">
        <f ca="1">'Cash Flow'!W7/'Debt worksheet'!W5</f>
        <v>0.24585906972028684</v>
      </c>
      <c r="Z7" s="17">
        <f ca="1">'Cash Flow'!X7/'Debt worksheet'!X5</f>
        <v>0.2484145655053224</v>
      </c>
      <c r="AA7" s="17">
        <f ca="1">'Cash Flow'!Y7/'Debt worksheet'!Y5</f>
        <v>0.24767337254706762</v>
      </c>
      <c r="AB7" s="17">
        <f ca="1">'Cash Flow'!Z7/'Debt worksheet'!Z5</f>
        <v>0.24666031442287356</v>
      </c>
      <c r="AC7" s="17">
        <f ca="1">'Cash Flow'!AA7/'Debt worksheet'!AA5</f>
        <v>0.24542817273505235</v>
      </c>
      <c r="AD7" s="17">
        <f ca="1">'Cash Flow'!AB7/'Debt worksheet'!AB5</f>
        <v>0.24402835653849445</v>
      </c>
      <c r="AE7" s="17">
        <f ca="1">'Cash Flow'!AC7/'Debt worksheet'!AC5</f>
        <v>0.24251008936873114</v>
      </c>
      <c r="AF7" s="17">
        <f ca="1">'Cash Flow'!AD7/'Debt worksheet'!AD5</f>
        <v>0.23886167750532597</v>
      </c>
      <c r="AG7" s="17">
        <f ca="1">'Cash Flow'!AE7/'Debt worksheet'!AE5</f>
        <v>0.23467840581532495</v>
      </c>
      <c r="AH7" s="17">
        <f ca="1">'Cash Flow'!AF7/'Debt worksheet'!AF5</f>
        <v>0.2300431414074546</v>
      </c>
      <c r="AI7" s="29"/>
    </row>
    <row r="8" spans="1:35" ht="21" x14ac:dyDescent="0.5">
      <c r="A8" s="19" t="s">
        <v>33</v>
      </c>
      <c r="B8" s="26">
        <f ca="1">MAX('Price and Financial ratios'!E8:AH8)</f>
        <v>0.43664801886648053</v>
      </c>
      <c r="C8" s="26"/>
      <c r="D8" s="176"/>
      <c r="E8" s="17">
        <f>'Balance Sheet'!B11/'Balance Sheet'!B8</f>
        <v>0.24459617367688169</v>
      </c>
      <c r="F8" s="17">
        <f ca="1">'Balance Sheet'!C11/'Balance Sheet'!C8</f>
        <v>0.36996658023481488</v>
      </c>
      <c r="G8" s="17">
        <f ca="1">'Balance Sheet'!D11/'Balance Sheet'!D8</f>
        <v>0.41898444052526262</v>
      </c>
      <c r="H8" s="17">
        <f ca="1">'Balance Sheet'!E11/'Balance Sheet'!E8</f>
        <v>0.43398454992432089</v>
      </c>
      <c r="I8" s="17">
        <f ca="1">'Balance Sheet'!F11/'Balance Sheet'!F8</f>
        <v>0.43664801886648053</v>
      </c>
      <c r="J8" s="17">
        <f ca="1">'Balance Sheet'!G11/'Balance Sheet'!G8</f>
        <v>0.4321443548186133</v>
      </c>
      <c r="K8" s="17">
        <f ca="1">'Balance Sheet'!H11/'Balance Sheet'!H8</f>
        <v>0.4236207910803273</v>
      </c>
      <c r="L8" s="17">
        <f ca="1">'Balance Sheet'!I11/'Balance Sheet'!I8</f>
        <v>0.41392230711905209</v>
      </c>
      <c r="M8" s="17">
        <f ca="1">'Balance Sheet'!J11/'Balance Sheet'!J8</f>
        <v>0.40419153799343321</v>
      </c>
      <c r="N8" s="17">
        <f ca="1">'Balance Sheet'!K11/'Balance Sheet'!K8</f>
        <v>0.39404534473995501</v>
      </c>
      <c r="O8" s="17">
        <f ca="1">'Balance Sheet'!L11/'Balance Sheet'!L8</f>
        <v>0.38461309122146753</v>
      </c>
      <c r="P8" s="17">
        <f ca="1">'Balance Sheet'!M11/'Balance Sheet'!M8</f>
        <v>0.37696932942861339</v>
      </c>
      <c r="Q8" s="17">
        <f ca="1">'Balance Sheet'!N11/'Balance Sheet'!N8</f>
        <v>0.37072691768490013</v>
      </c>
      <c r="R8" s="17">
        <f ca="1">'Balance Sheet'!O11/'Balance Sheet'!O8</f>
        <v>0.36557164614201942</v>
      </c>
      <c r="S8" s="17">
        <f ca="1">'Balance Sheet'!P11/'Balance Sheet'!P8</f>
        <v>0.36124389650409866</v>
      </c>
      <c r="T8" s="17">
        <f ca="1">'Balance Sheet'!Q11/'Balance Sheet'!Q8</f>
        <v>0.35752547899598308</v>
      </c>
      <c r="U8" s="17">
        <f ca="1">'Balance Sheet'!R11/'Balance Sheet'!R8</f>
        <v>0.35423001549275035</v>
      </c>
      <c r="V8" s="17">
        <f ca="1">'Balance Sheet'!S11/'Balance Sheet'!S8</f>
        <v>0.35119579964943232</v>
      </c>
      <c r="W8" s="17">
        <f ca="1">'Balance Sheet'!T11/'Balance Sheet'!T8</f>
        <v>0.34828041799584425</v>
      </c>
      <c r="X8" s="17">
        <f ca="1">'Balance Sheet'!U11/'Balance Sheet'!U8</f>
        <v>0.34535664307712649</v>
      </c>
      <c r="Y8" s="17">
        <f ca="1">'Balance Sheet'!V11/'Balance Sheet'!V8</f>
        <v>0.34230925888255415</v>
      </c>
      <c r="Z8" s="17">
        <f ca="1">'Balance Sheet'!W11/'Balance Sheet'!W8</f>
        <v>0.33903257865045766</v>
      </c>
      <c r="AA8" s="17">
        <f ca="1">'Balance Sheet'!X11/'Balance Sheet'!X8</f>
        <v>0.33542848314069923</v>
      </c>
      <c r="AB8" s="17">
        <f ca="1">'Balance Sheet'!Y11/'Balance Sheet'!Y8</f>
        <v>0.33272462899243854</v>
      </c>
      <c r="AC8" s="17">
        <f ca="1">'Balance Sheet'!Z11/'Balance Sheet'!Z8</f>
        <v>0.33080896961293821</v>
      </c>
      <c r="AD8" s="17">
        <f ca="1">'Balance Sheet'!AA11/'Balance Sheet'!AA8</f>
        <v>0.32958157938595611</v>
      </c>
      <c r="AE8" s="17">
        <f ca="1">'Balance Sheet'!AB11/'Balance Sheet'!AB8</f>
        <v>0.3289527024494755</v>
      </c>
      <c r="AF8" s="17">
        <f ca="1">'Balance Sheet'!AC11/'Balance Sheet'!AC8</f>
        <v>0.32884115295711763</v>
      </c>
      <c r="AG8" s="17">
        <f ca="1">'Balance Sheet'!AD11/'Balance Sheet'!AD8</f>
        <v>0.32981833529644433</v>
      </c>
      <c r="AH8" s="17">
        <f ca="1">'Balance Sheet'!AE11/'Balance Sheet'!AE8</f>
        <v>0.33180374167470345</v>
      </c>
      <c r="AI8" s="29"/>
    </row>
    <row r="9" spans="1:35" ht="21.5" thickBot="1" x14ac:dyDescent="0.55000000000000004">
      <c r="A9" s="20" t="s">
        <v>32</v>
      </c>
      <c r="B9" s="21">
        <f ca="1">MIN('Price and Financial ratios'!E9:AH9)</f>
        <v>5.5888717411077282</v>
      </c>
      <c r="C9" s="21"/>
      <c r="D9" s="177"/>
      <c r="E9" s="21">
        <f ca="1">('Cash Flow'!C7+'Profit and Loss'!C8)/('Profit and Loss'!C8)</f>
        <v>5.5888717411077282</v>
      </c>
      <c r="F9" s="21">
        <f ca="1">('Cash Flow'!D7+'Profit and Loss'!D8)/('Profit and Loss'!D8)</f>
        <v>6.0278947724136147</v>
      </c>
      <c r="G9" s="21">
        <f ca="1">('Cash Flow'!E7+'Profit and Loss'!E8)/('Profit and Loss'!E8)</f>
        <v>7.1365849383905209</v>
      </c>
      <c r="H9" s="21">
        <f ca="1">('Cash Flow'!F7+'Profit and Loss'!F8)/('Profit and Loss'!F8)</f>
        <v>7.3873931070029277</v>
      </c>
      <c r="I9" s="21">
        <f ca="1">('Cash Flow'!G7+'Profit and Loss'!G8)/('Profit and Loss'!G8)</f>
        <v>7.5847319008444414</v>
      </c>
      <c r="J9" s="21">
        <f ca="1">('Cash Flow'!H7+'Profit and Loss'!H8)/('Profit and Loss'!H8)</f>
        <v>7.7477124848620385</v>
      </c>
      <c r="K9" s="21">
        <f ca="1">('Cash Flow'!I7+'Profit and Loss'!I8)/('Profit and Loss'!I8)</f>
        <v>7.8094611826070706</v>
      </c>
      <c r="L9" s="21">
        <f ca="1">('Cash Flow'!J7+'Profit and Loss'!J8)/('Profit and Loss'!J8)</f>
        <v>7.8334829438660103</v>
      </c>
      <c r="M9" s="21">
        <f ca="1">('Cash Flow'!K7+'Profit and Loss'!K8)/('Profit and Loss'!K8)</f>
        <v>7.9199238922908357</v>
      </c>
      <c r="N9" s="21">
        <f ca="1">('Cash Flow'!L7+'Profit and Loss'!L8)/('Profit and Loss'!L8)</f>
        <v>7.9382051447794071</v>
      </c>
      <c r="O9" s="21">
        <f ca="1">('Cash Flow'!M7+'Profit and Loss'!M8)/('Profit and Loss'!M8)</f>
        <v>7.8572015489592184</v>
      </c>
      <c r="P9" s="21">
        <f ca="1">('Cash Flow'!N7+'Profit and Loss'!N8)/('Profit and Loss'!N8)</f>
        <v>7.7832535805953071</v>
      </c>
      <c r="Q9" s="21">
        <f ca="1">('Cash Flow'!O7+'Profit and Loss'!O8)/('Profit and Loss'!O8)</f>
        <v>7.7184011023694969</v>
      </c>
      <c r="R9" s="21">
        <f ca="1">('Cash Flow'!P7+'Profit and Loss'!P8)/('Profit and Loss'!P8)</f>
        <v>7.6644289651277635</v>
      </c>
      <c r="S9" s="21">
        <f ca="1">('Cash Flow'!Q7+'Profit and Loss'!Q8)/('Profit and Loss'!Q8)</f>
        <v>7.6229215012389195</v>
      </c>
      <c r="T9" s="21">
        <f ca="1">('Cash Flow'!R7+'Profit and Loss'!R8)/('Profit and Loss'!R8)</f>
        <v>7.5953201691047765</v>
      </c>
      <c r="U9" s="21">
        <f ca="1">('Cash Flow'!S7+'Profit and Loss'!S8)/('Profit and Loss'!S8)</f>
        <v>7.5829825590827271</v>
      </c>
      <c r="V9" s="21">
        <f ca="1">('Cash Flow'!T7+'Profit and Loss'!T8)/('Profit and Loss'!T8)</f>
        <v>7.5872421630280389</v>
      </c>
      <c r="W9" s="21">
        <f ca="1">('Cash Flow'!U7+'Profit and Loss'!U8)/('Profit and Loss'!U8)</f>
        <v>7.609469330227288</v>
      </c>
      <c r="X9" s="21">
        <f ca="1">('Cash Flow'!V7+'Profit and Loss'!V8)/('Profit and Loss'!V8)</f>
        <v>7.651134738230974</v>
      </c>
      <c r="Y9" s="21">
        <f ca="1">('Cash Flow'!W7+'Profit and Loss'!W8)/('Profit and Loss'!W8)</f>
        <v>7.713877582906842</v>
      </c>
      <c r="Z9" s="21">
        <f ca="1">('Cash Flow'!X7+'Profit and Loss'!X8)/('Profit and Loss'!X8)</f>
        <v>7.7995816470747341</v>
      </c>
      <c r="AA9" s="21">
        <f ca="1">('Cash Flow'!Y7+'Profit and Loss'!Y8)/('Profit and Loss'!Y8)</f>
        <v>7.7697222853777097</v>
      </c>
      <c r="AB9" s="21">
        <f ca="1">('Cash Flow'!Z7+'Profit and Loss'!Z8)/('Profit and Loss'!Z8)</f>
        <v>7.7337930629772345</v>
      </c>
      <c r="AC9" s="21">
        <f ca="1">('Cash Flow'!AA7+'Profit and Loss'!AA8)/('Profit and Loss'!AA8)</f>
        <v>7.6932152245612073</v>
      </c>
      <c r="AD9" s="21">
        <f ca="1">('Cash Flow'!AB7+'Profit and Loss'!AB8)/('Profit and Loss'!AB8)</f>
        <v>7.6493486506771875</v>
      </c>
      <c r="AE9" s="21">
        <f ca="1">('Cash Flow'!AC7+'Profit and Loss'!AC8)/('Profit and Loss'!AC8)</f>
        <v>7.6034759195677317</v>
      </c>
      <c r="AF9" s="21">
        <f ca="1">('Cash Flow'!AD7+'Profit and Loss'!AD8)/('Profit and Loss'!AD8)</f>
        <v>7.4880585378086497</v>
      </c>
      <c r="AG9" s="21">
        <f ca="1">('Cash Flow'!AE7+'Profit and Loss'!AE8)/('Profit and Loss'!AE8)</f>
        <v>7.3600774580355797</v>
      </c>
      <c r="AH9" s="21">
        <f ca="1">('Cash Flow'!AF7+'Profit and Loss'!AF8)/('Profit and Loss'!AF8)</f>
        <v>7.2218027890111998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5" zoomScaleNormal="85"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9395249.5883762408</v>
      </c>
      <c r="D5" s="1">
        <f>Assumptions!E111</f>
        <v>9395249.5883762408</v>
      </c>
      <c r="E5" s="1">
        <f>Assumptions!F111</f>
        <v>9395249.5883762408</v>
      </c>
      <c r="F5" s="1">
        <f>Assumptions!G111</f>
        <v>9395249.5883762408</v>
      </c>
      <c r="G5" s="1">
        <f>Assumptions!H111</f>
        <v>9395249.5883762408</v>
      </c>
      <c r="H5" s="1">
        <f>Assumptions!I111</f>
        <v>9395249.5883762408</v>
      </c>
      <c r="I5" s="1">
        <f>Assumptions!J111</f>
        <v>9395249.5883762408</v>
      </c>
      <c r="J5" s="1">
        <f>Assumptions!K111</f>
        <v>9395249.5883762408</v>
      </c>
      <c r="K5" s="1">
        <f>Assumptions!L111</f>
        <v>9395249.5883762408</v>
      </c>
      <c r="L5" s="1">
        <f>Assumptions!M111</f>
        <v>9395249.5883762408</v>
      </c>
      <c r="M5" s="1">
        <f>Assumptions!N111</f>
        <v>9395249.5883762408</v>
      </c>
      <c r="N5" s="1">
        <f>Assumptions!O111</f>
        <v>9395249.5883762408</v>
      </c>
      <c r="O5" s="1">
        <f>Assumptions!P111</f>
        <v>9395249.5883762408</v>
      </c>
      <c r="P5" s="1">
        <f>Assumptions!Q111</f>
        <v>9395249.5883762408</v>
      </c>
      <c r="Q5" s="1">
        <f>Assumptions!R111</f>
        <v>9395249.5883762408</v>
      </c>
      <c r="R5" s="1">
        <f>Assumptions!S111</f>
        <v>9395249.5883762408</v>
      </c>
      <c r="S5" s="1">
        <f>Assumptions!T111</f>
        <v>9395249.5883762408</v>
      </c>
      <c r="T5" s="1">
        <f>Assumptions!U111</f>
        <v>9395249.5883762408</v>
      </c>
      <c r="U5" s="1">
        <f>Assumptions!V111</f>
        <v>9395249.5883762408</v>
      </c>
      <c r="V5" s="1">
        <f>Assumptions!W111</f>
        <v>9395249.5883762408</v>
      </c>
      <c r="W5" s="1">
        <f>Assumptions!X111</f>
        <v>9395249.5883762408</v>
      </c>
      <c r="X5" s="1">
        <f>Assumptions!Y111</f>
        <v>9395249.5883762408</v>
      </c>
      <c r="Y5" s="1">
        <f>Assumptions!Z111</f>
        <v>9395249.5883762408</v>
      </c>
      <c r="Z5" s="1">
        <f>Assumptions!AA111</f>
        <v>9395249.5883762408</v>
      </c>
      <c r="AA5" s="1">
        <f>Assumptions!AB111</f>
        <v>9395249.5883762408</v>
      </c>
      <c r="AB5" s="1">
        <f>Assumptions!AC111</f>
        <v>9395249.5883762408</v>
      </c>
      <c r="AC5" s="1">
        <f>Assumptions!AD111</f>
        <v>9395249.5883762408</v>
      </c>
      <c r="AD5" s="1">
        <f>Assumptions!AE111</f>
        <v>9395249.5883762408</v>
      </c>
      <c r="AE5" s="1">
        <f>Assumptions!AF111</f>
        <v>9395249.5883762408</v>
      </c>
      <c r="AF5" s="1">
        <f>Assumptions!AG111</f>
        <v>9395249.5883762408</v>
      </c>
    </row>
    <row r="6" spans="1:32" x14ac:dyDescent="0.35">
      <c r="A6" t="s">
        <v>68</v>
      </c>
      <c r="C6" s="1">
        <f>Assumptions!D113</f>
        <v>50398940.593490966</v>
      </c>
      <c r="D6" s="1">
        <f>Assumptions!E113</f>
        <v>50398940.593490966</v>
      </c>
      <c r="E6" s="1">
        <f>Assumptions!F113</f>
        <v>50398940.593490966</v>
      </c>
      <c r="F6" s="1">
        <f>Assumptions!G113</f>
        <v>50398940.593490966</v>
      </c>
      <c r="G6" s="1">
        <f>Assumptions!H113</f>
        <v>50398940.593490966</v>
      </c>
      <c r="H6" s="1">
        <f>Assumptions!I113</f>
        <v>50398940.593490966</v>
      </c>
      <c r="I6" s="1">
        <f>Assumptions!J113</f>
        <v>50398940.593490966</v>
      </c>
      <c r="J6" s="1">
        <f>Assumptions!K113</f>
        <v>50398940.593490966</v>
      </c>
      <c r="K6" s="1">
        <f>Assumptions!L113</f>
        <v>50398940.593490966</v>
      </c>
      <c r="L6" s="1">
        <f>Assumptions!M113</f>
        <v>50398940.593490966</v>
      </c>
      <c r="M6" s="1">
        <f>Assumptions!N113</f>
        <v>50398940.593490966</v>
      </c>
      <c r="N6" s="1">
        <f>Assumptions!O113</f>
        <v>50398940.593490966</v>
      </c>
      <c r="O6" s="1">
        <f>Assumptions!P113</f>
        <v>50398940.593490966</v>
      </c>
      <c r="P6" s="1">
        <f>Assumptions!Q113</f>
        <v>50398940.593490966</v>
      </c>
      <c r="Q6" s="1">
        <f>Assumptions!R113</f>
        <v>50398940.593490966</v>
      </c>
      <c r="R6" s="1">
        <f>Assumptions!S113</f>
        <v>50398940.593490966</v>
      </c>
      <c r="S6" s="1">
        <f>Assumptions!T113</f>
        <v>50398940.593490966</v>
      </c>
      <c r="T6" s="1">
        <f>Assumptions!U113</f>
        <v>50398940.593490966</v>
      </c>
      <c r="U6" s="1">
        <f>Assumptions!V113</f>
        <v>50398940.593490966</v>
      </c>
      <c r="V6" s="1">
        <f>Assumptions!W113</f>
        <v>50398940.593490966</v>
      </c>
      <c r="W6" s="1">
        <f>Assumptions!X113</f>
        <v>50398940.593490966</v>
      </c>
      <c r="X6" s="1">
        <f>Assumptions!Y113</f>
        <v>50398940.593490966</v>
      </c>
      <c r="Y6" s="1">
        <f>Assumptions!Z113</f>
        <v>50398940.593490966</v>
      </c>
      <c r="Z6" s="1">
        <f>Assumptions!AA113</f>
        <v>50398940.593490966</v>
      </c>
      <c r="AA6" s="1">
        <f>Assumptions!AB113</f>
        <v>50398940.593490966</v>
      </c>
      <c r="AB6" s="1">
        <f>Assumptions!AC113</f>
        <v>50398940.593490966</v>
      </c>
      <c r="AC6" s="1">
        <f>Assumptions!AD113</f>
        <v>50398940.593490966</v>
      </c>
      <c r="AD6" s="1">
        <f>Assumptions!AE113</f>
        <v>50398940.593490966</v>
      </c>
      <c r="AE6" s="1">
        <f>Assumptions!AF113</f>
        <v>50398940.593490966</v>
      </c>
      <c r="AF6" s="1">
        <f>Assumptions!AG113</f>
        <v>50398940.593490966</v>
      </c>
    </row>
    <row r="7" spans="1:32" x14ac:dyDescent="0.35">
      <c r="A7" t="s">
        <v>73</v>
      </c>
      <c r="C7" s="1">
        <f>Assumptions!D120</f>
        <v>1209574.574243783</v>
      </c>
      <c r="D7" s="1">
        <f>Assumptions!E120</f>
        <v>2419149.148487566</v>
      </c>
      <c r="E7" s="1">
        <f>Assumptions!F120</f>
        <v>3628723.7227313495</v>
      </c>
      <c r="F7" s="1">
        <f>Assumptions!G120</f>
        <v>4838298.2969751321</v>
      </c>
      <c r="G7" s="1">
        <f>Assumptions!H120</f>
        <v>6047872.8712189151</v>
      </c>
      <c r="H7" s="1">
        <f>Assumptions!I120</f>
        <v>7257447.445462699</v>
      </c>
      <c r="I7" s="1">
        <f>Assumptions!J120</f>
        <v>8467022.0197064821</v>
      </c>
      <c r="J7" s="1">
        <f>Assumptions!K120</f>
        <v>9676596.5939502642</v>
      </c>
      <c r="K7" s="1">
        <f>Assumptions!L120</f>
        <v>10886171.168194048</v>
      </c>
      <c r="L7" s="1">
        <f>Assumptions!M120</f>
        <v>12095745.74243783</v>
      </c>
      <c r="M7" s="1">
        <f>Assumptions!N120</f>
        <v>13305320.316681616</v>
      </c>
      <c r="N7" s="1">
        <f>Assumptions!O120</f>
        <v>14514894.890925398</v>
      </c>
      <c r="O7" s="1">
        <f>Assumptions!P120</f>
        <v>15724469.46516918</v>
      </c>
      <c r="P7" s="1">
        <f>Assumptions!Q120</f>
        <v>16934044.039412964</v>
      </c>
      <c r="Q7" s="1">
        <f>Assumptions!R120</f>
        <v>18143618.613656748</v>
      </c>
      <c r="R7" s="1">
        <f>Assumptions!S120</f>
        <v>19353193.187900528</v>
      </c>
      <c r="S7" s="1">
        <f>Assumptions!T120</f>
        <v>20562767.762144312</v>
      </c>
      <c r="T7" s="1">
        <f>Assumptions!U120</f>
        <v>21772342.336388096</v>
      </c>
      <c r="U7" s="1">
        <f>Assumptions!V120</f>
        <v>22981916.91063188</v>
      </c>
      <c r="V7" s="1">
        <f>Assumptions!W120</f>
        <v>24191491.48487566</v>
      </c>
      <c r="W7" s="1">
        <f>Assumptions!X120</f>
        <v>25401066.059119444</v>
      </c>
      <c r="X7" s="1">
        <f>Assumptions!Y120</f>
        <v>26610640.633363232</v>
      </c>
      <c r="Y7" s="1">
        <f>Assumptions!Z120</f>
        <v>27820215.207607016</v>
      </c>
      <c r="Z7" s="1">
        <f>Assumptions!AA120</f>
        <v>29029789.7818508</v>
      </c>
      <c r="AA7" s="1">
        <f>Assumptions!AB120</f>
        <v>30239364.356094588</v>
      </c>
      <c r="AB7" s="1">
        <f>Assumptions!AC120</f>
        <v>31448938.930338375</v>
      </c>
      <c r="AC7" s="1">
        <f>Assumptions!AD120</f>
        <v>32658513.504582163</v>
      </c>
      <c r="AD7" s="1">
        <f>Assumptions!AE120</f>
        <v>33868088.078825943</v>
      </c>
      <c r="AE7" s="1">
        <f>Assumptions!AF120</f>
        <v>35077662.653069735</v>
      </c>
      <c r="AF7" s="1">
        <f>Assumptions!AG120</f>
        <v>36287237.227313519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9695897.5752042811</v>
      </c>
      <c r="D11" s="1">
        <f>D5*D$9</f>
        <v>10006166.297610817</v>
      </c>
      <c r="E11" s="1">
        <f t="shared" ref="D11:AF13" si="1">E5*E$9</f>
        <v>10326363.619134363</v>
      </c>
      <c r="F11" s="1">
        <f t="shared" si="1"/>
        <v>10656807.254946662</v>
      </c>
      <c r="G11" s="1">
        <f t="shared" si="1"/>
        <v>10997825.087104958</v>
      </c>
      <c r="H11" s="1">
        <f t="shared" si="1"/>
        <v>11349755.489892313</v>
      </c>
      <c r="I11" s="1">
        <f t="shared" si="1"/>
        <v>11712947.665568866</v>
      </c>
      <c r="J11" s="1">
        <f t="shared" si="1"/>
        <v>12087761.990867073</v>
      </c>
      <c r="K11" s="1">
        <f t="shared" si="1"/>
        <v>12474570.37457482</v>
      </c>
      <c r="L11" s="1">
        <f t="shared" si="1"/>
        <v>12873756.626561211</v>
      </c>
      <c r="M11" s="1">
        <f t="shared" si="1"/>
        <v>13285716.838611171</v>
      </c>
      <c r="N11" s="1">
        <f t="shared" si="1"/>
        <v>13710859.777446728</v>
      </c>
      <c r="O11" s="1">
        <f t="shared" si="1"/>
        <v>14149607.290325025</v>
      </c>
      <c r="P11" s="1">
        <f t="shared" si="1"/>
        <v>14602394.723615423</v>
      </c>
      <c r="Q11" s="1">
        <f t="shared" si="1"/>
        <v>15069671.354771115</v>
      </c>
      <c r="R11" s="1">
        <f t="shared" si="1"/>
        <v>15551900.838123793</v>
      </c>
      <c r="S11" s="1">
        <f t="shared" si="1"/>
        <v>16049561.664943757</v>
      </c>
      <c r="T11" s="1">
        <f t="shared" si="1"/>
        <v>16563147.638221955</v>
      </c>
      <c r="U11" s="1">
        <f t="shared" si="1"/>
        <v>17093168.362645056</v>
      </c>
      <c r="V11" s="1">
        <f t="shared" si="1"/>
        <v>17640149.750249699</v>
      </c>
      <c r="W11" s="1">
        <f t="shared" si="1"/>
        <v>18204634.542257693</v>
      </c>
      <c r="X11" s="1">
        <f t="shared" si="1"/>
        <v>18787182.847609933</v>
      </c>
      <c r="Y11" s="1">
        <f t="shared" si="1"/>
        <v>19388372.698733449</v>
      </c>
      <c r="Z11" s="1">
        <f t="shared" si="1"/>
        <v>20008800.62509292</v>
      </c>
      <c r="AA11" s="1">
        <f t="shared" si="1"/>
        <v>20649082.245095901</v>
      </c>
      <c r="AB11" s="1">
        <f t="shared" si="1"/>
        <v>21309852.876938965</v>
      </c>
      <c r="AC11" s="1">
        <f t="shared" si="1"/>
        <v>21991768.169001009</v>
      </c>
      <c r="AD11" s="1">
        <f t="shared" si="1"/>
        <v>22695504.750409044</v>
      </c>
      <c r="AE11" s="1">
        <f t="shared" si="1"/>
        <v>23421760.902422134</v>
      </c>
      <c r="AF11" s="1">
        <f t="shared" si="1"/>
        <v>24171257.251299638</v>
      </c>
    </row>
    <row r="12" spans="1:32" x14ac:dyDescent="0.35">
      <c r="A12" t="s">
        <v>71</v>
      </c>
      <c r="C12" s="1">
        <f t="shared" ref="C12:R12" si="2">C6*C$9</f>
        <v>52011706.69248268</v>
      </c>
      <c r="D12" s="1">
        <f t="shared" si="2"/>
        <v>53676081.306642123</v>
      </c>
      <c r="E12" s="1">
        <f t="shared" si="2"/>
        <v>55393715.908454664</v>
      </c>
      <c r="F12" s="1">
        <f t="shared" si="2"/>
        <v>57166314.817525215</v>
      </c>
      <c r="G12" s="1">
        <f t="shared" si="2"/>
        <v>58995636.89168603</v>
      </c>
      <c r="H12" s="1">
        <f t="shared" si="2"/>
        <v>60883497.272219971</v>
      </c>
      <c r="I12" s="1">
        <f t="shared" si="2"/>
        <v>62831769.184931003</v>
      </c>
      <c r="J12" s="1">
        <f t="shared" si="2"/>
        <v>64842385.798848808</v>
      </c>
      <c r="K12" s="1">
        <f t="shared" si="2"/>
        <v>66917342.144411974</v>
      </c>
      <c r="L12" s="1">
        <f t="shared" si="2"/>
        <v>69058697.09303315</v>
      </c>
      <c r="M12" s="1">
        <f t="shared" si="2"/>
        <v>71268575.400010213</v>
      </c>
      <c r="N12" s="1">
        <f t="shared" si="2"/>
        <v>73549169.81281054</v>
      </c>
      <c r="O12" s="1">
        <f t="shared" si="2"/>
        <v>75902743.24682048</v>
      </c>
      <c r="P12" s="1">
        <f t="shared" si="2"/>
        <v>78331631.030718729</v>
      </c>
      <c r="Q12" s="1">
        <f t="shared" si="2"/>
        <v>80838243.223701701</v>
      </c>
      <c r="R12" s="1">
        <f t="shared" si="2"/>
        <v>83425067.006860182</v>
      </c>
      <c r="S12" s="1">
        <f t="shared" si="1"/>
        <v>86094669.151079714</v>
      </c>
      <c r="T12" s="1">
        <f t="shared" si="1"/>
        <v>88849698.563914254</v>
      </c>
      <c r="U12" s="1">
        <f t="shared" si="1"/>
        <v>91692888.917959496</v>
      </c>
      <c r="V12" s="1">
        <f t="shared" si="1"/>
        <v>94627061.363334209</v>
      </c>
      <c r="W12" s="1">
        <f t="shared" si="1"/>
        <v>97655127.326960921</v>
      </c>
      <c r="X12" s="1">
        <f t="shared" si="1"/>
        <v>100780091.40142366</v>
      </c>
      <c r="Y12" s="1">
        <f t="shared" si="1"/>
        <v>104005054.32626919</v>
      </c>
      <c r="Z12" s="1">
        <f t="shared" si="1"/>
        <v>107333216.06470981</v>
      </c>
      <c r="AA12" s="1">
        <f t="shared" si="1"/>
        <v>110767878.97878057</v>
      </c>
      <c r="AB12" s="1">
        <f t="shared" si="1"/>
        <v>114312451.10610151</v>
      </c>
      <c r="AC12" s="1">
        <f t="shared" si="1"/>
        <v>117970449.54149675</v>
      </c>
      <c r="AD12" s="1">
        <f t="shared" si="1"/>
        <v>121745503.92682467</v>
      </c>
      <c r="AE12" s="1">
        <f t="shared" si="1"/>
        <v>125641360.05248305</v>
      </c>
      <c r="AF12" s="1">
        <f t="shared" si="1"/>
        <v>129661883.5741625</v>
      </c>
    </row>
    <row r="13" spans="1:32" x14ac:dyDescent="0.35">
      <c r="A13" t="s">
        <v>74</v>
      </c>
      <c r="C13" s="1">
        <f>C7*C$9</f>
        <v>1248280.9606195842</v>
      </c>
      <c r="D13" s="1">
        <f t="shared" si="1"/>
        <v>2576451.9027188215</v>
      </c>
      <c r="E13" s="1">
        <f t="shared" si="1"/>
        <v>3988347.545408736</v>
      </c>
      <c r="F13" s="1">
        <f t="shared" si="1"/>
        <v>5487966.2224824196</v>
      </c>
      <c r="G13" s="1">
        <f t="shared" si="1"/>
        <v>7079476.4270023229</v>
      </c>
      <c r="H13" s="1">
        <f t="shared" si="1"/>
        <v>8767223.6071996763</v>
      </c>
      <c r="I13" s="1">
        <f t="shared" si="1"/>
        <v>10555737.223068409</v>
      </c>
      <c r="J13" s="1">
        <f t="shared" si="1"/>
        <v>12449738.073378969</v>
      </c>
      <c r="K13" s="1">
        <f t="shared" si="1"/>
        <v>14454145.903192986</v>
      </c>
      <c r="L13" s="1">
        <f t="shared" si="1"/>
        <v>16574087.302327953</v>
      </c>
      <c r="M13" s="1">
        <f t="shared" si="1"/>
        <v>18814903.905602697</v>
      </c>
      <c r="N13" s="1">
        <f t="shared" si="1"/>
        <v>21182160.906089436</v>
      </c>
      <c r="O13" s="1">
        <f t="shared" si="1"/>
        <v>23681655.89300799</v>
      </c>
      <c r="P13" s="1">
        <f t="shared" si="1"/>
        <v>26319428.026321489</v>
      </c>
      <c r="Q13" s="1">
        <f t="shared" si="1"/>
        <v>29101767.560532615</v>
      </c>
      <c r="R13" s="1">
        <f t="shared" si="1"/>
        <v>32035225.730634306</v>
      </c>
      <c r="S13" s="1">
        <f t="shared" si="1"/>
        <v>35126625.013640523</v>
      </c>
      <c r="T13" s="1">
        <f t="shared" si="1"/>
        <v>38383069.779610954</v>
      </c>
      <c r="U13" s="1">
        <f t="shared" si="1"/>
        <v>41811957.346589535</v>
      </c>
      <c r="V13" s="1">
        <f t="shared" si="1"/>
        <v>45420989.45440042</v>
      </c>
      <c r="W13" s="1">
        <f t="shared" si="1"/>
        <v>49218184.1727883</v>
      </c>
      <c r="X13" s="1">
        <f t="shared" si="1"/>
        <v>53211888.259951696</v>
      </c>
      <c r="Y13" s="1">
        <f t="shared" si="1"/>
        <v>57410789.988100603</v>
      </c>
      <c r="Z13" s="1">
        <f t="shared" si="1"/>
        <v>61823932.453272864</v>
      </c>
      <c r="AA13" s="1">
        <f t="shared" si="1"/>
        <v>66460727.387268357</v>
      </c>
      <c r="AB13" s="1">
        <f t="shared" si="1"/>
        <v>71330969.490207374</v>
      </c>
      <c r="AC13" s="1">
        <f t="shared" si="1"/>
        <v>76444851.302889943</v>
      </c>
      <c r="AD13" s="1">
        <f t="shared" si="1"/>
        <v>81812978.638826206</v>
      </c>
      <c r="AE13" s="1">
        <f t="shared" si="1"/>
        <v>87446386.596528262</v>
      </c>
      <c r="AF13" s="1">
        <f t="shared" si="1"/>
        <v>93356556.173397049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62955885.228306547</v>
      </c>
      <c r="D25" s="40">
        <f>SUM(D11:D13,D18:D23)</f>
        <v>66258699.506971762</v>
      </c>
      <c r="E25" s="40">
        <f t="shared" ref="E25:AF25" si="7">SUM(E11:E13,E18:E23)</f>
        <v>69708427.072997764</v>
      </c>
      <c r="F25" s="40">
        <f t="shared" si="7"/>
        <v>73311088.294954285</v>
      </c>
      <c r="G25" s="40">
        <f t="shared" si="7"/>
        <v>77072938.405793309</v>
      </c>
      <c r="H25" s="40">
        <f t="shared" si="7"/>
        <v>81000476.369311959</v>
      </c>
      <c r="I25" s="40">
        <f t="shared" si="7"/>
        <v>85100454.073568285</v>
      </c>
      <c r="J25" s="40">
        <f t="shared" si="7"/>
        <v>89379885.863094851</v>
      </c>
      <c r="K25" s="40">
        <f t="shared" si="7"/>
        <v>93846058.422179773</v>
      </c>
      <c r="L25" s="40">
        <f t="shared" si="7"/>
        <v>98506541.02192232</v>
      </c>
      <c r="M25" s="40">
        <f t="shared" si="7"/>
        <v>103369196.14422408</v>
      </c>
      <c r="N25" s="40">
        <f t="shared" si="7"/>
        <v>108442190.49634671</v>
      </c>
      <c r="O25" s="40">
        <f t="shared" si="7"/>
        <v>113734006.4301535</v>
      </c>
      <c r="P25" s="40">
        <f t="shared" si="7"/>
        <v>119253453.78065564</v>
      </c>
      <c r="Q25" s="40">
        <f t="shared" si="7"/>
        <v>125009682.13900544</v>
      </c>
      <c r="R25" s="40">
        <f t="shared" si="7"/>
        <v>131012193.57561828</v>
      </c>
      <c r="S25" s="40">
        <f t="shared" si="7"/>
        <v>137270855.82966399</v>
      </c>
      <c r="T25" s="40">
        <f t="shared" si="7"/>
        <v>143795915.98174715</v>
      </c>
      <c r="U25" s="40">
        <f t="shared" si="7"/>
        <v>150598014.62719411</v>
      </c>
      <c r="V25" s="40">
        <f t="shared" si="7"/>
        <v>157688200.56798434</v>
      </c>
      <c r="W25" s="40">
        <f t="shared" si="7"/>
        <v>165077946.04200691</v>
      </c>
      <c r="X25" s="40">
        <f t="shared" si="7"/>
        <v>172779162.50898528</v>
      </c>
      <c r="Y25" s="40">
        <f t="shared" si="7"/>
        <v>180804217.01310325</v>
      </c>
      <c r="Z25" s="40">
        <f t="shared" si="7"/>
        <v>189165949.14307559</v>
      </c>
      <c r="AA25" s="40">
        <f t="shared" si="7"/>
        <v>197877688.61114484</v>
      </c>
      <c r="AB25" s="40">
        <f t="shared" si="7"/>
        <v>206953273.47324786</v>
      </c>
      <c r="AC25" s="40">
        <f t="shared" si="7"/>
        <v>216407069.01338771</v>
      </c>
      <c r="AD25" s="40">
        <f t="shared" si="7"/>
        <v>226253987.31605995</v>
      </c>
      <c r="AE25" s="40">
        <f t="shared" si="7"/>
        <v>236509507.55143344</v>
      </c>
      <c r="AF25" s="40">
        <f t="shared" si="7"/>
        <v>247189696.99885917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38639698.145120069</v>
      </c>
      <c r="D5" s="59">
        <f>C5*('Price and Financial ratios'!F4+1)*(1+Assumptions!$C$13)</f>
        <v>50519308.597808518</v>
      </c>
      <c r="E5" s="59">
        <f>D5*('Price and Financial ratios'!G4+1)*(1+Assumptions!$C$13)</f>
        <v>66051254.63494169</v>
      </c>
      <c r="F5" s="59">
        <f>E5*('Price and Financial ratios'!H4+1)*(1+Assumptions!$C$13)</f>
        <v>76393996.883904487</v>
      </c>
      <c r="G5" s="59">
        <f>F5*('Price and Financial ratios'!I4+1)*(1+Assumptions!$C$13)</f>
        <v>86051327.829808712</v>
      </c>
      <c r="H5" s="59">
        <f>G5*('Price and Financial ratios'!J4+1)*(1+Assumptions!$C$13)</f>
        <v>95198604.504820764</v>
      </c>
      <c r="I5" s="59">
        <f>H5*('Price and Financial ratios'!K4+1)*(1+Assumptions!$C$13)</f>
        <v>103403361.80197315</v>
      </c>
      <c r="J5" s="59">
        <f>I5*('Price and Financial ratios'!L4+1)*(1+Assumptions!$C$13)</f>
        <v>111275295.72300121</v>
      </c>
      <c r="K5" s="59">
        <f>J5*('Price and Financial ratios'!M4+1)*(1+Assumptions!$C$13)</f>
        <v>119746507.48739094</v>
      </c>
      <c r="L5" s="59">
        <f>K5*('Price and Financial ratios'!N4+1)*(1+Assumptions!$C$13)</f>
        <v>127658295.62319946</v>
      </c>
      <c r="M5" s="59">
        <f>L5*('Price and Financial ratios'!O4+1)*(1+Assumptions!$C$13)</f>
        <v>134808930.04051253</v>
      </c>
      <c r="N5" s="59">
        <f>M5*('Price and Financial ratios'!P4+1)*(1+Assumptions!$C$13)</f>
        <v>142360099.12202778</v>
      </c>
      <c r="O5" s="59">
        <f>N5*('Price and Financial ratios'!Q4+1)*(1+Assumptions!$C$13)</f>
        <v>150334238.36197761</v>
      </c>
      <c r="P5" s="59">
        <f>O5*('Price and Financial ratios'!R4+1)*(1+Assumptions!$C$13)</f>
        <v>158755039.95331848</v>
      </c>
      <c r="Q5" s="59">
        <f>P5*('Price and Financial ratios'!S4+1)*(1+Assumptions!$C$13)</f>
        <v>167647523.18028244</v>
      </c>
      <c r="R5" s="59">
        <f>Q5*('Price and Financial ratios'!T4+1)*(1+Assumptions!$C$13)</f>
        <v>177038108.75388741</v>
      </c>
      <c r="S5" s="59">
        <f>R5*('Price and Financial ratios'!U4+1)*(1+Assumptions!$C$13)</f>
        <v>186954697.31126666</v>
      </c>
      <c r="T5" s="59">
        <f>S5*('Price and Financial ratios'!V4+1)*(1+Assumptions!$C$13)</f>
        <v>197426752.31204909</v>
      </c>
      <c r="U5" s="59">
        <f>T5*('Price and Financial ratios'!W4+1)*(1+Assumptions!$C$13)</f>
        <v>208485387.57808599</v>
      </c>
      <c r="V5" s="59">
        <f>U5*('Price and Financial ratios'!X4+1)*(1+Assumptions!$C$13)</f>
        <v>220163459.73661625</v>
      </c>
      <c r="W5" s="59">
        <f>V5*('Price and Financial ratios'!Y4+1)*(1+Assumptions!$C$13)</f>
        <v>232495665.84153047</v>
      </c>
      <c r="X5" s="59">
        <f>W5*('Price and Financial ratios'!Z4+1)*(1+Assumptions!$C$13)</f>
        <v>245518646.46277916</v>
      </c>
      <c r="Y5" s="59">
        <f>X5*('Price and Financial ratios'!AA4+1)*(1+Assumptions!$C$13)</f>
        <v>256801846.0306913</v>
      </c>
      <c r="Z5" s="59">
        <f>Y5*('Price and Financial ratios'!AB4+1)*(1+Assumptions!$C$13)</f>
        <v>268603582.96561611</v>
      </c>
      <c r="AA5" s="59">
        <f>Z5*('Price and Financial ratios'!AC4+1)*(1+Assumptions!$C$13)</f>
        <v>280947687.47629631</v>
      </c>
      <c r="AB5" s="59">
        <f>AA5*('Price and Financial ratios'!AD4+1)*(1+Assumptions!$C$13)</f>
        <v>293859084.92658746</v>
      </c>
      <c r="AC5" s="59">
        <f>AB5*('Price and Financial ratios'!AE4+1)*(1+Assumptions!$C$13)</f>
        <v>307363846.16505158</v>
      </c>
      <c r="AD5" s="59">
        <f>AC5*('Price and Financial ratios'!AF4+1)*(1+Assumptions!$C$13)</f>
        <v>319943618.82056808</v>
      </c>
      <c r="AE5" s="59">
        <f>AD5*('Price and Financial ratios'!AG4+1)*(1+Assumptions!$C$13)</f>
        <v>333038255.80394536</v>
      </c>
      <c r="AF5" s="59">
        <f>AE5*('Price and Financial ratios'!AH4+1)*(1+Assumptions!$C$13)</f>
        <v>346668829.45753515</v>
      </c>
    </row>
    <row r="6" spans="1:32" s="11" customFormat="1" x14ac:dyDescent="0.35">
      <c r="A6" s="11" t="s">
        <v>20</v>
      </c>
      <c r="C6" s="59">
        <f>C27</f>
        <v>14664753.520515958</v>
      </c>
      <c r="D6" s="59">
        <f t="shared" ref="D6:AF6" si="1">D27</f>
        <v>16643399.757922929</v>
      </c>
      <c r="E6" s="59">
        <f>E27</f>
        <v>18702458.208451383</v>
      </c>
      <c r="F6" s="59">
        <f t="shared" si="1"/>
        <v>20844521.865385249</v>
      </c>
      <c r="G6" s="59">
        <f t="shared" si="1"/>
        <v>23072259.242946658</v>
      </c>
      <c r="H6" s="59">
        <f t="shared" si="1"/>
        <v>25388416.453922205</v>
      </c>
      <c r="I6" s="59">
        <f t="shared" si="1"/>
        <v>27795819.34242326</v>
      </c>
      <c r="J6" s="59">
        <f t="shared" si="1"/>
        <v>30297375.673208062</v>
      </c>
      <c r="K6" s="59">
        <f t="shared" si="1"/>
        <v>32896077.379029896</v>
      </c>
      <c r="L6" s="59">
        <f t="shared" si="1"/>
        <v>35595002.867512852</v>
      </c>
      <c r="M6" s="59">
        <f t="shared" si="1"/>
        <v>38397319.389094695</v>
      </c>
      <c r="N6" s="59">
        <f t="shared" si="1"/>
        <v>41306285.46761588</v>
      </c>
      <c r="O6" s="59">
        <f t="shared" si="1"/>
        <v>44325253.39517355</v>
      </c>
      <c r="P6" s="59">
        <f t="shared" si="1"/>
        <v>47457671.792900711</v>
      </c>
      <c r="Q6" s="59">
        <f t="shared" si="1"/>
        <v>50707088.239373043</v>
      </c>
      <c r="R6" s="59">
        <f t="shared" si="1"/>
        <v>54077151.968388602</v>
      </c>
      <c r="S6" s="59">
        <f t="shared" si="1"/>
        <v>57571616.637910694</v>
      </c>
      <c r="T6" s="59">
        <f t="shared" si="1"/>
        <v>61194343.17200911</v>
      </c>
      <c r="U6" s="59">
        <f t="shared" si="1"/>
        <v>64949302.67768167</v>
      </c>
      <c r="V6" s="59">
        <f t="shared" si="1"/>
        <v>68840579.438485771</v>
      </c>
      <c r="W6" s="59">
        <f t="shared" si="1"/>
        <v>72872373.986958742</v>
      </c>
      <c r="X6" s="59">
        <f t="shared" si="1"/>
        <v>77049006.257855847</v>
      </c>
      <c r="Y6" s="59">
        <f t="shared" si="1"/>
        <v>81374918.82428585</v>
      </c>
      <c r="Z6" s="59">
        <f t="shared" si="1"/>
        <v>85854680.218877941</v>
      </c>
      <c r="AA6" s="59">
        <f t="shared" si="1"/>
        <v>90492988.342166305</v>
      </c>
      <c r="AB6" s="59">
        <f t="shared" si="1"/>
        <v>95294673.96043545</v>
      </c>
      <c r="AC6" s="59">
        <f t="shared" si="1"/>
        <v>100264704.29532512</v>
      </c>
      <c r="AD6" s="59">
        <f t="shared" si="1"/>
        <v>105408186.70755285</v>
      </c>
      <c r="AE6" s="59">
        <f t="shared" si="1"/>
        <v>110730372.47717084</v>
      </c>
      <c r="AF6" s="59">
        <f t="shared" si="1"/>
        <v>116236660.68283588</v>
      </c>
    </row>
    <row r="7" spans="1:32" x14ac:dyDescent="0.35">
      <c r="A7" t="s">
        <v>21</v>
      </c>
      <c r="C7" s="4">
        <f>Depreciation!C8+Depreciation!C9</f>
        <v>10944178.535823865</v>
      </c>
      <c r="D7" s="4">
        <f>Depreciation!D8+Depreciation!D9</f>
        <v>12582618.200329639</v>
      </c>
      <c r="E7" s="4">
        <f>Depreciation!E8+Depreciation!E9</f>
        <v>14314711.1645431</v>
      </c>
      <c r="F7" s="4">
        <f>Depreciation!F8+Depreciation!F9</f>
        <v>16144773.477429081</v>
      </c>
      <c r="G7" s="4">
        <f>Depreciation!G8+Depreciation!G9</f>
        <v>18077301.514107279</v>
      </c>
      <c r="H7" s="4">
        <f>Depreciation!H8+Depreciation!H9</f>
        <v>20116979.097091988</v>
      </c>
      <c r="I7" s="4">
        <f>Depreciation!I8+Depreciation!I9</f>
        <v>22268684.888637275</v>
      </c>
      <c r="J7" s="4">
        <f>Depreciation!J8+Depreciation!J9</f>
        <v>24537500.064246044</v>
      </c>
      <c r="K7" s="4">
        <f>Depreciation!K8+Depreciation!K9</f>
        <v>26928716.277767807</v>
      </c>
      <c r="L7" s="4">
        <f>Depreciation!L8+Depreciation!L9</f>
        <v>29447843.928889163</v>
      </c>
      <c r="M7" s="4">
        <f>Depreciation!M8+Depreciation!M9</f>
        <v>32100620.744213868</v>
      </c>
      <c r="N7" s="4">
        <f>Depreciation!N8+Depreciation!N9</f>
        <v>34893020.683536164</v>
      </c>
      <c r="O7" s="4">
        <f>Depreciation!O8+Depreciation!O9</f>
        <v>37831263.183333017</v>
      </c>
      <c r="P7" s="4">
        <f>Depreciation!P8+Depreciation!P9</f>
        <v>40921822.749936908</v>
      </c>
      <c r="Q7" s="4">
        <f>Depreciation!Q8+Depreciation!Q9</f>
        <v>44171438.915303729</v>
      </c>
      <c r="R7" s="4">
        <f>Depreciation!R8+Depreciation!R9</f>
        <v>47587126.5687581</v>
      </c>
      <c r="S7" s="4">
        <f>Depreciation!S8+Depreciation!S9</f>
        <v>51176186.678584278</v>
      </c>
      <c r="T7" s="4">
        <f>Depreciation!T8+Depreciation!T9</f>
        <v>54946217.417832911</v>
      </c>
      <c r="U7" s="4">
        <f>Depreciation!U8+Depreciation!U9</f>
        <v>58905125.709234595</v>
      </c>
      <c r="V7" s="4">
        <f>Depreciation!V8+Depreciation!V9</f>
        <v>63061139.204650119</v>
      </c>
      <c r="W7" s="4">
        <f>Depreciation!W8+Depreciation!W9</f>
        <v>67422818.715045989</v>
      </c>
      <c r="X7" s="4">
        <f>Depreciation!X8+Depreciation!X9</f>
        <v>71999071.107561633</v>
      </c>
      <c r="Y7" s="4">
        <f>Depreciation!Y8+Depreciation!Y9</f>
        <v>76799162.686834052</v>
      </c>
      <c r="Z7" s="4">
        <f>Depreciation!Z8+Depreciation!Z9</f>
        <v>81832733.078365788</v>
      </c>
      <c r="AA7" s="4">
        <f>Depreciation!AA8+Depreciation!AA9</f>
        <v>87109809.632364258</v>
      </c>
      <c r="AB7" s="4">
        <f>Depreciation!AB8+Depreciation!AB9</f>
        <v>92640822.367146343</v>
      </c>
      <c r="AC7" s="4">
        <f>Depreciation!AC8+Depreciation!AC9</f>
        <v>98436619.471890956</v>
      </c>
      <c r="AD7" s="4">
        <f>Depreciation!AD8+Depreciation!AD9</f>
        <v>104508483.38923526</v>
      </c>
      <c r="AE7" s="4">
        <f>Depreciation!AE8+Depreciation!AE9</f>
        <v>110868147.49895039</v>
      </c>
      <c r="AF7" s="4">
        <f>Depreciation!AF8+Depreciation!AF9</f>
        <v>117527813.42469668</v>
      </c>
    </row>
    <row r="8" spans="1:32" x14ac:dyDescent="0.35">
      <c r="A8" t="s">
        <v>6</v>
      </c>
      <c r="C8" s="4">
        <f ca="1">'Debt worksheet'!C8</f>
        <v>4289764.6851083795</v>
      </c>
      <c r="D8" s="4">
        <f ca="1">'Debt worksheet'!D8</f>
        <v>5619857.3662760574</v>
      </c>
      <c r="E8" s="4">
        <f ca="1">'Debt worksheet'!E8</f>
        <v>6634657.4496412631</v>
      </c>
      <c r="F8" s="4">
        <f ca="1">'Debt worksheet'!F8</f>
        <v>7519496.2842657929</v>
      </c>
      <c r="G8" s="4">
        <f ca="1">'Debt worksheet'!G8</f>
        <v>8303400.7543299347</v>
      </c>
      <c r="H8" s="4">
        <f ca="1">'Debt worksheet'!H8</f>
        <v>9010425.7466055993</v>
      </c>
      <c r="I8" s="4">
        <f ca="1">'Debt worksheet'!I8</f>
        <v>9681531.2467318587</v>
      </c>
      <c r="J8" s="4">
        <f ca="1">'Debt worksheet'!J8</f>
        <v>10337409.378442921</v>
      </c>
      <c r="K8" s="4">
        <f ca="1">'Debt worksheet'!K8</f>
        <v>10966068.776607851</v>
      </c>
      <c r="L8" s="4">
        <f ca="1">'Debt worksheet'!L8</f>
        <v>11597494.78334311</v>
      </c>
      <c r="M8" s="4">
        <f ca="1">'Debt worksheet'!M8</f>
        <v>12270476.969524693</v>
      </c>
      <c r="N8" s="4">
        <f ca="1">'Debt worksheet'!N8</f>
        <v>12983492.392738249</v>
      </c>
      <c r="O8" s="4">
        <f ca="1">'Debt worksheet'!O8</f>
        <v>13734578.387518631</v>
      </c>
      <c r="P8" s="4">
        <f ca="1">'Debt worksheet'!P8</f>
        <v>14521286.408525344</v>
      </c>
      <c r="Q8" s="4">
        <f ca="1">'Debt worksheet'!Q8</f>
        <v>15340632.18700384</v>
      </c>
      <c r="R8" s="4">
        <f ca="1">'Debt worksheet'!R8</f>
        <v>16189041.942650801</v>
      </c>
      <c r="S8" s="4">
        <f ca="1">'Debt worksheet'!S8</f>
        <v>17062294.376291793</v>
      </c>
      <c r="T8" s="4">
        <f ca="1">'Debt worksheet'!T8</f>
        <v>17955458.151037868</v>
      </c>
      <c r="U8" s="4">
        <f ca="1">'Debt worksheet'!U8</f>
        <v>18862824.550751824</v>
      </c>
      <c r="V8" s="4">
        <f ca="1">'Debt worksheet'!V8</f>
        <v>19777834.984659802</v>
      </c>
      <c r="W8" s="4">
        <f ca="1">'Debt worksheet'!W8</f>
        <v>20693002.985720243</v>
      </c>
      <c r="X8" s="4">
        <f ca="1">'Debt worksheet'!X8</f>
        <v>21599830.327836696</v>
      </c>
      <c r="Y8" s="4">
        <f ca="1">'Debt worksheet'!Y8</f>
        <v>22578275.099555559</v>
      </c>
      <c r="Z8" s="4">
        <f ca="1">'Debt worksheet'!Z8</f>
        <v>23629918.884380694</v>
      </c>
      <c r="AA8" s="4">
        <f ca="1">'Debt worksheet'!AA8</f>
        <v>24756190.172099706</v>
      </c>
      <c r="AB8" s="4">
        <f ca="1">'Debt worksheet'!AB8</f>
        <v>25958342.341811463</v>
      </c>
      <c r="AC8" s="4">
        <f ca="1">'Debt worksheet'!AC8</f>
        <v>27237429.83610322</v>
      </c>
      <c r="AD8" s="4">
        <f ca="1">'Debt worksheet'!AD8</f>
        <v>28650341.210580088</v>
      </c>
      <c r="AE8" s="4">
        <f ca="1">'Debt worksheet'!AE8</f>
        <v>30204557.573516216</v>
      </c>
      <c r="AF8" s="4">
        <f ca="1">'Debt worksheet'!AF8</f>
        <v>31907845.659442294</v>
      </c>
    </row>
    <row r="9" spans="1:32" x14ac:dyDescent="0.35">
      <c r="A9" t="s">
        <v>22</v>
      </c>
      <c r="C9" s="4">
        <f ca="1">C5-C6-C7-C8</f>
        <v>8741001.4036718681</v>
      </c>
      <c r="D9" s="4">
        <f t="shared" ref="D9:AF9" ca="1" si="2">D5-D6-D7-D8</f>
        <v>15673433.273279896</v>
      </c>
      <c r="E9" s="4">
        <f t="shared" ca="1" si="2"/>
        <v>26399427.812305942</v>
      </c>
      <c r="F9" s="4">
        <f t="shared" ca="1" si="2"/>
        <v>31885205.256824367</v>
      </c>
      <c r="G9" s="4">
        <f t="shared" ca="1" si="2"/>
        <v>36598366.318424843</v>
      </c>
      <c r="H9" s="4">
        <f t="shared" ca="1" si="2"/>
        <v>40682783.207200967</v>
      </c>
      <c r="I9" s="4">
        <f t="shared" ca="1" si="2"/>
        <v>43657326.324180752</v>
      </c>
      <c r="J9" s="4">
        <f t="shared" ca="1" si="2"/>
        <v>46103010.60710419</v>
      </c>
      <c r="K9" s="4">
        <f t="shared" ca="1" si="2"/>
        <v>48955645.05398538</v>
      </c>
      <c r="L9" s="4">
        <f t="shared" ca="1" si="2"/>
        <v>51017954.043454334</v>
      </c>
      <c r="M9" s="4">
        <f t="shared" ca="1" si="2"/>
        <v>52040512.937679276</v>
      </c>
      <c r="N9" s="4">
        <f t="shared" ca="1" si="2"/>
        <v>53177300.578137502</v>
      </c>
      <c r="O9" s="4">
        <f t="shared" ca="1" si="2"/>
        <v>54443143.395952418</v>
      </c>
      <c r="P9" s="4">
        <f t="shared" ca="1" si="2"/>
        <v>55854259.001955509</v>
      </c>
      <c r="Q9" s="4">
        <f t="shared" ca="1" si="2"/>
        <v>57428363.838601843</v>
      </c>
      <c r="R9" s="4">
        <f t="shared" ca="1" si="2"/>
        <v>59184788.27408991</v>
      </c>
      <c r="S9" s="4">
        <f t="shared" ca="1" si="2"/>
        <v>61144599.618479893</v>
      </c>
      <c r="T9" s="4">
        <f t="shared" ca="1" si="2"/>
        <v>63330733.571169198</v>
      </c>
      <c r="U9" s="4">
        <f t="shared" ca="1" si="2"/>
        <v>65768134.640417919</v>
      </c>
      <c r="V9" s="4">
        <f t="shared" ca="1" si="2"/>
        <v>68483906.108820558</v>
      </c>
      <c r="W9" s="4">
        <f t="shared" ca="1" si="2"/>
        <v>71507470.153805494</v>
      </c>
      <c r="X9" s="4">
        <f t="shared" ca="1" si="2"/>
        <v>74870738.769525006</v>
      </c>
      <c r="Y9" s="4">
        <f t="shared" ca="1" si="2"/>
        <v>76049489.420015842</v>
      </c>
      <c r="Z9" s="4">
        <f t="shared" ca="1" si="2"/>
        <v>77286250.78399168</v>
      </c>
      <c r="AA9" s="4">
        <f t="shared" ca="1" si="2"/>
        <v>78588699.329666033</v>
      </c>
      <c r="AB9" s="4">
        <f t="shared" ca="1" si="2"/>
        <v>79965246.257194206</v>
      </c>
      <c r="AC9" s="4">
        <f t="shared" ca="1" si="2"/>
        <v>81425092.561732307</v>
      </c>
      <c r="AD9" s="4">
        <f t="shared" ca="1" si="2"/>
        <v>81376607.513199896</v>
      </c>
      <c r="AE9" s="4">
        <f t="shared" ca="1" si="2"/>
        <v>81235178.254307926</v>
      </c>
      <c r="AF9" s="4">
        <f t="shared" ca="1" si="2"/>
        <v>80996509.690560296</v>
      </c>
    </row>
    <row r="12" spans="1:32" x14ac:dyDescent="0.35">
      <c r="A12" t="s">
        <v>79</v>
      </c>
      <c r="C12" s="2">
        <f>Assumptions!$C$25*Assumptions!D9*Assumptions!D13</f>
        <v>13119522.001919525</v>
      </c>
      <c r="D12" s="2">
        <f>Assumptions!$C$25*Assumptions!E9*Assumptions!E13</f>
        <v>13484946.533911821</v>
      </c>
      <c r="E12" s="2">
        <f>Assumptions!$C$25*Assumptions!F9*Assumptions!F13</f>
        <v>13860549.416042352</v>
      </c>
      <c r="F12" s="2">
        <f>Assumptions!$C$25*Assumptions!G9*Assumptions!G13</f>
        <v>14246614.150929213</v>
      </c>
      <c r="G12" s="2">
        <f>Assumptions!$C$25*Assumptions!H9*Assumptions!H13</f>
        <v>14643432.137729069</v>
      </c>
      <c r="H12" s="2">
        <f>Assumptions!$C$25*Assumptions!I9*Assumptions!I13</f>
        <v>15051302.892083356</v>
      </c>
      <c r="I12" s="2">
        <f>Assumptions!$C$25*Assumptions!J9*Assumptions!J13</f>
        <v>15470534.272190738</v>
      </c>
      <c r="J12" s="2">
        <f>Assumptions!$C$25*Assumptions!K9*Assumptions!K13</f>
        <v>15901442.711176472</v>
      </c>
      <c r="K12" s="2">
        <f>Assumptions!$C$25*Assumptions!L9*Assumptions!L13</f>
        <v>16344353.455934078</v>
      </c>
      <c r="L12" s="2">
        <f>Assumptions!$C$25*Assumptions!M9*Assumptions!M13</f>
        <v>16799600.8126196</v>
      </c>
      <c r="M12" s="2">
        <f>Assumptions!$C$25*Assumptions!N9*Assumptions!N13</f>
        <v>17267528.398983698</v>
      </c>
      <c r="N12" s="2">
        <f>Assumptions!$C$25*Assumptions!O9*Assumptions!O13</f>
        <v>17748489.403732128</v>
      </c>
      <c r="O12" s="2">
        <f>Assumptions!$C$25*Assumptions!P9*Assumptions!P13</f>
        <v>18242846.85311025</v>
      </c>
      <c r="P12" s="2">
        <f>Assumptions!$C$25*Assumptions!Q9*Assumptions!Q13</f>
        <v>18750973.884912901</v>
      </c>
      <c r="Q12" s="2">
        <f>Assumptions!$C$25*Assumptions!R9*Assumptions!R13</f>
        <v>19273254.030126389</v>
      </c>
      <c r="R12" s="2">
        <f>Assumptions!$C$25*Assumptions!S9*Assumptions!S13</f>
        <v>19810081.50241518</v>
      </c>
      <c r="S12" s="2">
        <f>Assumptions!$C$25*Assumptions!T9*Assumptions!T13</f>
        <v>20361861.495671805</v>
      </c>
      <c r="T12" s="2">
        <f>Assumptions!$C$25*Assumptions!U9*Assumptions!U13</f>
        <v>20929010.489854608</v>
      </c>
      <c r="U12" s="2">
        <f>Assumptions!$C$25*Assumptions!V9*Assumptions!V13</f>
        <v>21511956.565344099</v>
      </c>
      <c r="V12" s="2">
        <f>Assumptions!$C$25*Assumptions!W9*Assumptions!W13</f>
        <v>22111139.726055242</v>
      </c>
      <c r="W12" s="2">
        <f>Assumptions!$C$25*Assumptions!X9*Assumptions!X13</f>
        <v>22727012.231549561</v>
      </c>
      <c r="X12" s="2">
        <f>Assumptions!$C$25*Assumptions!Y9*Assumptions!Y13</f>
        <v>23360038.938397732</v>
      </c>
      <c r="Y12" s="2">
        <f>Assumptions!$C$25*Assumptions!Z9*Assumptions!Z13</f>
        <v>24010697.651050281</v>
      </c>
      <c r="Z12" s="2">
        <f>Assumptions!$C$25*Assumptions!AA9*Assumptions!AA13</f>
        <v>24679479.482481331</v>
      </c>
      <c r="AA12" s="2">
        <f>Assumptions!$C$25*Assumptions!AB9*Assumptions!AB13</f>
        <v>25366889.224877406</v>
      </c>
      <c r="AB12" s="2">
        <f>Assumptions!$C$25*Assumptions!AC9*Assumptions!AC13</f>
        <v>26073445.730651405</v>
      </c>
      <c r="AC12" s="2">
        <f>Assumptions!$C$25*Assumptions!AD9*Assumptions!AD13</f>
        <v>26799682.304068923</v>
      </c>
      <c r="AD12" s="2">
        <f>Assumptions!$C$25*Assumptions!AE9*Assumptions!AE13</f>
        <v>27546147.103782959</v>
      </c>
      <c r="AE12" s="2">
        <f>Assumptions!$C$25*Assumptions!AF9*Assumptions!AF13</f>
        <v>28313403.556580406</v>
      </c>
      <c r="AF12" s="2">
        <f>Assumptions!$C$25*Assumptions!AG9*Assumptions!AG13</f>
        <v>29102030.782653015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1545231.5185964331</v>
      </c>
      <c r="D14" s="5">
        <f>Assumptions!E122*Assumptions!E9</f>
        <v>3158453.2240111092</v>
      </c>
      <c r="E14" s="5">
        <f>Assumptions!F122*Assumptions!F9</f>
        <v>4841908.7924090307</v>
      </c>
      <c r="F14" s="5">
        <f>Assumptions!G122*Assumptions!G9</f>
        <v>6597907.7144560385</v>
      </c>
      <c r="G14" s="5">
        <f>Assumptions!H122*Assumptions!H9</f>
        <v>8428827.1052175891</v>
      </c>
      <c r="H14" s="5">
        <f>Assumptions!I122*Assumptions!I9</f>
        <v>10337113.56183885</v>
      </c>
      <c r="I14" s="5">
        <f>Assumptions!J122*Assumptions!J9</f>
        <v>12325285.070232524</v>
      </c>
      <c r="J14" s="5">
        <f>Assumptions!K122*Assumptions!K9</f>
        <v>14395932.96203159</v>
      </c>
      <c r="K14" s="5">
        <f>Assumptions!L122*Assumptions!L9</f>
        <v>16551723.923095819</v>
      </c>
      <c r="L14" s="5">
        <f>Assumptions!M122*Assumptions!M9</f>
        <v>18795402.054893252</v>
      </c>
      <c r="M14" s="5">
        <f>Assumptions!N122*Assumptions!N9</f>
        <v>21129790.990110997</v>
      </c>
      <c r="N14" s="5">
        <f>Assumptions!O122*Assumptions!O9</f>
        <v>23557796.063883752</v>
      </c>
      <c r="O14" s="5">
        <f>Assumptions!P122*Assumptions!P9</f>
        <v>26082406.542063296</v>
      </c>
      <c r="P14" s="5">
        <f>Assumptions!Q122*Assumptions!Q9</f>
        <v>28706697.907987811</v>
      </c>
      <c r="Q14" s="5">
        <f>Assumptions!R122*Assumptions!R9</f>
        <v>31433834.209246658</v>
      </c>
      <c r="R14" s="5">
        <f>Assumptions!S122*Assumptions!S9</f>
        <v>34267070.465973422</v>
      </c>
      <c r="S14" s="5">
        <f>Assumptions!T122*Assumptions!T9</f>
        <v>37209755.142238885</v>
      </c>
      <c r="T14" s="5">
        <f>Assumptions!U122*Assumptions!U9</f>
        <v>40265332.682154506</v>
      </c>
      <c r="U14" s="5">
        <f>Assumptions!V122*Assumptions!V9</f>
        <v>43437346.112337567</v>
      </c>
      <c r="V14" s="5">
        <f>Assumptions!W122*Assumptions!W9</f>
        <v>46729439.712430522</v>
      </c>
      <c r="W14" s="5">
        <f>Assumptions!X122*Assumptions!X9</f>
        <v>50145361.755409189</v>
      </c>
      <c r="X14" s="5">
        <f>Assumptions!Y122*Assumptions!Y9</f>
        <v>53688967.319458112</v>
      </c>
      <c r="Y14" s="5">
        <f>Assumptions!Z122*Assumptions!Z9</f>
        <v>57364221.173235565</v>
      </c>
      <c r="Z14" s="5">
        <f>Assumptions!AA122*Assumptions!AA9</f>
        <v>61175200.736396618</v>
      </c>
      <c r="AA14" s="5">
        <f>Assumptions!AB122*Assumptions!AB9</f>
        <v>65126099.117288895</v>
      </c>
      <c r="AB14" s="5">
        <f>Assumptions!AC122*Assumptions!AC9</f>
        <v>69221228.229784042</v>
      </c>
      <c r="AC14" s="5">
        <f>Assumptions!AD122*Assumptions!AD9</f>
        <v>73465021.991256192</v>
      </c>
      <c r="AD14" s="5">
        <f>Assumptions!AE122*Assumptions!AE9</f>
        <v>77862039.603769898</v>
      </c>
      <c r="AE14" s="5">
        <f>Assumptions!AF122*Assumptions!AF9</f>
        <v>82416968.92059043</v>
      </c>
      <c r="AF14" s="5">
        <f>Assumptions!AG122*Assumptions!AG9</f>
        <v>87134629.900182858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14664753.520515958</v>
      </c>
      <c r="D27" s="2">
        <f t="shared" ref="D27:AF27" si="8">D12+D13+D14+D19+D20+D22+D24+D25</f>
        <v>16643399.757922929</v>
      </c>
      <c r="E27" s="2">
        <f t="shared" si="8"/>
        <v>18702458.208451383</v>
      </c>
      <c r="F27" s="2">
        <f t="shared" si="8"/>
        <v>20844521.865385249</v>
      </c>
      <c r="G27" s="2">
        <f t="shared" si="8"/>
        <v>23072259.242946658</v>
      </c>
      <c r="H27" s="2">
        <f t="shared" si="8"/>
        <v>25388416.453922205</v>
      </c>
      <c r="I27" s="2">
        <f t="shared" si="8"/>
        <v>27795819.34242326</v>
      </c>
      <c r="J27" s="2">
        <f t="shared" si="8"/>
        <v>30297375.673208062</v>
      </c>
      <c r="K27" s="2">
        <f t="shared" si="8"/>
        <v>32896077.379029896</v>
      </c>
      <c r="L27" s="2">
        <f t="shared" si="8"/>
        <v>35595002.867512852</v>
      </c>
      <c r="M27" s="2">
        <f t="shared" si="8"/>
        <v>38397319.389094695</v>
      </c>
      <c r="N27" s="2">
        <f t="shared" si="8"/>
        <v>41306285.46761588</v>
      </c>
      <c r="O27" s="2">
        <f t="shared" si="8"/>
        <v>44325253.39517355</v>
      </c>
      <c r="P27" s="2">
        <f t="shared" si="8"/>
        <v>47457671.792900711</v>
      </c>
      <c r="Q27" s="2">
        <f t="shared" si="8"/>
        <v>50707088.239373043</v>
      </c>
      <c r="R27" s="2">
        <f t="shared" si="8"/>
        <v>54077151.968388602</v>
      </c>
      <c r="S27" s="2">
        <f t="shared" si="8"/>
        <v>57571616.637910694</v>
      </c>
      <c r="T27" s="2">
        <f t="shared" si="8"/>
        <v>61194343.17200911</v>
      </c>
      <c r="U27" s="2">
        <f t="shared" si="8"/>
        <v>64949302.67768167</v>
      </c>
      <c r="V27" s="2">
        <f t="shared" si="8"/>
        <v>68840579.438485771</v>
      </c>
      <c r="W27" s="2">
        <f t="shared" si="8"/>
        <v>72872373.986958742</v>
      </c>
      <c r="X27" s="2">
        <f t="shared" si="8"/>
        <v>77049006.257855847</v>
      </c>
      <c r="Y27" s="2">
        <f t="shared" si="8"/>
        <v>81374918.82428585</v>
      </c>
      <c r="Z27" s="2">
        <f t="shared" si="8"/>
        <v>85854680.218877941</v>
      </c>
      <c r="AA27" s="2">
        <f t="shared" si="8"/>
        <v>90492988.342166305</v>
      </c>
      <c r="AB27" s="2">
        <f t="shared" si="8"/>
        <v>95294673.96043545</v>
      </c>
      <c r="AC27" s="2">
        <f t="shared" si="8"/>
        <v>100264704.29532512</v>
      </c>
      <c r="AD27" s="2">
        <f t="shared" si="8"/>
        <v>105408186.70755285</v>
      </c>
      <c r="AE27" s="2">
        <f t="shared" si="8"/>
        <v>110730372.47717084</v>
      </c>
      <c r="AF27" s="2">
        <f t="shared" si="8"/>
        <v>116236660.68283588</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3W2DU3RAJ5R2-1900874439-863</_dlc_DocId>
    <_dlc_DocIdUrl xmlns="f54e2983-00ce-40fc-8108-18f351fc47bf">
      <Url>https://dia.cohesion.net.nz/Sites/LGV/TWRP/CAE/_layouts/15/DocIdRedir.aspx?ID=3W2DU3RAJ5R2-1900874439-863</Url>
      <Description>3W2DU3RAJ5R2-1900874439-863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CDAFC6-EFF5-47AE-9B26-F48E43DF7F16}"/>
</file>

<file path=customXml/itemProps2.xml><?xml version="1.0" encoding="utf-8"?>
<ds:datastoreItem xmlns:ds="http://schemas.openxmlformats.org/officeDocument/2006/customXml" ds:itemID="{CBCC2D2A-763C-48F8-A3E5-6B0A81386C39}">
  <ds:schemaRefs>
    <ds:schemaRef ds:uri="http://schemas.microsoft.com/sharepoint/v3"/>
    <ds:schemaRef ds:uri="http://purl.org/dc/elements/1.1/"/>
    <ds:schemaRef ds:uri="http://schemas.microsoft.com/office/infopath/2007/PartnerControls"/>
    <ds:schemaRef ds:uri="65b6d800-2dda-48d6-88d8-9e2b35e6f7ea"/>
    <ds:schemaRef ds:uri="http://purl.org/dc/terms/"/>
    <ds:schemaRef ds:uri="http://schemas.microsoft.com/office/2006/metadata/properties"/>
    <ds:schemaRef ds:uri="http://schemas.openxmlformats.org/package/2006/metadata/core-properties"/>
    <ds:schemaRef ds:uri="http://schemas.microsoft.com/office/2006/documentManagement/typ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6ADC198B-3E55-491F-A33E-22CC5C977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2021-07-05T14:35:50Z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a1cc6b4f-3d59-4246-9bf5-7ee1347601ba</vt:lpwstr>
  </property>
</Properties>
</file>