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205" documentId="8_{4ADEDF19-E78D-449C-B0BB-CFAA01821F3E}" xr6:coauthVersionLast="47" xr6:coauthVersionMax="47" xr10:uidLastSave="{DC686824-CC6C-42FF-96A8-59FD264FE224}"/>
  <bookViews>
    <workbookView xWindow="1290" yWindow="-110" windowWidth="37220" windowHeight="218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c r="A9" i="19"/>
  <c r="B40" i="21"/>
  <c r="B27" i="21"/>
  <c r="A21" i="21"/>
  <c r="A34" i="21"/>
  <c r="B8" i="21"/>
  <c r="B21" i="21"/>
  <c r="B34" i="21"/>
  <c r="C83" i="2"/>
  <c r="C87" i="2"/>
  <c r="C82" i="2"/>
  <c r="C89" i="2"/>
  <c r="C94" i="2"/>
  <c r="C90" i="2"/>
  <c r="C95" i="2"/>
  <c r="C96" i="2"/>
  <c r="C102" i="2"/>
  <c r="D113" i="2"/>
  <c r="C58" i="2"/>
  <c r="C106" i="2"/>
  <c r="C63" i="2"/>
  <c r="C107" i="2"/>
  <c r="D11" i="2"/>
  <c r="C40" i="2"/>
  <c r="C41" i="2"/>
  <c r="C39" i="2"/>
  <c r="C36" i="2"/>
  <c r="C37" i="2"/>
  <c r="C35"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D120" i="2"/>
  <c r="C9" i="6"/>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5" i="9"/>
  <c r="C11" i="9"/>
  <c r="C18" i="2"/>
  <c r="C7" i="6"/>
  <c r="B6" i="5"/>
  <c r="K24" i="8"/>
  <c r="K27" i="8"/>
  <c r="K6" i="8"/>
  <c r="M122" i="2"/>
  <c r="L14" i="8"/>
  <c r="L7" i="9"/>
  <c r="L13" i="9"/>
  <c r="L23" i="9"/>
  <c r="M15" i="9"/>
  <c r="M20" i="9"/>
  <c r="O44" i="2"/>
  <c r="N115" i="2"/>
  <c r="N118" i="2"/>
  <c r="N43" i="2"/>
  <c r="L16" i="8"/>
  <c r="L19" i="8"/>
  <c r="I111" i="2"/>
  <c r="H5" i="9"/>
  <c r="H11" i="9"/>
  <c r="H18" i="9"/>
  <c r="H25" i="9"/>
  <c r="H18" i="6"/>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<sst xmlns="http://schemas.openxmlformats.org/spreadsheetml/2006/main" count="276" uniqueCount="204">
  <si>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</si>
  <si>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</si>
  <si>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</si>
  <si>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</si>
  <si>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</si>
  <si>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</si>
  <si>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</si>
  <si>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</si>
  <si>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</si>
  <si>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</si>
  <si>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</si>
  <si>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</si>
  <si>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</si>
  <si>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</si>
  <si>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</si>
  <si>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</si>
  <si>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</si>
  <si>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</si>
  <si>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</si>
  <si>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</si>
  <si>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</si>
  <si>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</si>
  <si>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</si>
  <si>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</si>
  <si>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</si>
  <si>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</si>
  <si>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</si>
  <si>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</si>
  <si>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</si>
  <si>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</si>
  <si>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</si>
  <si>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</si>
  <si>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</si>
  <si>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</si>
  <si>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</si>
  <si>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</si>
  <si>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</si>
  <si>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</si>
  <si>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</si>
  <si>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</si>
  <si>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</si>
  <si>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</si>
  <si>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</si>
  <si>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</si>
  <si>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</si>
  <si>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</si>
  <si>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</si>
  <si>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</si>
  <si>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</si>
  <si>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</si>
  <si>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</si>
  <si>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</si>
  <si>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</si>
  <si>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</si>
  <si>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</si>
  <si>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</si>
  <si>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</si>
  <si>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</si>
  <si>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</si>
  <si>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</si>
  <si>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</si>
  <si>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</si>
  <si>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</si>
  <si>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</si>
  <si>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</si>
  <si>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</si>
  <si>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</si>
  <si>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</si>
  <si>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</si>
  <si>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</si>
  <si>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</si>
  <si>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</si>
  <si>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</si>
  <si>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</si>
  <si>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</si>
  <si>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</si>
  <si>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</si>
  <si>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</si>
  <si>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</si>
  <si>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</si>
  <si>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</si>
  <si>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</si>
  <si>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</si>
  <si>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</si>
  <si>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</si>
  <si>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</si>
  <si>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</si>
  <si>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</si>
  <si>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</si>
  <si>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</si>
  <si>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</si>
  <si>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</si>
  <si>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</si>
  <si>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</si>
  <si>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</si>
  <si>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</si>
  <si>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</si>
  <si>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</si>
  <si>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</si>
  <si>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</si>
  <si>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</si>
  <si>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</si>
  <si>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</si>
  <si>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</si>
  <si>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</si>
  <si>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</si>
  <si>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</si>
  <si>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</si>
  <si>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</si>
  <si>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</si>
  <si>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</si>
  <si>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</si>
  <si>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</si>
  <si>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</si>
  <si>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</si>
  <si>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</si>
  <si>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</si>
  <si>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</si>
  <si>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</si>
  <si>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</si>
  <si>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</si>
  <si>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</si>
  <si>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</si>
  <si>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</si>
  <si>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</si>
  <si>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</si>
  <si>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</si>
  <si>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</si>
  <si>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</si>
  <si>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</si>
  <si>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</si>
  <si>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</si>
  <si>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</si>
  <si>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</si>
  <si>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</si>
  <si>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</si>
  <si>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</si>
  <si>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</si>
  <si>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</si>
  <si>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</si>
  <si>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</si>
  <si>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</si>
  <si>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</si>
  <si>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</si>
  <si>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</si>
  <si>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</si>
  <si>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</si>
  <si>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</si>
  <si>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</si>
  <si>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</si>
  <si>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</si>
  <si>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</si>
  <si>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</si>
  <si>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</si>
  <si>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</si>
  <si>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</si>
  <si>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</si>
  <si>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</si>
  <si>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</si>
  <si>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</si>
  <si>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</si>
  <si>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</si>
  <si>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</si>
  <si>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</si>
  <si>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</si>
  <si>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</si>
  <si>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</si>
  <si>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</si>
  <si>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</si>
  <si>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</si>
  <si>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</si>
  <si>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</si>
  <si>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</si>
  <si>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</si>
  <si>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</si>
  <si>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</si>
  <si>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</si>
  <si>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</si>
  <si>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</si>
  <si>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</si>
  <si>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</si>
  <si>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</si>
  <si>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</si>
  <si>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</si>
  <si>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</si>
  <si>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</si>
  <si>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</si>
  <si>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</si>
  <si>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</si>
  <si>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</si>
  <si>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</si>
  <si>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</si>
  <si>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</si>
  <si>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</si>
  <si>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</si>
  <si>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</si>
  <si>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</si>
  <si>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</si>
  <si>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Tasman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</si>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</sst>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10" fillId="0" borderId="0" xfId="0" applyNumberFormat="1" applyFont="1" applyFill="1" applyAlignment="1">
      <alignment vertical="top" wrapText="1"/>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94" zoomScaleNormal="94"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783656000</v>
      </c>
      <c r="C6" s="12">
        <f ca="1">B6+Depreciation!C18+'Cash Flow'!C13</f>
        <v>806569195.94690347</v>
      </c>
      <c r="D6" s="1">
        <f ca="1">C6+Depreciation!D18</f>
        <v>891874542.05853701</v>
      </c>
      <c r="E6" s="1">
        <f ca="1">D6+Depreciation!E18</f>
        <v>981644121.34596896</v>
      </c>
      <c r="F6" s="1">
        <f ca="1">E6+Depreciation!F18</f>
        <v>1076076292.058032</v>
      </c>
      <c r="G6" s="1">
        <f ca="1">F6+Depreciation!G18</f>
        <v>1175377535.9967122</v>
      </c>
      <c r="H6" s="1">
        <f ca="1">G6+Depreciation!H18</f>
        <v>1279762775.3057041</v>
      </c>
      <c r="I6" s="1">
        <f ca="1">H6+Depreciation!I18</f>
        <v>1389455701.2149141</v>
      </c>
      <c r="J6" s="1">
        <f ca="1">I6+Depreciation!J18</f>
        <v>1504689115.181704</v>
      </c>
      <c r="K6" s="1">
        <f ca="1">J6+Depreciation!K18</f>
        <v>1625705282.8856277</v>
      </c>
      <c r="L6" s="1">
        <f ca="1">K6+Depreciation!L18</f>
        <v>1752756301.5499601</v>
      </c>
      <c r="M6" s="1">
        <f ca="1">L6+Depreciation!M18</f>
        <v>1886104481.0804381</v>
      </c>
      <c r="N6" s="1">
        <f ca="1">M6+Depreciation!N18</f>
        <v>2026022739.5293832</v>
      </c>
      <c r="O6" s="1">
        <f ca="1">N6+Depreciation!O18</f>
        <v>2172795013.4117374</v>
      </c>
      <c r="P6" s="1">
        <f ca="1">O6+Depreciation!P18</f>
        <v>2326716683.4185882</v>
      </c>
      <c r="Q6" s="1">
        <f ca="1">P6+Depreciation!Q18</f>
        <v>2488095016.0934467</v>
      </c>
      <c r="R6" s="1">
        <f ca="1">Q6+Depreciation!R18</f>
        <v>2657249622.0569792</v>
      </c>
      <c r="S6" s="1">
        <f ca="1">R6+Depreciation!S18</f>
        <v>2834512931.3870015</v>
      </c>
      <c r="T6" s="1">
        <f ca="1">S6+Depreciation!T18</f>
        <v>3020230686.7824626</v>
      </c>
      <c r="U6" s="1">
        <f ca="1">T6+Depreciation!U18</f>
        <v>3214762455.162796</v>
      </c>
      <c r="V6" s="1">
        <f ca="1">U6+Depreciation!V18</f>
        <v>3418482158.3775091</v>
      </c>
      <c r="W6" s="1">
        <f ca="1">V6+Depreciation!W18</f>
        <v>3631778623.7251806</v>
      </c>
      <c r="X6" s="1">
        <f ca="1">W6+Depreciation!X18</f>
        <v>3855056155.006228</v>
      </c>
      <c r="Y6" s="1">
        <f ca="1">X6+Depreciation!Y18</f>
        <v>4088735124.8598709</v>
      </c>
      <c r="Z6" s="1">
        <f ca="1">Y6+Depreciation!Z18</f>
        <v>4333252589.1627245</v>
      </c>
      <c r="AA6" s="1">
        <f ca="1">Z6+Depreciation!AA18</f>
        <v>4589062924.2944069</v>
      </c>
      <c r="AB6" s="1">
        <f ca="1">AA6+Depreciation!AB18</f>
        <v>4856638488.1045179</v>
      </c>
      <c r="AC6" s="1">
        <f ca="1">AB6+Depreciation!AC18</f>
        <v>5136470305.445302</v>
      </c>
      <c r="AD6" s="1">
        <f ca="1">AC6+Depreciation!AD18</f>
        <v>5429068779.1653814</v>
      </c>
      <c r="AE6" s="1">
        <f ca="1">AD6+Depreciation!AE18</f>
        <v>5734964427.4920731</v>
      </c>
      <c r="AF6" s="1"/>
      <c r="AG6" s="1"/>
      <c r="AH6" s="1"/>
      <c r="AI6" s="1"/>
      <c r="AJ6" s="1"/>
      <c r="AK6" s="1"/>
      <c r="AL6" s="1"/>
      <c r="AM6" s="1"/>
      <c r="AN6" s="1"/>
      <c r="AO6" s="1"/>
      <c r="AP6" s="1"/>
    </row>
    <row r="7" spans="1:42" x14ac:dyDescent="0.35">
      <c r="A7" t="s">
        <v>12</v>
      </c>
      <c r="B7" s="1">
        <f>Depreciation!C12</f>
        <v>405002727.43421119</v>
      </c>
      <c r="C7" s="1">
        <f>Depreciation!D12</f>
        <v>420279726.47599357</v>
      </c>
      <c r="D7" s="1">
        <f>Depreciation!E12</f>
        <v>437780051.58733904</v>
      </c>
      <c r="E7" s="1">
        <f>Depreciation!F12</f>
        <v>457630351.98968089</v>
      </c>
      <c r="F7" s="1">
        <f>Depreciation!G12</f>
        <v>479963105.76872885</v>
      </c>
      <c r="G7" s="1">
        <f>Depreciation!H12</f>
        <v>504916863.23298013</v>
      </c>
      <c r="H7" s="1">
        <f>Depreciation!I12</f>
        <v>532636499.87841797</v>
      </c>
      <c r="I7" s="1">
        <f>Depreciation!J12</f>
        <v>563273479.32499492</v>
      </c>
      <c r="J7" s="1">
        <f>Depreciation!K12</f>
        <v>596986126.6040591</v>
      </c>
      <c r="K7" s="1">
        <f>Depreciation!L12</f>
        <v>633939912.18993616</v>
      </c>
      <c r="L7" s="1">
        <f>Depreciation!M12</f>
        <v>674307747.18344855</v>
      </c>
      <c r="M7" s="1">
        <f>Depreciation!N12</f>
        <v>718270290.07024479</v>
      </c>
      <c r="N7" s="1">
        <f>Depreciation!O12</f>
        <v>766016265.4924618</v>
      </c>
      <c r="O7" s="1">
        <f>Depreciation!P12</f>
        <v>817742795.48845041</v>
      </c>
      <c r="P7" s="1">
        <f>Depreciation!Q12</f>
        <v>873655743.67209971</v>
      </c>
      <c r="Q7" s="1">
        <f>Depreciation!R12</f>
        <v>933970072.84070408</v>
      </c>
      <c r="R7" s="1">
        <f>Depreciation!S12</f>
        <v>998910216.51836061</v>
      </c>
      <c r="S7" s="1">
        <f>Depreciation!T12</f>
        <v>1068710464.96058</v>
      </c>
      <c r="T7" s="1">
        <f>Depreciation!U12</f>
        <v>1143615366.1651683</v>
      </c>
      <c r="U7" s="1">
        <f>Depreciation!V12</f>
        <v>1223880142.4545121</v>
      </c>
      <c r="V7" s="1">
        <f>Depreciation!W12</f>
        <v>1309771123.2152026</v>
      </c>
      <c r="W7" s="1">
        <f>Depreciation!X12</f>
        <v>1401566194.4024854</v>
      </c>
      <c r="X7" s="1">
        <f>Depreciation!Y12</f>
        <v>1499555265.4393637</v>
      </c>
      <c r="Y7" s="1">
        <f>Depreciation!Z12</f>
        <v>1604040754.1633158</v>
      </c>
      <c r="Z7" s="1">
        <f>Depreciation!AA12</f>
        <v>1715338090.4975727</v>
      </c>
      <c r="AA7" s="1">
        <f>Depreciation!AB12</f>
        <v>1833776239.5487401</v>
      </c>
      <c r="AB7" s="1">
        <f>Depreciation!AC12</f>
        <v>1959698244.8582945</v>
      </c>
      <c r="AC7" s="1">
        <f>Depreciation!AD12</f>
        <v>2093461792.5621443</v>
      </c>
      <c r="AD7" s="1">
        <f>Depreciation!AE12</f>
        <v>2235439797.240087</v>
      </c>
      <c r="AE7" s="1">
        <f>Depreciation!AF12</f>
        <v>2386021010.2656164</v>
      </c>
      <c r="AF7" s="1"/>
      <c r="AG7" s="1"/>
      <c r="AH7" s="1"/>
      <c r="AI7" s="1"/>
      <c r="AJ7" s="1"/>
      <c r="AK7" s="1"/>
      <c r="AL7" s="1"/>
      <c r="AM7" s="1"/>
      <c r="AN7" s="1"/>
      <c r="AO7" s="1"/>
      <c r="AP7" s="1"/>
    </row>
    <row r="8" spans="1:42" x14ac:dyDescent="0.35">
      <c r="A8" t="s">
        <v>191</v>
      </c>
      <c r="B8" s="1">
        <f t="shared" ref="B8:AE8" si="1">B6-B7</f>
        <v>378653272.56578881</v>
      </c>
      <c r="C8" s="1">
        <f t="shared" ca="1" si="1"/>
        <v>386289469.47090989</v>
      </c>
      <c r="D8" s="1">
        <f ca="1">D6-D7</f>
        <v>454094490.47119796</v>
      </c>
      <c r="E8" s="1">
        <f t="shared" ca="1" si="1"/>
        <v>524013769.35628808</v>
      </c>
      <c r="F8" s="1">
        <f t="shared" ca="1" si="1"/>
        <v>596113186.28930318</v>
      </c>
      <c r="G8" s="1">
        <f t="shared" ca="1" si="1"/>
        <v>670460672.76373208</v>
      </c>
      <c r="H8" s="1">
        <f t="shared" ca="1" si="1"/>
        <v>747126275.42728615</v>
      </c>
      <c r="I8" s="1">
        <f t="shared" ca="1" si="1"/>
        <v>826182221.88991916</v>
      </c>
      <c r="J8" s="1">
        <f t="shared" ca="1" si="1"/>
        <v>907702988.57764494</v>
      </c>
      <c r="K8" s="1">
        <f t="shared" ca="1" si="1"/>
        <v>991765370.69569159</v>
      </c>
      <c r="L8" s="1">
        <f t="shared" ca="1" si="1"/>
        <v>1078448554.3665116</v>
      </c>
      <c r="M8" s="1">
        <f t="shared" ca="1" si="1"/>
        <v>1167834191.0101933</v>
      </c>
      <c r="N8" s="1">
        <f t="shared" ca="1" si="1"/>
        <v>1260006474.0369215</v>
      </c>
      <c r="O8" s="1">
        <f t="shared" ca="1" si="1"/>
        <v>1355052217.9232869</v>
      </c>
      <c r="P8" s="1">
        <f t="shared" ca="1" si="1"/>
        <v>1453060939.7464886</v>
      </c>
      <c r="Q8" s="1">
        <f t="shared" ca="1" si="1"/>
        <v>1554124943.2527428</v>
      </c>
      <c r="R8" s="1">
        <f t="shared" ca="1" si="1"/>
        <v>1658339405.5386186</v>
      </c>
      <c r="S8" s="1">
        <f t="shared" ca="1" si="1"/>
        <v>1765802466.4264216</v>
      </c>
      <c r="T8" s="1">
        <f t="shared" ca="1" si="1"/>
        <v>1876615320.6172943</v>
      </c>
      <c r="U8" s="1">
        <f t="shared" ca="1" si="1"/>
        <v>1990882312.7082839</v>
      </c>
      <c r="V8" s="1">
        <f t="shared" ca="1" si="1"/>
        <v>2108711035.1623065</v>
      </c>
      <c r="W8" s="1">
        <f t="shared" ca="1" si="1"/>
        <v>2230212429.3226953</v>
      </c>
      <c r="X8" s="1">
        <f t="shared" ca="1" si="1"/>
        <v>2355500889.566864</v>
      </c>
      <c r="Y8" s="1">
        <f t="shared" ca="1" si="1"/>
        <v>2484694370.6965551</v>
      </c>
      <c r="Z8" s="1">
        <f t="shared" ca="1" si="1"/>
        <v>2617914498.6651516</v>
      </c>
      <c r="AA8" s="1">
        <f t="shared" ca="1" si="1"/>
        <v>2755286684.7456665</v>
      </c>
      <c r="AB8" s="1">
        <f t="shared" ca="1" si="1"/>
        <v>2896940243.2462234</v>
      </c>
      <c r="AC8" s="1">
        <f t="shared" ca="1" si="1"/>
        <v>3043008512.8831577</v>
      </c>
      <c r="AD8" s="1">
        <f t="shared" ca="1" si="1"/>
        <v>3193628981.9252944</v>
      </c>
      <c r="AE8" s="1">
        <f t="shared" ca="1" si="1"/>
        <v>3348943417.2264566</v>
      </c>
      <c r="AF8" s="1"/>
      <c r="AG8" s="1"/>
      <c r="AH8" s="1"/>
      <c r="AI8" s="1"/>
      <c r="AJ8" s="1"/>
      <c r="AK8" s="1"/>
      <c r="AL8" s="1"/>
      <c r="AM8" s="1"/>
      <c r="AN8" s="1"/>
      <c r="AO8" s="1"/>
      <c r="AP8" s="1"/>
    </row>
    <row r="10" spans="1:42" x14ac:dyDescent="0.35">
      <c r="A10" t="s">
        <v>17</v>
      </c>
      <c r="B10" s="1">
        <f>B8-B11</f>
        <v>286139724.36676979</v>
      </c>
      <c r="C10" s="1">
        <f ca="1">C8-C11</f>
        <v>235657464.32930103</v>
      </c>
      <c r="D10" s="1">
        <f ca="1">D8-D11</f>
        <v>250547820.23194861</v>
      </c>
      <c r="E10" s="1">
        <f t="shared" ref="E10:AE10" ca="1" si="2">E8-E11</f>
        <v>274787857.24194121</v>
      </c>
      <c r="F10" s="1">
        <f t="shared" ca="1" si="2"/>
        <v>310970611.09193856</v>
      </c>
      <c r="G10" s="1">
        <f ca="1">G8-G11</f>
        <v>353014655.07964444</v>
      </c>
      <c r="H10" s="1">
        <f t="shared" ca="1" si="2"/>
        <v>402521274.53473508</v>
      </c>
      <c r="I10" s="1">
        <f t="shared" ca="1" si="2"/>
        <v>454489808.11256659</v>
      </c>
      <c r="J10" s="1">
        <f t="shared" ca="1" si="2"/>
        <v>509418623.83884281</v>
      </c>
      <c r="K10" s="1">
        <f t="shared" ca="1" si="2"/>
        <v>567873862.14069128</v>
      </c>
      <c r="L10" s="1">
        <f t="shared" ca="1" si="2"/>
        <v>628766398.67888761</v>
      </c>
      <c r="M10" s="1">
        <f t="shared" ca="1" si="2"/>
        <v>690650334.89617276</v>
      </c>
      <c r="N10" s="1">
        <f t="shared" ca="1" si="2"/>
        <v>753676497.43340242</v>
      </c>
      <c r="O10" s="1">
        <f t="shared" ca="1" si="2"/>
        <v>818017664.87466383</v>
      </c>
      <c r="P10" s="1">
        <f t="shared" ca="1" si="2"/>
        <v>883870733.77618229</v>
      </c>
      <c r="Q10" s="1">
        <f t="shared" ca="1" si="2"/>
        <v>951459059.17319787</v>
      </c>
      <c r="R10" s="1">
        <f t="shared" ca="1" si="2"/>
        <v>1021034982.1119823</v>
      </c>
      <c r="S10" s="1">
        <f t="shared" ca="1" si="2"/>
        <v>1092882557.5968344</v>
      </c>
      <c r="T10" s="1">
        <f t="shared" ca="1" si="2"/>
        <v>1165940237.8866258</v>
      </c>
      <c r="U10" s="1">
        <f t="shared" ca="1" si="2"/>
        <v>1240359109.4853067</v>
      </c>
      <c r="V10" s="1">
        <f t="shared" ca="1" si="2"/>
        <v>1316310925.1500506</v>
      </c>
      <c r="W10" s="1">
        <f t="shared" ca="1" si="2"/>
        <v>1393990052.8899336</v>
      </c>
      <c r="X10" s="1">
        <f t="shared" ca="1" si="2"/>
        <v>1473615574.5400541</v>
      </c>
      <c r="Y10" s="1">
        <f t="shared" ca="1" si="2"/>
        <v>1555433544.1045284</v>
      </c>
      <c r="Z10" s="1">
        <f t="shared" ca="1" si="2"/>
        <v>1639719416.7070868</v>
      </c>
      <c r="AA10" s="1">
        <f t="shared" ca="1" si="2"/>
        <v>1726780659.6722059</v>
      </c>
      <c r="AB10" s="1">
        <f t="shared" ca="1" si="2"/>
        <v>1815700871.0343525</v>
      </c>
      <c r="AC10" s="1">
        <f t="shared" ca="1" si="2"/>
        <v>1906683159.9298732</v>
      </c>
      <c r="AD10" s="1">
        <f t="shared" ca="1" si="2"/>
        <v>1999954996.2283394</v>
      </c>
      <c r="AE10" s="1">
        <f t="shared" ca="1" si="2"/>
        <v>2095770358.8092198</v>
      </c>
      <c r="AF10" s="1"/>
      <c r="AG10" s="1"/>
      <c r="AH10" s="1"/>
      <c r="AI10" s="1"/>
      <c r="AJ10" s="1"/>
      <c r="AK10" s="1"/>
      <c r="AL10" s="1"/>
      <c r="AM10" s="1"/>
      <c r="AN10" s="1"/>
      <c r="AO10" s="1"/>
    </row>
    <row r="11" spans="1:42" x14ac:dyDescent="0.35">
      <c r="A11" t="s">
        <v>9</v>
      </c>
      <c r="B11" s="1">
        <f>Assumptions!$C$20</f>
        <v>92513548.199018985</v>
      </c>
      <c r="C11" s="1">
        <f ca="1">'Debt worksheet'!D5</f>
        <v>150632005.14160886</v>
      </c>
      <c r="D11" s="1">
        <f ca="1">'Debt worksheet'!E5</f>
        <v>203546670.23924935</v>
      </c>
      <c r="E11" s="1">
        <f ca="1">'Debt worksheet'!F5</f>
        <v>249225912.11434686</v>
      </c>
      <c r="F11" s="1">
        <f ca="1">'Debt worksheet'!G5</f>
        <v>285142575.19736463</v>
      </c>
      <c r="G11" s="1">
        <f ca="1">'Debt worksheet'!H5</f>
        <v>317446017.68408763</v>
      </c>
      <c r="H11" s="1">
        <f ca="1">'Debt worksheet'!I5</f>
        <v>344605000.89255106</v>
      </c>
      <c r="I11" s="1">
        <f ca="1">'Debt worksheet'!J5</f>
        <v>371692413.77735257</v>
      </c>
      <c r="J11" s="1">
        <f ca="1">'Debt worksheet'!K5</f>
        <v>398284364.73880213</v>
      </c>
      <c r="K11" s="1">
        <f ca="1">'Debt worksheet'!L5</f>
        <v>423891508.55500031</v>
      </c>
      <c r="L11" s="1">
        <f ca="1">'Debt worksheet'!M5</f>
        <v>449682155.68762392</v>
      </c>
      <c r="M11" s="1">
        <f ca="1">'Debt worksheet'!N5</f>
        <v>477183856.11402065</v>
      </c>
      <c r="N11" s="1">
        <f ca="1">'Debt worksheet'!O5</f>
        <v>506329976.60351908</v>
      </c>
      <c r="O11" s="1">
        <f ca="1">'Debt worksheet'!P5</f>
        <v>537034553.04862309</v>
      </c>
      <c r="P11" s="1">
        <f ca="1">'Debt worksheet'!Q5</f>
        <v>569190205.97030628</v>
      </c>
      <c r="Q11" s="1">
        <f ca="1">'Debt worksheet'!R5</f>
        <v>602665884.0795449</v>
      </c>
      <c r="R11" s="1">
        <f ca="1">'Debt worksheet'!S5</f>
        <v>637304423.42663622</v>
      </c>
      <c r="S11" s="1">
        <f ca="1">'Debt worksheet'!T5</f>
        <v>672919908.82958722</v>
      </c>
      <c r="T11" s="1">
        <f ca="1">'Debt worksheet'!U5</f>
        <v>710675082.73066843</v>
      </c>
      <c r="U11" s="1">
        <f ca="1">'Debt worksheet'!V5</f>
        <v>750523203.22297728</v>
      </c>
      <c r="V11" s="1">
        <f ca="1">'Debt worksheet'!W5</f>
        <v>792400110.01225603</v>
      </c>
      <c r="W11" s="1">
        <f ca="1">'Debt worksheet'!X5</f>
        <v>836222376.43276155</v>
      </c>
      <c r="X11" s="1">
        <f ca="1">'Debt worksheet'!Y5</f>
        <v>881885315.02680993</v>
      </c>
      <c r="Y11" s="1">
        <f ca="1">'Debt worksheet'!Z5</f>
        <v>929260826.59202659</v>
      </c>
      <c r="Z11" s="1">
        <f ca="1">'Debt worksheet'!AA5</f>
        <v>978195081.95806479</v>
      </c>
      <c r="AA11" s="1">
        <f ca="1">'Debt worksheet'!AB5</f>
        <v>1028506025.0734606</v>
      </c>
      <c r="AB11" s="1">
        <f ca="1">'Debt worksheet'!AC5</f>
        <v>1081239372.2118709</v>
      </c>
      <c r="AC11" s="1">
        <f ca="1">'Debt worksheet'!AD5</f>
        <v>1136325352.9532845</v>
      </c>
      <c r="AD11" s="1">
        <f ca="1">'Debt worksheet'!AE5</f>
        <v>1193673985.696955</v>
      </c>
      <c r="AE11" s="1">
        <f ca="1">'Debt worksheet'!AF5</f>
        <v>1253173058.4172368</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50" zoomScaleNormal="15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9738468.5126922764</v>
      </c>
      <c r="D5" s="4">
        <f ca="1">'Profit and Loss'!D9</f>
        <v>17113681.972210709</v>
      </c>
      <c r="E5" s="4">
        <f ca="1">'Profit and Loss'!E9</f>
        <v>26590012.300988927</v>
      </c>
      <c r="F5" s="4">
        <f ca="1">'Profit and Loss'!F9</f>
        <v>38665207.22670342</v>
      </c>
      <c r="G5" s="4">
        <f ca="1">'Profit and Loss'!G9</f>
        <v>44665047.67290929</v>
      </c>
      <c r="H5" s="4">
        <f ca="1">'Profit and Loss'!H9</f>
        <v>52272498.636277065</v>
      </c>
      <c r="I5" s="4">
        <f ca="1">'Profit and Loss'!I9</f>
        <v>54885876.378970683</v>
      </c>
      <c r="J5" s="4">
        <f ca="1">'Profit and Loss'!J9</f>
        <v>58004483.558763362</v>
      </c>
      <c r="K5" s="4">
        <f ca="1">'Profit and Loss'!K9</f>
        <v>61696376.60866157</v>
      </c>
      <c r="L5" s="4">
        <f ca="1">'Profit and Loss'!L9</f>
        <v>64306585.945831604</v>
      </c>
      <c r="M5" s="4">
        <f ca="1">'Profit and Loss'!M9</f>
        <v>65478644.110569082</v>
      </c>
      <c r="N5" s="4">
        <f ca="1">'Profit and Loss'!N9</f>
        <v>66809595.072650224</v>
      </c>
      <c r="O5" s="4">
        <f ca="1">'Profit and Loss'!O9</f>
        <v>68321722.015033454</v>
      </c>
      <c r="P5" s="4">
        <f ca="1">'Profit and Loss'!P9</f>
        <v>70039487.089178681</v>
      </c>
      <c r="Q5" s="4">
        <f ca="1">'Profit and Loss'!Q9</f>
        <v>71989706.381970853</v>
      </c>
      <c r="R5" s="4">
        <f ca="1">'Profit and Loss'!R9</f>
        <v>74201737.447836891</v>
      </c>
      <c r="S5" s="4">
        <f ca="1">'Profit and Loss'!S9</f>
        <v>76707680.249414757</v>
      </c>
      <c r="T5" s="4">
        <f ca="1">'Profit and Loss'!T9</f>
        <v>78162333.052160397</v>
      </c>
      <c r="U5" s="4">
        <f ca="1">'Profit and Loss'!U9</f>
        <v>79778746.683436394</v>
      </c>
      <c r="V5" s="4">
        <f ca="1">'Profit and Loss'!V9</f>
        <v>81578020.136090368</v>
      </c>
      <c r="W5" s="4">
        <f ca="1">'Profit and Loss'!W9</f>
        <v>83583218.16647549</v>
      </c>
      <c r="X5" s="4">
        <f ca="1">'Profit and Loss'!X9</f>
        <v>85819521.499715969</v>
      </c>
      <c r="Y5" s="4">
        <f ca="1">'Profit and Loss'!Y9</f>
        <v>88314387.251548171</v>
      </c>
      <c r="Z5" s="4">
        <f ca="1">'Profit and Loss'!Z9</f>
        <v>91097720.212862968</v>
      </c>
      <c r="AA5" s="4">
        <f ca="1">'Profit and Loss'!AA9</f>
        <v>94202055.682030424</v>
      </c>
      <c r="AB5" s="4">
        <f ca="1">'Profit and Loss'!AB9</f>
        <v>96404067.620533377</v>
      </c>
      <c r="AC5" s="4">
        <f ca="1">'Profit and Loss'!AC9</f>
        <v>98823831.289816335</v>
      </c>
      <c r="AD5" s="4">
        <f ca="1">'Profit and Loss'!AD9</f>
        <v>101486293.27255884</v>
      </c>
      <c r="AE5" s="4">
        <f ca="1">'Profit and Loss'!AE9</f>
        <v>104418570.92846677</v>
      </c>
      <c r="AF5" s="4">
        <f ca="1">'Profit and Loss'!AF9</f>
        <v>107650110.09905368</v>
      </c>
      <c r="AG5" s="4"/>
      <c r="AH5" s="4"/>
      <c r="AI5" s="4"/>
      <c r="AJ5" s="4"/>
      <c r="AK5" s="4"/>
      <c r="AL5" s="4"/>
      <c r="AM5" s="4"/>
      <c r="AN5" s="4"/>
      <c r="AO5" s="4"/>
      <c r="AP5" s="4"/>
    </row>
    <row r="6" spans="1:42" x14ac:dyDescent="0.35">
      <c r="A6" t="s">
        <v>21</v>
      </c>
      <c r="C6" s="4">
        <f>Depreciation!C8+Depreciation!C9</f>
        <v>13174727.434211202</v>
      </c>
      <c r="D6" s="4">
        <f>Depreciation!D8+Depreciation!D9</f>
        <v>15276999.041782387</v>
      </c>
      <c r="E6" s="4">
        <f>Depreciation!E8+Depreciation!E9</f>
        <v>17500325.111345496</v>
      </c>
      <c r="F6" s="4">
        <f>Depreciation!F8+Depreciation!F9</f>
        <v>19850300.402341861</v>
      </c>
      <c r="G6" s="4">
        <f>Depreciation!G8+Depreciation!G9</f>
        <v>22332753.779047977</v>
      </c>
      <c r="H6" s="4">
        <f>Depreciation!H8+Depreciation!H9</f>
        <v>24953757.46425128</v>
      </c>
      <c r="I6" s="4">
        <f>Depreciation!I8+Depreciation!I9</f>
        <v>27719636.645437852</v>
      </c>
      <c r="J6" s="4">
        <f>Depreciation!J8+Depreciation!J9</f>
        <v>30636979.446576975</v>
      </c>
      <c r="K6" s="4">
        <f>Depreciation!K8+Depreciation!K9</f>
        <v>33712647.279064074</v>
      </c>
      <c r="L6" s="4">
        <f>Depreciation!L8+Depreciation!L9</f>
        <v>36953785.585877053</v>
      </c>
      <c r="M6" s="4">
        <f>Depreciation!M8+Depreciation!M9</f>
        <v>40367834.993512288</v>
      </c>
      <c r="N6" s="4">
        <f>Depreciation!N8+Depreciation!N9</f>
        <v>43962542.886796258</v>
      </c>
      <c r="O6" s="4">
        <f>Depreciation!O8+Depreciation!O9</f>
        <v>47745975.422217026</v>
      </c>
      <c r="P6" s="4">
        <f>Depreciation!P8+Depreciation!P9</f>
        <v>51726529.995988652</v>
      </c>
      <c r="Q6" s="4">
        <f>Depreciation!Q8+Depreciation!Q9</f>
        <v>55912948.183649309</v>
      </c>
      <c r="R6" s="4">
        <f>Depreciation!R8+Depreciation!R9</f>
        <v>60314329.168604374</v>
      </c>
      <c r="S6" s="4">
        <f>Depreciation!S8+Depreciation!S9</f>
        <v>64940143.677656502</v>
      </c>
      <c r="T6" s="4">
        <f>Depreciation!T8+Depreciation!T9</f>
        <v>69800248.442219317</v>
      </c>
      <c r="U6" s="4">
        <f>Depreciation!U8+Depreciation!U9</f>
        <v>74904901.204588205</v>
      </c>
      <c r="V6" s="4">
        <f>Depreciation!V8+Depreciation!V9</f>
        <v>80264776.289343894</v>
      </c>
      <c r="W6" s="4">
        <f>Depreciation!W8+Depreciation!W9</f>
        <v>85890980.760690451</v>
      </c>
      <c r="X6" s="4">
        <f>Depreciation!X8+Depreciation!X9</f>
        <v>91795071.18728286</v>
      </c>
      <c r="Y6" s="4">
        <f>Depreciation!Y8+Depreciation!Y9</f>
        <v>97989071.036878258</v>
      </c>
      <c r="Z6" s="4">
        <f>Depreciation!Z8+Depreciation!Z9</f>
        <v>104485488.723952</v>
      </c>
      <c r="AA6" s="4">
        <f>Depreciation!AA8+Depreciation!AA9</f>
        <v>111297336.33425671</v>
      </c>
      <c r="AB6" s="4">
        <f>Depreciation!AB8+Depreciation!AB9</f>
        <v>118438149.05116755</v>
      </c>
      <c r="AC6" s="4">
        <f>Depreciation!AC8+Depreciation!AC9</f>
        <v>125922005.30955443</v>
      </c>
      <c r="AD6" s="4">
        <f>Depreciation!AD8+Depreciation!AD9</f>
        <v>133763547.70384969</v>
      </c>
      <c r="AE6" s="4">
        <f>Depreciation!AE8+Depreciation!AE9</f>
        <v>141978004.67794284</v>
      </c>
      <c r="AF6" s="4">
        <f>Depreciation!AF8+Depreciation!AF9</f>
        <v>150581213.02552918</v>
      </c>
      <c r="AG6" s="4"/>
      <c r="AH6" s="4"/>
      <c r="AI6" s="4"/>
      <c r="AJ6" s="4"/>
      <c r="AK6" s="4"/>
      <c r="AL6" s="4"/>
      <c r="AM6" s="4"/>
      <c r="AN6" s="4"/>
      <c r="AO6" s="4"/>
      <c r="AP6" s="4"/>
    </row>
    <row r="7" spans="1:42" x14ac:dyDescent="0.35">
      <c r="A7" t="s">
        <v>23</v>
      </c>
      <c r="C7" s="4">
        <f ca="1">C6+C5</f>
        <v>22913195.946903478</v>
      </c>
      <c r="D7" s="4">
        <f ca="1">D6+D5</f>
        <v>32390681.013993096</v>
      </c>
      <c r="E7" s="4">
        <f t="shared" ref="E7:AF7" ca="1" si="1">E6+E5</f>
        <v>44090337.412334427</v>
      </c>
      <c r="F7" s="4">
        <f t="shared" ca="1" si="1"/>
        <v>58515507.629045278</v>
      </c>
      <c r="G7" s="4">
        <f ca="1">G6+G5</f>
        <v>66997801.451957271</v>
      </c>
      <c r="H7" s="4">
        <f t="shared" ca="1" si="1"/>
        <v>77226256.100528345</v>
      </c>
      <c r="I7" s="4">
        <f t="shared" ca="1" si="1"/>
        <v>82605513.024408534</v>
      </c>
      <c r="J7" s="4">
        <f t="shared" ca="1" si="1"/>
        <v>88641463.005340338</v>
      </c>
      <c r="K7" s="4">
        <f t="shared" ca="1" si="1"/>
        <v>95409023.887725651</v>
      </c>
      <c r="L7" s="4">
        <f t="shared" ca="1" si="1"/>
        <v>101260371.53170866</v>
      </c>
      <c r="M7" s="4">
        <f t="shared" ca="1" si="1"/>
        <v>105846479.10408136</v>
      </c>
      <c r="N7" s="4">
        <f t="shared" ca="1" si="1"/>
        <v>110772137.95944649</v>
      </c>
      <c r="O7" s="4">
        <f t="shared" ca="1" si="1"/>
        <v>116067697.43725048</v>
      </c>
      <c r="P7" s="4">
        <f t="shared" ca="1" si="1"/>
        <v>121766017.08516733</v>
      </c>
      <c r="Q7" s="4">
        <f t="shared" ca="1" si="1"/>
        <v>127902654.56562015</v>
      </c>
      <c r="R7" s="4">
        <f t="shared" ca="1" si="1"/>
        <v>134516066.61644125</v>
      </c>
      <c r="S7" s="4">
        <f t="shared" ca="1" si="1"/>
        <v>141647823.92707127</v>
      </c>
      <c r="T7" s="4">
        <f t="shared" ca="1" si="1"/>
        <v>147962581.4943797</v>
      </c>
      <c r="U7" s="4">
        <f t="shared" ca="1" si="1"/>
        <v>154683647.8880246</v>
      </c>
      <c r="V7" s="4">
        <f t="shared" ca="1" si="1"/>
        <v>161842796.42543426</v>
      </c>
      <c r="W7" s="4">
        <f t="shared" ca="1" si="1"/>
        <v>169474198.92716593</v>
      </c>
      <c r="X7" s="4">
        <f t="shared" ca="1" si="1"/>
        <v>177614592.68699884</v>
      </c>
      <c r="Y7" s="4">
        <f t="shared" ca="1" si="1"/>
        <v>186303458.28842643</v>
      </c>
      <c r="Z7" s="4">
        <f t="shared" ca="1" si="1"/>
        <v>195583208.93681496</v>
      </c>
      <c r="AA7" s="4">
        <f t="shared" ca="1" si="1"/>
        <v>205499392.01628715</v>
      </c>
      <c r="AB7" s="4">
        <f t="shared" ca="1" si="1"/>
        <v>214842216.67170092</v>
      </c>
      <c r="AC7" s="4">
        <f t="shared" ca="1" si="1"/>
        <v>224745836.59937078</v>
      </c>
      <c r="AD7" s="4">
        <f t="shared" ca="1" si="1"/>
        <v>235249840.97640854</v>
      </c>
      <c r="AE7" s="4">
        <f t="shared" ca="1" si="1"/>
        <v>246396575.60640961</v>
      </c>
      <c r="AF7" s="4">
        <f t="shared" ca="1" si="1"/>
        <v>258231323.12458286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81031652.889493361</v>
      </c>
      <c r="D10" s="9">
        <f>Investment!D25</f>
        <v>85305346.111633569</v>
      </c>
      <c r="E10" s="9">
        <f>Investment!E25</f>
        <v>89769579.287431926</v>
      </c>
      <c r="F10" s="9">
        <f>Investment!F25</f>
        <v>94432170.712063059</v>
      </c>
      <c r="G10" s="9">
        <f>Investment!G25</f>
        <v>99301243.938680261</v>
      </c>
      <c r="H10" s="9">
        <f>Investment!H25</f>
        <v>104385239.30899179</v>
      </c>
      <c r="I10" s="9">
        <f>Investment!I25</f>
        <v>109692925.90921004</v>
      </c>
      <c r="J10" s="9">
        <f>Investment!J25</f>
        <v>115233413.9667899</v>
      </c>
      <c r="K10" s="9">
        <f>Investment!K25</f>
        <v>121016167.70392381</v>
      </c>
      <c r="L10" s="9">
        <f>Investment!L25</f>
        <v>127051018.66433229</v>
      </c>
      <c r="M10" s="9">
        <f>Investment!M25</f>
        <v>133348179.53047809</v>
      </c>
      <c r="N10" s="9">
        <f>Investment!N25</f>
        <v>139918258.44894496</v>
      </c>
      <c r="O10" s="9">
        <f>Investment!O25</f>
        <v>146772273.8823545</v>
      </c>
      <c r="P10" s="9">
        <f>Investment!P25</f>
        <v>153921670.00685051</v>
      </c>
      <c r="Q10" s="9">
        <f>Investment!Q25</f>
        <v>161378332.67485875</v>
      </c>
      <c r="R10" s="9">
        <f>Investment!R25</f>
        <v>169154605.96353251</v>
      </c>
      <c r="S10" s="9">
        <f>Investment!S25</f>
        <v>177263309.33002234</v>
      </c>
      <c r="T10" s="9">
        <f>Investment!T25</f>
        <v>185717755.39546087</v>
      </c>
      <c r="U10" s="9">
        <f>Investment!U25</f>
        <v>194531768.38033345</v>
      </c>
      <c r="V10" s="9">
        <f>Investment!V25</f>
        <v>203719703.21471304</v>
      </c>
      <c r="W10" s="9">
        <f>Investment!W25</f>
        <v>213296465.34767142</v>
      </c>
      <c r="X10" s="9">
        <f>Investment!X25</f>
        <v>223277531.2810472</v>
      </c>
      <c r="Y10" s="9">
        <f>Investment!Y25</f>
        <v>233678969.85364306</v>
      </c>
      <c r="Z10" s="9">
        <f>Investment!Z25</f>
        <v>244517464.30285323</v>
      </c>
      <c r="AA10" s="9">
        <f>Investment!AA25</f>
        <v>255810335.13168287</v>
      </c>
      <c r="AB10" s="9">
        <f>Investment!AB25</f>
        <v>267575563.81011128</v>
      </c>
      <c r="AC10" s="9">
        <f>Investment!AC25</f>
        <v>279831817.34078431</v>
      </c>
      <c r="AD10" s="9">
        <f>Investment!AD25</f>
        <v>292598473.720079</v>
      </c>
      <c r="AE10" s="9">
        <f>Investment!AE25</f>
        <v>305895648.32669151</v>
      </c>
      <c r="AF10" s="9">
        <f>Investment!AF25</f>
        <v>319744221.2710377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-58118456.942589879</v>
      </c>
      <c r="D12" s="1">
        <f t="shared" ref="D12:AF12" ca="1" si="2">D7-D9-D10</f>
        <v>-52914665.09764047</v>
      </c>
      <c r="E12" s="1">
        <f ca="1">E7-E9-E10</f>
        <v>-45679241.875097498</v>
      </c>
      <c r="F12" s="1">
        <f t="shared" ca="1" si="2"/>
        <v>-35916663.083017781</v>
      </c>
      <c r="G12" s="1">
        <f ca="1">G7-G9-G10</f>
        <v>-32303442.486722991</v>
      </c>
      <c r="H12" s="1">
        <f t="shared" ca="1" si="2"/>
        <v>-27158983.208463445</v>
      </c>
      <c r="I12" s="1">
        <f t="shared" ca="1" si="2"/>
        <v>-27087412.884801507</v>
      </c>
      <c r="J12" s="1">
        <f t="shared" ca="1" si="2"/>
        <v>-26591950.961449564</v>
      </c>
      <c r="K12" s="1">
        <f t="shared" ca="1" si="2"/>
        <v>-25607143.816198155</v>
      </c>
      <c r="L12" s="1">
        <f t="shared" ca="1" si="2"/>
        <v>-25790647.132623628</v>
      </c>
      <c r="M12" s="1">
        <f t="shared" ca="1" si="2"/>
        <v>-27501700.426396728</v>
      </c>
      <c r="N12" s="1">
        <f t="shared" ca="1" si="2"/>
        <v>-29146120.489498466</v>
      </c>
      <c r="O12" s="1">
        <f t="shared" ca="1" si="2"/>
        <v>-30704576.445104018</v>
      </c>
      <c r="P12" s="1">
        <f t="shared" ca="1" si="2"/>
        <v>-32155652.921683177</v>
      </c>
      <c r="Q12" s="1">
        <f t="shared" ca="1" si="2"/>
        <v>-33475678.109238595</v>
      </c>
      <c r="R12" s="1">
        <f t="shared" ca="1" si="2"/>
        <v>-34638539.347091258</v>
      </c>
      <c r="S12" s="1">
        <f t="shared" ca="1" si="2"/>
        <v>-35615485.402951062</v>
      </c>
      <c r="T12" s="1">
        <f t="shared" ca="1" si="2"/>
        <v>-37755173.901081175</v>
      </c>
      <c r="U12" s="1">
        <f t="shared" ca="1" si="2"/>
        <v>-39848120.492308855</v>
      </c>
      <c r="V12" s="1">
        <f t="shared" ca="1" si="2"/>
        <v>-41876906.789278775</v>
      </c>
      <c r="W12" s="1">
        <f t="shared" ca="1" si="2"/>
        <v>-43822266.420505494</v>
      </c>
      <c r="X12" s="1">
        <f t="shared" ca="1" si="2"/>
        <v>-45662938.594048351</v>
      </c>
      <c r="Y12" s="1">
        <f t="shared" ca="1" si="2"/>
        <v>-47375511.565216631</v>
      </c>
      <c r="Z12" s="1">
        <f t="shared" ca="1" si="2"/>
        <v>-48934255.366038263</v>
      </c>
      <c r="AA12" s="1">
        <f t="shared" ca="1" si="2"/>
        <v>-50310943.115395725</v>
      </c>
      <c r="AB12" s="1">
        <f t="shared" ca="1" si="2"/>
        <v>-52733347.13841036</v>
      </c>
      <c r="AC12" s="1">
        <f t="shared" ca="1" si="2"/>
        <v>-55085980.741413534</v>
      </c>
      <c r="AD12" s="1">
        <f t="shared" ca="1" si="2"/>
        <v>-57348632.743670464</v>
      </c>
      <c r="AE12" s="1">
        <f t="shared" ca="1" si="2"/>
        <v>-59499072.720281899</v>
      </c>
      <c r="AF12" s="1">
        <f t="shared" ca="1" si="2"/>
        <v>-61512898.146454841</v>
      </c>
      <c r="AG12" s="1"/>
      <c r="AH12" s="1"/>
      <c r="AI12" s="1"/>
      <c r="AJ12" s="1"/>
      <c r="AK12" s="1"/>
      <c r="AL12" s="1"/>
      <c r="AM12" s="1"/>
      <c r="AN12" s="1"/>
      <c r="AO12" s="1"/>
      <c r="AP12" s="1"/>
    </row>
    <row r="13" spans="1:42" x14ac:dyDescent="0.35">
      <c r="A13" t="s">
        <v>19</v>
      </c>
      <c r="C13" s="1">
        <f ca="1">C12</f>
        <v>-58118456.942589879</v>
      </c>
      <c r="D13" s="1">
        <f ca="1">D12</f>
        <v>-52914665.09764047</v>
      </c>
      <c r="E13" s="1">
        <f ca="1">E12</f>
        <v>-45679241.875097498</v>
      </c>
      <c r="F13" s="1">
        <f t="shared" ref="F13:AF13" ca="1" si="3">F12</f>
        <v>-35916663.083017781</v>
      </c>
      <c r="G13" s="1">
        <f ca="1">G12</f>
        <v>-32303442.486722991</v>
      </c>
      <c r="H13" s="1">
        <f t="shared" ca="1" si="3"/>
        <v>-27158983.208463445</v>
      </c>
      <c r="I13" s="1">
        <f t="shared" ca="1" si="3"/>
        <v>-27087412.884801507</v>
      </c>
      <c r="J13" s="1">
        <f t="shared" ca="1" si="3"/>
        <v>-26591950.961449564</v>
      </c>
      <c r="K13" s="1">
        <f t="shared" ca="1" si="3"/>
        <v>-25607143.816198155</v>
      </c>
      <c r="L13" s="1">
        <f t="shared" ca="1" si="3"/>
        <v>-25790647.132623628</v>
      </c>
      <c r="M13" s="1">
        <f t="shared" ca="1" si="3"/>
        <v>-27501700.426396728</v>
      </c>
      <c r="N13" s="1">
        <f t="shared" ca="1" si="3"/>
        <v>-29146120.489498466</v>
      </c>
      <c r="O13" s="1">
        <f t="shared" ca="1" si="3"/>
        <v>-30704576.445104018</v>
      </c>
      <c r="P13" s="1">
        <f t="shared" ca="1" si="3"/>
        <v>-32155652.921683177</v>
      </c>
      <c r="Q13" s="1">
        <f t="shared" ca="1" si="3"/>
        <v>-33475678.109238595</v>
      </c>
      <c r="R13" s="1">
        <f t="shared" ca="1" si="3"/>
        <v>-34638539.347091258</v>
      </c>
      <c r="S13" s="1">
        <f t="shared" ca="1" si="3"/>
        <v>-35615485.402951062</v>
      </c>
      <c r="T13" s="1">
        <f t="shared" ca="1" si="3"/>
        <v>-37755173.901081175</v>
      </c>
      <c r="U13" s="1">
        <f t="shared" ca="1" si="3"/>
        <v>-39848120.492308855</v>
      </c>
      <c r="V13" s="1">
        <f t="shared" ca="1" si="3"/>
        <v>-41876906.789278775</v>
      </c>
      <c r="W13" s="1">
        <f t="shared" ca="1" si="3"/>
        <v>-43822266.420505494</v>
      </c>
      <c r="X13" s="1">
        <f t="shared" ca="1" si="3"/>
        <v>-45662938.594048351</v>
      </c>
      <c r="Y13" s="1">
        <f t="shared" ca="1" si="3"/>
        <v>-47375511.565216631</v>
      </c>
      <c r="Z13" s="1">
        <f t="shared" ca="1" si="3"/>
        <v>-48934255.366038263</v>
      </c>
      <c r="AA13" s="1">
        <f t="shared" ca="1" si="3"/>
        <v>-50310943.115395725</v>
      </c>
      <c r="AB13" s="1">
        <f t="shared" ca="1" si="3"/>
        <v>-52733347.13841036</v>
      </c>
      <c r="AC13" s="1">
        <f t="shared" ca="1" si="3"/>
        <v>-55085980.741413534</v>
      </c>
      <c r="AD13" s="1">
        <f t="shared" ca="1" si="3"/>
        <v>-57348632.743670464</v>
      </c>
      <c r="AE13" s="1">
        <f t="shared" ca="1" si="3"/>
        <v>-59499072.720281899</v>
      </c>
      <c r="AF13" s="1">
        <f t="shared" ca="1" si="3"/>
        <v>-61512898.146454841</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783656000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391828000</v>
      </c>
      <c r="D7" s="9">
        <f>C12</f>
        <v>405002727.43421119</v>
      </c>
      <c r="E7" s="9">
        <f>D12</f>
        <v>420279726.47599357</v>
      </c>
      <c r="F7" s="9">
        <f t="shared" ref="F7:H7" si="1">E12</f>
        <v>437780051.58733904</v>
      </c>
      <c r="G7" s="9">
        <f t="shared" si="1"/>
        <v>457630351.98968089</v>
      </c>
      <c r="H7" s="9">
        <f t="shared" si="1"/>
        <v>479963105.76872885</v>
      </c>
      <c r="I7" s="9">
        <f t="shared" ref="I7" si="2">H12</f>
        <v>504916863.23298013</v>
      </c>
      <c r="J7" s="9">
        <f t="shared" ref="J7" si="3">I12</f>
        <v>532636499.87841797</v>
      </c>
      <c r="K7" s="9">
        <f t="shared" ref="K7" si="4">J12</f>
        <v>563273479.32499492</v>
      </c>
      <c r="L7" s="9">
        <f t="shared" ref="L7" si="5">K12</f>
        <v>596986126.6040591</v>
      </c>
      <c r="M7" s="9">
        <f t="shared" ref="M7" si="6">L12</f>
        <v>633939912.18993616</v>
      </c>
      <c r="N7" s="9">
        <f t="shared" ref="N7" si="7">M12</f>
        <v>674307747.18344855</v>
      </c>
      <c r="O7" s="9">
        <f t="shared" ref="O7" si="8">N12</f>
        <v>718270290.07024479</v>
      </c>
      <c r="P7" s="9">
        <f t="shared" ref="P7" si="9">O12</f>
        <v>766016265.4924618</v>
      </c>
      <c r="Q7" s="9">
        <f t="shared" ref="Q7" si="10">P12</f>
        <v>817742795.48845041</v>
      </c>
      <c r="R7" s="9">
        <f t="shared" ref="R7" si="11">Q12</f>
        <v>873655743.67209971</v>
      </c>
      <c r="S7" s="9">
        <f t="shared" ref="S7" si="12">R12</f>
        <v>933970072.84070408</v>
      </c>
      <c r="T7" s="9">
        <f t="shared" ref="T7" si="13">S12</f>
        <v>998910216.51836061</v>
      </c>
      <c r="U7" s="9">
        <f t="shared" ref="U7" si="14">T12</f>
        <v>1068710464.96058</v>
      </c>
      <c r="V7" s="9">
        <f t="shared" ref="V7" si="15">U12</f>
        <v>1143615366.1651683</v>
      </c>
      <c r="W7" s="9">
        <f t="shared" ref="W7" si="16">V12</f>
        <v>1223880142.4545121</v>
      </c>
      <c r="X7" s="9">
        <f t="shared" ref="X7" si="17">W12</f>
        <v>1309771123.2152026</v>
      </c>
      <c r="Y7" s="9">
        <f t="shared" ref="Y7" si="18">X12</f>
        <v>1401566194.4024854</v>
      </c>
      <c r="Z7" s="9">
        <f t="shared" ref="Z7" si="19">Y12</f>
        <v>1499555265.4393637</v>
      </c>
      <c r="AA7" s="9">
        <f t="shared" ref="AA7" si="20">Z12</f>
        <v>1604040754.1633158</v>
      </c>
      <c r="AB7" s="9">
        <f t="shared" ref="AB7" si="21">AA12</f>
        <v>1715338090.4975727</v>
      </c>
      <c r="AC7" s="9">
        <f t="shared" ref="AC7" si="22">AB12</f>
        <v>1833776239.5487401</v>
      </c>
      <c r="AD7" s="9">
        <f t="shared" ref="AD7" si="23">AC12</f>
        <v>1959698244.8582945</v>
      </c>
      <c r="AE7" s="9">
        <f t="shared" ref="AE7" si="24">AD12</f>
        <v>2093461792.5621443</v>
      </c>
      <c r="AF7" s="9">
        <f t="shared" ref="AF7" si="25">AE12</f>
        <v>2235439797.240087</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11546161.223284429</v>
      </c>
      <c r="D8" s="9">
        <f>Assumptions!E111*Assumptions!E11</f>
        <v>11915638.382429529</v>
      </c>
      <c r="E8" s="9">
        <f>Assumptions!F111*Assumptions!F11</f>
        <v>12296938.810667275</v>
      </c>
      <c r="F8" s="9">
        <f>Assumptions!G111*Assumptions!G11</f>
        <v>12690440.852608627</v>
      </c>
      <c r="G8" s="9">
        <f>Assumptions!H111*Assumptions!H11</f>
        <v>13096534.959892103</v>
      </c>
      <c r="H8" s="9">
        <f>Assumptions!I111*Assumptions!I11</f>
        <v>13515624.078608649</v>
      </c>
      <c r="I8" s="9">
        <f>Assumptions!J111*Assumptions!J11</f>
        <v>13948124.049124125</v>
      </c>
      <c r="J8" s="9">
        <f>Assumptions!K111*Assumptions!K11</f>
        <v>14394464.0186961</v>
      </c>
      <c r="K8" s="9">
        <f>Assumptions!L111*Assumptions!L11</f>
        <v>14855086.867294375</v>
      </c>
      <c r="L8" s="9">
        <f>Assumptions!M111*Assumptions!M11</f>
        <v>15330449.647047793</v>
      </c>
      <c r="M8" s="9">
        <f>Assumptions!N111*Assumptions!N11</f>
        <v>15821024.035753323</v>
      </c>
      <c r="N8" s="9">
        <f>Assumptions!O111*Assumptions!O11</f>
        <v>16327296.804897429</v>
      </c>
      <c r="O8" s="9">
        <f>Assumptions!P111*Assumptions!P11</f>
        <v>16849770.302654147</v>
      </c>
      <c r="P8" s="9">
        <f>Assumptions!Q111*Assumptions!Q11</f>
        <v>17388962.952339079</v>
      </c>
      <c r="Q8" s="9">
        <f>Assumptions!R111*Assumptions!R11</f>
        <v>17945409.766813926</v>
      </c>
      <c r="R8" s="9">
        <f>Assumptions!S111*Assumptions!S11</f>
        <v>18519662.879351977</v>
      </c>
      <c r="S8" s="9">
        <f>Assumptions!T111*Assumptions!T11</f>
        <v>19112292.091491241</v>
      </c>
      <c r="T8" s="9">
        <f>Assumptions!U111*Assumptions!U11</f>
        <v>19723885.438418958</v>
      </c>
      <c r="U8" s="9">
        <f>Assumptions!V111*Assumptions!V11</f>
        <v>20355049.772448361</v>
      </c>
      <c r="V8" s="9">
        <f>Assumptions!W111*Assumptions!W11</f>
        <v>21006411.365166713</v>
      </c>
      <c r="W8" s="9">
        <f>Assumptions!X111*Assumptions!X11</f>
        <v>21678616.528852049</v>
      </c>
      <c r="X8" s="9">
        <f>Assumptions!Y111*Assumptions!Y11</f>
        <v>22372332.25777531</v>
      </c>
      <c r="Y8" s="9">
        <f>Assumptions!Z111*Assumptions!Z11</f>
        <v>23088246.890024118</v>
      </c>
      <c r="Z8" s="9">
        <f>Assumptions!AA111*Assumptions!AA11</f>
        <v>23827070.790504891</v>
      </c>
      <c r="AA8" s="9">
        <f>Assumptions!AB111*Assumptions!AB11</f>
        <v>24589537.055801053</v>
      </c>
      <c r="AB8" s="9">
        <f>Assumptions!AC111*Assumptions!AC11</f>
        <v>25376402.241586681</v>
      </c>
      <c r="AC8" s="9">
        <f>Assumptions!AD111*Assumptions!AD11</f>
        <v>26188447.113317456</v>
      </c>
      <c r="AD8" s="9">
        <f>Assumptions!AE111*Assumptions!AE11</f>
        <v>27026477.420943618</v>
      </c>
      <c r="AE8" s="9">
        <f>Assumptions!AF111*Assumptions!AF11</f>
        <v>27891324.698413812</v>
      </c>
      <c r="AF8" s="9">
        <f>Assumptions!AG111*Assumptions!AG11</f>
        <v>28783847.088763051</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1628566.2109267721</v>
      </c>
      <c r="D9" s="9">
        <f>Assumptions!E120*Assumptions!E11</f>
        <v>3361360.6593528572</v>
      </c>
      <c r="E9" s="9">
        <f>Assumptions!F120*Assumptions!F11</f>
        <v>5203386.3006782224</v>
      </c>
      <c r="F9" s="9">
        <f>Assumptions!G120*Assumptions!G11</f>
        <v>7159859.5497332346</v>
      </c>
      <c r="G9" s="9">
        <f>Assumptions!H120*Assumptions!H11</f>
        <v>9236218.8191558737</v>
      </c>
      <c r="H9" s="9">
        <f>Assumptions!I120*Assumptions!I11</f>
        <v>11438133.385642631</v>
      </c>
      <c r="I9" s="9">
        <f>Assumptions!J120*Assumptions!J11</f>
        <v>13771512.596313726</v>
      </c>
      <c r="J9" s="9">
        <f>Assumptions!K120*Assumptions!K11</f>
        <v>16242515.427880876</v>
      </c>
      <c r="K9" s="9">
        <f>Assumptions!L120*Assumptions!L11</f>
        <v>18857560.411769703</v>
      </c>
      <c r="L9" s="9">
        <f>Assumptions!M120*Assumptions!M11</f>
        <v>21623335.938829258</v>
      </c>
      <c r="M9" s="9">
        <f>Assumptions!N120*Assumptions!N11</f>
        <v>24546810.957758963</v>
      </c>
      <c r="N9" s="9">
        <f>Assumptions!O120*Assumptions!O11</f>
        <v>27635246.081898827</v>
      </c>
      <c r="O9" s="9">
        <f>Assumptions!P120*Assumptions!P11</f>
        <v>30896205.119562883</v>
      </c>
      <c r="P9" s="9">
        <f>Assumptions!Q120*Assumptions!Q11</f>
        <v>34337567.043649577</v>
      </c>
      <c r="Q9" s="9">
        <f>Assumptions!R120*Assumptions!R11</f>
        <v>37967538.416835383</v>
      </c>
      <c r="R9" s="9">
        <f>Assumptions!S120*Assumptions!S11</f>
        <v>41794666.2892524</v>
      </c>
      <c r="S9" s="9">
        <f>Assumptions!T120*Assumptions!T11</f>
        <v>45827851.586165264</v>
      </c>
      <c r="T9" s="9">
        <f>Assumptions!U120*Assumptions!U11</f>
        <v>50076363.003800355</v>
      </c>
      <c r="U9" s="9">
        <f>Assumptions!V120*Assumptions!V11</f>
        <v>54549851.432139844</v>
      </c>
      <c r="V9" s="9">
        <f>Assumptions!W120*Assumptions!W11</f>
        <v>59258364.924177185</v>
      </c>
      <c r="W9" s="9">
        <f>Assumptions!X120*Assumptions!X11</f>
        <v>64212364.231838398</v>
      </c>
      <c r="X9" s="9">
        <f>Assumptions!Y120*Assumptions!Y11</f>
        <v>69422738.929507554</v>
      </c>
      <c r="Y9" s="9">
        <f>Assumptions!Z120*Assumptions!Z11</f>
        <v>74900824.146854147</v>
      </c>
      <c r="Z9" s="9">
        <f>Assumptions!AA120*Assumptions!AA11</f>
        <v>80658417.933447108</v>
      </c>
      <c r="AA9" s="9">
        <f>Assumptions!AB120*Assumptions!AB11</f>
        <v>86707799.27845566</v>
      </c>
      <c r="AB9" s="9">
        <f>Assumptions!AC120*Assumptions!AC11</f>
        <v>93061746.809580863</v>
      </c>
      <c r="AC9" s="9">
        <f>Assumptions!AD120*Assumptions!AD11</f>
        <v>99733558.196236968</v>
      </c>
      <c r="AD9" s="9">
        <f>Assumptions!AE120*Assumptions!AE11</f>
        <v>106737070.28290607</v>
      </c>
      <c r="AE9" s="9">
        <f>Assumptions!AF120*Assumptions!AF11</f>
        <v>114086679.97952902</v>
      </c>
      <c r="AF9" s="9">
        <f>Assumptions!AG120*Assumptions!AG11</f>
        <v>121797365.93676612</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13174727.434211202</v>
      </c>
      <c r="D10" s="9">
        <f>SUM($C$8:D9)</f>
        <v>28451726.475993585</v>
      </c>
      <c r="E10" s="9">
        <f>SUM($C$8:E9)</f>
        <v>45952051.587339081</v>
      </c>
      <c r="F10" s="9">
        <f>SUM($C$8:F9)</f>
        <v>65802351.989680946</v>
      </c>
      <c r="G10" s="9">
        <f>SUM($C$8:G9)</f>
        <v>88135105.768728912</v>
      </c>
      <c r="H10" s="9">
        <f>SUM($C$8:H9)</f>
        <v>113088863.23298021</v>
      </c>
      <c r="I10" s="9">
        <f>SUM($C$8:I9)</f>
        <v>140808499.87841806</v>
      </c>
      <c r="J10" s="9">
        <f>SUM($C$8:J9)</f>
        <v>171445479.32499501</v>
      </c>
      <c r="K10" s="9">
        <f>SUM($C$8:K9)</f>
        <v>205158126.6040591</v>
      </c>
      <c r="L10" s="9">
        <f>SUM($C$8:L9)</f>
        <v>242111912.1899361</v>
      </c>
      <c r="M10" s="9">
        <f>SUM($C$8:M9)</f>
        <v>282479747.18344837</v>
      </c>
      <c r="N10" s="9">
        <f>SUM($C$8:N9)</f>
        <v>326442290.07024461</v>
      </c>
      <c r="O10" s="9">
        <f>SUM($C$8:O9)</f>
        <v>374188265.49246162</v>
      </c>
      <c r="P10" s="9">
        <f>SUM($C$8:P9)</f>
        <v>425914795.48845029</v>
      </c>
      <c r="Q10" s="9">
        <f>SUM($C$8:Q9)</f>
        <v>481827743.67209959</v>
      </c>
      <c r="R10" s="9">
        <f>SUM($C$8:R9)</f>
        <v>542142072.84070396</v>
      </c>
      <c r="S10" s="9">
        <f>SUM($C$8:S9)</f>
        <v>607082216.5183605</v>
      </c>
      <c r="T10" s="9">
        <f>SUM($C$8:T9)</f>
        <v>676882464.96057987</v>
      </c>
      <c r="U10" s="9">
        <f>SUM($C$8:U9)</f>
        <v>751787366.16516805</v>
      </c>
      <c r="V10" s="9">
        <f>SUM($C$8:V9)</f>
        <v>832052142.454512</v>
      </c>
      <c r="W10" s="9">
        <f>SUM($C$8:W9)</f>
        <v>917943123.21520245</v>
      </c>
      <c r="X10" s="9">
        <f>SUM($C$8:X9)</f>
        <v>1009738194.4024854</v>
      </c>
      <c r="Y10" s="9">
        <f>SUM($C$8:Y9)</f>
        <v>1107727265.4393635</v>
      </c>
      <c r="Z10" s="9">
        <f>SUM($C$8:Z9)</f>
        <v>1212212754.1633155</v>
      </c>
      <c r="AA10" s="9">
        <f>SUM($C$8:AA9)</f>
        <v>1323510090.4975722</v>
      </c>
      <c r="AB10" s="9">
        <f>SUM($C$8:AB9)</f>
        <v>1441948239.5487399</v>
      </c>
      <c r="AC10" s="9">
        <f>SUM($C$8:AC9)</f>
        <v>1567870244.858294</v>
      </c>
      <c r="AD10" s="9">
        <f>SUM($C$8:AD9)</f>
        <v>1701633792.5621438</v>
      </c>
      <c r="AE10" s="9">
        <f>SUM($C$8:AE9)</f>
        <v>1843611797.240087</v>
      </c>
      <c r="AF10" s="9">
        <f>SUM($C$8:AF9)</f>
        <v>1994193010.2656164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405002727.43421119</v>
      </c>
      <c r="D12" s="9">
        <f>D7+D8+D9</f>
        <v>420279726.47599357</v>
      </c>
      <c r="E12" s="9">
        <f>E7+E8+E9</f>
        <v>437780051.58733904</v>
      </c>
      <c r="F12" s="9">
        <f t="shared" ref="F12:H12" si="26">F7+F8+F9</f>
        <v>457630351.98968089</v>
      </c>
      <c r="G12" s="9">
        <f t="shared" si="26"/>
        <v>479963105.76872885</v>
      </c>
      <c r="H12" s="9">
        <f t="shared" si="26"/>
        <v>504916863.23298013</v>
      </c>
      <c r="I12" s="9">
        <f t="shared" ref="I12:AF12" si="27">I7+I8+I9</f>
        <v>532636499.87841797</v>
      </c>
      <c r="J12" s="9">
        <f t="shared" si="27"/>
        <v>563273479.32499492</v>
      </c>
      <c r="K12" s="9">
        <f t="shared" si="27"/>
        <v>596986126.6040591</v>
      </c>
      <c r="L12" s="9">
        <f t="shared" si="27"/>
        <v>633939912.18993616</v>
      </c>
      <c r="M12" s="9">
        <f t="shared" si="27"/>
        <v>674307747.18344855</v>
      </c>
      <c r="N12" s="9">
        <f t="shared" si="27"/>
        <v>718270290.07024479</v>
      </c>
      <c r="O12" s="9">
        <f t="shared" si="27"/>
        <v>766016265.4924618</v>
      </c>
      <c r="P12" s="9">
        <f t="shared" si="27"/>
        <v>817742795.48845041</v>
      </c>
      <c r="Q12" s="9">
        <f t="shared" si="27"/>
        <v>873655743.67209971</v>
      </c>
      <c r="R12" s="9">
        <f t="shared" si="27"/>
        <v>933970072.84070408</v>
      </c>
      <c r="S12" s="9">
        <f t="shared" si="27"/>
        <v>998910216.51836061</v>
      </c>
      <c r="T12" s="9">
        <f t="shared" si="27"/>
        <v>1068710464.96058</v>
      </c>
      <c r="U12" s="9">
        <f t="shared" si="27"/>
        <v>1143615366.1651683</v>
      </c>
      <c r="V12" s="9">
        <f t="shared" si="27"/>
        <v>1223880142.4545121</v>
      </c>
      <c r="W12" s="9">
        <f t="shared" si="27"/>
        <v>1309771123.2152026</v>
      </c>
      <c r="X12" s="9">
        <f t="shared" si="27"/>
        <v>1401566194.4024854</v>
      </c>
      <c r="Y12" s="9">
        <f t="shared" si="27"/>
        <v>1499555265.4393637</v>
      </c>
      <c r="Z12" s="9">
        <f t="shared" si="27"/>
        <v>1604040754.1633158</v>
      </c>
      <c r="AA12" s="9">
        <f t="shared" si="27"/>
        <v>1715338090.4975727</v>
      </c>
      <c r="AB12" s="9">
        <f t="shared" si="27"/>
        <v>1833776239.5487401</v>
      </c>
      <c r="AC12" s="9">
        <f t="shared" si="27"/>
        <v>1959698244.8582945</v>
      </c>
      <c r="AD12" s="9">
        <f t="shared" si="27"/>
        <v>2093461792.5621443</v>
      </c>
      <c r="AE12" s="9">
        <f t="shared" si="27"/>
        <v>2235439797.240087</v>
      </c>
      <c r="AF12" s="9">
        <f t="shared" si="27"/>
        <v>2386021010.2656164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81031652.889493361</v>
      </c>
      <c r="D18" s="9">
        <f>Investment!D25</f>
        <v>85305346.111633569</v>
      </c>
      <c r="E18" s="9">
        <f>Investment!E25</f>
        <v>89769579.287431926</v>
      </c>
      <c r="F18" s="9">
        <f>Investment!F25</f>
        <v>94432170.712063059</v>
      </c>
      <c r="G18" s="9">
        <f>Investment!G25</f>
        <v>99301243.938680261</v>
      </c>
      <c r="H18" s="9">
        <f>Investment!H25</f>
        <v>104385239.30899179</v>
      </c>
      <c r="I18" s="9">
        <f>Investment!I25</f>
        <v>109692925.90921004</v>
      </c>
      <c r="J18" s="9">
        <f>Investment!J25</f>
        <v>115233413.9667899</v>
      </c>
      <c r="K18" s="9">
        <f>Investment!K25</f>
        <v>121016167.70392381</v>
      </c>
      <c r="L18" s="9">
        <f>Investment!L25</f>
        <v>127051018.66433229</v>
      </c>
      <c r="M18" s="9">
        <f>Investment!M25</f>
        <v>133348179.53047809</v>
      </c>
      <c r="N18" s="9">
        <f>Investment!N25</f>
        <v>139918258.44894496</v>
      </c>
      <c r="O18" s="9">
        <f>Investment!O25</f>
        <v>146772273.8823545</v>
      </c>
      <c r="P18" s="9">
        <f>Investment!P25</f>
        <v>153921670.00685051</v>
      </c>
      <c r="Q18" s="9">
        <f>Investment!Q25</f>
        <v>161378332.67485875</v>
      </c>
      <c r="R18" s="9">
        <f>Investment!R25</f>
        <v>169154605.96353251</v>
      </c>
      <c r="S18" s="9">
        <f>Investment!S25</f>
        <v>177263309.33002234</v>
      </c>
      <c r="T18" s="9">
        <f>Investment!T25</f>
        <v>185717755.39546087</v>
      </c>
      <c r="U18" s="9">
        <f>Investment!U25</f>
        <v>194531768.38033345</v>
      </c>
      <c r="V18" s="9">
        <f>Investment!V25</f>
        <v>203719703.21471304</v>
      </c>
      <c r="W18" s="9">
        <f>Investment!W25</f>
        <v>213296465.34767142</v>
      </c>
      <c r="X18" s="9">
        <f>Investment!X25</f>
        <v>223277531.2810472</v>
      </c>
      <c r="Y18" s="9">
        <f>Investment!Y25</f>
        <v>233678969.85364306</v>
      </c>
      <c r="Z18" s="9">
        <f>Investment!Z25</f>
        <v>244517464.30285323</v>
      </c>
      <c r="AA18" s="9">
        <f>Investment!AA25</f>
        <v>255810335.13168287</v>
      </c>
      <c r="AB18" s="9">
        <f>Investment!AB25</f>
        <v>267575563.81011128</v>
      </c>
      <c r="AC18" s="9">
        <f>Investment!AC25</f>
        <v>279831817.34078431</v>
      </c>
      <c r="AD18" s="9">
        <f>Investment!AD25</f>
        <v>292598473.720079</v>
      </c>
      <c r="AE18" s="9">
        <f>Investment!AE25</f>
        <v>305895648.32669151</v>
      </c>
      <c r="AF18" s="9">
        <f>Investment!AF25</f>
        <v>319744221.2710377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472859652.88949335</v>
      </c>
      <c r="D19" s="9">
        <f>D18+C20</f>
        <v>544990271.56691575</v>
      </c>
      <c r="E19" s="9">
        <f>E18+D20</f>
        <v>619482851.81256533</v>
      </c>
      <c r="F19" s="9">
        <f t="shared" ref="F19:AF19" si="28">F18+E20</f>
        <v>696414697.41328287</v>
      </c>
      <c r="G19" s="9">
        <f t="shared" si="28"/>
        <v>775865640.9496212</v>
      </c>
      <c r="H19" s="9">
        <f t="shared" si="28"/>
        <v>857918126.47956491</v>
      </c>
      <c r="I19" s="9">
        <f t="shared" si="28"/>
        <v>942657294.92452371</v>
      </c>
      <c r="J19" s="9">
        <f t="shared" si="28"/>
        <v>1030171072.2458758</v>
      </c>
      <c r="K19" s="9">
        <f t="shared" si="28"/>
        <v>1120550260.5032227</v>
      </c>
      <c r="L19" s="9">
        <f t="shared" si="28"/>
        <v>1213888631.8884912</v>
      </c>
      <c r="M19" s="9">
        <f t="shared" si="28"/>
        <v>1310283025.8330922</v>
      </c>
      <c r="N19" s="9">
        <f t="shared" si="28"/>
        <v>1409833449.2885251</v>
      </c>
      <c r="O19" s="9">
        <f t="shared" si="28"/>
        <v>1512643180.2840831</v>
      </c>
      <c r="P19" s="9">
        <f t="shared" si="28"/>
        <v>1618818874.8687167</v>
      </c>
      <c r="Q19" s="9">
        <f t="shared" si="28"/>
        <v>1728470677.5475867</v>
      </c>
      <c r="R19" s="9">
        <f t="shared" si="28"/>
        <v>1841712335.3274698</v>
      </c>
      <c r="S19" s="9">
        <f t="shared" si="28"/>
        <v>1958661315.4888878</v>
      </c>
      <c r="T19" s="9">
        <f t="shared" si="28"/>
        <v>2079438927.2066922</v>
      </c>
      <c r="U19" s="9">
        <f t="shared" si="28"/>
        <v>2204170447.1448064</v>
      </c>
      <c r="V19" s="9">
        <f t="shared" si="28"/>
        <v>2332985249.1549311</v>
      </c>
      <c r="W19" s="9">
        <f t="shared" si="28"/>
        <v>2466016938.2132587</v>
      </c>
      <c r="X19" s="9">
        <f t="shared" si="28"/>
        <v>2603403488.7336159</v>
      </c>
      <c r="Y19" s="9">
        <f t="shared" si="28"/>
        <v>2745287387.3999758</v>
      </c>
      <c r="Z19" s="9">
        <f t="shared" si="28"/>
        <v>2891815780.6659508</v>
      </c>
      <c r="AA19" s="9">
        <f t="shared" si="28"/>
        <v>3043140627.0736818</v>
      </c>
      <c r="AB19" s="9">
        <f t="shared" si="28"/>
        <v>3199418854.5495367</v>
      </c>
      <c r="AC19" s="9">
        <f t="shared" si="28"/>
        <v>3360812522.8391533</v>
      </c>
      <c r="AD19" s="9">
        <f t="shared" si="28"/>
        <v>3527488991.2496777</v>
      </c>
      <c r="AE19" s="9">
        <f t="shared" si="28"/>
        <v>3699621091.8725195</v>
      </c>
      <c r="AF19" s="9">
        <f t="shared" si="28"/>
        <v>3877387308.4656143</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459684925.45528215</v>
      </c>
      <c r="D20" s="9">
        <f>D19-D8-D9</f>
        <v>529713272.52513337</v>
      </c>
      <c r="E20" s="9">
        <f t="shared" ref="E20:AF20" si="29">E19-E8-E9</f>
        <v>601982526.7012198</v>
      </c>
      <c r="F20" s="9">
        <f t="shared" si="29"/>
        <v>676564397.01094091</v>
      </c>
      <c r="G20" s="9">
        <f t="shared" si="29"/>
        <v>753532887.17057312</v>
      </c>
      <c r="H20" s="9">
        <f t="shared" si="29"/>
        <v>832964369.01531363</v>
      </c>
      <c r="I20" s="9">
        <f t="shared" si="29"/>
        <v>914937658.27908587</v>
      </c>
      <c r="J20" s="9">
        <f t="shared" si="29"/>
        <v>999534092.79929888</v>
      </c>
      <c r="K20" s="9">
        <f t="shared" si="29"/>
        <v>1086837613.2241588</v>
      </c>
      <c r="L20" s="9">
        <f t="shared" si="29"/>
        <v>1176934846.3026142</v>
      </c>
      <c r="M20" s="9">
        <f t="shared" si="29"/>
        <v>1269915190.8395801</v>
      </c>
      <c r="N20" s="9">
        <f t="shared" si="29"/>
        <v>1365870906.4017286</v>
      </c>
      <c r="O20" s="9">
        <f t="shared" si="29"/>
        <v>1464897204.8618662</v>
      </c>
      <c r="P20" s="9">
        <f t="shared" si="29"/>
        <v>1567092344.8727279</v>
      </c>
      <c r="Q20" s="9">
        <f t="shared" si="29"/>
        <v>1672557729.3639374</v>
      </c>
      <c r="R20" s="9">
        <f t="shared" si="29"/>
        <v>1781398006.1588655</v>
      </c>
      <c r="S20" s="9">
        <f t="shared" si="29"/>
        <v>1893721171.8112314</v>
      </c>
      <c r="T20" s="9">
        <f t="shared" si="29"/>
        <v>2009638678.764473</v>
      </c>
      <c r="U20" s="9">
        <f t="shared" si="29"/>
        <v>2129265545.940218</v>
      </c>
      <c r="V20" s="9">
        <f t="shared" si="29"/>
        <v>2252720472.8655872</v>
      </c>
      <c r="W20" s="9">
        <f t="shared" si="29"/>
        <v>2380125957.4525685</v>
      </c>
      <c r="X20" s="9">
        <f t="shared" si="29"/>
        <v>2511608417.5463328</v>
      </c>
      <c r="Y20" s="9">
        <f t="shared" si="29"/>
        <v>2647298316.3630977</v>
      </c>
      <c r="Z20" s="9">
        <f t="shared" si="29"/>
        <v>2787330291.941999</v>
      </c>
      <c r="AA20" s="9">
        <f t="shared" si="29"/>
        <v>2931843290.7394252</v>
      </c>
      <c r="AB20" s="9">
        <f t="shared" si="29"/>
        <v>3080980705.4983692</v>
      </c>
      <c r="AC20" s="9">
        <f t="shared" si="29"/>
        <v>3234890517.5295987</v>
      </c>
      <c r="AD20" s="9">
        <f t="shared" si="29"/>
        <v>3393725443.5458279</v>
      </c>
      <c r="AE20" s="9">
        <f t="shared" si="29"/>
        <v>3557643087.1945767</v>
      </c>
      <c r="AF20" s="9">
        <f t="shared" si="29"/>
        <v>3726806095.4400849</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92513548.199018985</v>
      </c>
      <c r="D22" s="9">
        <f ca="1">'Balance Sheet'!C11</f>
        <v>150632005.14160886</v>
      </c>
      <c r="E22" s="9">
        <f ca="1">'Balance Sheet'!D11</f>
        <v>203546670.23924935</v>
      </c>
      <c r="F22" s="9">
        <f ca="1">'Balance Sheet'!E11</f>
        <v>249225912.11434686</v>
      </c>
      <c r="G22" s="9">
        <f ca="1">'Balance Sheet'!F11</f>
        <v>285142575.19736463</v>
      </c>
      <c r="H22" s="9">
        <f ca="1">'Balance Sheet'!G11</f>
        <v>317446017.68408763</v>
      </c>
      <c r="I22" s="9">
        <f ca="1">'Balance Sheet'!H11</f>
        <v>344605000.89255106</v>
      </c>
      <c r="J22" s="9">
        <f ca="1">'Balance Sheet'!I11</f>
        <v>371692413.77735257</v>
      </c>
      <c r="K22" s="9">
        <f ca="1">'Balance Sheet'!J11</f>
        <v>398284364.73880213</v>
      </c>
      <c r="L22" s="9">
        <f ca="1">'Balance Sheet'!K11</f>
        <v>423891508.55500031</v>
      </c>
      <c r="M22" s="9">
        <f ca="1">'Balance Sheet'!L11</f>
        <v>449682155.68762392</v>
      </c>
      <c r="N22" s="9">
        <f ca="1">'Balance Sheet'!M11</f>
        <v>477183856.11402065</v>
      </c>
      <c r="O22" s="9">
        <f ca="1">'Balance Sheet'!N11</f>
        <v>506329976.60351908</v>
      </c>
      <c r="P22" s="9">
        <f ca="1">'Balance Sheet'!O11</f>
        <v>537034553.04862309</v>
      </c>
      <c r="Q22" s="9">
        <f ca="1">'Balance Sheet'!P11</f>
        <v>569190205.97030628</v>
      </c>
      <c r="R22" s="9">
        <f ca="1">'Balance Sheet'!Q11</f>
        <v>602665884.0795449</v>
      </c>
      <c r="S22" s="9">
        <f ca="1">'Balance Sheet'!R11</f>
        <v>637304423.42663622</v>
      </c>
      <c r="T22" s="9">
        <f ca="1">'Balance Sheet'!S11</f>
        <v>672919908.82958722</v>
      </c>
      <c r="U22" s="9">
        <f ca="1">'Balance Sheet'!T11</f>
        <v>710675082.73066843</v>
      </c>
      <c r="V22" s="9">
        <f ca="1">'Balance Sheet'!U11</f>
        <v>750523203.22297728</v>
      </c>
      <c r="W22" s="9">
        <f ca="1">'Balance Sheet'!V11</f>
        <v>792400110.01225603</v>
      </c>
      <c r="X22" s="9">
        <f ca="1">'Balance Sheet'!W11</f>
        <v>836222376.43276155</v>
      </c>
      <c r="Y22" s="9">
        <f ca="1">'Balance Sheet'!X11</f>
        <v>881885315.02680993</v>
      </c>
      <c r="Z22" s="9">
        <f ca="1">'Balance Sheet'!Y11</f>
        <v>929260826.59202659</v>
      </c>
      <c r="AA22" s="9">
        <f ca="1">'Balance Sheet'!Z11</f>
        <v>978195081.95806479</v>
      </c>
      <c r="AB22" s="9">
        <f ca="1">'Balance Sheet'!AA11</f>
        <v>1028506025.0734606</v>
      </c>
      <c r="AC22" s="9">
        <f ca="1">'Balance Sheet'!AB11</f>
        <v>1081239372.2118709</v>
      </c>
      <c r="AD22" s="9">
        <f ca="1">'Balance Sheet'!AC11</f>
        <v>1136325352.9532845</v>
      </c>
      <c r="AE22" s="9">
        <f ca="1">'Balance Sheet'!AD11</f>
        <v>1193673985.696955</v>
      </c>
      <c r="AF22" s="9">
        <f ca="1">'Balance Sheet'!AE11</f>
        <v>1253173058.4172368</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367171377.25626314</v>
      </c>
      <c r="D23" s="9">
        <f t="shared" ref="D23:AF23" ca="1" si="30">D20-D22</f>
        <v>379081267.38352454</v>
      </c>
      <c r="E23" s="9">
        <f t="shared" ca="1" si="30"/>
        <v>398435856.46197045</v>
      </c>
      <c r="F23" s="9">
        <f t="shared" ca="1" si="30"/>
        <v>427338484.89659405</v>
      </c>
      <c r="G23" s="9">
        <f t="shared" ca="1" si="30"/>
        <v>468390311.97320849</v>
      </c>
      <c r="H23" s="9">
        <f t="shared" ca="1" si="30"/>
        <v>515518351.33122599</v>
      </c>
      <c r="I23" s="9">
        <f t="shared" ca="1" si="30"/>
        <v>570332657.38653481</v>
      </c>
      <c r="J23" s="9">
        <f ca="1">J20-J22</f>
        <v>627841679.02194631</v>
      </c>
      <c r="K23" s="9">
        <f t="shared" ca="1" si="30"/>
        <v>688553248.48535657</v>
      </c>
      <c r="L23" s="9">
        <f t="shared" ca="1" si="30"/>
        <v>753043337.74761391</v>
      </c>
      <c r="M23" s="9">
        <f t="shared" ca="1" si="30"/>
        <v>820233035.15195608</v>
      </c>
      <c r="N23" s="9">
        <f t="shared" ca="1" si="30"/>
        <v>888687050.28770804</v>
      </c>
      <c r="O23" s="9">
        <f t="shared" ca="1" si="30"/>
        <v>958567228.25834715</v>
      </c>
      <c r="P23" s="9">
        <f t="shared" ca="1" si="30"/>
        <v>1030057791.8241048</v>
      </c>
      <c r="Q23" s="9">
        <f t="shared" ca="1" si="30"/>
        <v>1103367523.393631</v>
      </c>
      <c r="R23" s="9">
        <f t="shared" ca="1" si="30"/>
        <v>1178732122.0793204</v>
      </c>
      <c r="S23" s="9">
        <f t="shared" ca="1" si="30"/>
        <v>1256416748.3845952</v>
      </c>
      <c r="T23" s="9">
        <f t="shared" ca="1" si="30"/>
        <v>1336718769.9348857</v>
      </c>
      <c r="U23" s="9">
        <f t="shared" ca="1" si="30"/>
        <v>1418590463.2095494</v>
      </c>
      <c r="V23" s="9">
        <f t="shared" ca="1" si="30"/>
        <v>1502197269.6426101</v>
      </c>
      <c r="W23" s="9">
        <f t="shared" ca="1" si="30"/>
        <v>1587725847.4403124</v>
      </c>
      <c r="X23" s="9">
        <f t="shared" ca="1" si="30"/>
        <v>1675386041.1135712</v>
      </c>
      <c r="Y23" s="9">
        <f t="shared" ca="1" si="30"/>
        <v>1765413001.3362877</v>
      </c>
      <c r="Z23" s="9">
        <f t="shared" ca="1" si="30"/>
        <v>1858069465.3499722</v>
      </c>
      <c r="AA23" s="9">
        <f t="shared" ca="1" si="30"/>
        <v>1953648208.7813604</v>
      </c>
      <c r="AB23" s="9">
        <f t="shared" ca="1" si="30"/>
        <v>2052474680.4249086</v>
      </c>
      <c r="AC23" s="9">
        <f t="shared" ca="1" si="30"/>
        <v>2153651145.317728</v>
      </c>
      <c r="AD23" s="9">
        <f t="shared" ca="1" si="30"/>
        <v>2257400090.5925436</v>
      </c>
      <c r="AE23" s="9">
        <f t="shared" ca="1" si="30"/>
        <v>2363969101.4976215</v>
      </c>
      <c r="AF23" s="9">
        <f t="shared" ca="1" si="30"/>
        <v>2473633037.0228481</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115" zoomScaleNormal="115"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92513548.199018985</v>
      </c>
      <c r="D5" s="1">
        <f ca="1">C5+C6</f>
        <v>150632005.14160886</v>
      </c>
      <c r="E5" s="1">
        <f t="shared" ref="E5:AF5" ca="1" si="1">D5+D6</f>
        <v>203546670.23924935</v>
      </c>
      <c r="F5" s="1">
        <f t="shared" ca="1" si="1"/>
        <v>249225912.11434686</v>
      </c>
      <c r="G5" s="1">
        <f t="shared" ca="1" si="1"/>
        <v>285142575.19736463</v>
      </c>
      <c r="H5" s="1">
        <f t="shared" ca="1" si="1"/>
        <v>317446017.68408763</v>
      </c>
      <c r="I5" s="1">
        <f t="shared" ca="1" si="1"/>
        <v>344605000.89255106</v>
      </c>
      <c r="J5" s="1">
        <f t="shared" ca="1" si="1"/>
        <v>371692413.77735257</v>
      </c>
      <c r="K5" s="1">
        <f t="shared" ca="1" si="1"/>
        <v>398284364.73880213</v>
      </c>
      <c r="L5" s="1">
        <f t="shared" ca="1" si="1"/>
        <v>423891508.55500031</v>
      </c>
      <c r="M5" s="1">
        <f t="shared" ca="1" si="1"/>
        <v>449682155.68762392</v>
      </c>
      <c r="N5" s="1">
        <f t="shared" ca="1" si="1"/>
        <v>477183856.11402065</v>
      </c>
      <c r="O5" s="1">
        <f t="shared" ca="1" si="1"/>
        <v>506329976.60351908</v>
      </c>
      <c r="P5" s="1">
        <f t="shared" ca="1" si="1"/>
        <v>537034553.04862309</v>
      </c>
      <c r="Q5" s="1">
        <f t="shared" ca="1" si="1"/>
        <v>569190205.97030628</v>
      </c>
      <c r="R5" s="1">
        <f t="shared" ca="1" si="1"/>
        <v>602665884.0795449</v>
      </c>
      <c r="S5" s="1">
        <f t="shared" ca="1" si="1"/>
        <v>637304423.42663622</v>
      </c>
      <c r="T5" s="1">
        <f t="shared" ca="1" si="1"/>
        <v>672919908.82958722</v>
      </c>
      <c r="U5" s="1">
        <f t="shared" ca="1" si="1"/>
        <v>710675082.73066843</v>
      </c>
      <c r="V5" s="1">
        <f t="shared" ca="1" si="1"/>
        <v>750523203.22297728</v>
      </c>
      <c r="W5" s="1">
        <f t="shared" ca="1" si="1"/>
        <v>792400110.01225603</v>
      </c>
      <c r="X5" s="1">
        <f t="shared" ca="1" si="1"/>
        <v>836222376.43276155</v>
      </c>
      <c r="Y5" s="1">
        <f t="shared" ca="1" si="1"/>
        <v>881885315.02680993</v>
      </c>
      <c r="Z5" s="1">
        <f t="shared" ca="1" si="1"/>
        <v>929260826.59202659</v>
      </c>
      <c r="AA5" s="1">
        <f t="shared" ca="1" si="1"/>
        <v>978195081.95806479</v>
      </c>
      <c r="AB5" s="1">
        <f t="shared" ca="1" si="1"/>
        <v>1028506025.0734606</v>
      </c>
      <c r="AC5" s="1">
        <f t="shared" ca="1" si="1"/>
        <v>1081239372.2118709</v>
      </c>
      <c r="AD5" s="1">
        <f t="shared" ca="1" si="1"/>
        <v>1136325352.9532845</v>
      </c>
      <c r="AE5" s="1">
        <f t="shared" ca="1" si="1"/>
        <v>1193673985.696955</v>
      </c>
      <c r="AF5" s="1">
        <f t="shared" ca="1" si="1"/>
        <v>1253173058.4172368</v>
      </c>
      <c r="AG5" s="1"/>
      <c r="AH5" s="1"/>
      <c r="AI5" s="1"/>
      <c r="AJ5" s="1"/>
      <c r="AK5" s="1"/>
      <c r="AL5" s="1"/>
      <c r="AM5" s="1"/>
      <c r="AN5" s="1"/>
      <c r="AO5" s="1"/>
      <c r="AP5" s="1"/>
    </row>
    <row r="6" spans="1:42" x14ac:dyDescent="0.35">
      <c r="A6" s="63" t="s">
        <v>3</v>
      </c>
      <c r="C6" s="1">
        <f ca="1">-'Cash Flow'!C13</f>
        <v>58118456.942589879</v>
      </c>
      <c r="D6" s="1">
        <f ca="1">-'Cash Flow'!D13</f>
        <v>52914665.09764047</v>
      </c>
      <c r="E6" s="1">
        <f ca="1">-'Cash Flow'!E13</f>
        <v>45679241.875097498</v>
      </c>
      <c r="F6" s="1">
        <f ca="1">-'Cash Flow'!F13</f>
        <v>35916663.083017781</v>
      </c>
      <c r="G6" s="1">
        <f ca="1">-'Cash Flow'!G13</f>
        <v>32303442.486722991</v>
      </c>
      <c r="H6" s="1">
        <f ca="1">-'Cash Flow'!H13</f>
        <v>27158983.208463445</v>
      </c>
      <c r="I6" s="1">
        <f ca="1">-'Cash Flow'!I13</f>
        <v>27087412.884801507</v>
      </c>
      <c r="J6" s="1">
        <f ca="1">-'Cash Flow'!J13</f>
        <v>26591950.961449564</v>
      </c>
      <c r="K6" s="1">
        <f ca="1">-'Cash Flow'!K13</f>
        <v>25607143.816198155</v>
      </c>
      <c r="L6" s="1">
        <f ca="1">-'Cash Flow'!L13</f>
        <v>25790647.132623628</v>
      </c>
      <c r="M6" s="1">
        <f ca="1">-'Cash Flow'!M13</f>
        <v>27501700.426396728</v>
      </c>
      <c r="N6" s="1">
        <f ca="1">-'Cash Flow'!N13</f>
        <v>29146120.489498466</v>
      </c>
      <c r="O6" s="1">
        <f ca="1">-'Cash Flow'!O13</f>
        <v>30704576.445104018</v>
      </c>
      <c r="P6" s="1">
        <f ca="1">-'Cash Flow'!P13</f>
        <v>32155652.921683177</v>
      </c>
      <c r="Q6" s="1">
        <f ca="1">-'Cash Flow'!Q13</f>
        <v>33475678.109238595</v>
      </c>
      <c r="R6" s="1">
        <f ca="1">-'Cash Flow'!R13</f>
        <v>34638539.347091258</v>
      </c>
      <c r="S6" s="1">
        <f ca="1">-'Cash Flow'!S13</f>
        <v>35615485.402951062</v>
      </c>
      <c r="T6" s="1">
        <f ca="1">-'Cash Flow'!T13</f>
        <v>37755173.901081175</v>
      </c>
      <c r="U6" s="1">
        <f ca="1">-'Cash Flow'!U13</f>
        <v>39848120.492308855</v>
      </c>
      <c r="V6" s="1">
        <f ca="1">-'Cash Flow'!V13</f>
        <v>41876906.789278775</v>
      </c>
      <c r="W6" s="1">
        <f ca="1">-'Cash Flow'!W13</f>
        <v>43822266.420505494</v>
      </c>
      <c r="X6" s="1">
        <f ca="1">-'Cash Flow'!X13</f>
        <v>45662938.594048351</v>
      </c>
      <c r="Y6" s="1">
        <f ca="1">-'Cash Flow'!Y13</f>
        <v>47375511.565216631</v>
      </c>
      <c r="Z6" s="1">
        <f ca="1">-'Cash Flow'!Z13</f>
        <v>48934255.366038263</v>
      </c>
      <c r="AA6" s="1">
        <f ca="1">-'Cash Flow'!AA13</f>
        <v>50310943.115395725</v>
      </c>
      <c r="AB6" s="1">
        <f ca="1">-'Cash Flow'!AB13</f>
        <v>52733347.13841036</v>
      </c>
      <c r="AC6" s="1">
        <f ca="1">-'Cash Flow'!AC13</f>
        <v>55085980.741413534</v>
      </c>
      <c r="AD6" s="1">
        <f ca="1">-'Cash Flow'!AD13</f>
        <v>57348632.743670464</v>
      </c>
      <c r="AE6" s="1">
        <f ca="1">-'Cash Flow'!AE13</f>
        <v>59499072.720281899</v>
      </c>
      <c r="AF6" s="1">
        <f ca="1">-'Cash Flow'!AF13</f>
        <v>61512898.146454841</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5272120.1799563104</v>
      </c>
      <c r="D8" s="1">
        <f ca="1">IF(SUM(D5:D6)&gt;0,Assumptions!$C$26*SUM(D5:D6),Assumptions!$C$27*(SUM(D5:D6)))</f>
        <v>7124133.4583737282</v>
      </c>
      <c r="E8" s="1">
        <f ca="1">IF(SUM(E5:E6)&gt;0,Assumptions!$C$26*SUM(E5:E6),Assumptions!$C$27*(SUM(E5:E6)))</f>
        <v>8722906.9240021408</v>
      </c>
      <c r="F8" s="1">
        <f ca="1">IF(SUM(F5:F6)&gt;0,Assumptions!$C$26*SUM(F5:F6),Assumptions!$C$27*(SUM(F5:F6)))</f>
        <v>9979990.131907763</v>
      </c>
      <c r="G8" s="1">
        <f ca="1">IF(SUM(G5:G6)&gt;0,Assumptions!$C$26*SUM(G5:G6),Assumptions!$C$27*(SUM(G5:G6)))</f>
        <v>11110610.618943069</v>
      </c>
      <c r="H8" s="1">
        <f ca="1">IF(SUM(H5:H6)&gt;0,Assumptions!$C$26*SUM(H5:H6),Assumptions!$C$27*(SUM(H5:H6)))</f>
        <v>12061175.031239288</v>
      </c>
      <c r="I8" s="1">
        <f ca="1">IF(SUM(I5:I6)&gt;0,Assumptions!$C$26*SUM(I5:I6),Assumptions!$C$27*(SUM(I5:I6)))</f>
        <v>13009234.482207341</v>
      </c>
      <c r="J8" s="1">
        <f ca="1">IF(SUM(J5:J6)&gt;0,Assumptions!$C$26*SUM(J5:J6),Assumptions!$C$27*(SUM(J5:J6)))</f>
        <v>13939952.765858077</v>
      </c>
      <c r="K8" s="1">
        <f ca="1">IF(SUM(K5:K6)&gt;0,Assumptions!$C$26*SUM(K5:K6),Assumptions!$C$27*(SUM(K5:K6)))</f>
        <v>14836202.799425012</v>
      </c>
      <c r="L8" s="1">
        <f ca="1">IF(SUM(L5:L6)&gt;0,Assumptions!$C$26*SUM(L5:L6),Assumptions!$C$27*(SUM(L5:L6)))</f>
        <v>15738875.449066838</v>
      </c>
      <c r="M8" s="1">
        <f ca="1">IF(SUM(M5:M6)&gt;0,Assumptions!$C$26*SUM(M5:M6),Assumptions!$C$27*(SUM(M5:M6)))</f>
        <v>16701434.963990724</v>
      </c>
      <c r="N8" s="1">
        <f ca="1">IF(SUM(N5:N6)&gt;0,Assumptions!$C$26*SUM(N5:N6),Assumptions!$C$27*(SUM(N5:N6)))</f>
        <v>17721549.181123171</v>
      </c>
      <c r="O8" s="1">
        <f ca="1">IF(SUM(O5:O6)&gt;0,Assumptions!$C$26*SUM(O5:O6),Assumptions!$C$27*(SUM(O5:O6)))</f>
        <v>18796209.35670181</v>
      </c>
      <c r="P8" s="1">
        <f ca="1">IF(SUM(P5:P6)&gt;0,Assumptions!$C$26*SUM(P5:P6),Assumptions!$C$27*(SUM(P5:P6)))</f>
        <v>19921657.208960723</v>
      </c>
      <c r="Q8" s="1">
        <f ca="1">IF(SUM(Q5:Q6)&gt;0,Assumptions!$C$26*SUM(Q5:Q6),Assumptions!$C$27*(SUM(Q5:Q6)))</f>
        <v>21093305.942784075</v>
      </c>
      <c r="R8" s="1">
        <f ca="1">IF(SUM(R5:R6)&gt;0,Assumptions!$C$26*SUM(R5:R6),Assumptions!$C$27*(SUM(R5:R6)))</f>
        <v>22305654.819932271</v>
      </c>
      <c r="S8" s="1">
        <f ca="1">IF(SUM(S5:S6)&gt;0,Assumptions!$C$26*SUM(S5:S6),Assumptions!$C$27*(SUM(S5:S6)))</f>
        <v>23552196.809035555</v>
      </c>
      <c r="T8" s="1">
        <f ca="1">IF(SUM(T5:T6)&gt;0,Assumptions!$C$26*SUM(T5:T6),Assumptions!$C$27*(SUM(T5:T6)))</f>
        <v>24873627.895573396</v>
      </c>
      <c r="U8" s="1">
        <f ca="1">IF(SUM(U5:U6)&gt;0,Assumptions!$C$26*SUM(U5:U6),Assumptions!$C$27*(SUM(U5:U6)))</f>
        <v>26268312.112804208</v>
      </c>
      <c r="V8" s="1">
        <f ca="1">IF(SUM(V5:V6)&gt;0,Assumptions!$C$26*SUM(V5:V6),Assumptions!$C$27*(SUM(V5:V6)))</f>
        <v>27734003.850428965</v>
      </c>
      <c r="W8" s="1">
        <f ca="1">IF(SUM(W5:W6)&gt;0,Assumptions!$C$26*SUM(W5:W6),Assumptions!$C$27*(SUM(W5:W6)))</f>
        <v>29267783.175146658</v>
      </c>
      <c r="X8" s="1">
        <f ca="1">IF(SUM(X5:X6)&gt;0,Assumptions!$C$26*SUM(X5:X6),Assumptions!$C$27*(SUM(X5:X6)))</f>
        <v>30865986.025938351</v>
      </c>
      <c r="Y8" s="1">
        <f ca="1">IF(SUM(Y5:Y6)&gt;0,Assumptions!$C$26*SUM(Y5:Y6),Assumptions!$C$27*(SUM(Y5:Y6)))</f>
        <v>32524128.930720933</v>
      </c>
      <c r="Z8" s="1">
        <f ca="1">IF(SUM(Z5:Z6)&gt;0,Assumptions!$C$26*SUM(Z5:Z6),Assumptions!$C$27*(SUM(Z5:Z6)))</f>
        <v>34236827.86853227</v>
      </c>
      <c r="AA8" s="1">
        <f ca="1">IF(SUM(AA5:AA6)&gt;0,Assumptions!$C$26*SUM(AA5:AA6),Assumptions!$C$27*(SUM(AA5:AA6)))</f>
        <v>35997710.877571121</v>
      </c>
      <c r="AB8" s="1">
        <f ca="1">IF(SUM(AB5:AB6)&gt;0,Assumptions!$C$26*SUM(AB5:AB6),Assumptions!$C$27*(SUM(AB5:AB6)))</f>
        <v>37843378.027415484</v>
      </c>
      <c r="AC8" s="1">
        <f ca="1">IF(SUM(AC5:AC6)&gt;0,Assumptions!$C$26*SUM(AC5:AC6),Assumptions!$C$27*(SUM(AC5:AC6)))</f>
        <v>39771387.353364959</v>
      </c>
      <c r="AD8" s="1">
        <f ca="1">IF(SUM(AD5:AD6)&gt;0,Assumptions!$C$26*SUM(AD5:AD6),Assumptions!$C$27*(SUM(AD5:AD6)))</f>
        <v>41778589.499393426</v>
      </c>
      <c r="AE8" s="1">
        <f ca="1">IF(SUM(AE5:AE6)&gt;0,Assumptions!$C$26*SUM(AE5:AE6),Assumptions!$C$27*(SUM(AE5:AE6)))</f>
        <v>43861057.044603296</v>
      </c>
      <c r="AF8" s="1">
        <f ca="1">IF(SUM(AF5:AF6)&gt;0,Assumptions!$C$26*SUM(AF5:AF6),Assumptions!$C$27*(SUM(AF5:AF6)))</f>
        <v>46014008.479729213</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55" zoomScaleNormal="55" workbookViewId="0">
      <selection sqref="A1:XFD1048576"/>
    </sheetView>
  </sheetViews>
  <sheetFormatPr defaultRowHeight="15.5" x14ac:dyDescent="0.35"/>
  <cols>
    <col min="1" max="1" width="107.9140625" style="63" customWidth="1"/>
    <col min="2" max="2" width="18.1640625" style="63" bestFit="1" customWidth="1"/>
    <col min="3" max="3" width="60.082031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45">
      <c r="A7" s="90" t="s">
        <v>96</v>
      </c>
      <c r="B7" s="91">
        <f>Assumptions!C24</f>
        <v>38005194.170000002</v>
      </c>
      <c r="C7" s="180" t="str">
        <f>Assumptions!B24</f>
        <v>RFI Table F10; Lines F10.62 + F10.70</v>
      </c>
    </row>
    <row r="8" spans="1:3" ht="34" x14ac:dyDescent="0.45">
      <c r="A8" s="90" t="s">
        <v>174</v>
      </c>
      <c r="B8" s="92">
        <f>Assumptions!$C$133</f>
        <v>0.7</v>
      </c>
      <c r="C8" s="180" t="s">
        <v>199</v>
      </c>
    </row>
    <row r="9" spans="1:3" ht="18.5" x14ac:dyDescent="0.45">
      <c r="A9" s="90"/>
      <c r="B9" s="93"/>
      <c r="C9" s="180"/>
    </row>
    <row r="10" spans="1:3" ht="68" x14ac:dyDescent="0.45">
      <c r="A10" s="94" t="s">
        <v>102</v>
      </c>
      <c r="B10" s="95">
        <f>Assumptions!C135</f>
        <v>11605.877777777778</v>
      </c>
      <c r="C10" s="180" t="s">
        <v>200</v>
      </c>
    </row>
    <row r="11" spans="1:3" ht="18.5" x14ac:dyDescent="0.45">
      <c r="A11" s="94"/>
      <c r="B11" s="94"/>
      <c r="C11" s="180"/>
    </row>
    <row r="12" spans="1:3" ht="18.5" x14ac:dyDescent="0.45">
      <c r="A12" s="94" t="s">
        <v>184</v>
      </c>
      <c r="B12" s="91">
        <f>(B7*B8)/B10</f>
        <v>2292.2553923443006</v>
      </c>
      <c r="C12" s="180"/>
    </row>
    <row r="13" spans="1:3" ht="18.5" x14ac:dyDescent="0.45">
      <c r="A13" s="96"/>
      <c r="B13" s="97"/>
      <c r="C13" s="180"/>
    </row>
    <row r="14" spans="1:3" ht="18.5" x14ac:dyDescent="0.45">
      <c r="A14" s="94" t="s">
        <v>103</v>
      </c>
      <c r="B14" s="98">
        <v>1</v>
      </c>
      <c r="C14" s="180"/>
    </row>
    <row r="15" spans="1:3" ht="18.5" x14ac:dyDescent="0.45">
      <c r="A15" s="96"/>
      <c r="B15" s="99"/>
      <c r="C15" s="180"/>
    </row>
    <row r="16" spans="1:3" ht="18.5" x14ac:dyDescent="0.45">
      <c r="A16" s="96" t="s">
        <v>179</v>
      </c>
      <c r="B16" s="100">
        <f>B12/B14</f>
        <v>2292.2553923443006</v>
      </c>
      <c r="C16" s="180"/>
    </row>
    <row r="17" spans="1:3" ht="18.5" x14ac:dyDescent="0.45">
      <c r="A17" s="94"/>
      <c r="B17" s="101"/>
      <c r="C17" s="180"/>
    </row>
    <row r="18" spans="1:3" ht="18.5" x14ac:dyDescent="0.45">
      <c r="A18" s="102" t="s">
        <v>178</v>
      </c>
      <c r="B18" s="101"/>
      <c r="C18" s="180"/>
    </row>
    <row r="19" spans="1:3" ht="18.5" x14ac:dyDescent="0.45">
      <c r="A19" s="94"/>
      <c r="B19" s="101"/>
      <c r="C19" s="180"/>
    </row>
    <row r="20" spans="1:3" ht="34" x14ac:dyDescent="0.45">
      <c r="A20" s="94" t="s">
        <v>65</v>
      </c>
      <c r="B20" s="91">
        <f>'Profit and Loss'!L5</f>
        <v>173637121.15514672</v>
      </c>
      <c r="C20" s="180" t="s">
        <v>201</v>
      </c>
    </row>
    <row r="21" spans="1:3" ht="34" x14ac:dyDescent="0.45">
      <c r="A21" s="94" t="str">
        <f>A8</f>
        <v>Assumed revenue from households</v>
      </c>
      <c r="B21" s="92">
        <f>B8</f>
        <v>0.7</v>
      </c>
      <c r="C21" s="180" t="s">
        <v>199</v>
      </c>
    </row>
    <row r="22" spans="1:3" ht="18.5" x14ac:dyDescent="0.45">
      <c r="A22" s="94"/>
      <c r="B22" s="94"/>
      <c r="C22" s="180"/>
    </row>
    <row r="23" spans="1:3" ht="34" x14ac:dyDescent="0.45">
      <c r="A23" s="94" t="s">
        <v>101</v>
      </c>
      <c r="B23" s="95">
        <f>Assumptions!M135</f>
        <v>15300.18087168624</v>
      </c>
      <c r="C23" s="180" t="s">
        <v>202</v>
      </c>
    </row>
    <row r="24" spans="1:3" ht="18.5" x14ac:dyDescent="0.45">
      <c r="A24" s="94"/>
      <c r="B24" s="94"/>
      <c r="C24" s="180"/>
    </row>
    <row r="25" spans="1:3" ht="18.5" x14ac:dyDescent="0.45">
      <c r="A25" s="94" t="s">
        <v>183</v>
      </c>
      <c r="B25" s="91">
        <f>(B20*B21)/B23</f>
        <v>7944.0881011759602</v>
      </c>
      <c r="C25" s="180"/>
    </row>
    <row r="26" spans="1:3" ht="18.5" x14ac:dyDescent="0.45">
      <c r="A26" s="94"/>
      <c r="B26" s="91"/>
      <c r="C26" s="180"/>
    </row>
    <row r="27" spans="1:3" ht="34" x14ac:dyDescent="0.45">
      <c r="A27" s="94" t="s">
        <v>103</v>
      </c>
      <c r="B27" s="103">
        <f>1.022^11</f>
        <v>1.2704566586717592</v>
      </c>
      <c r="C27" s="180" t="s">
        <v>203</v>
      </c>
    </row>
    <row r="28" spans="1:3" ht="18.5" x14ac:dyDescent="0.45">
      <c r="A28" s="96"/>
      <c r="B28" s="97"/>
      <c r="C28" s="180"/>
    </row>
    <row r="29" spans="1:3" ht="18.5" x14ac:dyDescent="0.45">
      <c r="A29" s="96" t="s">
        <v>180</v>
      </c>
      <c r="B29" s="91">
        <f>B25/B27</f>
        <v>6252.939088438774</v>
      </c>
      <c r="C29" s="180"/>
    </row>
    <row r="30" spans="1:3" ht="18.5" x14ac:dyDescent="0.45">
      <c r="A30" s="96"/>
      <c r="B30" s="97"/>
      <c r="C30" s="180"/>
    </row>
    <row r="31" spans="1:3" ht="18.5" x14ac:dyDescent="0.45">
      <c r="A31" s="102" t="s">
        <v>186</v>
      </c>
      <c r="B31" s="96"/>
      <c r="C31" s="180"/>
    </row>
    <row r="32" spans="1:3" ht="18.5" x14ac:dyDescent="0.45">
      <c r="A32" s="94"/>
      <c r="B32" s="91"/>
      <c r="C32" s="180"/>
    </row>
    <row r="33" spans="1:3" ht="34" x14ac:dyDescent="0.45">
      <c r="A33" s="94" t="s">
        <v>66</v>
      </c>
      <c r="B33" s="91">
        <f>'Profit and Loss'!AF5</f>
        <v>504180095.56793052</v>
      </c>
      <c r="C33" s="180" t="s">
        <v>201</v>
      </c>
    </row>
    <row r="34" spans="1:3" ht="34" x14ac:dyDescent="0.45">
      <c r="A34" s="94" t="str">
        <f>A21</f>
        <v>Assumed revenue from households</v>
      </c>
      <c r="B34" s="92">
        <f>B21</f>
        <v>0.7</v>
      </c>
      <c r="C34" s="180" t="s">
        <v>199</v>
      </c>
    </row>
    <row r="35" spans="1:3" ht="18.5" x14ac:dyDescent="0.45">
      <c r="A35" s="94"/>
      <c r="B35" s="94"/>
      <c r="C35" s="180"/>
    </row>
    <row r="36" spans="1:3" ht="34" x14ac:dyDescent="0.45">
      <c r="A36" s="94" t="s">
        <v>100</v>
      </c>
      <c r="B36" s="95">
        <f>Assumptions!AG135</f>
        <v>26590.941176195709</v>
      </c>
      <c r="C36" s="180" t="s">
        <v>202</v>
      </c>
    </row>
    <row r="37" spans="1:3" ht="18.5" x14ac:dyDescent="0.45">
      <c r="A37" s="94"/>
      <c r="B37" s="94"/>
      <c r="C37" s="180"/>
    </row>
    <row r="38" spans="1:3" ht="18.5" x14ac:dyDescent="0.45">
      <c r="A38" s="94" t="s">
        <v>182</v>
      </c>
      <c r="B38" s="91">
        <f>(B33*B34)/B36</f>
        <v>13272.41727019019</v>
      </c>
      <c r="C38" s="180"/>
    </row>
    <row r="39" spans="1:3" ht="18.5" x14ac:dyDescent="0.45">
      <c r="A39" s="94"/>
      <c r="B39" s="94"/>
      <c r="C39" s="180"/>
    </row>
    <row r="40" spans="1:3" ht="34" x14ac:dyDescent="0.45">
      <c r="A40" s="94" t="s">
        <v>103</v>
      </c>
      <c r="B40" s="103">
        <f>1.022^31</f>
        <v>1.9632597808456462</v>
      </c>
      <c r="C40" s="180" t="s">
        <v>203</v>
      </c>
    </row>
    <row r="41" spans="1:3" ht="18.5" x14ac:dyDescent="0.45">
      <c r="A41" s="96"/>
      <c r="B41" s="97"/>
    </row>
    <row r="42" spans="1:3" ht="18.5" x14ac:dyDescent="0.45">
      <c r="A42" s="96" t="s">
        <v>181</v>
      </c>
      <c r="B42" s="91">
        <f>B38/B40</f>
        <v>6760.3978850283811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49" zoomScaleNormal="49"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81" t="s">
        <v>27</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2.8020694353665831E-2</v>
      </c>
      <c r="D13" s="128">
        <f t="shared" ref="D13:AG13" si="3">(1+$C$13)^D8</f>
        <v>1.0280206943536658</v>
      </c>
      <c r="E13" s="128">
        <f t="shared" si="3"/>
        <v>1.0568265480193932</v>
      </c>
      <c r="F13" s="128">
        <f t="shared" si="3"/>
        <v>1.0864395617062843</v>
      </c>
      <c r="G13" s="128">
        <f t="shared" si="3"/>
        <v>1.1168823525985869</v>
      </c>
      <c r="H13" s="128">
        <f t="shared" si="3"/>
        <v>1.1481781716297552</v>
      </c>
      <c r="I13" s="128">
        <f t="shared" si="3"/>
        <v>1.1803509212405434</v>
      </c>
      <c r="J13" s="128">
        <f t="shared" si="3"/>
        <v>1.2134251736346924</v>
      </c>
      <c r="K13" s="128">
        <f t="shared" si="3"/>
        <v>1.2474261895461543</v>
      </c>
      <c r="L13" s="128">
        <f t="shared" si="3"/>
        <v>1.2823799375321852</v>
      </c>
      <c r="M13" s="128">
        <f t="shared" si="3"/>
        <v>1.3183131138070476</v>
      </c>
      <c r="N13" s="128">
        <f t="shared" si="3"/>
        <v>1.3552531626314641</v>
      </c>
      <c r="O13" s="128">
        <f t="shared" si="3"/>
        <v>1.3932282972733996</v>
      </c>
      <c r="P13" s="128">
        <f t="shared" si="3"/>
        <v>1.4322675215561758</v>
      </c>
      <c r="Q13" s="128">
        <f t="shared" si="3"/>
        <v>1.4724006520103838</v>
      </c>
      <c r="R13" s="128">
        <f t="shared" si="3"/>
        <v>1.513658340646505</v>
      </c>
      <c r="S13" s="128">
        <f t="shared" si="3"/>
        <v>1.556072098365638</v>
      </c>
      <c r="T13" s="128">
        <f t="shared" si="3"/>
        <v>1.599674319026209</v>
      </c>
      <c r="U13" s="128">
        <f t="shared" si="3"/>
        <v>1.6444983041850509</v>
      </c>
      <c r="V13" s="128">
        <f t="shared" si="3"/>
        <v>1.6905782885317417</v>
      </c>
      <c r="W13" s="128">
        <f t="shared" si="3"/>
        <v>1.7379494660356336</v>
      </c>
      <c r="X13" s="128">
        <f t="shared" si="3"/>
        <v>1.7866480168255348</v>
      </c>
      <c r="Y13" s="128">
        <f t="shared" si="3"/>
        <v>1.8367111348225862</v>
      </c>
      <c r="Z13" s="128">
        <f t="shared" si="3"/>
        <v>1.8881770561474245</v>
      </c>
      <c r="AA13" s="128">
        <f t="shared" si="3"/>
        <v>1.9410850883233364</v>
      </c>
      <c r="AB13" s="128">
        <f t="shared" si="3"/>
        <v>1.9954756402977032</v>
      </c>
      <c r="AC13" s="128">
        <f t="shared" si="3"/>
        <v>2.0513902533046706</v>
      </c>
      <c r="AD13" s="128">
        <f t="shared" si="3"/>
        <v>2.1088716325926096</v>
      </c>
      <c r="AE13" s="128">
        <f t="shared" si="3"/>
        <v>2.1679636800406037</v>
      </c>
      <c r="AF13" s="128">
        <f t="shared" si="3"/>
        <v>2.22871152768887</v>
      </c>
      <c r="AG13" s="128">
        <f t="shared" si="3"/>
        <v>2.2911615722087313</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783656000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391828000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92513548.199018985</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38005194.170000002</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19597504.140000001</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681440000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885872000.00000012</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2012662.9620398711</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3700432.4837423442</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2856547.7228911077</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5485957.443406078</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9489459.0295829345</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7487708.2364945058</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11188140.720236849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179" t="s">
        <v>176</v>
      </c>
      <c r="C77" s="87">
        <v>265844516.47529995</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1913081794.0950952</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1500399257.5637336</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2178926310.570395</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1766243774.0390334</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29350.74</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33321</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31335.870000000003</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69534.57205976393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56364.918990250895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2178926310.570395</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1766243774.0390334</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1972585042.3047142</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1972585042.3047142</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65752834.743490472</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11188140.720236849</v>
      </c>
      <c r="E111" s="149">
        <f t="shared" si="9"/>
        <v>11188140.720236849</v>
      </c>
      <c r="F111" s="149">
        <f t="shared" si="9"/>
        <v>11188140.720236849</v>
      </c>
      <c r="G111" s="149">
        <f t="shared" si="9"/>
        <v>11188140.720236849</v>
      </c>
      <c r="H111" s="149">
        <f t="shared" si="9"/>
        <v>11188140.720236849</v>
      </c>
      <c r="I111" s="149">
        <f t="shared" si="9"/>
        <v>11188140.720236849</v>
      </c>
      <c r="J111" s="149">
        <f t="shared" si="9"/>
        <v>11188140.720236849</v>
      </c>
      <c r="K111" s="149">
        <f t="shared" si="9"/>
        <v>11188140.720236849</v>
      </c>
      <c r="L111" s="149">
        <f t="shared" si="9"/>
        <v>11188140.720236849</v>
      </c>
      <c r="M111" s="149">
        <f t="shared" si="9"/>
        <v>11188140.720236849</v>
      </c>
      <c r="N111" s="149">
        <f t="shared" si="9"/>
        <v>11188140.720236849</v>
      </c>
      <c r="O111" s="149">
        <f t="shared" si="9"/>
        <v>11188140.720236849</v>
      </c>
      <c r="P111" s="149">
        <f t="shared" si="9"/>
        <v>11188140.720236849</v>
      </c>
      <c r="Q111" s="149">
        <f t="shared" si="9"/>
        <v>11188140.720236849</v>
      </c>
      <c r="R111" s="149">
        <f t="shared" si="9"/>
        <v>11188140.720236849</v>
      </c>
      <c r="S111" s="149">
        <f t="shared" si="9"/>
        <v>11188140.720236849</v>
      </c>
      <c r="T111" s="149">
        <f t="shared" si="9"/>
        <v>11188140.720236849</v>
      </c>
      <c r="U111" s="149">
        <f t="shared" si="9"/>
        <v>11188140.720236849</v>
      </c>
      <c r="V111" s="149">
        <f t="shared" si="9"/>
        <v>11188140.720236849</v>
      </c>
      <c r="W111" s="149">
        <f t="shared" si="9"/>
        <v>11188140.720236849</v>
      </c>
      <c r="X111" s="149">
        <f t="shared" si="9"/>
        <v>11188140.720236849</v>
      </c>
      <c r="Y111" s="149">
        <f t="shared" si="9"/>
        <v>11188140.720236849</v>
      </c>
      <c r="Z111" s="149">
        <f t="shared" si="9"/>
        <v>11188140.720236849</v>
      </c>
      <c r="AA111" s="149">
        <f t="shared" si="9"/>
        <v>11188140.720236849</v>
      </c>
      <c r="AB111" s="149">
        <f t="shared" si="9"/>
        <v>11188140.720236849</v>
      </c>
      <c r="AC111" s="149">
        <f t="shared" si="9"/>
        <v>11188140.720236849</v>
      </c>
      <c r="AD111" s="149">
        <f t="shared" si="9"/>
        <v>11188140.720236849</v>
      </c>
      <c r="AE111" s="149">
        <f t="shared" si="9"/>
        <v>11188140.720236849</v>
      </c>
      <c r="AF111" s="149">
        <f t="shared" si="9"/>
        <v>11188140.720236849</v>
      </c>
      <c r="AG111" s="149">
        <f t="shared" si="9"/>
        <v>11188140.720236849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1972585042.304714</v>
      </c>
      <c r="D113" s="149">
        <f t="shared" ref="D113:AG113" si="10">$C$102</f>
        <v>65752834.743490472</v>
      </c>
      <c r="E113" s="149">
        <f t="shared" si="10"/>
        <v>65752834.743490472</v>
      </c>
      <c r="F113" s="149">
        <f t="shared" si="10"/>
        <v>65752834.743490472</v>
      </c>
      <c r="G113" s="149">
        <f t="shared" si="10"/>
        <v>65752834.743490472</v>
      </c>
      <c r="H113" s="149">
        <f t="shared" si="10"/>
        <v>65752834.743490472</v>
      </c>
      <c r="I113" s="149">
        <f t="shared" si="10"/>
        <v>65752834.743490472</v>
      </c>
      <c r="J113" s="149">
        <f t="shared" si="10"/>
        <v>65752834.743490472</v>
      </c>
      <c r="K113" s="149">
        <f t="shared" si="10"/>
        <v>65752834.743490472</v>
      </c>
      <c r="L113" s="149">
        <f t="shared" si="10"/>
        <v>65752834.743490472</v>
      </c>
      <c r="M113" s="149">
        <f t="shared" si="10"/>
        <v>65752834.743490472</v>
      </c>
      <c r="N113" s="149">
        <f t="shared" si="10"/>
        <v>65752834.743490472</v>
      </c>
      <c r="O113" s="149">
        <f t="shared" si="10"/>
        <v>65752834.743490472</v>
      </c>
      <c r="P113" s="149">
        <f t="shared" si="10"/>
        <v>65752834.743490472</v>
      </c>
      <c r="Q113" s="149">
        <f t="shared" si="10"/>
        <v>65752834.743490472</v>
      </c>
      <c r="R113" s="149">
        <f t="shared" si="10"/>
        <v>65752834.743490472</v>
      </c>
      <c r="S113" s="149">
        <f t="shared" si="10"/>
        <v>65752834.743490472</v>
      </c>
      <c r="T113" s="149">
        <f t="shared" si="10"/>
        <v>65752834.743490472</v>
      </c>
      <c r="U113" s="149">
        <f t="shared" si="10"/>
        <v>65752834.743490472</v>
      </c>
      <c r="V113" s="149">
        <f t="shared" si="10"/>
        <v>65752834.743490472</v>
      </c>
      <c r="W113" s="149">
        <f t="shared" si="10"/>
        <v>65752834.743490472</v>
      </c>
      <c r="X113" s="149">
        <f t="shared" si="10"/>
        <v>65752834.743490472</v>
      </c>
      <c r="Y113" s="149">
        <f t="shared" si="10"/>
        <v>65752834.743490472</v>
      </c>
      <c r="Z113" s="149">
        <f t="shared" si="10"/>
        <v>65752834.743490472</v>
      </c>
      <c r="AA113" s="149">
        <f t="shared" si="10"/>
        <v>65752834.743490472</v>
      </c>
      <c r="AB113" s="149">
        <f t="shared" si="10"/>
        <v>65752834.743490472</v>
      </c>
      <c r="AC113" s="149">
        <f t="shared" si="10"/>
        <v>65752834.743490472</v>
      </c>
      <c r="AD113" s="149">
        <f t="shared" si="10"/>
        <v>65752834.743490472</v>
      </c>
      <c r="AE113" s="149">
        <f t="shared" si="10"/>
        <v>65752834.743490472</v>
      </c>
      <c r="AF113" s="149">
        <f t="shared" si="10"/>
        <v>65752834.743490472</v>
      </c>
      <c r="AG113" s="149">
        <f t="shared" si="10"/>
        <v>65752834.743490472</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65752834.743490472</v>
      </c>
      <c r="E118" s="149">
        <f t="shared" ref="E118:AG118" si="13">E113+E115+E116</f>
        <v>65752834.743490472</v>
      </c>
      <c r="F118" s="149">
        <f>F113+F115+F116</f>
        <v>65752834.743490472</v>
      </c>
      <c r="G118" s="149">
        <f t="shared" si="13"/>
        <v>65752834.743490472</v>
      </c>
      <c r="H118" s="149">
        <f t="shared" si="13"/>
        <v>65752834.743490472</v>
      </c>
      <c r="I118" s="149">
        <f t="shared" si="13"/>
        <v>65752834.743490472</v>
      </c>
      <c r="J118" s="149">
        <f t="shared" si="13"/>
        <v>65752834.743490472</v>
      </c>
      <c r="K118" s="149">
        <f t="shared" si="13"/>
        <v>65752834.743490472</v>
      </c>
      <c r="L118" s="149">
        <f t="shared" si="13"/>
        <v>65752834.743490472</v>
      </c>
      <c r="M118" s="149">
        <f t="shared" si="13"/>
        <v>65752834.743490472</v>
      </c>
      <c r="N118" s="149">
        <f t="shared" si="13"/>
        <v>65752834.743490472</v>
      </c>
      <c r="O118" s="149">
        <f t="shared" si="13"/>
        <v>65752834.743490472</v>
      </c>
      <c r="P118" s="149">
        <f t="shared" si="13"/>
        <v>65752834.743490472</v>
      </c>
      <c r="Q118" s="149">
        <f t="shared" si="13"/>
        <v>65752834.743490472</v>
      </c>
      <c r="R118" s="149">
        <f t="shared" si="13"/>
        <v>65752834.743490472</v>
      </c>
      <c r="S118" s="149">
        <f t="shared" si="13"/>
        <v>65752834.743490472</v>
      </c>
      <c r="T118" s="149">
        <f t="shared" si="13"/>
        <v>65752834.743490472</v>
      </c>
      <c r="U118" s="149">
        <f t="shared" si="13"/>
        <v>65752834.743490472</v>
      </c>
      <c r="V118" s="149">
        <f t="shared" si="13"/>
        <v>65752834.743490472</v>
      </c>
      <c r="W118" s="149">
        <f t="shared" si="13"/>
        <v>65752834.743490472</v>
      </c>
      <c r="X118" s="149">
        <f t="shared" si="13"/>
        <v>65752834.743490472</v>
      </c>
      <c r="Y118" s="149">
        <f t="shared" si="13"/>
        <v>65752834.743490472</v>
      </c>
      <c r="Z118" s="149">
        <f t="shared" si="13"/>
        <v>65752834.743490472</v>
      </c>
      <c r="AA118" s="149">
        <f t="shared" si="13"/>
        <v>65752834.743490472</v>
      </c>
      <c r="AB118" s="149">
        <f t="shared" si="13"/>
        <v>65752834.743490472</v>
      </c>
      <c r="AC118" s="149">
        <f t="shared" si="13"/>
        <v>65752834.743490472</v>
      </c>
      <c r="AD118" s="149">
        <f t="shared" si="13"/>
        <v>65752834.743490472</v>
      </c>
      <c r="AE118" s="149">
        <f t="shared" si="13"/>
        <v>65752834.743490472</v>
      </c>
      <c r="AF118" s="149">
        <f t="shared" si="13"/>
        <v>65752834.743490472</v>
      </c>
      <c r="AG118" s="149">
        <f t="shared" si="13"/>
        <v>65752834.743490472</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1578068.0338437713</v>
      </c>
      <c r="E120" s="149">
        <f>(SUM($D$118:E118)*$C$104/$C$106)+(SUM($D$118:E118)*$C$105/$C$107)</f>
        <v>3156136.0676875426</v>
      </c>
      <c r="F120" s="149">
        <f>(SUM($D$118:F118)*$C$104/$C$106)+(SUM($D$118:F118)*$C$105/$C$107)</f>
        <v>4734204.1015313137</v>
      </c>
      <c r="G120" s="149">
        <f>(SUM($D$118:G118)*$C$104/$C$106)+(SUM($D$118:G118)*$C$105/$C$107)</f>
        <v>6312272.1353750853</v>
      </c>
      <c r="H120" s="149">
        <f>(SUM($D$118:H118)*$C$104/$C$106)+(SUM($D$118:H118)*$C$105/$C$107)</f>
        <v>7890340.1692188568</v>
      </c>
      <c r="I120" s="149">
        <f>(SUM($D$118:I118)*$C$104/$C$106)+(SUM($D$118:I118)*$C$105/$C$107)</f>
        <v>9468408.2030626275</v>
      </c>
      <c r="J120" s="149">
        <f>(SUM($D$118:J118)*$C$104/$C$106)+(SUM($D$118:J118)*$C$105/$C$107)</f>
        <v>11046476.236906398</v>
      </c>
      <c r="K120" s="149">
        <f>(SUM($D$118:K118)*$C$104/$C$106)+(SUM($D$118:K118)*$C$105/$C$107)</f>
        <v>12624544.270750169</v>
      </c>
      <c r="L120" s="149">
        <f>(SUM($D$118:L118)*$C$104/$C$106)+(SUM($D$118:L118)*$C$105/$C$107)</f>
        <v>14202612.304593943</v>
      </c>
      <c r="M120" s="149">
        <f>(SUM($D$118:M118)*$C$104/$C$106)+(SUM($D$118:M118)*$C$105/$C$107)</f>
        <v>15780680.338437714</v>
      </c>
      <c r="N120" s="149">
        <f>(SUM($D$118:N118)*$C$104/$C$106)+(SUM($D$118:N118)*$C$105/$C$107)</f>
        <v>17358748.372281481</v>
      </c>
      <c r="O120" s="149">
        <f>(SUM($D$118:O118)*$C$104/$C$106)+(SUM($D$118:O118)*$C$105/$C$107)</f>
        <v>18936816.406125255</v>
      </c>
      <c r="P120" s="149">
        <f>(SUM($D$118:P118)*$C$104/$C$106)+(SUM($D$118:P118)*$C$105/$C$107)</f>
        <v>20514884.439969022</v>
      </c>
      <c r="Q120" s="149">
        <f>(SUM($D$118:Q118)*$C$104/$C$106)+(SUM($D$118:Q118)*$C$105/$C$107)</f>
        <v>22092952.473812796</v>
      </c>
      <c r="R120" s="149">
        <f>(SUM($D$118:R118)*$C$104/$C$106)+(SUM($D$118:R118)*$C$105/$C$107)</f>
        <v>23671020.507656563</v>
      </c>
      <c r="S120" s="149">
        <f>(SUM($D$118:S118)*$C$104/$C$106)+(SUM($D$118:S118)*$C$105/$C$107)</f>
        <v>25249088.541500337</v>
      </c>
      <c r="T120" s="149">
        <f>(SUM($D$118:T118)*$C$104/$C$106)+(SUM($D$118:T118)*$C$105/$C$107)</f>
        <v>26827156.575344108</v>
      </c>
      <c r="U120" s="149">
        <f>(SUM($D$118:U118)*$C$104/$C$106)+(SUM($D$118:U118)*$C$105/$C$107)</f>
        <v>28405224.609187886</v>
      </c>
      <c r="V120" s="149">
        <f>(SUM($D$118:V118)*$C$104/$C$106)+(SUM($D$118:V118)*$C$105/$C$107)</f>
        <v>29983292.643031657</v>
      </c>
      <c r="W120" s="149">
        <f>(SUM($D$118:W118)*$C$104/$C$106)+(SUM($D$118:W118)*$C$105/$C$107)</f>
        <v>31561360.676875427</v>
      </c>
      <c r="X120" s="149">
        <f>(SUM($D$118:X118)*$C$104/$C$106)+(SUM($D$118:X118)*$C$105/$C$107)</f>
        <v>33139428.710719198</v>
      </c>
      <c r="Y120" s="149">
        <f>(SUM($D$118:Y118)*$C$104/$C$106)+(SUM($D$118:Y118)*$C$105/$C$107)</f>
        <v>34717496.744562961</v>
      </c>
      <c r="Z120" s="149">
        <f>(SUM($D$118:Z118)*$C$104/$C$106)+(SUM($D$118:Z118)*$C$105/$C$107)</f>
        <v>36295564.778406739</v>
      </c>
      <c r="AA120" s="149">
        <f>(SUM($D$118:AA118)*$C$104/$C$106)+(SUM($D$118:AA118)*$C$105/$C$107)</f>
        <v>37873632.81225051</v>
      </c>
      <c r="AB120" s="149">
        <f>(SUM($D$118:AB118)*$C$104/$C$106)+(SUM($D$118:AB118)*$C$105/$C$107)</f>
        <v>39451700.84609428</v>
      </c>
      <c r="AC120" s="149">
        <f>(SUM($D$118:AC118)*$C$104/$C$106)+(SUM($D$118:AC118)*$C$105/$C$107)</f>
        <v>41029768.879938044</v>
      </c>
      <c r="AD120" s="149">
        <f>(SUM($D$118:AD118)*$C$104/$C$106)+(SUM($D$118:AD118)*$C$105/$C$107)</f>
        <v>42607836.913781822</v>
      </c>
      <c r="AE120" s="149">
        <f>(SUM($D$118:AE118)*$C$104/$C$106)+(SUM($D$118:AE118)*$C$105/$C$107)</f>
        <v>44185904.947625592</v>
      </c>
      <c r="AF120" s="149">
        <f>(SUM($D$118:AF118)*$C$104/$C$106)+(SUM($D$118:AF118)*$C$105/$C$107)</f>
        <v>45763972.981469363</v>
      </c>
      <c r="AG120" s="149">
        <f>(SUM($D$118:AG118)*$C$104/$C$106)+(SUM($D$118:AG118)*$C$105/$C$107)</f>
        <v>47342041.015313126</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1972585.0423047142</v>
      </c>
      <c r="E122" s="72">
        <f>(SUM($D$118:E118)*$C$109)</f>
        <v>3945170.0846094284</v>
      </c>
      <c r="F122" s="72">
        <f>(SUM($D$118:F118)*$C$109)</f>
        <v>5917755.1269141426</v>
      </c>
      <c r="G122" s="72">
        <f>(SUM($D$118:G118)*$C$109)</f>
        <v>7890340.1692188568</v>
      </c>
      <c r="H122" s="72">
        <f>(SUM($D$118:H118)*$C$109)</f>
        <v>9862925.2115235701</v>
      </c>
      <c r="I122" s="72">
        <f>(SUM($D$118:I118)*$C$109)</f>
        <v>11835510.253828283</v>
      </c>
      <c r="J122" s="72">
        <f>(SUM($D$118:J118)*$C$109)</f>
        <v>13808095.296132997</v>
      </c>
      <c r="K122" s="72">
        <f>(SUM($D$118:K118)*$C$109)</f>
        <v>15780680.338437712</v>
      </c>
      <c r="L122" s="72">
        <f>(SUM($D$118:L118)*$C$109)</f>
        <v>17753265.380742427</v>
      </c>
      <c r="M122" s="72">
        <f>(SUM($D$118:M118)*$C$109)</f>
        <v>19725850.42304714</v>
      </c>
      <c r="N122" s="72">
        <f>(SUM($D$118:N118)*$C$109)</f>
        <v>21698435.465351854</v>
      </c>
      <c r="O122" s="72">
        <f>(SUM($D$118:O118)*$C$109)</f>
        <v>23671020.507656567</v>
      </c>
      <c r="P122" s="72">
        <f>(SUM($D$118:P118)*$C$109)</f>
        <v>25643605.54996128</v>
      </c>
      <c r="Q122" s="72">
        <f>(SUM($D$118:Q118)*$C$109)</f>
        <v>27616190.592265993</v>
      </c>
      <c r="R122" s="72">
        <f>(SUM($D$118:R118)*$C$109)</f>
        <v>29588775.634570707</v>
      </c>
      <c r="S122" s="72">
        <f>(SUM($D$118:S118)*$C$109)</f>
        <v>31561360.676875424</v>
      </c>
      <c r="T122" s="72">
        <f>(SUM($D$118:T118)*$C$109)</f>
        <v>33533945.719180141</v>
      </c>
      <c r="U122" s="72">
        <f>(SUM($D$118:U118)*$C$109)</f>
        <v>35506530.761484854</v>
      </c>
      <c r="V122" s="72">
        <f>(SUM($D$118:V118)*$C$109)</f>
        <v>37479115.803789563</v>
      </c>
      <c r="W122" s="72">
        <f>(SUM($D$118:W118)*$C$109)</f>
        <v>39451700.84609428</v>
      </c>
      <c r="X122" s="72">
        <f>(SUM($D$118:X118)*$C$109)</f>
        <v>41424285.888398997</v>
      </c>
      <c r="Y122" s="72">
        <f>(SUM($D$118:Y118)*$C$109)</f>
        <v>43396870.930703707</v>
      </c>
      <c r="Z122" s="72">
        <f>(SUM($D$118:Z118)*$C$109)</f>
        <v>45369455.973008424</v>
      </c>
      <c r="AA122" s="72">
        <f>(SUM($D$118:AA118)*$C$109)</f>
        <v>47342041.015313134</v>
      </c>
      <c r="AB122" s="72">
        <f>(SUM($D$118:AB118)*$C$109)</f>
        <v>49314626.057617851</v>
      </c>
      <c r="AC122" s="72">
        <f>(SUM($D$118:AC118)*$C$109)</f>
        <v>51287211.09992256</v>
      </c>
      <c r="AD122" s="72">
        <f>(SUM($D$118:AD118)*$C$109)</f>
        <v>53259796.142227277</v>
      </c>
      <c r="AE122" s="72">
        <f>(SUM($D$118:AE118)*$C$109)</f>
        <v>55232381.184531987</v>
      </c>
      <c r="AF122" s="72">
        <f>(SUM($D$118:AF118)*$C$109)</f>
        <v>57204966.226836704</v>
      </c>
      <c r="AG122" s="72">
        <f>(SUM($D$118:AG118)*$C$109)</f>
        <v>59177551.269141413</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29350.74</v>
      </c>
      <c r="D126" s="140"/>
    </row>
    <row r="127" spans="1:33" x14ac:dyDescent="0.35">
      <c r="A127" s="77" t="s">
        <v>151</v>
      </c>
      <c r="B127" s="77" t="s">
        <v>133</v>
      </c>
      <c r="C127" s="126">
        <v>33321</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31335.870000000003</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11605.877777777778</v>
      </c>
      <c r="D135" s="157">
        <f t="shared" ref="D135:AG135" si="14">$C$135*D13</f>
        <v>11931.082531694892</v>
      </c>
      <c r="E135" s="157">
        <f t="shared" si="14"/>
        <v>12265.399748623875</v>
      </c>
      <c r="F135" s="157">
        <f t="shared" si="14"/>
        <v>12609.084766105594</v>
      </c>
      <c r="G135" s="157">
        <f t="shared" si="14"/>
        <v>12962.400076416105</v>
      </c>
      <c r="H135" s="157">
        <f t="shared" si="14"/>
        <v>13325.615527047295</v>
      </c>
      <c r="I135" s="157">
        <f t="shared" si="14"/>
        <v>13699.008526805152</v>
      </c>
      <c r="J135" s="157">
        <f t="shared" si="14"/>
        <v>14082.864257683017</v>
      </c>
      <c r="K135" s="157">
        <f t="shared" si="14"/>
        <v>14477.475892671722</v>
      </c>
      <c r="L135" s="157">
        <f t="shared" si="14"/>
        <v>14883.144819672843</v>
      </c>
      <c r="M135" s="157">
        <f t="shared" si="14"/>
        <v>15300.18087168624</v>
      </c>
      <c r="N135" s="157">
        <f t="shared" si="14"/>
        <v>15728.902563447562</v>
      </c>
      <c r="O135" s="157">
        <f t="shared" si="14"/>
        <v>16169.637334696519</v>
      </c>
      <c r="P135" s="157">
        <f t="shared" si="14"/>
        <v>16622.721800261676</v>
      </c>
      <c r="Q135" s="157">
        <f t="shared" si="14"/>
        <v>17088.502007152823</v>
      </c>
      <c r="R135" s="157">
        <f t="shared" si="14"/>
        <v>17567.333698857259</v>
      </c>
      <c r="S135" s="157">
        <f t="shared" si="14"/>
        <v>18059.582587041794</v>
      </c>
      <c r="T135" s="157">
        <f t="shared" si="14"/>
        <v>18565.624630868078</v>
      </c>
      <c r="U135" s="157">
        <f t="shared" si="14"/>
        <v>19085.846324134523</v>
      </c>
      <c r="V135" s="157">
        <f t="shared" si="14"/>
        <v>19620.64499046413</v>
      </c>
      <c r="W135" s="157">
        <f t="shared" si="14"/>
        <v>20170.429086763714</v>
      </c>
      <c r="X135" s="157">
        <f t="shared" si="14"/>
        <v>20735.618515186212</v>
      </c>
      <c r="Y135" s="157">
        <f t="shared" si="14"/>
        <v>21316.644943834457</v>
      </c>
      <c r="Z135" s="157">
        <f t="shared" si="14"/>
        <v>21913.952136451258</v>
      </c>
      <c r="AA135" s="157">
        <f t="shared" si="14"/>
        <v>22527.996291347623</v>
      </c>
      <c r="AB135" s="157">
        <f t="shared" si="14"/>
        <v>23159.246389827997</v>
      </c>
      <c r="AC135" s="157">
        <f t="shared" si="14"/>
        <v>23808.184554378604</v>
      </c>
      <c r="AD135" s="157">
        <f t="shared" si="14"/>
        <v>24475.306416892508</v>
      </c>
      <c r="AE135" s="157">
        <f t="shared" si="14"/>
        <v>25161.121497212574</v>
      </c>
      <c r="AF135" s="157">
        <f t="shared" si="14"/>
        <v>25866.153592281418</v>
      </c>
      <c r="AG135" s="157">
        <f t="shared" si="14"/>
        <v>26590.941176195709</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5" zoomScaleNormal="85"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0.3</v>
      </c>
      <c r="F4" s="65">
        <v>0.25</v>
      </c>
      <c r="G4" s="65">
        <v>0.22</v>
      </c>
      <c r="H4" s="65">
        <v>0.2</v>
      </c>
      <c r="I4" s="65">
        <v>0.1</v>
      </c>
      <c r="J4" s="65">
        <v>0.1</v>
      </c>
      <c r="K4" s="65">
        <v>0.05</v>
      </c>
      <c r="L4" s="65">
        <v>0.05</v>
      </c>
      <c r="M4" s="65">
        <v>0.05</v>
      </c>
      <c r="N4" s="65">
        <v>0.04</v>
      </c>
      <c r="O4" s="65">
        <v>0.03</v>
      </c>
      <c r="P4" s="65">
        <v>0.03</v>
      </c>
      <c r="Q4" s="65">
        <v>0.03</v>
      </c>
      <c r="R4" s="65">
        <v>0.03</v>
      </c>
      <c r="S4" s="65">
        <v>0.03</v>
      </c>
      <c r="T4" s="65">
        <v>0.03</v>
      </c>
      <c r="U4" s="65">
        <v>0.03</v>
      </c>
      <c r="V4" s="65">
        <v>2.5000000000000001E-2</v>
      </c>
      <c r="W4" s="65">
        <v>2.5000000000000001E-2</v>
      </c>
      <c r="X4" s="65">
        <v>2.5000000000000001E-2</v>
      </c>
      <c r="Y4" s="65">
        <v>2.5000000000000001E-2</v>
      </c>
      <c r="Z4" s="65">
        <v>2.5000000000000001E-2</v>
      </c>
      <c r="AA4" s="65">
        <v>2.5000000000000001E-2</v>
      </c>
      <c r="AB4" s="65">
        <v>2.5000000000000001E-2</v>
      </c>
      <c r="AC4" s="65">
        <v>2.5000000000000001E-2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2.497023896188534</v>
      </c>
      <c r="C6" s="25"/>
      <c r="D6" s="25"/>
      <c r="E6" s="27">
        <f>'Debt worksheet'!C5/'Profit and Loss'!C5</f>
        <v>1.8214496585913287</v>
      </c>
      <c r="F6" s="28">
        <f ca="1">'Debt worksheet'!D5/'Profit and Loss'!D5</f>
        <v>2.3079012469043074</v>
      </c>
      <c r="G6" s="28">
        <f ca="1">'Debt worksheet'!E5/'Profit and Loss'!E5</f>
        <v>2.4865790993865775</v>
      </c>
      <c r="H6" s="28">
        <f ca="1">'Debt worksheet'!F5/'Profit and Loss'!F5</f>
        <v>2.4680182538224948</v>
      </c>
      <c r="I6" s="28">
        <f ca="1">'Debt worksheet'!G5/'Profit and Loss'!G5</f>
        <v>2.497023896188534</v>
      </c>
      <c r="J6" s="28">
        <f ca="1">'Debt worksheet'!H5/'Profit and Loss'!H5</f>
        <v>2.4583061741379142</v>
      </c>
      <c r="K6" s="28">
        <f ca="1">'Debt worksheet'!I5/'Profit and Loss'!I5</f>
        <v>2.4722734670704964</v>
      </c>
      <c r="L6" s="28">
        <f ca="1">'Debt worksheet'!J5/'Profit and Loss'!J5</f>
        <v>2.4704011071869467</v>
      </c>
      <c r="M6" s="28">
        <f ca="1">'Debt worksheet'!K5/'Profit and Loss'!K5</f>
        <v>2.4523693385590901</v>
      </c>
      <c r="N6" s="28">
        <f ca="1">'Debt worksheet'!L5/'Profit and Loss'!L5</f>
        <v>2.4412493465394909</v>
      </c>
      <c r="O6" s="28">
        <f ca="1">'Debt worksheet'!M5/'Profit and Loss'!M5</f>
        <v>2.445817203970686</v>
      </c>
      <c r="P6" s="28">
        <f ca="1">'Debt worksheet'!N5/'Profit and Loss'!N5</f>
        <v>2.4511224163569545</v>
      </c>
      <c r="Q6" s="28">
        <f ca="1">'Debt worksheet'!O5/'Profit and Loss'!O5</f>
        <v>2.456257068064402</v>
      </c>
      <c r="R6" s="28">
        <f ca="1">'Debt worksheet'!P5/'Profit and Loss'!P5</f>
        <v>2.4603864400666269</v>
      </c>
      <c r="S6" s="28">
        <f ca="1">'Debt worksheet'!Q5/'Profit and Loss'!Q5</f>
        <v>2.4627449216153603</v>
      </c>
      <c r="T6" s="28">
        <f ca="1">'Debt worksheet'!R5/'Profit and Loss'!R5</f>
        <v>2.4626321171007524</v>
      </c>
      <c r="U6" s="28">
        <f ca="1">'Debt worksheet'!S5/'Profit and Loss'!S5</f>
        <v>2.4594091395326356</v>
      </c>
      <c r="V6" s="28">
        <f ca="1">'Debt worksheet'!T5/'Profit and Loss'!T5</f>
        <v>2.4644584730779155</v>
      </c>
      <c r="W6" s="28">
        <f ca="1">'Debt worksheet'!U5/'Profit and Loss'!U5</f>
        <v>2.4700371957630267</v>
      </c>
      <c r="X6" s="28">
        <f ca="1">'Debt worksheet'!V5/'Profit and Loss'!V5</f>
        <v>2.4755448866220013</v>
      </c>
      <c r="Y6" s="28">
        <f ca="1">'Debt worksheet'!W5/'Profit and Loss'!W5</f>
        <v>2.4804214963208748</v>
      </c>
      <c r="Z6" s="28">
        <f ca="1">'Debt worksheet'!X5/'Profit and Loss'!X5</f>
        <v>2.4841454531773999</v>
      </c>
      <c r="AA6" s="28">
        <f ca="1">'Debt worksheet'!Y5/'Profit and Loss'!Y5</f>
        <v>2.4862318457001398</v>
      </c>
      <c r="AB6" s="28">
        <f ca="1">'Debt worksheet'!Z5/'Profit and Loss'!Z5</f>
        <v>2.486230678785307</v>
      </c>
      <c r="AC6" s="28">
        <f ca="1">'Debt worksheet'!AA5/'Profit and Loss'!AA5</f>
        <v>2.4837252008120427</v>
      </c>
      <c r="AD6" s="28">
        <f ca="1">'Debt worksheet'!AB5/'Profit and Loss'!AB5</f>
        <v>2.4856052411448522</v>
      </c>
      <c r="AE6" s="28">
        <f ca="1">'Debt worksheet'!AC5/'Profit and Loss'!AC5</f>
        <v>2.4871066831658184</v>
      </c>
      <c r="AF6" s="28">
        <f ca="1">'Debt worksheet'!AD5/'Profit and Loss'!AD5</f>
        <v>2.4878403440405652</v>
      </c>
      <c r="AG6" s="28">
        <f ca="1">'Debt worksheet'!AE5/'Profit and Loss'!AE5</f>
        <v>2.4874409857588207</v>
      </c>
      <c r="AH6" s="28">
        <f ca="1">'Debt worksheet'!AF5/'Profit and Loss'!AF5</f>
        <v>2.4855663074235563</v>
      </c>
      <c r="AI6" s="31"/>
    </row>
    <row r="7" spans="1:35" ht="21" x14ac:dyDescent="0.5">
      <c r="A7" s="19" t="s">
        <v>38</v>
      </c>
      <c r="B7" s="26">
        <f ca="1">MIN('Price and Financial ratios'!E7:AH7)</f>
        <v>0.20606198113669166</v>
      </c>
      <c r="C7" s="26"/>
      <c r="D7" s="26"/>
      <c r="E7" s="56">
        <f ca="1">'Cash Flow'!C7/'Debt worksheet'!C5</f>
        <v>0.24767395038845186</v>
      </c>
      <c r="F7" s="32">
        <f ca="1">'Cash Flow'!D7/'Debt worksheet'!D5</f>
        <v>0.21503186513080455</v>
      </c>
      <c r="G7" s="32">
        <f ca="1">'Cash Flow'!E7/'Debt worksheet'!E5</f>
        <v>0.21661045774175777</v>
      </c>
      <c r="H7" s="32">
        <f ca="1">'Cash Flow'!F7/'Debt worksheet'!F5</f>
        <v>0.23478901986001316</v>
      </c>
      <c r="I7" s="32">
        <f ca="1">'Cash Flow'!G7/'Debt worksheet'!G5</f>
        <v>0.2349624618687125</v>
      </c>
      <c r="J7" s="32">
        <f ca="1">'Cash Flow'!H7/'Debt worksheet'!H5</f>
        <v>0.24327366480741774</v>
      </c>
      <c r="K7" s="32">
        <f ca="1">'Cash Flow'!I7/'Debt worksheet'!I5</f>
        <v>0.23971072042034933</v>
      </c>
      <c r="L7" s="32">
        <f ca="1">'Cash Flow'!J7/'Debt worksheet'!J5</f>
        <v>0.23848068919275131</v>
      </c>
      <c r="M7" s="17">
        <f ca="1">'Cash Flow'!K7/'Debt worksheet'!K5</f>
        <v>0.23955001083282695</v>
      </c>
      <c r="N7" s="17">
        <f ca="1">'Cash Flow'!L7/'Debt worksheet'!L5</f>
        <v>0.23888275534674938</v>
      </c>
      <c r="O7" s="17">
        <f ca="1">'Cash Flow'!M7/'Debt worksheet'!M5</f>
        <v>0.2353806522347501</v>
      </c>
      <c r="P7" s="17">
        <f ca="1">'Cash Flow'!N7/'Debt worksheet'!N5</f>
        <v>0.23213722874350146</v>
      </c>
      <c r="Q7" s="17">
        <f ca="1">'Cash Flow'!O7/'Debt worksheet'!O5</f>
        <v>0.22923331187269821</v>
      </c>
      <c r="R7" s="17">
        <f ca="1">'Cash Flow'!P7/'Debt worksheet'!P5</f>
        <v>0.22673777021223185</v>
      </c>
      <c r="S7" s="17">
        <f ca="1">'Cash Flow'!Q7/'Debt worksheet'!Q5</f>
        <v>0.22470986539127594</v>
      </c>
      <c r="T7" s="17">
        <f ca="1">'Cash Flow'!R7/'Debt worksheet'!R5</f>
        <v>0.22320172780625938</v>
      </c>
      <c r="U7" s="17">
        <f ca="1">'Cash Flow'!S7/'Debt worksheet'!S5</f>
        <v>0.22226085167503498</v>
      </c>
      <c r="V7" s="17">
        <f ca="1">'Cash Flow'!T7/'Debt worksheet'!T5</f>
        <v>0.21988141464224431</v>
      </c>
      <c r="W7" s="17">
        <f ca="1">'Cash Flow'!U7/'Debt worksheet'!U5</f>
        <v>0.21765733968563322</v>
      </c>
      <c r="X7" s="17">
        <f ca="1">'Cash Flow'!V7/'Debt worksheet'!V5</f>
        <v>0.21563996386844744</v>
      </c>
      <c r="Y7" s="17">
        <f ca="1">'Cash Flow'!W7/'Debt worksheet'!W5</f>
        <v>0.21387452725687364</v>
      </c>
      <c r="Z7" s="17">
        <f ca="1">'Cash Flow'!X7/'Debt worksheet'!X5</f>
        <v>0.21240114793948039</v>
      </c>
      <c r="AA7" s="17">
        <f ca="1">'Cash Flow'!Y7/'Debt worksheet'!Y5</f>
        <v>0.21125588000381057</v>
      </c>
      <c r="AB7" s="17">
        <f ca="1">'Cash Flow'!Z7/'Debt worksheet'!Z5</f>
        <v>0.21047181086293856</v>
      </c>
      <c r="AC7" s="17">
        <f ca="1">'Cash Flow'!AA7/'Debt worksheet'!AA5</f>
        <v>0.21008017297013654</v>
      </c>
      <c r="AD7" s="17">
        <f ca="1">'Cash Flow'!AB7/'Debt worksheet'!AB5</f>
        <v>0.20888765980379737</v>
      </c>
      <c r="AE7" s="17">
        <f ca="1">'Cash Flow'!AC7/'Debt worksheet'!AC5</f>
        <v>0.20785946421800428</v>
      </c>
      <c r="AF7" s="17">
        <f ca="1">'Cash Flow'!AD7/'Debt worksheet'!AD5</f>
        <v>0.20702683466931315</v>
      </c>
      <c r="AG7" s="17">
        <f ca="1">'Cash Flow'!AE7/'Debt worksheet'!AE5</f>
        <v>0.20641865246191582</v>
      </c>
      <c r="AH7" s="17">
        <f ca="1">'Cash Flow'!AF7/'Debt worksheet'!AF5</f>
        <v>0.20606198113669166</v>
      </c>
      <c r="AI7" s="29"/>
    </row>
    <row r="8" spans="1:35" ht="21" x14ac:dyDescent="0.5">
      <c r="A8" s="19" t="s">
        <v>33</v>
      </c>
      <c r="B8" s="26">
        <f ca="1">MAX('Price and Financial ratios'!E8:AH8)</f>
        <v>0.47833629880312767</v>
      </c>
      <c r="C8" s="26"/>
      <c r="D8" s="176"/>
      <c r="E8" s="17">
        <f>'Balance Sheet'!B11/'Balance Sheet'!B8</f>
        <v>0.24432258982508936</v>
      </c>
      <c r="F8" s="17">
        <f ca="1">'Balance Sheet'!C11/'Balance Sheet'!C8</f>
        <v>0.3899459266853052</v>
      </c>
      <c r="G8" s="17">
        <f ca="1">'Balance Sheet'!D11/'Balance Sheet'!D8</f>
        <v>0.44824739015889864</v>
      </c>
      <c r="H8" s="17">
        <f ca="1">'Balance Sheet'!E11/'Balance Sheet'!E8</f>
        <v>0.4756094719047218</v>
      </c>
      <c r="I8" s="17">
        <f ca="1">'Balance Sheet'!F11/'Balance Sheet'!F8</f>
        <v>0.47833629880312767</v>
      </c>
      <c r="J8" s="17">
        <f ca="1">'Balance Sheet'!G11/'Balance Sheet'!G8</f>
        <v>0.47347447893629768</v>
      </c>
      <c r="K8" s="17">
        <f ca="1">'Balance Sheet'!H11/'Balance Sheet'!H8</f>
        <v>0.46124063926873582</v>
      </c>
      <c r="L8" s="17">
        <f ca="1">'Balance Sheet'!I11/'Balance Sheet'!I8</f>
        <v>0.44989156620568993</v>
      </c>
      <c r="M8" s="17">
        <f ca="1">'Balance Sheet'!J11/'Balance Sheet'!J8</f>
        <v>0.43878269626819993</v>
      </c>
      <c r="N8" s="17">
        <f ca="1">'Balance Sheet'!K11/'Balance Sheet'!K8</f>
        <v>0.42741108036233816</v>
      </c>
      <c r="O8" s="17">
        <f ca="1">'Balance Sheet'!L11/'Balance Sheet'!L8</f>
        <v>0.4169713556264818</v>
      </c>
      <c r="P8" s="17">
        <f ca="1">'Balance Sheet'!M11/'Balance Sheet'!M8</f>
        <v>0.40860582759719488</v>
      </c>
      <c r="Q8" s="17">
        <f ca="1">'Balance Sheet'!N11/'Balance Sheet'!N8</f>
        <v>0.40184712304000614</v>
      </c>
      <c r="R8" s="17">
        <f ca="1">'Balance Sheet'!O11/'Balance Sheet'!O8</f>
        <v>0.39632019042902006</v>
      </c>
      <c r="S8" s="17">
        <f ca="1">'Balance Sheet'!P11/'Balance Sheet'!P8</f>
        <v>0.39171805558933492</v>
      </c>
      <c r="T8" s="17">
        <f ca="1">'Balance Sheet'!Q11/'Balance Sheet'!Q8</f>
        <v>0.38778470591829056</v>
      </c>
      <c r="U8" s="17">
        <f ca="1">'Balance Sheet'!R11/'Balance Sheet'!R8</f>
        <v>0.38430276775558114</v>
      </c>
      <c r="V8" s="17">
        <f ca="1">'Balance Sheet'!S11/'Balance Sheet'!S8</f>
        <v>0.38108447667502837</v>
      </c>
      <c r="W8" s="17">
        <f ca="1">'Balance Sheet'!T11/'Balance Sheet'!T8</f>
        <v>0.37870045870503644</v>
      </c>
      <c r="X8" s="17">
        <f ca="1">'Balance Sheet'!U11/'Balance Sheet'!U8</f>
        <v>0.3769801953798102</v>
      </c>
      <c r="Y8" s="17">
        <f ca="1">'Balance Sheet'!V11/'Balance Sheet'!V8</f>
        <v>0.37577463047290655</v>
      </c>
      <c r="Z8" s="17">
        <f ca="1">'Balance Sheet'!W11/'Balance Sheet'!W8</f>
        <v>0.37495189491286185</v>
      </c>
      <c r="AA8" s="17">
        <f ca="1">'Balance Sheet'!X11/'Balance Sheet'!X8</f>
        <v>0.37439396390505014</v>
      </c>
      <c r="AB8" s="17">
        <f ca="1">'Balance Sheet'!Y11/'Balance Sheet'!Y8</f>
        <v>0.37399401614594519</v>
      </c>
      <c r="AC8" s="17">
        <f ca="1">'Balance Sheet'!Z11/'Balance Sheet'!Z8</f>
        <v>0.37365432769360368</v>
      </c>
      <c r="AD8" s="17">
        <f ca="1">'Balance Sheet'!AA11/'Balance Sheet'!AA8</f>
        <v>0.3732845771613052</v>
      </c>
      <c r="AE8" s="17">
        <f ca="1">'Balance Sheet'!AB11/'Balance Sheet'!AB8</f>
        <v>0.3732349587578192</v>
      </c>
      <c r="AF8" s="17">
        <f ca="1">'Balance Sheet'!AC11/'Balance Sheet'!AC8</f>
        <v>0.37342168059748571</v>
      </c>
      <c r="AG8" s="17">
        <f ca="1">'Balance Sheet'!AD11/'Balance Sheet'!AD8</f>
        <v>0.37376726991541231</v>
      </c>
      <c r="AH8" s="17">
        <f ca="1">'Balance Sheet'!AE11/'Balance Sheet'!AE8</f>
        <v>0.37419953170038789</v>
      </c>
      <c r="AI8" s="29"/>
    </row>
    <row r="9" spans="1:35" ht="21.5" thickBot="1" x14ac:dyDescent="0.55000000000000004">
      <c r="A9" s="20" t="s">
        <v>32</v>
      </c>
      <c r="B9" s="21">
        <f ca="1">MIN('Price and Financial ratios'!E9:AH9)</f>
        <v>5.3461065311097204</v>
      </c>
      <c r="C9" s="21"/>
      <c r="D9" s="177"/>
      <c r="E9" s="21">
        <f ca="1">('Cash Flow'!C7+'Profit and Loss'!C8)/('Profit and Loss'!C8)</f>
        <v>5.3461065311097204</v>
      </c>
      <c r="F9" s="21">
        <f ca="1">('Cash Flow'!D7+'Profit and Loss'!D8)/('Profit and Loss'!D8)</f>
        <v>5.5466134517624726</v>
      </c>
      <c r="G9" s="21">
        <f ca="1">('Cash Flow'!E7+'Profit and Loss'!E8)/('Profit and Loss'!E8)</f>
        <v>6.0545463566754902</v>
      </c>
      <c r="H9" s="21">
        <f ca="1">('Cash Flow'!F7+'Profit and Loss'!F8)/('Profit and Loss'!F8)</f>
        <v>6.8632831150765394</v>
      </c>
      <c r="I9" s="21">
        <f ca="1">('Cash Flow'!G7+'Profit and Loss'!G8)/('Profit and Loss'!G8)</f>
        <v>7.0300737510978166</v>
      </c>
      <c r="J9" s="21">
        <f ca="1">('Cash Flow'!H7+'Profit and Loss'!H8)/('Profit and Loss'!H8)</f>
        <v>7.4028799764954023</v>
      </c>
      <c r="K9" s="21">
        <f ca="1">('Cash Flow'!I7+'Profit and Loss'!I8)/('Profit and Loss'!I8)</f>
        <v>7.3497597139468613</v>
      </c>
      <c r="L9" s="21">
        <f ca="1">('Cash Flow'!J7+'Profit and Loss'!J8)/('Profit and Loss'!J8)</f>
        <v>7.3588065536665397</v>
      </c>
      <c r="M9" s="21">
        <f ca="1">('Cash Flow'!K7+'Profit and Loss'!K8)/('Profit and Loss'!K8)</f>
        <v>7.4308250013556902</v>
      </c>
      <c r="N9" s="21">
        <f ca="1">('Cash Flow'!L7+'Profit and Loss'!L8)/('Profit and Loss'!L8)</f>
        <v>7.4337742464130372</v>
      </c>
      <c r="O9" s="21">
        <f ca="1">('Cash Flow'!M7+'Profit and Loss'!M8)/('Profit and Loss'!M8)</f>
        <v>7.3375679594174148</v>
      </c>
      <c r="P9" s="21">
        <f ca="1">('Cash Flow'!N7+'Profit and Loss'!N8)/('Profit and Loss'!N8)</f>
        <v>7.2507028492429964</v>
      </c>
      <c r="Q9" s="21">
        <f ca="1">('Cash Flow'!O7+'Profit and Loss'!O8)/('Profit and Loss'!O8)</f>
        <v>7.175058770340117</v>
      </c>
      <c r="R9" s="21">
        <f ca="1">('Cash Flow'!P7+'Profit and Loss'!P8)/('Profit and Loss'!P8)</f>
        <v>7.1122433644926497</v>
      </c>
      <c r="S9" s="21">
        <f ca="1">('Cash Flow'!Q7+'Profit and Loss'!Q8)/('Profit and Loss'!Q8)</f>
        <v>7.063660903253294</v>
      </c>
      <c r="T9" s="21">
        <f ca="1">('Cash Flow'!R7+'Profit and Loss'!R8)/('Profit and Loss'!R8)</f>
        <v>7.0305813795808438</v>
      </c>
      <c r="U9" s="21">
        <f ca="1">('Cash Flow'!S7+'Profit and Loss'!S8)/('Profit and Loss'!S8)</f>
        <v>7.014208571521853</v>
      </c>
      <c r="V9" s="21">
        <f ca="1">('Cash Flow'!T7+'Profit and Loss'!T8)/('Profit and Loss'!T8)</f>
        <v>6.948572605313907</v>
      </c>
      <c r="W9" s="21">
        <f ca="1">('Cash Flow'!U7+'Profit and Loss'!U8)/('Profit and Loss'!U8)</f>
        <v>6.8886024813381788</v>
      </c>
      <c r="X9" s="21">
        <f ca="1">('Cash Flow'!V7+'Profit and Loss'!V8)/('Profit and Loss'!V8)</f>
        <v>6.8355366682092322</v>
      </c>
      <c r="Y9" s="21">
        <f ca="1">('Cash Flow'!W7+'Profit and Loss'!W8)/('Profit and Loss'!W8)</f>
        <v>6.7904692648904978</v>
      </c>
      <c r="Z9" s="21">
        <f ca="1">('Cash Flow'!X7+'Profit and Loss'!X8)/('Profit and Loss'!X8)</f>
        <v>6.7543793526550466</v>
      </c>
      <c r="AA9" s="21">
        <f ca="1">('Cash Flow'!Y7+'Profit and Loss'!Y8)/('Profit and Loss'!Y8)</f>
        <v>6.728161350155391</v>
      </c>
      <c r="AB9" s="21">
        <f ca="1">('Cash Flow'!Z7+'Profit and Loss'!Z8)/('Profit and Loss'!Z8)</f>
        <v>6.7126556726529936</v>
      </c>
      <c r="AC9" s="21">
        <f ca="1">('Cash Flow'!AA7+'Profit and Loss'!AA8)/('Profit and Loss'!AA8)</f>
        <v>6.7086794411787558</v>
      </c>
      <c r="AD9" s="21">
        <f ca="1">('Cash Flow'!AB7+'Profit and Loss'!AB8)/('Profit and Loss'!AB8)</f>
        <v>6.6771416261005916</v>
      </c>
      <c r="AE9" s="21">
        <f ca="1">('Cash Flow'!AC7+'Profit and Loss'!AC8)/('Profit and Loss'!AC8)</f>
        <v>6.6509428399498756</v>
      </c>
      <c r="AF9" s="21">
        <f ca="1">('Cash Flow'!AD7+'Profit and Loss'!AD8)/('Profit and Loss'!AD8)</f>
        <v>6.6308708310945743</v>
      </c>
      <c r="AG9" s="21">
        <f ca="1">('Cash Flow'!AE7+'Profit and Loss'!AE8)/('Profit and Loss'!AE8)</f>
        <v>6.6176615934231444</v>
      </c>
      <c r="AH9" s="21">
        <f ca="1">('Cash Flow'!AF7+'Profit and Loss'!AF8)/('Profit and Loss'!AF8)</f>
        <v>6.6120153765421854</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11188140.720236849</v>
      </c>
      <c r="D5" s="1">
        <f>Assumptions!E111</f>
        <v>11188140.720236849</v>
      </c>
      <c r="E5" s="1">
        <f>Assumptions!F111</f>
        <v>11188140.720236849</v>
      </c>
      <c r="F5" s="1">
        <f>Assumptions!G111</f>
        <v>11188140.720236849</v>
      </c>
      <c r="G5" s="1">
        <f>Assumptions!H111</f>
        <v>11188140.720236849</v>
      </c>
      <c r="H5" s="1">
        <f>Assumptions!I111</f>
        <v>11188140.720236849</v>
      </c>
      <c r="I5" s="1">
        <f>Assumptions!J111</f>
        <v>11188140.720236849</v>
      </c>
      <c r="J5" s="1">
        <f>Assumptions!K111</f>
        <v>11188140.720236849</v>
      </c>
      <c r="K5" s="1">
        <f>Assumptions!L111</f>
        <v>11188140.720236849</v>
      </c>
      <c r="L5" s="1">
        <f>Assumptions!M111</f>
        <v>11188140.720236849</v>
      </c>
      <c r="M5" s="1">
        <f>Assumptions!N111</f>
        <v>11188140.720236849</v>
      </c>
      <c r="N5" s="1">
        <f>Assumptions!O111</f>
        <v>11188140.720236849</v>
      </c>
      <c r="O5" s="1">
        <f>Assumptions!P111</f>
        <v>11188140.720236849</v>
      </c>
      <c r="P5" s="1">
        <f>Assumptions!Q111</f>
        <v>11188140.720236849</v>
      </c>
      <c r="Q5" s="1">
        <f>Assumptions!R111</f>
        <v>11188140.720236849</v>
      </c>
      <c r="R5" s="1">
        <f>Assumptions!S111</f>
        <v>11188140.720236849</v>
      </c>
      <c r="S5" s="1">
        <f>Assumptions!T111</f>
        <v>11188140.720236849</v>
      </c>
      <c r="T5" s="1">
        <f>Assumptions!U111</f>
        <v>11188140.720236849</v>
      </c>
      <c r="U5" s="1">
        <f>Assumptions!V111</f>
        <v>11188140.720236849</v>
      </c>
      <c r="V5" s="1">
        <f>Assumptions!W111</f>
        <v>11188140.720236849</v>
      </c>
      <c r="W5" s="1">
        <f>Assumptions!X111</f>
        <v>11188140.720236849</v>
      </c>
      <c r="X5" s="1">
        <f>Assumptions!Y111</f>
        <v>11188140.720236849</v>
      </c>
      <c r="Y5" s="1">
        <f>Assumptions!Z111</f>
        <v>11188140.720236849</v>
      </c>
      <c r="Z5" s="1">
        <f>Assumptions!AA111</f>
        <v>11188140.720236849</v>
      </c>
      <c r="AA5" s="1">
        <f>Assumptions!AB111</f>
        <v>11188140.720236849</v>
      </c>
      <c r="AB5" s="1">
        <f>Assumptions!AC111</f>
        <v>11188140.720236849</v>
      </c>
      <c r="AC5" s="1">
        <f>Assumptions!AD111</f>
        <v>11188140.720236849</v>
      </c>
      <c r="AD5" s="1">
        <f>Assumptions!AE111</f>
        <v>11188140.720236849</v>
      </c>
      <c r="AE5" s="1">
        <f>Assumptions!AF111</f>
        <v>11188140.720236849</v>
      </c>
      <c r="AF5" s="1">
        <f>Assumptions!AG111</f>
        <v>11188140.720236849</v>
      </c>
    </row>
    <row r="6" spans="1:32" x14ac:dyDescent="0.35">
      <c r="A6" t="s">
        <v>68</v>
      </c>
      <c r="C6" s="1">
        <f>Assumptions!D113</f>
        <v>65752834.743490472</v>
      </c>
      <c r="D6" s="1">
        <f>Assumptions!E113</f>
        <v>65752834.743490472</v>
      </c>
      <c r="E6" s="1">
        <f>Assumptions!F113</f>
        <v>65752834.743490472</v>
      </c>
      <c r="F6" s="1">
        <f>Assumptions!G113</f>
        <v>65752834.743490472</v>
      </c>
      <c r="G6" s="1">
        <f>Assumptions!H113</f>
        <v>65752834.743490472</v>
      </c>
      <c r="H6" s="1">
        <f>Assumptions!I113</f>
        <v>65752834.743490472</v>
      </c>
      <c r="I6" s="1">
        <f>Assumptions!J113</f>
        <v>65752834.743490472</v>
      </c>
      <c r="J6" s="1">
        <f>Assumptions!K113</f>
        <v>65752834.743490472</v>
      </c>
      <c r="K6" s="1">
        <f>Assumptions!L113</f>
        <v>65752834.743490472</v>
      </c>
      <c r="L6" s="1">
        <f>Assumptions!M113</f>
        <v>65752834.743490472</v>
      </c>
      <c r="M6" s="1">
        <f>Assumptions!N113</f>
        <v>65752834.743490472</v>
      </c>
      <c r="N6" s="1">
        <f>Assumptions!O113</f>
        <v>65752834.743490472</v>
      </c>
      <c r="O6" s="1">
        <f>Assumptions!P113</f>
        <v>65752834.743490472</v>
      </c>
      <c r="P6" s="1">
        <f>Assumptions!Q113</f>
        <v>65752834.743490472</v>
      </c>
      <c r="Q6" s="1">
        <f>Assumptions!R113</f>
        <v>65752834.743490472</v>
      </c>
      <c r="R6" s="1">
        <f>Assumptions!S113</f>
        <v>65752834.743490472</v>
      </c>
      <c r="S6" s="1">
        <f>Assumptions!T113</f>
        <v>65752834.743490472</v>
      </c>
      <c r="T6" s="1">
        <f>Assumptions!U113</f>
        <v>65752834.743490472</v>
      </c>
      <c r="U6" s="1">
        <f>Assumptions!V113</f>
        <v>65752834.743490472</v>
      </c>
      <c r="V6" s="1">
        <f>Assumptions!W113</f>
        <v>65752834.743490472</v>
      </c>
      <c r="W6" s="1">
        <f>Assumptions!X113</f>
        <v>65752834.743490472</v>
      </c>
      <c r="X6" s="1">
        <f>Assumptions!Y113</f>
        <v>65752834.743490472</v>
      </c>
      <c r="Y6" s="1">
        <f>Assumptions!Z113</f>
        <v>65752834.743490472</v>
      </c>
      <c r="Z6" s="1">
        <f>Assumptions!AA113</f>
        <v>65752834.743490472</v>
      </c>
      <c r="AA6" s="1">
        <f>Assumptions!AB113</f>
        <v>65752834.743490472</v>
      </c>
      <c r="AB6" s="1">
        <f>Assumptions!AC113</f>
        <v>65752834.743490472</v>
      </c>
      <c r="AC6" s="1">
        <f>Assumptions!AD113</f>
        <v>65752834.743490472</v>
      </c>
      <c r="AD6" s="1">
        <f>Assumptions!AE113</f>
        <v>65752834.743490472</v>
      </c>
      <c r="AE6" s="1">
        <f>Assumptions!AF113</f>
        <v>65752834.743490472</v>
      </c>
      <c r="AF6" s="1">
        <f>Assumptions!AG113</f>
        <v>65752834.743490472</v>
      </c>
    </row>
    <row r="7" spans="1:32" x14ac:dyDescent="0.35">
      <c r="A7" t="s">
        <v>73</v>
      </c>
      <c r="C7" s="1">
        <f>Assumptions!D120</f>
        <v>1578068.0338437713</v>
      </c>
      <c r="D7" s="1">
        <f>Assumptions!E120</f>
        <v>3156136.0676875426</v>
      </c>
      <c r="E7" s="1">
        <f>Assumptions!F120</f>
        <v>4734204.1015313137</v>
      </c>
      <c r="F7" s="1">
        <f>Assumptions!G120</f>
        <v>6312272.1353750853</v>
      </c>
      <c r="G7" s="1">
        <f>Assumptions!H120</f>
        <v>7890340.1692188568</v>
      </c>
      <c r="H7" s="1">
        <f>Assumptions!I120</f>
        <v>9468408.2030626275</v>
      </c>
      <c r="I7" s="1">
        <f>Assumptions!J120</f>
        <v>11046476.236906398</v>
      </c>
      <c r="J7" s="1">
        <f>Assumptions!K120</f>
        <v>12624544.270750169</v>
      </c>
      <c r="K7" s="1">
        <f>Assumptions!L120</f>
        <v>14202612.304593943</v>
      </c>
      <c r="L7" s="1">
        <f>Assumptions!M120</f>
        <v>15780680.338437714</v>
      </c>
      <c r="M7" s="1">
        <f>Assumptions!N120</f>
        <v>17358748.372281481</v>
      </c>
      <c r="N7" s="1">
        <f>Assumptions!O120</f>
        <v>18936816.406125255</v>
      </c>
      <c r="O7" s="1">
        <f>Assumptions!P120</f>
        <v>20514884.439969022</v>
      </c>
      <c r="P7" s="1">
        <f>Assumptions!Q120</f>
        <v>22092952.473812796</v>
      </c>
      <c r="Q7" s="1">
        <f>Assumptions!R120</f>
        <v>23671020.507656563</v>
      </c>
      <c r="R7" s="1">
        <f>Assumptions!S120</f>
        <v>25249088.541500337</v>
      </c>
      <c r="S7" s="1">
        <f>Assumptions!T120</f>
        <v>26827156.575344108</v>
      </c>
      <c r="T7" s="1">
        <f>Assumptions!U120</f>
        <v>28405224.609187886</v>
      </c>
      <c r="U7" s="1">
        <f>Assumptions!V120</f>
        <v>29983292.643031657</v>
      </c>
      <c r="V7" s="1">
        <f>Assumptions!W120</f>
        <v>31561360.676875427</v>
      </c>
      <c r="W7" s="1">
        <f>Assumptions!X120</f>
        <v>33139428.710719198</v>
      </c>
      <c r="X7" s="1">
        <f>Assumptions!Y120</f>
        <v>34717496.744562961</v>
      </c>
      <c r="Y7" s="1">
        <f>Assumptions!Z120</f>
        <v>36295564.778406739</v>
      </c>
      <c r="Z7" s="1">
        <f>Assumptions!AA120</f>
        <v>37873632.81225051</v>
      </c>
      <c r="AA7" s="1">
        <f>Assumptions!AB120</f>
        <v>39451700.84609428</v>
      </c>
      <c r="AB7" s="1">
        <f>Assumptions!AC120</f>
        <v>41029768.879938044</v>
      </c>
      <c r="AC7" s="1">
        <f>Assumptions!AD120</f>
        <v>42607836.913781822</v>
      </c>
      <c r="AD7" s="1">
        <f>Assumptions!AE120</f>
        <v>44185904.947625592</v>
      </c>
      <c r="AE7" s="1">
        <f>Assumptions!AF120</f>
        <v>45763972.981469363</v>
      </c>
      <c r="AF7" s="1">
        <f>Assumptions!AG120</f>
        <v>47342041.015313126</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11546161.223284429</v>
      </c>
      <c r="D11" s="1">
        <f>D5*D$9</f>
        <v>11915638.382429529</v>
      </c>
      <c r="E11" s="1">
        <f t="shared" ref="D11:AF13" si="1">E5*E$9</f>
        <v>12296938.810667275</v>
      </c>
      <c r="F11" s="1">
        <f t="shared" si="1"/>
        <v>12690440.852608627</v>
      </c>
      <c r="G11" s="1">
        <f t="shared" si="1"/>
        <v>13096534.959892103</v>
      </c>
      <c r="H11" s="1">
        <f t="shared" si="1"/>
        <v>13515624.078608649</v>
      </c>
      <c r="I11" s="1">
        <f t="shared" si="1"/>
        <v>13948124.049124125</v>
      </c>
      <c r="J11" s="1">
        <f t="shared" si="1"/>
        <v>14394464.0186961</v>
      </c>
      <c r="K11" s="1">
        <f t="shared" si="1"/>
        <v>14855086.867294375</v>
      </c>
      <c r="L11" s="1">
        <f t="shared" si="1"/>
        <v>15330449.647047793</v>
      </c>
      <c r="M11" s="1">
        <f t="shared" si="1"/>
        <v>15821024.035753323</v>
      </c>
      <c r="N11" s="1">
        <f t="shared" si="1"/>
        <v>16327296.804897429</v>
      </c>
      <c r="O11" s="1">
        <f t="shared" si="1"/>
        <v>16849770.302654147</v>
      </c>
      <c r="P11" s="1">
        <f t="shared" si="1"/>
        <v>17388962.952339079</v>
      </c>
      <c r="Q11" s="1">
        <f t="shared" si="1"/>
        <v>17945409.766813926</v>
      </c>
      <c r="R11" s="1">
        <f t="shared" si="1"/>
        <v>18519662.879351977</v>
      </c>
      <c r="S11" s="1">
        <f t="shared" si="1"/>
        <v>19112292.091491241</v>
      </c>
      <c r="T11" s="1">
        <f t="shared" si="1"/>
        <v>19723885.438418958</v>
      </c>
      <c r="U11" s="1">
        <f t="shared" si="1"/>
        <v>20355049.772448361</v>
      </c>
      <c r="V11" s="1">
        <f t="shared" si="1"/>
        <v>21006411.365166713</v>
      </c>
      <c r="W11" s="1">
        <f t="shared" si="1"/>
        <v>21678616.528852049</v>
      </c>
      <c r="X11" s="1">
        <f t="shared" si="1"/>
        <v>22372332.25777531</v>
      </c>
      <c r="Y11" s="1">
        <f t="shared" si="1"/>
        <v>23088246.890024118</v>
      </c>
      <c r="Z11" s="1">
        <f t="shared" si="1"/>
        <v>23827070.790504891</v>
      </c>
      <c r="AA11" s="1">
        <f t="shared" si="1"/>
        <v>24589537.055801053</v>
      </c>
      <c r="AB11" s="1">
        <f t="shared" si="1"/>
        <v>25376402.241586681</v>
      </c>
      <c r="AC11" s="1">
        <f t="shared" si="1"/>
        <v>26188447.113317456</v>
      </c>
      <c r="AD11" s="1">
        <f t="shared" si="1"/>
        <v>27026477.420943618</v>
      </c>
      <c r="AE11" s="1">
        <f t="shared" si="1"/>
        <v>27891324.698413812</v>
      </c>
      <c r="AF11" s="1">
        <f t="shared" si="1"/>
        <v>28783847.088763051</v>
      </c>
    </row>
    <row r="12" spans="1:32" x14ac:dyDescent="0.35">
      <c r="A12" t="s">
        <v>71</v>
      </c>
      <c r="C12" s="1">
        <f t="shared" ref="C12:R12" si="2">C6*C$9</f>
        <v>67856925.455282167</v>
      </c>
      <c r="D12" s="1">
        <f t="shared" si="2"/>
        <v>70028347.06985119</v>
      </c>
      <c r="E12" s="1">
        <f t="shared" si="2"/>
        <v>72269254.176086426</v>
      </c>
      <c r="F12" s="1">
        <f t="shared" si="2"/>
        <v>74581870.309721202</v>
      </c>
      <c r="G12" s="1">
        <f t="shared" si="2"/>
        <v>76968490.15963228</v>
      </c>
      <c r="H12" s="1">
        <f t="shared" si="2"/>
        <v>79431481.84474051</v>
      </c>
      <c r="I12" s="1">
        <f t="shared" si="2"/>
        <v>81973289.26377219</v>
      </c>
      <c r="J12" s="1">
        <f t="shared" si="2"/>
        <v>84596434.520212919</v>
      </c>
      <c r="K12" s="1">
        <f t="shared" si="2"/>
        <v>87303520.424859732</v>
      </c>
      <c r="L12" s="1">
        <f t="shared" si="2"/>
        <v>90097233.07845524</v>
      </c>
      <c r="M12" s="1">
        <f t="shared" si="2"/>
        <v>92980344.536965802</v>
      </c>
      <c r="N12" s="1">
        <f t="shared" si="2"/>
        <v>95955715.562148705</v>
      </c>
      <c r="O12" s="1">
        <f t="shared" si="2"/>
        <v>99026298.460137472</v>
      </c>
      <c r="P12" s="1">
        <f t="shared" si="2"/>
        <v>102195140.01086186</v>
      </c>
      <c r="Q12" s="1">
        <f t="shared" si="2"/>
        <v>105465384.49120942</v>
      </c>
      <c r="R12" s="1">
        <f t="shared" si="2"/>
        <v>108840276.79492815</v>
      </c>
      <c r="S12" s="1">
        <f t="shared" si="1"/>
        <v>112323165.65236585</v>
      </c>
      <c r="T12" s="1">
        <f t="shared" si="1"/>
        <v>115917506.95324154</v>
      </c>
      <c r="U12" s="1">
        <f t="shared" si="1"/>
        <v>119626867.17574526</v>
      </c>
      <c r="V12" s="1">
        <f t="shared" si="1"/>
        <v>123454926.92536913</v>
      </c>
      <c r="W12" s="1">
        <f t="shared" si="1"/>
        <v>127405484.58698095</v>
      </c>
      <c r="X12" s="1">
        <f t="shared" si="1"/>
        <v>131482460.09376432</v>
      </c>
      <c r="Y12" s="1">
        <f t="shared" si="1"/>
        <v>135689898.81676477</v>
      </c>
      <c r="Z12" s="1">
        <f t="shared" si="1"/>
        <v>140031975.57890123</v>
      </c>
      <c r="AA12" s="1">
        <f t="shared" si="1"/>
        <v>144512998.79742613</v>
      </c>
      <c r="AB12" s="1">
        <f t="shared" si="1"/>
        <v>149137414.75894374</v>
      </c>
      <c r="AC12" s="1">
        <f t="shared" si="1"/>
        <v>153909812.03122991</v>
      </c>
      <c r="AD12" s="1">
        <f t="shared" si="1"/>
        <v>158834926.0162293</v>
      </c>
      <c r="AE12" s="1">
        <f t="shared" si="1"/>
        <v>163917643.64874864</v>
      </c>
      <c r="AF12" s="1">
        <f t="shared" si="1"/>
        <v>169163008.24550855</v>
      </c>
    </row>
    <row r="13" spans="1:32" x14ac:dyDescent="0.35">
      <c r="A13" t="s">
        <v>74</v>
      </c>
      <c r="C13" s="1">
        <f>C7*C$9</f>
        <v>1628566.2109267721</v>
      </c>
      <c r="D13" s="1">
        <f t="shared" si="1"/>
        <v>3361360.6593528572</v>
      </c>
      <c r="E13" s="1">
        <f t="shared" si="1"/>
        <v>5203386.3006782224</v>
      </c>
      <c r="F13" s="1">
        <f t="shared" si="1"/>
        <v>7159859.5497332346</v>
      </c>
      <c r="G13" s="1">
        <f t="shared" si="1"/>
        <v>9236218.8191558737</v>
      </c>
      <c r="H13" s="1">
        <f t="shared" si="1"/>
        <v>11438133.385642631</v>
      </c>
      <c r="I13" s="1">
        <f t="shared" si="1"/>
        <v>13771512.596313726</v>
      </c>
      <c r="J13" s="1">
        <f t="shared" si="1"/>
        <v>16242515.427880876</v>
      </c>
      <c r="K13" s="1">
        <f t="shared" si="1"/>
        <v>18857560.411769703</v>
      </c>
      <c r="L13" s="1">
        <f t="shared" si="1"/>
        <v>21623335.938829258</v>
      </c>
      <c r="M13" s="1">
        <f t="shared" si="1"/>
        <v>24546810.957758963</v>
      </c>
      <c r="N13" s="1">
        <f t="shared" si="1"/>
        <v>27635246.081898827</v>
      </c>
      <c r="O13" s="1">
        <f t="shared" si="1"/>
        <v>30896205.119562883</v>
      </c>
      <c r="P13" s="1">
        <f t="shared" si="1"/>
        <v>34337567.043649577</v>
      </c>
      <c r="Q13" s="1">
        <f t="shared" si="1"/>
        <v>37967538.416835383</v>
      </c>
      <c r="R13" s="1">
        <f t="shared" si="1"/>
        <v>41794666.2892524</v>
      </c>
      <c r="S13" s="1">
        <f t="shared" si="1"/>
        <v>45827851.586165264</v>
      </c>
      <c r="T13" s="1">
        <f t="shared" si="1"/>
        <v>50076363.003800355</v>
      </c>
      <c r="U13" s="1">
        <f t="shared" si="1"/>
        <v>54549851.432139844</v>
      </c>
      <c r="V13" s="1">
        <f t="shared" si="1"/>
        <v>59258364.924177185</v>
      </c>
      <c r="W13" s="1">
        <f t="shared" si="1"/>
        <v>64212364.231838398</v>
      </c>
      <c r="X13" s="1">
        <f t="shared" si="1"/>
        <v>69422738.929507554</v>
      </c>
      <c r="Y13" s="1">
        <f t="shared" si="1"/>
        <v>74900824.146854147</v>
      </c>
      <c r="Z13" s="1">
        <f t="shared" si="1"/>
        <v>80658417.933447108</v>
      </c>
      <c r="AA13" s="1">
        <f t="shared" si="1"/>
        <v>86707799.27845566</v>
      </c>
      <c r="AB13" s="1">
        <f t="shared" si="1"/>
        <v>93061746.809580863</v>
      </c>
      <c r="AC13" s="1">
        <f t="shared" si="1"/>
        <v>99733558.196236968</v>
      </c>
      <c r="AD13" s="1">
        <f t="shared" si="1"/>
        <v>106737070.28290607</v>
      </c>
      <c r="AE13" s="1">
        <f t="shared" si="1"/>
        <v>114086679.97952902</v>
      </c>
      <c r="AF13" s="1">
        <f t="shared" si="1"/>
        <v>121797365.93676612</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81031652.889493361</v>
      </c>
      <c r="D25" s="40">
        <f>SUM(D11:D13,D18:D23)</f>
        <v>85305346.111633569</v>
      </c>
      <c r="E25" s="40">
        <f t="shared" ref="E25:AF25" si="7">SUM(E11:E13,E18:E23)</f>
        <v>89769579.287431926</v>
      </c>
      <c r="F25" s="40">
        <f t="shared" si="7"/>
        <v>94432170.712063059</v>
      </c>
      <c r="G25" s="40">
        <f t="shared" si="7"/>
        <v>99301243.938680261</v>
      </c>
      <c r="H25" s="40">
        <f t="shared" si="7"/>
        <v>104385239.30899179</v>
      </c>
      <c r="I25" s="40">
        <f t="shared" si="7"/>
        <v>109692925.90921004</v>
      </c>
      <c r="J25" s="40">
        <f t="shared" si="7"/>
        <v>115233413.9667899</v>
      </c>
      <c r="K25" s="40">
        <f t="shared" si="7"/>
        <v>121016167.70392381</v>
      </c>
      <c r="L25" s="40">
        <f t="shared" si="7"/>
        <v>127051018.66433229</v>
      </c>
      <c r="M25" s="40">
        <f t="shared" si="7"/>
        <v>133348179.53047809</v>
      </c>
      <c r="N25" s="40">
        <f t="shared" si="7"/>
        <v>139918258.44894496</v>
      </c>
      <c r="O25" s="40">
        <f t="shared" si="7"/>
        <v>146772273.8823545</v>
      </c>
      <c r="P25" s="40">
        <f t="shared" si="7"/>
        <v>153921670.00685051</v>
      </c>
      <c r="Q25" s="40">
        <f t="shared" si="7"/>
        <v>161378332.67485875</v>
      </c>
      <c r="R25" s="40">
        <f t="shared" si="7"/>
        <v>169154605.96353251</v>
      </c>
      <c r="S25" s="40">
        <f t="shared" si="7"/>
        <v>177263309.33002234</v>
      </c>
      <c r="T25" s="40">
        <f t="shared" si="7"/>
        <v>185717755.39546087</v>
      </c>
      <c r="U25" s="40">
        <f t="shared" si="7"/>
        <v>194531768.38033345</v>
      </c>
      <c r="V25" s="40">
        <f t="shared" si="7"/>
        <v>203719703.21471304</v>
      </c>
      <c r="W25" s="40">
        <f t="shared" si="7"/>
        <v>213296465.34767142</v>
      </c>
      <c r="X25" s="40">
        <f t="shared" si="7"/>
        <v>223277531.2810472</v>
      </c>
      <c r="Y25" s="40">
        <f t="shared" si="7"/>
        <v>233678969.85364306</v>
      </c>
      <c r="Z25" s="40">
        <f t="shared" si="7"/>
        <v>244517464.30285323</v>
      </c>
      <c r="AA25" s="40">
        <f t="shared" si="7"/>
        <v>255810335.13168287</v>
      </c>
      <c r="AB25" s="40">
        <f t="shared" si="7"/>
        <v>267575563.81011128</v>
      </c>
      <c r="AC25" s="40">
        <f t="shared" si="7"/>
        <v>279831817.34078431</v>
      </c>
      <c r="AD25" s="40">
        <f t="shared" si="7"/>
        <v>292598473.720079</v>
      </c>
      <c r="AE25" s="40">
        <f t="shared" si="7"/>
        <v>305895648.32669151</v>
      </c>
      <c r="AF25" s="40">
        <f t="shared" si="7"/>
        <v>319744221.2710377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15" zoomScaleNormal="115"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50791163.929596081</v>
      </c>
      <c r="D5" s="59">
        <f>C5*('Price and Financial ratios'!F4+1)*(1+Assumptions!$C$13)</f>
        <v>65267959.512417786</v>
      </c>
      <c r="E5" s="59">
        <f>D5*('Price and Financial ratios'!G4+1)*(1+Assumptions!$C$13)</f>
        <v>81858111.929543272</v>
      </c>
      <c r="F5" s="59">
        <f>E5*('Price and Financial ratios'!H4+1)*(1+Assumptions!$C$13)</f>
        <v>100982199.677147</v>
      </c>
      <c r="G5" s="59">
        <f>F5*('Price and Financial ratios'!I4+1)*(1+Assumptions!$C$13)</f>
        <v>114192970.13240732</v>
      </c>
      <c r="H5" s="59">
        <f>G5*('Price and Financial ratios'!J4+1)*(1+Assumptions!$C$13)</f>
        <v>129132010.09040728</v>
      </c>
      <c r="I5" s="59">
        <f>H5*('Price and Financial ratios'!K4+1)*(1+Assumptions!$C$13)</f>
        <v>139387897.61024633</v>
      </c>
      <c r="J5" s="59">
        <f>I5*('Price and Financial ratios'!L4+1)*(1+Assumptions!$C$13)</f>
        <v>150458325.45007229</v>
      </c>
      <c r="K5" s="59">
        <f>J5*('Price and Financial ratios'!M4+1)*(1+Assumptions!$C$13)</f>
        <v>162407985.81049681</v>
      </c>
      <c r="L5" s="59">
        <f>K5*('Price and Financial ratios'!N4+1)*(1+Assumptions!$C$13)</f>
        <v>173637121.15514672</v>
      </c>
      <c r="M5" s="59">
        <f>L5*('Price and Financial ratios'!O4+1)*(1+Assumptions!$C$13)</f>
        <v>183857630.4711501</v>
      </c>
      <c r="N5" s="59">
        <f>M5*('Price and Financial ratios'!P4+1)*(1+Assumptions!$C$13)</f>
        <v>194679732.40734658</v>
      </c>
      <c r="O5" s="59">
        <f>N5*('Price and Financial ratios'!Q4+1)*(1+Assumptions!$C$13)</f>
        <v>206138837.49656588</v>
      </c>
      <c r="P5" s="59">
        <f>O5*('Price and Financial ratios'!R4+1)*(1+Assumptions!$C$13)</f>
        <v>218272440.58217144</v>
      </c>
      <c r="Q5" s="59">
        <f>P5*('Price and Financial ratios'!S4+1)*(1+Assumptions!$C$13)</f>
        <v>231120243.50331977</v>
      </c>
      <c r="R5" s="59">
        <f>Q5*('Price and Financial ratios'!T4+1)*(1+Assumptions!$C$13)</f>
        <v>244724285.00163525</v>
      </c>
      <c r="S5" s="59">
        <f>R5*('Price and Financial ratios'!U4+1)*(1+Assumptions!$C$13)</f>
        <v>259129078.27436304</v>
      </c>
      <c r="T5" s="59">
        <f>S5*('Price and Financial ratios'!V4+1)*(1+Assumptions!$C$13)</f>
        <v>273049806.34920698</v>
      </c>
      <c r="U5" s="59">
        <f>T5*('Price and Financial ratios'!W4+1)*(1+Assumptions!$C$13)</f>
        <v>287718372.80415189</v>
      </c>
      <c r="V5" s="59">
        <f>U5*('Price and Financial ratios'!X4+1)*(1+Assumptions!$C$13)</f>
        <v>303174952.42314184</v>
      </c>
      <c r="W5" s="59">
        <f>V5*('Price and Financial ratios'!Y4+1)*(1+Assumptions!$C$13)</f>
        <v>319461878.22819477</v>
      </c>
      <c r="X5" s="59">
        <f>W5*('Price and Financial ratios'!Z4+1)*(1+Assumptions!$C$13)</f>
        <v>336623757.42256689</v>
      </c>
      <c r="Y5" s="59">
        <f>X5*('Price and Financial ratios'!AA4+1)*(1+Assumptions!$C$13)</f>
        <v>354707593.56252438</v>
      </c>
      <c r="Z5" s="59">
        <f>Y5*('Price and Financial ratios'!AB4+1)*(1+Assumptions!$C$13)</f>
        <v>373762915.29233074</v>
      </c>
      <c r="AA5" s="59">
        <f>Z5*('Price and Financial ratios'!AC4+1)*(1+Assumptions!$C$13)</f>
        <v>393841911.99503404</v>
      </c>
      <c r="AB5" s="59">
        <f>AA5*('Price and Financial ratios'!AD4+1)*(1+Assumptions!$C$13)</f>
        <v>413784943.82307386</v>
      </c>
      <c r="AC5" s="59">
        <f>AB5*('Price and Financial ratios'!AE4+1)*(1+Assumptions!$C$13)</f>
        <v>434737833.93785501</v>
      </c>
      <c r="AD5" s="59">
        <f>AC5*('Price and Financial ratios'!AF4+1)*(1+Assumptions!$C$13)</f>
        <v>456751718.68454766</v>
      </c>
      <c r="AE5" s="59">
        <f>AD5*('Price and Financial ratios'!AG4+1)*(1+Assumptions!$C$13)</f>
        <v>479880323.80708396</v>
      </c>
      <c r="AF5" s="59">
        <f>AE5*('Price and Financial ratios'!AH4+1)*(1+Assumptions!$C$13)</f>
        <v>504180095.56793052</v>
      </c>
    </row>
    <row r="6" spans="1:32" s="11" customFormat="1" x14ac:dyDescent="0.35">
      <c r="A6" s="11" t="s">
        <v>20</v>
      </c>
      <c r="C6" s="59">
        <f>C27</f>
        <v>22605847.802736294</v>
      </c>
      <c r="D6" s="59">
        <f t="shared" ref="D6:AF6" si="1">D27</f>
        <v>25753145.040050961</v>
      </c>
      <c r="E6" s="59">
        <f>E27</f>
        <v>29044867.593206704</v>
      </c>
      <c r="F6" s="59">
        <f t="shared" si="1"/>
        <v>32486701.916193955</v>
      </c>
      <c r="G6" s="59">
        <f t="shared" si="1"/>
        <v>36084558.061506987</v>
      </c>
      <c r="H6" s="59">
        <f t="shared" si="1"/>
        <v>39844578.958639652</v>
      </c>
      <c r="I6" s="59">
        <f t="shared" si="1"/>
        <v>43773150.103630453</v>
      </c>
      <c r="J6" s="59">
        <f t="shared" si="1"/>
        <v>47876909.678873874</v>
      </c>
      <c r="K6" s="59">
        <f t="shared" si="1"/>
        <v>52162759.12334615</v>
      </c>
      <c r="L6" s="59">
        <f t="shared" si="1"/>
        <v>56637874.174371228</v>
      </c>
      <c r="M6" s="59">
        <f t="shared" si="1"/>
        <v>61309716.403078005</v>
      </c>
      <c r="N6" s="59">
        <f t="shared" si="1"/>
        <v>66186045.266776919</v>
      </c>
      <c r="O6" s="59">
        <f t="shared" si="1"/>
        <v>71274930.702613592</v>
      </c>
      <c r="P6" s="59">
        <f t="shared" si="1"/>
        <v>76584766.28804338</v>
      </c>
      <c r="Q6" s="59">
        <f t="shared" si="1"/>
        <v>82124282.994915545</v>
      </c>
      <c r="R6" s="59">
        <f t="shared" si="1"/>
        <v>87902563.565261722</v>
      </c>
      <c r="S6" s="59">
        <f t="shared" si="1"/>
        <v>93929057.538256228</v>
      </c>
      <c r="T6" s="59">
        <f t="shared" si="1"/>
        <v>100213596.95925388</v>
      </c>
      <c r="U6" s="59">
        <f t="shared" si="1"/>
        <v>106766412.80332309</v>
      </c>
      <c r="V6" s="59">
        <f t="shared" si="1"/>
        <v>113598152.14727862</v>
      </c>
      <c r="W6" s="59">
        <f t="shared" si="1"/>
        <v>120719896.12588218</v>
      </c>
      <c r="X6" s="59">
        <f t="shared" si="1"/>
        <v>128143178.70962971</v>
      </c>
      <c r="Y6" s="59">
        <f t="shared" si="1"/>
        <v>135880006.34337702</v>
      </c>
      <c r="Z6" s="59">
        <f t="shared" si="1"/>
        <v>143942878.48698351</v>
      </c>
      <c r="AA6" s="59">
        <f t="shared" si="1"/>
        <v>152344809.10117579</v>
      </c>
      <c r="AB6" s="59">
        <f t="shared" si="1"/>
        <v>161099349.12395746</v>
      </c>
      <c r="AC6" s="59">
        <f t="shared" si="1"/>
        <v>170220609.98511928</v>
      </c>
      <c r="AD6" s="59">
        <f t="shared" si="1"/>
        <v>179723288.20874572</v>
      </c>
      <c r="AE6" s="59">
        <f t="shared" si="1"/>
        <v>189622691.15607107</v>
      </c>
      <c r="AF6" s="59">
        <f t="shared" si="1"/>
        <v>199934763.96361843</v>
      </c>
    </row>
    <row r="7" spans="1:32" x14ac:dyDescent="0.35">
      <c r="A7" t="s">
        <v>21</v>
      </c>
      <c r="C7" s="4">
        <f>Depreciation!C8+Depreciation!C9</f>
        <v>13174727.434211202</v>
      </c>
      <c r="D7" s="4">
        <f>Depreciation!D8+Depreciation!D9</f>
        <v>15276999.041782387</v>
      </c>
      <c r="E7" s="4">
        <f>Depreciation!E8+Depreciation!E9</f>
        <v>17500325.111345496</v>
      </c>
      <c r="F7" s="4">
        <f>Depreciation!F8+Depreciation!F9</f>
        <v>19850300.402341861</v>
      </c>
      <c r="G7" s="4">
        <f>Depreciation!G8+Depreciation!G9</f>
        <v>22332753.779047977</v>
      </c>
      <c r="H7" s="4">
        <f>Depreciation!H8+Depreciation!H9</f>
        <v>24953757.46425128</v>
      </c>
      <c r="I7" s="4">
        <f>Depreciation!I8+Depreciation!I9</f>
        <v>27719636.645437852</v>
      </c>
      <c r="J7" s="4">
        <f>Depreciation!J8+Depreciation!J9</f>
        <v>30636979.446576975</v>
      </c>
      <c r="K7" s="4">
        <f>Depreciation!K8+Depreciation!K9</f>
        <v>33712647.279064074</v>
      </c>
      <c r="L7" s="4">
        <f>Depreciation!L8+Depreciation!L9</f>
        <v>36953785.585877053</v>
      </c>
      <c r="M7" s="4">
        <f>Depreciation!M8+Depreciation!M9</f>
        <v>40367834.993512288</v>
      </c>
      <c r="N7" s="4">
        <f>Depreciation!N8+Depreciation!N9</f>
        <v>43962542.886796258</v>
      </c>
      <c r="O7" s="4">
        <f>Depreciation!O8+Depreciation!O9</f>
        <v>47745975.422217026</v>
      </c>
      <c r="P7" s="4">
        <f>Depreciation!P8+Depreciation!P9</f>
        <v>51726529.995988652</v>
      </c>
      <c r="Q7" s="4">
        <f>Depreciation!Q8+Depreciation!Q9</f>
        <v>55912948.183649309</v>
      </c>
      <c r="R7" s="4">
        <f>Depreciation!R8+Depreciation!R9</f>
        <v>60314329.168604374</v>
      </c>
      <c r="S7" s="4">
        <f>Depreciation!S8+Depreciation!S9</f>
        <v>64940143.677656502</v>
      </c>
      <c r="T7" s="4">
        <f>Depreciation!T8+Depreciation!T9</f>
        <v>69800248.442219317</v>
      </c>
      <c r="U7" s="4">
        <f>Depreciation!U8+Depreciation!U9</f>
        <v>74904901.204588205</v>
      </c>
      <c r="V7" s="4">
        <f>Depreciation!V8+Depreciation!V9</f>
        <v>80264776.289343894</v>
      </c>
      <c r="W7" s="4">
        <f>Depreciation!W8+Depreciation!W9</f>
        <v>85890980.760690451</v>
      </c>
      <c r="X7" s="4">
        <f>Depreciation!X8+Depreciation!X9</f>
        <v>91795071.18728286</v>
      </c>
      <c r="Y7" s="4">
        <f>Depreciation!Y8+Depreciation!Y9</f>
        <v>97989071.036878258</v>
      </c>
      <c r="Z7" s="4">
        <f>Depreciation!Z8+Depreciation!Z9</f>
        <v>104485488.723952</v>
      </c>
      <c r="AA7" s="4">
        <f>Depreciation!AA8+Depreciation!AA9</f>
        <v>111297336.33425671</v>
      </c>
      <c r="AB7" s="4">
        <f>Depreciation!AB8+Depreciation!AB9</f>
        <v>118438149.05116755</v>
      </c>
      <c r="AC7" s="4">
        <f>Depreciation!AC8+Depreciation!AC9</f>
        <v>125922005.30955443</v>
      </c>
      <c r="AD7" s="4">
        <f>Depreciation!AD8+Depreciation!AD9</f>
        <v>133763547.70384969</v>
      </c>
      <c r="AE7" s="4">
        <f>Depreciation!AE8+Depreciation!AE9</f>
        <v>141978004.67794284</v>
      </c>
      <c r="AF7" s="4">
        <f>Depreciation!AF8+Depreciation!AF9</f>
        <v>150581213.02552918</v>
      </c>
    </row>
    <row r="8" spans="1:32" x14ac:dyDescent="0.35">
      <c r="A8" t="s">
        <v>6</v>
      </c>
      <c r="C8" s="4">
        <f ca="1">'Debt worksheet'!C8</f>
        <v>5272120.1799563104</v>
      </c>
      <c r="D8" s="4">
        <f ca="1">'Debt worksheet'!D8</f>
        <v>7124133.4583737282</v>
      </c>
      <c r="E8" s="4">
        <f ca="1">'Debt worksheet'!E8</f>
        <v>8722906.9240021408</v>
      </c>
      <c r="F8" s="4">
        <f ca="1">'Debt worksheet'!F8</f>
        <v>9979990.131907763</v>
      </c>
      <c r="G8" s="4">
        <f ca="1">'Debt worksheet'!G8</f>
        <v>11110610.618943069</v>
      </c>
      <c r="H8" s="4">
        <f ca="1">'Debt worksheet'!H8</f>
        <v>12061175.031239288</v>
      </c>
      <c r="I8" s="4">
        <f ca="1">'Debt worksheet'!I8</f>
        <v>13009234.482207341</v>
      </c>
      <c r="J8" s="4">
        <f ca="1">'Debt worksheet'!J8</f>
        <v>13939952.765858077</v>
      </c>
      <c r="K8" s="4">
        <f ca="1">'Debt worksheet'!K8</f>
        <v>14836202.799425012</v>
      </c>
      <c r="L8" s="4">
        <f ca="1">'Debt worksheet'!L8</f>
        <v>15738875.449066838</v>
      </c>
      <c r="M8" s="4">
        <f ca="1">'Debt worksheet'!M8</f>
        <v>16701434.963990724</v>
      </c>
      <c r="N8" s="4">
        <f ca="1">'Debt worksheet'!N8</f>
        <v>17721549.181123171</v>
      </c>
      <c r="O8" s="4">
        <f ca="1">'Debt worksheet'!O8</f>
        <v>18796209.35670181</v>
      </c>
      <c r="P8" s="4">
        <f ca="1">'Debt worksheet'!P8</f>
        <v>19921657.208960723</v>
      </c>
      <c r="Q8" s="4">
        <f ca="1">'Debt worksheet'!Q8</f>
        <v>21093305.942784075</v>
      </c>
      <c r="R8" s="4">
        <f ca="1">'Debt worksheet'!R8</f>
        <v>22305654.819932271</v>
      </c>
      <c r="S8" s="4">
        <f ca="1">'Debt worksheet'!S8</f>
        <v>23552196.809035555</v>
      </c>
      <c r="T8" s="4">
        <f ca="1">'Debt worksheet'!T8</f>
        <v>24873627.895573396</v>
      </c>
      <c r="U8" s="4">
        <f ca="1">'Debt worksheet'!U8</f>
        <v>26268312.112804208</v>
      </c>
      <c r="V8" s="4">
        <f ca="1">'Debt worksheet'!V8</f>
        <v>27734003.850428965</v>
      </c>
      <c r="W8" s="4">
        <f ca="1">'Debt worksheet'!W8</f>
        <v>29267783.175146658</v>
      </c>
      <c r="X8" s="4">
        <f ca="1">'Debt worksheet'!X8</f>
        <v>30865986.025938351</v>
      </c>
      <c r="Y8" s="4">
        <f ca="1">'Debt worksheet'!Y8</f>
        <v>32524128.930720933</v>
      </c>
      <c r="Z8" s="4">
        <f ca="1">'Debt worksheet'!Z8</f>
        <v>34236827.86853227</v>
      </c>
      <c r="AA8" s="4">
        <f ca="1">'Debt worksheet'!AA8</f>
        <v>35997710.877571121</v>
      </c>
      <c r="AB8" s="4">
        <f ca="1">'Debt worksheet'!AB8</f>
        <v>37843378.027415484</v>
      </c>
      <c r="AC8" s="4">
        <f ca="1">'Debt worksheet'!AC8</f>
        <v>39771387.353364959</v>
      </c>
      <c r="AD8" s="4">
        <f ca="1">'Debt worksheet'!AD8</f>
        <v>41778589.499393426</v>
      </c>
      <c r="AE8" s="4">
        <f ca="1">'Debt worksheet'!AE8</f>
        <v>43861057.044603296</v>
      </c>
      <c r="AF8" s="4">
        <f ca="1">'Debt worksheet'!AF8</f>
        <v>46014008.479729213</v>
      </c>
    </row>
    <row r="9" spans="1:32" x14ac:dyDescent="0.35">
      <c r="A9" t="s">
        <v>22</v>
      </c>
      <c r="C9" s="4">
        <f ca="1">C5-C6-C7-C8</f>
        <v>9738468.5126922764</v>
      </c>
      <c r="D9" s="4">
        <f t="shared" ref="D9:AF9" ca="1" si="2">D5-D6-D7-D8</f>
        <v>17113681.972210709</v>
      </c>
      <c r="E9" s="4">
        <f t="shared" ca="1" si="2"/>
        <v>26590012.300988927</v>
      </c>
      <c r="F9" s="4">
        <f t="shared" ca="1" si="2"/>
        <v>38665207.22670342</v>
      </c>
      <c r="G9" s="4">
        <f t="shared" ca="1" si="2"/>
        <v>44665047.67290929</v>
      </c>
      <c r="H9" s="4">
        <f t="shared" ca="1" si="2"/>
        <v>52272498.636277065</v>
      </c>
      <c r="I9" s="4">
        <f t="shared" ca="1" si="2"/>
        <v>54885876.378970683</v>
      </c>
      <c r="J9" s="4">
        <f t="shared" ca="1" si="2"/>
        <v>58004483.558763362</v>
      </c>
      <c r="K9" s="4">
        <f t="shared" ca="1" si="2"/>
        <v>61696376.60866157</v>
      </c>
      <c r="L9" s="4">
        <f t="shared" ca="1" si="2"/>
        <v>64306585.945831604</v>
      </c>
      <c r="M9" s="4">
        <f t="shared" ca="1" si="2"/>
        <v>65478644.110569082</v>
      </c>
      <c r="N9" s="4">
        <f t="shared" ca="1" si="2"/>
        <v>66809595.072650224</v>
      </c>
      <c r="O9" s="4">
        <f t="shared" ca="1" si="2"/>
        <v>68321722.015033454</v>
      </c>
      <c r="P9" s="4">
        <f t="shared" ca="1" si="2"/>
        <v>70039487.089178681</v>
      </c>
      <c r="Q9" s="4">
        <f t="shared" ca="1" si="2"/>
        <v>71989706.381970853</v>
      </c>
      <c r="R9" s="4">
        <f t="shared" ca="1" si="2"/>
        <v>74201737.447836891</v>
      </c>
      <c r="S9" s="4">
        <f t="shared" ca="1" si="2"/>
        <v>76707680.249414757</v>
      </c>
      <c r="T9" s="4">
        <f t="shared" ca="1" si="2"/>
        <v>78162333.052160397</v>
      </c>
      <c r="U9" s="4">
        <f t="shared" ca="1" si="2"/>
        <v>79778746.683436394</v>
      </c>
      <c r="V9" s="4">
        <f t="shared" ca="1" si="2"/>
        <v>81578020.136090368</v>
      </c>
      <c r="W9" s="4">
        <f t="shared" ca="1" si="2"/>
        <v>83583218.16647549</v>
      </c>
      <c r="X9" s="4">
        <f t="shared" ca="1" si="2"/>
        <v>85819521.499715969</v>
      </c>
      <c r="Y9" s="4">
        <f t="shared" ca="1" si="2"/>
        <v>88314387.251548171</v>
      </c>
      <c r="Z9" s="4">
        <f t="shared" ca="1" si="2"/>
        <v>91097720.212862968</v>
      </c>
      <c r="AA9" s="4">
        <f t="shared" ca="1" si="2"/>
        <v>94202055.682030424</v>
      </c>
      <c r="AB9" s="4">
        <f t="shared" ca="1" si="2"/>
        <v>96404067.620533377</v>
      </c>
      <c r="AC9" s="4">
        <f t="shared" ca="1" si="2"/>
        <v>98823831.289816335</v>
      </c>
      <c r="AD9" s="4">
        <f t="shared" ca="1" si="2"/>
        <v>101486293.27255884</v>
      </c>
      <c r="AE9" s="4">
        <f t="shared" ca="1" si="2"/>
        <v>104418570.92846677</v>
      </c>
      <c r="AF9" s="4">
        <f t="shared" ca="1" si="2"/>
        <v>107650110.09905368</v>
      </c>
    </row>
    <row r="12" spans="1:32" x14ac:dyDescent="0.35">
      <c r="A12" t="s">
        <v>79</v>
      </c>
      <c r="C12" s="2">
        <f>Assumptions!$C$25*Assumptions!D9*Assumptions!D13</f>
        <v>20589865.889500875</v>
      </c>
      <c r="D12" s="2">
        <f>Assumptions!$C$25*Assumptions!E9*Assumptions!E13</f>
        <v>21632478.009397767</v>
      </c>
      <c r="E12" s="2">
        <f>Assumptions!$C$25*Assumptions!F9*Assumptions!F13</f>
        <v>22727885.035215355</v>
      </c>
      <c r="F12" s="2">
        <f>Assumptions!$C$25*Assumptions!G9*Assumptions!G13</f>
        <v>23878760.350504413</v>
      </c>
      <c r="G12" s="2">
        <f>Assumptions!$C$25*Assumptions!H9*Assumptions!H13</f>
        <v>25087912.711338598</v>
      </c>
      <c r="H12" s="2">
        <f>Assumptions!$C$25*Assumptions!I9*Assumptions!I13</f>
        <v>26358293.101193145</v>
      </c>
      <c r="I12" s="2">
        <f>Assumptions!$C$25*Assumptions!J9*Assumptions!J13</f>
        <v>27693001.932935063</v>
      </c>
      <c r="J12" s="2">
        <f>Assumptions!$C$25*Assumptions!K9*Assumptions!K13</f>
        <v>29095296.615501657</v>
      </c>
      <c r="K12" s="2">
        <f>Assumptions!$C$25*Assumptions!L9*Assumptions!L13</f>
        <v>30568599.503733944</v>
      </c>
      <c r="L12" s="2">
        <f>Assumptions!$C$25*Assumptions!M9*Assumptions!M13</f>
        <v>32116506.250767145</v>
      </c>
      <c r="M12" s="2">
        <f>Assumptions!$C$25*Assumptions!N9*Assumptions!N13</f>
        <v>33742794.583362289</v>
      </c>
      <c r="N12" s="2">
        <f>Assumptions!$C$25*Assumptions!O9*Assumptions!O13</f>
        <v>35451433.521595687</v>
      </c>
      <c r="O12" s="2">
        <f>Assumptions!$C$25*Assumptions!P9*Assumptions!P13</f>
        <v>37246593.065407105</v>
      </c>
      <c r="P12" s="2">
        <f>Assumptions!$C$25*Assumptions!Q9*Assumptions!Q13</f>
        <v>39132654.371647216</v>
      </c>
      <c r="Q12" s="2">
        <f>Assumptions!$C$25*Assumptions!R9*Assumptions!R13</f>
        <v>41114220.446461737</v>
      </c>
      <c r="R12" s="2">
        <f>Assumptions!$C$25*Assumptions!S9*Assumptions!S13</f>
        <v>43196127.379107274</v>
      </c>
      <c r="S12" s="2">
        <f>Assumptions!$C$25*Assumptions!T9*Assumptions!T13</f>
        <v>45383456.144615762</v>
      </c>
      <c r="T12" s="2">
        <f>Assumptions!$C$25*Assumptions!U9*Assumptions!U13</f>
        <v>47681545.004112095</v>
      </c>
      <c r="U12" s="2">
        <f>Assumptions!$C$25*Assumptions!V9*Assumptions!V13</f>
        <v>50096002.533048496</v>
      </c>
      <c r="V12" s="2">
        <f>Assumptions!$C$25*Assumptions!W9*Assumptions!W13</f>
        <v>52632721.30915162</v>
      </c>
      <c r="W12" s="2">
        <f>Assumptions!$C$25*Assumptions!X9*Assumptions!X13</f>
        <v>55297892.293488085</v>
      </c>
      <c r="X12" s="2">
        <f>Assumptions!$C$25*Assumptions!Y9*Assumptions!Y13</f>
        <v>58098019.939746447</v>
      </c>
      <c r="Y12" s="2">
        <f>Assumptions!$C$25*Assumptions!Z9*Assumptions!Z13</f>
        <v>61039938.068609945</v>
      </c>
      <c r="Z12" s="2">
        <f>Assumptions!$C$25*Assumptions!AA9*Assumptions!AA13</f>
        <v>64130826.545962311</v>
      </c>
      <c r="AA12" s="2">
        <f>Assumptions!$C$25*Assumptions!AB9*Assumptions!AB13</f>
        <v>67378228.805630296</v>
      </c>
      <c r="AB12" s="2">
        <f>Assumptions!$C$25*Assumptions!AC9*Assumptions!AC13</f>
        <v>70790070.259428084</v>
      </c>
      <c r="AC12" s="2">
        <f>Assumptions!$C$25*Assumptions!AD9*Assumptions!AD13</f>
        <v>74374677.639433756</v>
      </c>
      <c r="AD12" s="2">
        <f>Assumptions!$C$25*Assumptions!AE9*Assumptions!AE13</f>
        <v>78140799.319703609</v>
      </c>
      <c r="AE12" s="2">
        <f>Assumptions!$C$25*Assumptions!AF9*Assumptions!AF13</f>
        <v>82097626.667020008</v>
      </c>
      <c r="AF12" s="2">
        <f>Assumptions!$C$25*Assumptions!AG9*Assumptions!AG13</f>
        <v>86254816.472780317</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2015981.913235418</v>
      </c>
      <c r="D14" s="5">
        <f>Assumptions!E122*Assumptions!E9</f>
        <v>4120667.0306531941</v>
      </c>
      <c r="E14" s="5">
        <f>Assumptions!F122*Assumptions!F9</f>
        <v>6316982.5579913473</v>
      </c>
      <c r="F14" s="5">
        <f>Assumptions!G122*Assumptions!G9</f>
        <v>8607941.5656895414</v>
      </c>
      <c r="G14" s="5">
        <f>Assumptions!H122*Assumptions!H9</f>
        <v>10996645.350168388</v>
      </c>
      <c r="H14" s="5">
        <f>Assumptions!I122*Assumptions!I9</f>
        <v>13486285.85744651</v>
      </c>
      <c r="I14" s="5">
        <f>Assumptions!J122*Assumptions!J9</f>
        <v>16080148.170695389</v>
      </c>
      <c r="J14" s="5">
        <f>Assumptions!K122*Assumptions!K9</f>
        <v>18781613.063372217</v>
      </c>
      <c r="K14" s="5">
        <f>Assumptions!L122*Assumptions!L9</f>
        <v>21594159.619612209</v>
      </c>
      <c r="L14" s="5">
        <f>Assumptions!M122*Assumptions!M9</f>
        <v>24521367.923604086</v>
      </c>
      <c r="M14" s="5">
        <f>Assumptions!N122*Assumptions!N9</f>
        <v>27566921.819715712</v>
      </c>
      <c r="N14" s="5">
        <f>Assumptions!O122*Assumptions!O9</f>
        <v>30734611.745181229</v>
      </c>
      <c r="O14" s="5">
        <f>Assumptions!P122*Assumptions!P9</f>
        <v>34028337.63720648</v>
      </c>
      <c r="P14" s="5">
        <f>Assumptions!Q122*Assumptions!Q9</f>
        <v>37452111.916396171</v>
      </c>
      <c r="Q14" s="5">
        <f>Assumptions!R122*Assumptions!R9</f>
        <v>41010062.548453815</v>
      </c>
      <c r="R14" s="5">
        <f>Assumptions!S122*Assumptions!S9</f>
        <v>44706436.186154455</v>
      </c>
      <c r="S14" s="5">
        <f>Assumptions!T122*Assumptions!T9</f>
        <v>48545601.393640473</v>
      </c>
      <c r="T14" s="5">
        <f>Assumptions!U122*Assumptions!U9</f>
        <v>52532051.955141775</v>
      </c>
      <c r="U14" s="5">
        <f>Assumptions!V122*Assumptions!V9</f>
        <v>56670410.270274602</v>
      </c>
      <c r="V14" s="5">
        <f>Assumptions!W122*Assumptions!W9</f>
        <v>60965430.838127002</v>
      </c>
      <c r="W14" s="5">
        <f>Assumptions!X122*Assumptions!X9</f>
        <v>65422003.832394093</v>
      </c>
      <c r="X14" s="5">
        <f>Assumptions!Y122*Assumptions!Y9</f>
        <v>70045158.76988326</v>
      </c>
      <c r="Y14" s="5">
        <f>Assumptions!Z122*Assumptions!Z9</f>
        <v>74840068.274767086</v>
      </c>
      <c r="Z14" s="5">
        <f>Assumptions!AA122*Assumptions!AA9</f>
        <v>79812051.941021189</v>
      </c>
      <c r="AA14" s="5">
        <f>Assumptions!AB122*Assumptions!AB9</f>
        <v>84966580.295545474</v>
      </c>
      <c r="AB14" s="5">
        <f>Assumptions!AC122*Assumptions!AC9</f>
        <v>90309278.864529371</v>
      </c>
      <c r="AC14" s="5">
        <f>Assumptions!AD122*Assumptions!AD9</f>
        <v>95845932.345685527</v>
      </c>
      <c r="AD14" s="5">
        <f>Assumptions!AE122*Assumptions!AE9</f>
        <v>101582488.88904209</v>
      </c>
      <c r="AE14" s="5">
        <f>Assumptions!AF122*Assumptions!AF9</f>
        <v>107525064.48905107</v>
      </c>
      <c r="AF14" s="5">
        <f>Assumptions!AG122*Assumptions!AG9</f>
        <v>113679947.49083811</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22605847.802736294</v>
      </c>
      <c r="D27" s="2">
        <f t="shared" ref="D27:AF27" si="8">D12+D13+D14+D19+D20+D22+D24+D25</f>
        <v>25753145.040050961</v>
      </c>
      <c r="E27" s="2">
        <f t="shared" si="8"/>
        <v>29044867.593206704</v>
      </c>
      <c r="F27" s="2">
        <f t="shared" si="8"/>
        <v>32486701.916193955</v>
      </c>
      <c r="G27" s="2">
        <f t="shared" si="8"/>
        <v>36084558.061506987</v>
      </c>
      <c r="H27" s="2">
        <f t="shared" si="8"/>
        <v>39844578.958639652</v>
      </c>
      <c r="I27" s="2">
        <f t="shared" si="8"/>
        <v>43773150.103630453</v>
      </c>
      <c r="J27" s="2">
        <f t="shared" si="8"/>
        <v>47876909.678873874</v>
      </c>
      <c r="K27" s="2">
        <f t="shared" si="8"/>
        <v>52162759.12334615</v>
      </c>
      <c r="L27" s="2">
        <f t="shared" si="8"/>
        <v>56637874.174371228</v>
      </c>
      <c r="M27" s="2">
        <f t="shared" si="8"/>
        <v>61309716.403078005</v>
      </c>
      <c r="N27" s="2">
        <f t="shared" si="8"/>
        <v>66186045.266776919</v>
      </c>
      <c r="O27" s="2">
        <f t="shared" si="8"/>
        <v>71274930.702613592</v>
      </c>
      <c r="P27" s="2">
        <f t="shared" si="8"/>
        <v>76584766.28804338</v>
      </c>
      <c r="Q27" s="2">
        <f t="shared" si="8"/>
        <v>82124282.994915545</v>
      </c>
      <c r="R27" s="2">
        <f t="shared" si="8"/>
        <v>87902563.565261722</v>
      </c>
      <c r="S27" s="2">
        <f t="shared" si="8"/>
        <v>93929057.538256228</v>
      </c>
      <c r="T27" s="2">
        <f t="shared" si="8"/>
        <v>100213596.95925388</v>
      </c>
      <c r="U27" s="2">
        <f t="shared" si="8"/>
        <v>106766412.80332309</v>
      </c>
      <c r="V27" s="2">
        <f t="shared" si="8"/>
        <v>113598152.14727862</v>
      </c>
      <c r="W27" s="2">
        <f t="shared" si="8"/>
        <v>120719896.12588218</v>
      </c>
      <c r="X27" s="2">
        <f t="shared" si="8"/>
        <v>128143178.70962971</v>
      </c>
      <c r="Y27" s="2">
        <f t="shared" si="8"/>
        <v>135880006.34337702</v>
      </c>
      <c r="Z27" s="2">
        <f t="shared" si="8"/>
        <v>143942878.48698351</v>
      </c>
      <c r="AA27" s="2">
        <f t="shared" si="8"/>
        <v>152344809.10117579</v>
      </c>
      <c r="AB27" s="2">
        <f t="shared" si="8"/>
        <v>161099349.12395746</v>
      </c>
      <c r="AC27" s="2">
        <f t="shared" si="8"/>
        <v>170220609.98511928</v>
      </c>
      <c r="AD27" s="2">
        <f t="shared" si="8"/>
        <v>179723288.20874572</v>
      </c>
      <c r="AE27" s="2">
        <f t="shared" si="8"/>
        <v>189622691.15607107</v>
      </c>
      <c r="AF27" s="2">
        <f t="shared" si="8"/>
        <v>199934763.96361843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3W2DU3RAJ5R2-1900874439-861</_dlc_DocId>
    <_dlc_DocIdUrl xmlns="f54e2983-00ce-40fc-8108-18f351fc47bf">
      <Url>https://dia.cohesion.net.nz/Sites/LGV/TWRP/CAE/_layouts/15/DocIdRedir.aspx?ID=3W2DU3RAJ5R2-1900874439-861</Url>
      <Description>3W2DU3RAJ5R2-1900874439-861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schemas.microsoft.com/office/infopath/2007/PartnerControls"/>
    <ds:schemaRef ds:uri="65b6d800-2dda-48d6-88d8-9e2b35e6f7ea"/>
    <ds:schemaRef ds:uri="http://purl.org/dc/terms/"/>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http://purl.org/dc/elements/1.1/"/>
    <ds:schemaRef ds:uri="08a23fc5-e034-477c-ac83-93bc1440f322"/>
    <ds:schemaRef ds:uri="http://www.w3.org/XML/1998/namespace"/>
    <ds:schemaRef ds:uri="http://purl.org/dc/dcmitype/"/>
  </ds:schemaRefs>
</ds:datastoreItem>
</file>

<file path=customXml/itemProps3.xml><?xml version="1.0" encoding="utf-8"?>
<ds:datastoreItem xmlns:ds="http://schemas.openxmlformats.org/officeDocument/2006/customXml" ds:itemID="{6B0F73A9-F4D3-43BA-AC67-CBFACFC726B8}"/>
</file>

<file path=customXml/itemProps4.xml><?xml version="1.0" encoding="utf-8"?>
<ds:datastoreItem xmlns:ds="http://schemas.openxmlformats.org/officeDocument/2006/customXml" ds:itemID="{1227EF03-DEB5-4C3B-AC09-81A6481C74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2021-07-05T14:32:53Z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a2696cc2-5e00-4fc5-a2b6-ceebc7fa9bf2</vt:lpwstr>
  </property>
</Properties>
</file>