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3" documentId="8_{4F7FDF7C-88CF-4ACA-871E-2628E661BC45}" xr6:coauthVersionLast="47" xr6:coauthVersionMax="47" xr10:uidLastSave="{527DB948-77DE-4E60-9629-1089176CD39A}"/>
  <bookViews>
    <workbookView xWindow="1900" yWindow="190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<sst xmlns="http://schemas.openxmlformats.org/spreadsheetml/2006/main" count="277" uniqueCount="205">
  <si>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</si>
  <si>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</si>
  <si>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</si>
  <si>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</si>
  <si>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</si>
  <si>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</si>
  <si>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</si>
  <si>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</si>
  <si>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</si>
  <si>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</si>
  <si>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</si>
  <si>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</si>
  <si>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</si>
  <si>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</si>
  <si>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</si>
  <si>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</si>
  <si>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</si>
  <si>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</si>
  <si>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</si>
  <si>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</si>
  <si>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</si>
  <si>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</si>
  <si>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</si>
  <si>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</si>
  <si>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</si>
  <si>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</si>
  <si>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</si>
  <si>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</si>
  <si>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</si>
  <si>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</si>
  <si>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</si>
  <si>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</si>
  <si>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</si>
  <si>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</si>
  <si>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</si>
  <si>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</si>
  <si>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</si>
  <si>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</si>
  <si>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</si>
  <si>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</si>
  <si>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</si>
  <si>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</si>
  <si>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</si>
  <si>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</si>
  <si>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</si>
  <si>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</si>
  <si>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</si>
  <si>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</si>
  <si>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</si>
  <si>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</si>
  <si>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</si>
  <si>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</si>
  <si>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</si>
  <si>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</si>
  <si>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</si>
  <si>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</si>
  <si>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</si>
  <si>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</si>
  <si>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</si>
  <si>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</si>
  <si>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</si>
  <si>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</si>
  <si>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</si>
  <si>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</si>
  <si>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</si>
  <si>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</si>
  <si>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</si>
  <si>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</si>
  <si>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</si>
  <si>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</si>
  <si>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</si>
  <si>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</si>
  <si>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</si>
  <si>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</si>
  <si>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</si>
  <si>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</si>
  <si>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</si>
  <si>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</si>
  <si>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</si>
  <si>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</si>
  <si>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</si>
  <si>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</si>
  <si>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</si>
  <si>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</si>
  <si>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</si>
  <si>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</si>
  <si>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</si>
  <si>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</si>
  <si>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</si>
  <si>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</si>
  <si>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</si>
  <si>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</si>
  <si>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</si>
  <si>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</si>
  <si>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</si>
  <si>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</si>
  <si>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</si>
  <si>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</si>
  <si>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</si>
  <si>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</si>
  <si>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</si>
  <si>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</si>
  <si>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</si>
  <si>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</si>
  <si>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</si>
  <si>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</si>
  <si>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</si>
  <si>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</si>
  <si>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</si>
  <si>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</si>
  <si>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</si>
  <si>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</si>
  <si>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</si>
  <si>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</si>
  <si>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</si>
  <si>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</si>
  <si>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</si>
  <si>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</si>
  <si>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</si>
  <si>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</si>
  <si>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</si>
  <si>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</si>
  <si>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</si>
  <si>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</si>
  <si>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</si>
  <si>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</si>
  <si>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</si>
  <si>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</si>
  <si>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</si>
  <si>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</si>
  <si>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</si>
  <si>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</si>
  <si>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</si>
  <si>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</si>
  <si>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</si>
  <si>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</si>
  <si>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</si>
  <si>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</si>
  <si>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</si>
  <si>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</si>
  <si>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</si>
  <si>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</si>
  <si>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</si>
  <si>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</si>
  <si>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</si>
  <si>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</si>
  <si>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</si>
  <si>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</si>
  <si>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</si>
  <si>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</si>
  <si>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</si>
  <si>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</si>
  <si>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</si>
  <si>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</si>
  <si>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</si>
  <si>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</si>
  <si>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</si>
  <si>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</si>
  <si>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</si>
  <si>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</si>
  <si>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</si>
  <si>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</si>
  <si>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</si>
  <si>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</si>
  <si>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</si>
  <si>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</si>
  <si>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</si>
  <si>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</si>
  <si>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</si>
  <si>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</si>
  <si>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</si>
  <si>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</si>
  <si>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</si>
  <si>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</si>
  <si>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</si>
  <si>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</si>
  <si>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</si>
  <si>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</si>
  <si>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</si>
  <si>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</si>
  <si>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</si>
  <si>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</si>
  <si>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</si>
  <si>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</si>
  <si>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</si>
  <si>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</si>
  <si>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</si>
  <si>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</si>
  <si>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</si>
  <si>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</si>
  <si>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</si>
  <si>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</si>
  <si>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</si>
  <si>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</si>
  <si>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</si>
  <si>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</si>
  <si>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</si>
  <si>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</si>
  <si>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Tararua Stand-alone Council</t>
  </si>
  <si>
    <t>RFI Table F10; Lines F10.62 + F10.70 - F10.61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</si>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</sst>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201">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3" fillId="0" borderId="0" xfId="0" applyFont="1" applyFill="1" applyBorder="1" applyAlignment="1">
      <alignment vertical="top" wrapText="1"/>
    </xf>
    <xf numFmtId="166" fontId="10" fillId="0" borderId="0" xfId="0" applyNumberFormat="1" applyFont="1" applyFill="1" applyAlignment="1">
      <alignment vertical="top" wrapText="1"/>
    </xf>
    <xf numFmtId="0" fontId="0" fillId="0" borderId="11" xfId="0" applyBorder="1" applyAlignment="1">
      <alignment vertical="top"/>
    </xf>
    <xf numFmtId="0" fontId="18" fillId="0" borderId="0" xfId="0" applyFont="1" applyAlignment="1">
      <alignment horizontal="left" vertical="center" wrapText="1"/>
    </xf>
    <xf numFmtId="166" fontId="16" fillId="0" borderId="0" xfId="2" applyNumberFormat="1" applyFont="1" applyFill="1" applyAlignment="1">
      <alignment horizontal="right" vertical="center"/>
    </xf>
    <xf numFmtId="9" fontId="16" fillId="0" borderId="0" xfId="3" applyFont="1" applyFill="1" applyAlignment="1">
      <alignment horizontal="right" vertical="center"/>
    </xf>
    <xf numFmtId="167" fontId="16" fillId="0" borderId="0" xfId="0" applyNumberFormat="1" applyFont="1" applyAlignment="1">
      <alignment horizontal="right" vertical="center"/>
    </xf>
    <xf numFmtId="3" fontId="16" fillId="0" borderId="0" xfId="1" applyNumberFormat="1" applyFont="1" applyFill="1" applyAlignment="1">
      <alignment horizontal="right" vertical="center"/>
    </xf>
    <xf numFmtId="0" fontId="16" fillId="0" borderId="0" xfId="0" applyFont="1" applyFill="1" applyAlignment="1">
      <alignment horizontal="right" vertical="center"/>
    </xf>
    <xf numFmtId="166" fontId="17" fillId="0" borderId="0" xfId="2" applyNumberFormat="1" applyFont="1" applyFill="1" applyAlignment="1">
      <alignment horizontal="right" vertical="center"/>
    </xf>
    <xf numFmtId="2" fontId="16" fillId="0" borderId="0" xfId="2" applyNumberFormat="1" applyFont="1" applyFill="1" applyAlignment="1">
      <alignment horizontal="right" vertical="center"/>
    </xf>
    <xf numFmtId="1" fontId="17" fillId="0" borderId="0" xfId="2" applyNumberFormat="1" applyFont="1" applyFill="1" applyAlignment="1">
      <alignment horizontal="right" vertical="center"/>
    </xf>
    <xf numFmtId="173" fontId="16" fillId="0" borderId="0" xfId="0" applyNumberFormat="1" applyFont="1" applyFill="1" applyAlignment="1">
      <alignment horizontal="right" vertical="center"/>
    </xf>
    <xf numFmtId="167" fontId="16" fillId="0" borderId="0" xfId="0" applyNumberFormat="1" applyFont="1" applyFill="1" applyAlignment="1">
      <alignment horizontal="right" vertical="center"/>
    </xf>
    <xf numFmtId="0" fontId="17" fillId="0" borderId="0" xfId="0" applyFont="1" applyFill="1" applyAlignment="1">
      <alignment horizontal="right" vertical="center"/>
    </xf>
    <xf numFmtId="0" fontId="0" fillId="0" borderId="0" xfId="0" applyAlignment="1">
      <alignment horizontal="right" vertical="center"/>
    </xf>
    <xf numFmtId="0" fontId="16" fillId="0" borderId="0" xfId="0" applyFont="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5" fillId="0" borderId="0" xfId="0" applyFont="1" applyFill="1" applyAlignment="1">
      <alignmen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32"/>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row r="17" s="63" customFormat="1" x14ac:dyDescent="0.35"/>
    <row r="18" s="63" customFormat="1" x14ac:dyDescent="0.35"/>
    <row r="19" s="63" customFormat="1" x14ac:dyDescent="0.35"/>
    <row r="20" s="63" customFormat="1" x14ac:dyDescent="0.35"/>
    <row r="21" s="63" customFormat="1" x14ac:dyDescent="0.35"/>
    <row r="22" s="63" customFormat="1" x14ac:dyDescent="0.35"/>
    <row r="23" s="63" customFormat="1" x14ac:dyDescent="0.35"/>
    <row r="24" s="63" customFormat="1" x14ac:dyDescent="0.35"/>
    <row r="25" s="63" customFormat="1" x14ac:dyDescent="0.35"/>
    <row r="26" s="63" customFormat="1" x14ac:dyDescent="0.35"/>
    <row r="27" s="63" customFormat="1" x14ac:dyDescent="0.35"/>
    <row r="28" s="63" customFormat="1" x14ac:dyDescent="0.35"/>
    <row r="29" s="63" customFormat="1" x14ac:dyDescent="0.35"/>
    <row r="30" s="63" customFormat="1" x14ac:dyDescent="0.35"/>
    <row r="31" s="63" customFormat="1" x14ac:dyDescent="0.35"/>
    <row r="32" s="63" customFormat="1" x14ac:dyDescent="0.3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163937069.58374304</v>
      </c>
      <c r="C6" s="12">
        <f ca="1">B6+Depreciation!C18+'Cash Flow'!C13</f>
        <v>169230398.88483748</v>
      </c>
      <c r="D6" s="1">
        <f ca="1">C6+Depreciation!D18</f>
        <v>200796699.99186093</v>
      </c>
      <c r="E6" s="1">
        <f ca="1">D6+Depreciation!E18</f>
        <v>234060942.4981235</v>
      </c>
      <c r="F6" s="1">
        <f ca="1">E6+Depreciation!F18</f>
        <v>269099470.76084292</v>
      </c>
      <c r="G6" s="1">
        <f ca="1">F6+Depreciation!G18</f>
        <v>305991776.48410606</v>
      </c>
      <c r="H6" s="1">
        <f ca="1">G6+Depreciation!H18</f>
        <v>344820621.97244668</v>
      </c>
      <c r="I6" s="1">
        <f ca="1">H6+Depreciation!I18</f>
        <v>385672168.04976904</v>
      </c>
      <c r="J6" s="1">
        <f ca="1">I6+Depreciation!J18</f>
        <v>428636106.815988</v>
      </c>
      <c r="K6" s="1">
        <f ca="1">J6+Depreciation!K18</f>
        <v>473805799.42000973</v>
      </c>
      <c r="L6" s="1">
        <f ca="1">K6+Depreciation!L18</f>
        <v>521278419.03415704</v>
      </c>
      <c r="M6" s="1">
        <f ca="1">L6+Depreciation!M18</f>
        <v>571155099.22185135</v>
      </c>
      <c r="N6" s="1">
        <f ca="1">M6+Depreciation!N18</f>
        <v>623541087.89731491</v>
      </c>
      <c r="O6" s="1">
        <f ca="1">N6+Depreciation!O18</f>
        <v>678545907.08325267</v>
      </c>
      <c r="P6" s="1">
        <f ca="1">O6+Depreciation!P18</f>
        <v>736283518.67993128</v>
      </c>
      <c r="Q6" s="1">
        <f ca="1">P6+Depreciation!Q18</f>
        <v>796872496.46679175</v>
      </c>
      <c r="R6" s="1">
        <f ca="1">Q6+Depreciation!R18</f>
        <v>860436204.56573081</v>
      </c>
      <c r="S6" s="1">
        <f ca="1">R6+Depreciation!S18</f>
        <v>927102982.6034677</v>
      </c>
      <c r="T6" s="1">
        <f ca="1">S6+Depreciation!T18</f>
        <v>997006337.81899214</v>
      </c>
      <c r="U6" s="1">
        <f ca="1">T6+Depreciation!U18</f>
        <v>1070285144.3709719</v>
      </c>
      <c r="V6" s="1">
        <f ca="1">U6+Depreciation!V18</f>
        <v>1147083850.1091995</v>
      </c>
      <c r="W6" s="1">
        <f ca="1">V6+Depreciation!W18</f>
        <v>1227552691.0836856</v>
      </c>
      <c r="X6" s="1">
        <f ca="1">W6+Depreciation!X18</f>
        <v>1311847914.0748746</v>
      </c>
      <c r="Y6" s="1">
        <f ca="1">X6+Depreciation!Y18</f>
        <v>1400132007.4386778</v>
      </c>
      <c r="Z6" s="1">
        <f ca="1">Y6+Depreciation!Z18</f>
        <v>1492573940.5705993</v>
      </c>
      <c r="AA6" s="1">
        <f ca="1">Z6+Depreciation!AA18</f>
        <v>1589349412.3041945</v>
      </c>
      <c r="AB6" s="1">
        <f ca="1">AA6+Depreciation!AB18</f>
        <v>1690641108.5704432</v>
      </c>
      <c r="AC6" s="1">
        <f ca="1">AB6+Depreciation!AC18</f>
        <v>1796638969.6563799</v>
      </c>
      <c r="AD6" s="1">
        <f ca="1">AC6+Depreciation!AD18</f>
        <v>1907540467.4134881</v>
      </c>
      <c r="AE6" s="1">
        <f ca="1">AD6+Depreciation!AE18</f>
        <v>2023550892.778971</v>
      </c>
      <c r="AF6" s="1"/>
      <c r="AG6" s="1"/>
      <c r="AH6" s="1"/>
      <c r="AI6" s="1"/>
      <c r="AJ6" s="1"/>
      <c r="AK6" s="1"/>
      <c r="AL6" s="1"/>
      <c r="AM6" s="1"/>
      <c r="AN6" s="1"/>
      <c r="AO6" s="1"/>
      <c r="AP6" s="1"/>
    </row>
    <row r="7" spans="1:42" x14ac:dyDescent="0.35">
      <c r="A7" t="s">
        <v>12</v>
      </c>
      <c r="B7" s="1">
        <f>Depreciation!C12</f>
        <v>85000810.264568642</v>
      </c>
      <c r="C7" s="1">
        <f>Depreciation!D12</f>
        <v>88796610.571592078</v>
      </c>
      <c r="D7" s="1">
        <f>Depreciation!E12</f>
        <v>93401696.252254665</v>
      </c>
      <c r="E7" s="1">
        <f>Depreciation!F12</f>
        <v>98863974.670954913</v>
      </c>
      <c r="F7" s="1">
        <f>Depreciation!G12</f>
        <v>105233590.55519024</v>
      </c>
      <c r="G7" s="1">
        <f>Depreciation!H12</f>
        <v>112563020.12965412</v>
      </c>
      <c r="H7" s="1">
        <f>Depreciation!I12</f>
        <v>120907168.98385575</v>
      </c>
      <c r="I7" s="1">
        <f>Depreciation!J12</f>
        <v>130323473.81581411</v>
      </c>
      <c r="J7" s="1">
        <f>Depreciation!K12</f>
        <v>140872008.1996789</v>
      </c>
      <c r="K7" s="1">
        <f>Depreciation!L12</f>
        <v>152615592.53062418</v>
      </c>
      <c r="L7" s="1">
        <f>Depreciation!M12</f>
        <v>165619908.30605406</v>
      </c>
      <c r="M7" s="1">
        <f>Depreciation!N12</f>
        <v>179953616.90806067</v>
      </c>
      <c r="N7" s="1">
        <f>Depreciation!O12</f>
        <v>195688483.05819088</v>
      </c>
      <c r="O7" s="1">
        <f>Depreciation!P12</f>
        <v>212899503.12191615</v>
      </c>
      <c r="P7" s="1">
        <f>Depreciation!Q12</f>
        <v>231665038.44676879</v>
      </c>
      <c r="Q7" s="1">
        <f>Depreciation!R12</f>
        <v>252066953.92491573</v>
      </c>
      <c r="R7" s="1">
        <f>Depreciation!S12</f>
        <v>274190761.97799516</v>
      </c>
      <c r="S7" s="1">
        <f>Depreciation!T12</f>
        <v>298125772.16935313</v>
      </c>
      <c r="T7" s="1">
        <f>Depreciation!U12</f>
        <v>323965246.65639311</v>
      </c>
      <c r="U7" s="1">
        <f>Depreciation!V12</f>
        <v>351806561.70360279</v>
      </c>
      <c r="V7" s="1">
        <f>Depreciation!W12</f>
        <v>381751375.48495829</v>
      </c>
      <c r="W7" s="1">
        <f>Depreciation!X12</f>
        <v>413905802.41283667</v>
      </c>
      <c r="X7" s="1">
        <f>Depreciation!Y12</f>
        <v>448380594.23930323</v>
      </c>
      <c r="Y7" s="1">
        <f>Depreciation!Z12</f>
        <v>485291328.18469346</v>
      </c>
      <c r="Z7" s="1">
        <f>Depreciation!AA12</f>
        <v>524758602.35778821</v>
      </c>
      <c r="AA7" s="1">
        <f>Depreciation!AB12</f>
        <v>566908238.74160039</v>
      </c>
      <c r="AB7" s="1">
        <f>Depreciation!AC12</f>
        <v>611871494.02886283</v>
      </c>
      <c r="AC7" s="1">
        <f>Depreciation!AD12</f>
        <v>659785278.60173929</v>
      </c>
      <c r="AD7" s="1">
        <f>Depreciation!AE12</f>
        <v>710792383.96109474</v>
      </c>
      <c r="AE7" s="1">
        <f>Depreciation!AF12</f>
        <v>765041718.92186129</v>
      </c>
      <c r="AF7" s="1"/>
      <c r="AG7" s="1"/>
      <c r="AH7" s="1"/>
      <c r="AI7" s="1"/>
      <c r="AJ7" s="1"/>
      <c r="AK7" s="1"/>
      <c r="AL7" s="1"/>
      <c r="AM7" s="1"/>
      <c r="AN7" s="1"/>
      <c r="AO7" s="1"/>
      <c r="AP7" s="1"/>
    </row>
    <row r="8" spans="1:42" x14ac:dyDescent="0.35">
      <c r="A8" t="s">
        <v>191</v>
      </c>
      <c r="B8" s="1">
        <f t="shared" ref="B8:AE8" si="1">B6-B7</f>
        <v>78936259.319174394</v>
      </c>
      <c r="C8" s="1">
        <f t="shared" ca="1" si="1"/>
        <v>80433788.313245401</v>
      </c>
      <c r="D8" s="1">
        <f ca="1">D6-D7</f>
        <v>107395003.73960626</v>
      </c>
      <c r="E8" s="1">
        <f t="shared" ca="1" si="1"/>
        <v>135196967.82716858</v>
      </c>
      <c r="F8" s="1">
        <f t="shared" ca="1" si="1"/>
        <v>163865880.20565268</v>
      </c>
      <c r="G8" s="1">
        <f t="shared" ca="1" si="1"/>
        <v>193428756.35445195</v>
      </c>
      <c r="H8" s="1">
        <f t="shared" ca="1" si="1"/>
        <v>223913452.98859093</v>
      </c>
      <c r="I8" s="1">
        <f t="shared" ca="1" si="1"/>
        <v>255348694.23395494</v>
      </c>
      <c r="J8" s="1">
        <f t="shared" ca="1" si="1"/>
        <v>287764098.61630911</v>
      </c>
      <c r="K8" s="1">
        <f t="shared" ca="1" si="1"/>
        <v>321190206.88938558</v>
      </c>
      <c r="L8" s="1">
        <f t="shared" ca="1" si="1"/>
        <v>355658510.72810298</v>
      </c>
      <c r="M8" s="1">
        <f t="shared" ca="1" si="1"/>
        <v>391201482.31379068</v>
      </c>
      <c r="N8" s="1">
        <f t="shared" ca="1" si="1"/>
        <v>427852604.83912402</v>
      </c>
      <c r="O8" s="1">
        <f t="shared" ca="1" si="1"/>
        <v>465646403.96133649</v>
      </c>
      <c r="P8" s="1">
        <f t="shared" ca="1" si="1"/>
        <v>504618480.23316252</v>
      </c>
      <c r="Q8" s="1">
        <f t="shared" ca="1" si="1"/>
        <v>544805542.54187608</v>
      </c>
      <c r="R8" s="1">
        <f t="shared" ca="1" si="1"/>
        <v>586245442.58773565</v>
      </c>
      <c r="S8" s="1">
        <f t="shared" ca="1" si="1"/>
        <v>628977210.43411458</v>
      </c>
      <c r="T8" s="1">
        <f t="shared" ca="1" si="1"/>
        <v>673041091.16259909</v>
      </c>
      <c r="U8" s="1">
        <f t="shared" ca="1" si="1"/>
        <v>718478582.66736913</v>
      </c>
      <c r="V8" s="1">
        <f t="shared" ca="1" si="1"/>
        <v>765332474.62424123</v>
      </c>
      <c r="W8" s="1">
        <f t="shared" ca="1" si="1"/>
        <v>813646888.67084897</v>
      </c>
      <c r="X8" s="1">
        <f t="shared" ca="1" si="1"/>
        <v>863467319.83557141</v>
      </c>
      <c r="Y8" s="1">
        <f t="shared" ca="1" si="1"/>
        <v>914840679.25398433</v>
      </c>
      <c r="Z8" s="1">
        <f t="shared" ca="1" si="1"/>
        <v>967815338.21281111</v>
      </c>
      <c r="AA8" s="1">
        <f t="shared" ca="1" si="1"/>
        <v>1022441173.5625941</v>
      </c>
      <c r="AB8" s="1">
        <f t="shared" ca="1" si="1"/>
        <v>1078769614.5415802</v>
      </c>
      <c r="AC8" s="1">
        <f t="shared" ca="1" si="1"/>
        <v>1136853691.0546408</v>
      </c>
      <c r="AD8" s="1">
        <f t="shared" ca="1" si="1"/>
        <v>1196748083.4523935</v>
      </c>
      <c r="AE8" s="1">
        <f t="shared" ca="1" si="1"/>
        <v>1258509173.8571095</v>
      </c>
      <c r="AF8" s="1"/>
      <c r="AG8" s="1"/>
      <c r="AH8" s="1"/>
      <c r="AI8" s="1"/>
      <c r="AJ8" s="1"/>
      <c r="AK8" s="1"/>
      <c r="AL8" s="1"/>
      <c r="AM8" s="1"/>
      <c r="AN8" s="1"/>
      <c r="AO8" s="1"/>
      <c r="AP8" s="1"/>
    </row>
    <row r="10" spans="1:42" x14ac:dyDescent="0.35">
      <c r="A10" t="s">
        <v>17</v>
      </c>
      <c r="B10" s="1">
        <f>B8-B11</f>
        <v>53726444.489174396</v>
      </c>
      <c r="C10" s="1">
        <f ca="1">C8-C11</f>
        <v>30575627.311642714</v>
      </c>
      <c r="D10" s="1">
        <f ca="1">D8-D11</f>
        <v>38289037.164949372</v>
      </c>
      <c r="E10" s="1">
        <f t="shared" ref="E10:AE10" ca="1" si="2">E8-E11</f>
        <v>51762743.233747005</v>
      </c>
      <c r="F10" s="1">
        <f t="shared" ca="1" si="2"/>
        <v>68608753.75977613</v>
      </c>
      <c r="G10" s="1">
        <f ca="1">G8-G11</f>
        <v>88257111.203448653</v>
      </c>
      <c r="H10" s="1">
        <f t="shared" ca="1" si="2"/>
        <v>109463790.00543717</v>
      </c>
      <c r="I10" s="1">
        <f t="shared" ca="1" si="2"/>
        <v>131675114.08294684</v>
      </c>
      <c r="J10" s="1">
        <f t="shared" ca="1" si="2"/>
        <v>154600224.94628516</v>
      </c>
      <c r="K10" s="1">
        <f t="shared" ca="1" si="2"/>
        <v>178365148.53984287</v>
      </c>
      <c r="L10" s="1">
        <f t="shared" ca="1" si="2"/>
        <v>203112855.22546837</v>
      </c>
      <c r="M10" s="1">
        <f t="shared" ca="1" si="2"/>
        <v>229004969.15437883</v>
      </c>
      <c r="N10" s="1">
        <f t="shared" ca="1" si="2"/>
        <v>256223625.96457028</v>
      </c>
      <c r="O10" s="1">
        <f t="shared" ca="1" si="2"/>
        <v>284290067.65391684</v>
      </c>
      <c r="P10" s="1">
        <f t="shared" ca="1" si="2"/>
        <v>313317271.09925395</v>
      </c>
      <c r="Q10" s="1">
        <f t="shared" ca="1" si="2"/>
        <v>343431859.57100511</v>
      </c>
      <c r="R10" s="1">
        <f t="shared" ca="1" si="2"/>
        <v>374366049.30837631</v>
      </c>
      <c r="S10" s="1">
        <f t="shared" ca="1" si="2"/>
        <v>405781425.45203859</v>
      </c>
      <c r="T10" s="1">
        <f t="shared" ca="1" si="2"/>
        <v>437720453.67804402</v>
      </c>
      <c r="U10" s="1">
        <f t="shared" ca="1" si="2"/>
        <v>470231544.09363937</v>
      </c>
      <c r="V10" s="1">
        <f t="shared" ca="1" si="2"/>
        <v>503369621.64767492</v>
      </c>
      <c r="W10" s="1">
        <f t="shared" ca="1" si="2"/>
        <v>537196740.34184098</v>
      </c>
      <c r="X10" s="1">
        <f t="shared" ca="1" si="2"/>
        <v>571782744.19988012</v>
      </c>
      <c r="Y10" s="1">
        <f t="shared" ca="1" si="2"/>
        <v>607205978.13620842</v>
      </c>
      <c r="Z10" s="1">
        <f t="shared" ca="1" si="2"/>
        <v>643554052.06055462</v>
      </c>
      <c r="AA10" s="1">
        <f t="shared" ca="1" si="2"/>
        <v>680924661.76192534</v>
      </c>
      <c r="AB10" s="1">
        <f t="shared" ca="1" si="2"/>
        <v>719426470.33406436</v>
      </c>
      <c r="AC10" s="1">
        <f t="shared" ca="1" si="2"/>
        <v>759180054.13631189</v>
      </c>
      <c r="AD10" s="1">
        <f t="shared" ca="1" si="2"/>
        <v>800318917.52908301</v>
      </c>
      <c r="AE10" s="1">
        <f t="shared" ca="1" si="2"/>
        <v>842990580.88288808</v>
      </c>
      <c r="AF10" s="1"/>
      <c r="AG10" s="1"/>
      <c r="AH10" s="1"/>
      <c r="AI10" s="1"/>
      <c r="AJ10" s="1"/>
      <c r="AK10" s="1"/>
      <c r="AL10" s="1"/>
      <c r="AM10" s="1"/>
      <c r="AN10" s="1"/>
      <c r="AO10" s="1"/>
    </row>
    <row r="11" spans="1:42" x14ac:dyDescent="0.35">
      <c r="A11" t="s">
        <v>9</v>
      </c>
      <c r="B11" s="1">
        <f>Assumptions!$C$20</f>
        <v>25209814.829999998</v>
      </c>
      <c r="C11" s="1">
        <f ca="1">'Debt worksheet'!D5</f>
        <v>49858161.001602687</v>
      </c>
      <c r="D11" s="1">
        <f ca="1">'Debt worksheet'!E5</f>
        <v>69105966.574656889</v>
      </c>
      <c r="E11" s="1">
        <f ca="1">'Debt worksheet'!F5</f>
        <v>83434224.593421578</v>
      </c>
      <c r="F11" s="1">
        <f ca="1">'Debt worksheet'!G5</f>
        <v>95257126.445876554</v>
      </c>
      <c r="G11" s="1">
        <f ca="1">'Debt worksheet'!H5</f>
        <v>105171645.1510033</v>
      </c>
      <c r="H11" s="1">
        <f ca="1">'Debt worksheet'!I5</f>
        <v>114449662.98315376</v>
      </c>
      <c r="I11" s="1">
        <f ca="1">'Debt worksheet'!J5</f>
        <v>123673580.1510081</v>
      </c>
      <c r="J11" s="1">
        <f ca="1">'Debt worksheet'!K5</f>
        <v>133163873.67002395</v>
      </c>
      <c r="K11" s="1">
        <f ca="1">'Debt worksheet'!L5</f>
        <v>142825058.34954271</v>
      </c>
      <c r="L11" s="1">
        <f ca="1">'Debt worksheet'!M5</f>
        <v>152545655.50263461</v>
      </c>
      <c r="M11" s="1">
        <f ca="1">'Debt worksheet'!N5</f>
        <v>162196513.15941185</v>
      </c>
      <c r="N11" s="1">
        <f ca="1">'Debt worksheet'!O5</f>
        <v>171628978.87455374</v>
      </c>
      <c r="O11" s="1">
        <f ca="1">'Debt worksheet'!P5</f>
        <v>181356336.30741963</v>
      </c>
      <c r="P11" s="1">
        <f ca="1">'Debt worksheet'!Q5</f>
        <v>191301209.13390857</v>
      </c>
      <c r="Q11" s="1">
        <f ca="1">'Debt worksheet'!R5</f>
        <v>201373682.97087097</v>
      </c>
      <c r="R11" s="1">
        <f ca="1">'Debt worksheet'!S5</f>
        <v>211879393.27935931</v>
      </c>
      <c r="S11" s="1">
        <f ca="1">'Debt worksheet'!T5</f>
        <v>223195784.98207599</v>
      </c>
      <c r="T11" s="1">
        <f ca="1">'Debt worksheet'!U5</f>
        <v>235320637.48455507</v>
      </c>
      <c r="U11" s="1">
        <f ca="1">'Debt worksheet'!V5</f>
        <v>248247038.57372978</v>
      </c>
      <c r="V11" s="1">
        <f ca="1">'Debt worksheet'!W5</f>
        <v>261962852.97656631</v>
      </c>
      <c r="W11" s="1">
        <f ca="1">'Debt worksheet'!X5</f>
        <v>276450148.32900798</v>
      </c>
      <c r="X11" s="1">
        <f ca="1">'Debt worksheet'!Y5</f>
        <v>291684575.63569129</v>
      </c>
      <c r="Y11" s="1">
        <f ca="1">'Debt worksheet'!Z5</f>
        <v>307634701.11777592</v>
      </c>
      <c r="Z11" s="1">
        <f ca="1">'Debt worksheet'!AA5</f>
        <v>324261286.15225649</v>
      </c>
      <c r="AA11" s="1">
        <f ca="1">'Debt worksheet'!AB5</f>
        <v>341516511.80066872</v>
      </c>
      <c r="AB11" s="1">
        <f ca="1">'Debt worksheet'!AC5</f>
        <v>359343144.20751584</v>
      </c>
      <c r="AC11" s="1">
        <f ca="1">'Debt worksheet'!AD5</f>
        <v>377673636.91832888</v>
      </c>
      <c r="AD11" s="1">
        <f ca="1">'Debt worksheet'!AE5</f>
        <v>396429165.92331046</v>
      </c>
      <c r="AE11" s="1">
        <f ca="1">'Debt worksheet'!AF5</f>
        <v>415518592.97422147</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2261053.8283973155</v>
      </c>
      <c r="D5" s="4">
        <f ca="1">'Profit and Loss'!D9</f>
        <v>8522695.2269458063</v>
      </c>
      <c r="E5" s="4">
        <f ca="1">'Profit and Loss'!E9</f>
        <v>14330898.806835301</v>
      </c>
      <c r="F5" s="4">
        <f ca="1">'Profit and Loss'!F9</f>
        <v>17753347.991564218</v>
      </c>
      <c r="G5" s="4">
        <f ca="1">'Profit and Loss'!G9</f>
        <v>20608171.13390106</v>
      </c>
      <c r="H5" s="4">
        <f ca="1">'Profit and Loss'!H9</f>
        <v>22221398.081726238</v>
      </c>
      <c r="I5" s="4">
        <f ca="1">'Profit and Loss'!I9</f>
        <v>23283480.055266403</v>
      </c>
      <c r="J5" s="4">
        <f ca="1">'Profit and Loss'!J9</f>
        <v>24057340.415244769</v>
      </c>
      <c r="K5" s="4">
        <f ca="1">'Profit and Loss'!K9</f>
        <v>24959973.540638208</v>
      </c>
      <c r="L5" s="4">
        <f ca="1">'Profit and Loss'!L9</f>
        <v>26008438.130110078</v>
      </c>
      <c r="M5" s="4">
        <f ca="1">'Profit and Loss'!M9</f>
        <v>27221506.75548723</v>
      </c>
      <c r="N5" s="4">
        <f ca="1">'Profit and Loss'!N9</f>
        <v>28619814.358315028</v>
      </c>
      <c r="O5" s="4">
        <f ca="1">'Profit and Loss'!O9</f>
        <v>29542595.602941655</v>
      </c>
      <c r="P5" s="4">
        <f ca="1">'Profit and Loss'!P9</f>
        <v>30581718.706464432</v>
      </c>
      <c r="Q5" s="4">
        <f ca="1">'Profit and Loss'!Q9</f>
        <v>31750968.625045449</v>
      </c>
      <c r="R5" s="4">
        <f ca="1">'Profit and Loss'!R9</f>
        <v>32656082.312303789</v>
      </c>
      <c r="S5" s="4">
        <f ca="1">'Profit and Loss'!S9</f>
        <v>33226578.281940795</v>
      </c>
      <c r="T5" s="4">
        <f ca="1">'Profit and Loss'!T9</f>
        <v>33843492.521687448</v>
      </c>
      <c r="U5" s="4">
        <f ca="1">'Profit and Loss'!U9</f>
        <v>34512930.975765109</v>
      </c>
      <c r="V5" s="4">
        <f ca="1">'Profit and Loss'!V9</f>
        <v>35241576.288181387</v>
      </c>
      <c r="W5" s="4">
        <f ca="1">'Profit and Loss'!W9</f>
        <v>36036731.840688802</v>
      </c>
      <c r="X5" s="4">
        <f ca="1">'Profit and Loss'!X9</f>
        <v>36906368.756627336</v>
      </c>
      <c r="Y5" s="4">
        <f ca="1">'Profit and Loss'!Y9</f>
        <v>37859176.055251949</v>
      </c>
      <c r="Z5" s="4">
        <f ca="1">'Profit and Loss'!Z9</f>
        <v>38904614.152050778</v>
      </c>
      <c r="AA5" s="4">
        <f ca="1">'Profit and Loss'!AA9</f>
        <v>40052971.912088148</v>
      </c>
      <c r="AB5" s="4">
        <f ca="1">'Profit and Loss'!AB9</f>
        <v>41315427.475589305</v>
      </c>
      <c r="AC5" s="4">
        <f ca="1">'Profit and Loss'!AC9</f>
        <v>42704113.0878613</v>
      </c>
      <c r="AD5" s="4">
        <f ca="1">'Profit and Loss'!AD9</f>
        <v>44232184.17925036</v>
      </c>
      <c r="AE5" s="4">
        <f ca="1">'Profit and Loss'!AE9</f>
        <v>45913892.955216385</v>
      </c>
      <c r="AF5" s="4">
        <f ca="1">'Profit and Loss'!AF9</f>
        <v>46092088.247757621</v>
      </c>
      <c r="AG5" s="4"/>
      <c r="AH5" s="4"/>
      <c r="AI5" s="4"/>
      <c r="AJ5" s="4"/>
      <c r="AK5" s="4"/>
      <c r="AL5" s="4"/>
      <c r="AM5" s="4"/>
      <c r="AN5" s="4"/>
      <c r="AO5" s="4"/>
      <c r="AP5" s="4"/>
    </row>
    <row r="6" spans="1:42" x14ac:dyDescent="0.35">
      <c r="A6" t="s">
        <v>21</v>
      </c>
      <c r="C6" s="4">
        <f>Depreciation!C8+Depreciation!C9</f>
        <v>3032275.4726971281</v>
      </c>
      <c r="D6" s="4">
        <f>Depreciation!D8+Depreciation!D9</f>
        <v>3795800.3070234358</v>
      </c>
      <c r="E6" s="4">
        <f>Depreciation!E8+Depreciation!E9</f>
        <v>4605085.6806625854</v>
      </c>
      <c r="F6" s="4">
        <f>Depreciation!F8+Depreciation!F9</f>
        <v>5462278.4187002489</v>
      </c>
      <c r="G6" s="4">
        <f>Depreciation!G8+Depreciation!G9</f>
        <v>6369615.8842353243</v>
      </c>
      <c r="H6" s="4">
        <f>Depreciation!H8+Depreciation!H9</f>
        <v>7329429.5744638955</v>
      </c>
      <c r="I6" s="4">
        <f>Depreciation!I8+Depreciation!I9</f>
        <v>8344148.8542016372</v>
      </c>
      <c r="J6" s="4">
        <f>Depreciation!J8+Depreciation!J9</f>
        <v>9416304.8319583461</v>
      </c>
      <c r="K6" s="4">
        <f>Depreciation!K8+Depreciation!K9</f>
        <v>10548534.383864781</v>
      </c>
      <c r="L6" s="4">
        <f>Depreciation!L8+Depreciation!L9</f>
        <v>11743584.3309453</v>
      </c>
      <c r="M6" s="4">
        <f>Depreciation!M8+Depreciation!M9</f>
        <v>13004315.775429897</v>
      </c>
      <c r="N6" s="4">
        <f>Depreciation!N8+Depreciation!N9</f>
        <v>14333708.602006618</v>
      </c>
      <c r="O6" s="4">
        <f>Depreciation!O8+Depreciation!O9</f>
        <v>15734866.150130212</v>
      </c>
      <c r="P6" s="4">
        <f>Depreciation!P8+Depreciation!P9</f>
        <v>17211020.063725255</v>
      </c>
      <c r="Q6" s="4">
        <f>Depreciation!Q8+Depreciation!Q9</f>
        <v>18765535.324852653</v>
      </c>
      <c r="R6" s="4">
        <f>Depreciation!R8+Depreciation!R9</f>
        <v>20401915.478146952</v>
      </c>
      <c r="S6" s="4">
        <f>Depreciation!S8+Depreciation!S9</f>
        <v>22123808.053079434</v>
      </c>
      <c r="T6" s="4">
        <f>Depreciation!T8+Depreciation!T9</f>
        <v>23935010.19135797</v>
      </c>
      <c r="U6" s="4">
        <f>Depreciation!U8+Depreciation!U9</f>
        <v>25839474.487039976</v>
      </c>
      <c r="V6" s="4">
        <f>Depreciation!V8+Depreciation!V9</f>
        <v>27841315.047209691</v>
      </c>
      <c r="W6" s="4">
        <f>Depreciation!W8+Depreciation!W9</f>
        <v>29944813.781355537</v>
      </c>
      <c r="X6" s="4">
        <f>Depreciation!X8+Depreciation!X9</f>
        <v>32154426.927878365</v>
      </c>
      <c r="Y6" s="4">
        <f>Depreciation!Y8+Depreciation!Y9</f>
        <v>34474791.826466545</v>
      </c>
      <c r="Z6" s="4">
        <f>Depreciation!Z8+Depreciation!Z9</f>
        <v>36910733.945390232</v>
      </c>
      <c r="AA6" s="4">
        <f>Depreciation!AA8+Depreciation!AA9</f>
        <v>39467274.173094735</v>
      </c>
      <c r="AB6" s="4">
        <f>Depreciation!AB8+Depreciation!AB9</f>
        <v>42149636.383812234</v>
      </c>
      <c r="AC6" s="4">
        <f>Depreciation!AC8+Depreciation!AC9</f>
        <v>44963255.28726241</v>
      </c>
      <c r="AD6" s="4">
        <f>Depreciation!AD8+Depreciation!AD9</f>
        <v>47913784.572876379</v>
      </c>
      <c r="AE6" s="4">
        <f>Depreciation!AE8+Depreciation!AE9</f>
        <v>51007105.359355479</v>
      </c>
      <c r="AF6" s="4">
        <f>Depreciation!AF8+Depreciation!AF9</f>
        <v>54249334.960766606</v>
      </c>
      <c r="AG6" s="4"/>
      <c r="AH6" s="4"/>
      <c r="AI6" s="4"/>
      <c r="AJ6" s="4"/>
      <c r="AK6" s="4"/>
      <c r="AL6" s="4"/>
      <c r="AM6" s="4"/>
      <c r="AN6" s="4"/>
      <c r="AO6" s="4"/>
      <c r="AP6" s="4"/>
    </row>
    <row r="7" spans="1:42" x14ac:dyDescent="0.35">
      <c r="A7" t="s">
        <v>23</v>
      </c>
      <c r="C7" s="4">
        <f ca="1">C6+C5</f>
        <v>5293329.3010944435</v>
      </c>
      <c r="D7" s="4">
        <f ca="1">D6+D5</f>
        <v>12318495.533969242</v>
      </c>
      <c r="E7" s="4">
        <f t="shared" ref="E7:AF7" ca="1" si="1">E6+E5</f>
        <v>18935984.487497889</v>
      </c>
      <c r="F7" s="4">
        <f t="shared" ca="1" si="1"/>
        <v>23215626.410264466</v>
      </c>
      <c r="G7" s="4">
        <f ca="1">G6+G5</f>
        <v>26977787.018136382</v>
      </c>
      <c r="H7" s="4">
        <f t="shared" ca="1" si="1"/>
        <v>29550827.656190135</v>
      </c>
      <c r="I7" s="4">
        <f t="shared" ca="1" si="1"/>
        <v>31627628.90946804</v>
      </c>
      <c r="J7" s="4">
        <f t="shared" ca="1" si="1"/>
        <v>33473645.247203115</v>
      </c>
      <c r="K7" s="4">
        <f t="shared" ca="1" si="1"/>
        <v>35508507.924502991</v>
      </c>
      <c r="L7" s="4">
        <f t="shared" ca="1" si="1"/>
        <v>37752022.461055376</v>
      </c>
      <c r="M7" s="4">
        <f t="shared" ca="1" si="1"/>
        <v>40225822.530917123</v>
      </c>
      <c r="N7" s="4">
        <f t="shared" ca="1" si="1"/>
        <v>42953522.96032165</v>
      </c>
      <c r="O7" s="4">
        <f t="shared" ca="1" si="1"/>
        <v>45277461.753071867</v>
      </c>
      <c r="P7" s="4">
        <f t="shared" ca="1" si="1"/>
        <v>47792738.770189688</v>
      </c>
      <c r="Q7" s="4">
        <f t="shared" ca="1" si="1"/>
        <v>50516503.949898101</v>
      </c>
      <c r="R7" s="4">
        <f t="shared" ca="1" si="1"/>
        <v>53057997.790450737</v>
      </c>
      <c r="S7" s="4">
        <f t="shared" ca="1" si="1"/>
        <v>55350386.335020229</v>
      </c>
      <c r="T7" s="4">
        <f t="shared" ca="1" si="1"/>
        <v>57778502.713045418</v>
      </c>
      <c r="U7" s="4">
        <f t="shared" ca="1" si="1"/>
        <v>60352405.462805085</v>
      </c>
      <c r="V7" s="4">
        <f t="shared" ca="1" si="1"/>
        <v>63082891.335391074</v>
      </c>
      <c r="W7" s="4">
        <f t="shared" ca="1" si="1"/>
        <v>65981545.62204434</v>
      </c>
      <c r="X7" s="4">
        <f t="shared" ca="1" si="1"/>
        <v>69060795.684505701</v>
      </c>
      <c r="Y7" s="4">
        <f t="shared" ca="1" si="1"/>
        <v>72333967.881718487</v>
      </c>
      <c r="Z7" s="4">
        <f t="shared" ca="1" si="1"/>
        <v>75815348.097441018</v>
      </c>
      <c r="AA7" s="4">
        <f t="shared" ca="1" si="1"/>
        <v>79520246.085182875</v>
      </c>
      <c r="AB7" s="4">
        <f t="shared" ca="1" si="1"/>
        <v>83465063.859401539</v>
      </c>
      <c r="AC7" s="4">
        <f t="shared" ca="1" si="1"/>
        <v>87667368.375123709</v>
      </c>
      <c r="AD7" s="4">
        <f t="shared" ca="1" si="1"/>
        <v>92145968.752126738</v>
      </c>
      <c r="AE7" s="4">
        <f t="shared" ca="1" si="1"/>
        <v>96920998.314571857</v>
      </c>
      <c r="AF7" s="4">
        <f t="shared" ca="1" si="1"/>
        <v>100341423.20852423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29941675.472697131</v>
      </c>
      <c r="D10" s="9">
        <f>Investment!D25</f>
        <v>31566301.10702344</v>
      </c>
      <c r="E10" s="9">
        <f>Investment!E25</f>
        <v>33264242.506262582</v>
      </c>
      <c r="F10" s="9">
        <f>Investment!F25</f>
        <v>35038528.262719445</v>
      </c>
      <c r="G10" s="9">
        <f>Investment!G25</f>
        <v>36892305.723263137</v>
      </c>
      <c r="H10" s="9">
        <f>Investment!H25</f>
        <v>38828845.488340601</v>
      </c>
      <c r="I10" s="9">
        <f>Investment!I25</f>
        <v>40851546.077322386</v>
      </c>
      <c r="J10" s="9">
        <f>Investment!J25</f>
        <v>42963938.766218968</v>
      </c>
      <c r="K10" s="9">
        <f>Investment!K25</f>
        <v>45169692.604021743</v>
      </c>
      <c r="L10" s="9">
        <f>Investment!L25</f>
        <v>47472619.614147291</v>
      </c>
      <c r="M10" s="9">
        <f>Investment!M25</f>
        <v>49876680.187694341</v>
      </c>
      <c r="N10" s="9">
        <f>Investment!N25</f>
        <v>52385988.675463527</v>
      </c>
      <c r="O10" s="9">
        <f>Investment!O25</f>
        <v>55004819.185937747</v>
      </c>
      <c r="P10" s="9">
        <f>Investment!P25</f>
        <v>57737611.596678622</v>
      </c>
      <c r="Q10" s="9">
        <f>Investment!Q25</f>
        <v>60588977.786860518</v>
      </c>
      <c r="R10" s="9">
        <f>Investment!R25</f>
        <v>63563708.098939084</v>
      </c>
      <c r="S10" s="9">
        <f>Investment!S25</f>
        <v>66666778.037736915</v>
      </c>
      <c r="T10" s="9">
        <f>Investment!T25</f>
        <v>69903355.215524495</v>
      </c>
      <c r="U10" s="9">
        <f>Investment!U25</f>
        <v>73278806.55197981</v>
      </c>
      <c r="V10" s="9">
        <f>Investment!V25</f>
        <v>76798705.738227606</v>
      </c>
      <c r="W10" s="9">
        <f>Investment!W25</f>
        <v>80468840.974486038</v>
      </c>
      <c r="X10" s="9">
        <f>Investment!X25</f>
        <v>84295222.991189033</v>
      </c>
      <c r="Y10" s="9">
        <f>Investment!Y25</f>
        <v>88284093.363803148</v>
      </c>
      <c r="Z10" s="9">
        <f>Investment!Z25</f>
        <v>92441933.131921604</v>
      </c>
      <c r="AA10" s="9">
        <f>Investment!AA25</f>
        <v>96775471.733595133</v>
      </c>
      <c r="AB10" s="9">
        <f>Investment!AB25</f>
        <v>101291696.26624863</v>
      </c>
      <c r="AC10" s="9">
        <f>Investment!AC25</f>
        <v>105997861.08593675</v>
      </c>
      <c r="AD10" s="9">
        <f>Investment!AD25</f>
        <v>110901497.75710832</v>
      </c>
      <c r="AE10" s="9">
        <f>Investment!AE25</f>
        <v>116010425.36548284</v>
      </c>
      <c r="AF10" s="9">
        <f>Investment!AF25</f>
        <v>121332761.20709005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-24648346.171602689</v>
      </c>
      <c r="D12" s="1">
        <f t="shared" ref="D12:AF12" ca="1" si="2">D7-D9-D10</f>
        <v>-19247805.573054198</v>
      </c>
      <c r="E12" s="1">
        <f ca="1">E7-E9-E10</f>
        <v>-14328258.018764693</v>
      </c>
      <c r="F12" s="1">
        <f t="shared" ca="1" si="2"/>
        <v>-11822901.852454979</v>
      </c>
      <c r="G12" s="1">
        <f ca="1">G7-G9-G10</f>
        <v>-9914518.7051267549</v>
      </c>
      <c r="H12" s="1">
        <f t="shared" ca="1" si="2"/>
        <v>-9278017.8321504667</v>
      </c>
      <c r="I12" s="1">
        <f t="shared" ca="1" si="2"/>
        <v>-9223917.1678543463</v>
      </c>
      <c r="J12" s="1">
        <f t="shared" ca="1" si="2"/>
        <v>-9490293.5190158524</v>
      </c>
      <c r="K12" s="1">
        <f t="shared" ca="1" si="2"/>
        <v>-9661184.6795187518</v>
      </c>
      <c r="L12" s="1">
        <f t="shared" ca="1" si="2"/>
        <v>-9720597.153091915</v>
      </c>
      <c r="M12" s="1">
        <f t="shared" ca="1" si="2"/>
        <v>-9650857.656777218</v>
      </c>
      <c r="N12" s="1">
        <f t="shared" ca="1" si="2"/>
        <v>-9432465.7151418775</v>
      </c>
      <c r="O12" s="1">
        <f t="shared" ca="1" si="2"/>
        <v>-9727357.4328658804</v>
      </c>
      <c r="P12" s="1">
        <f t="shared" ca="1" si="2"/>
        <v>-9944872.8264889345</v>
      </c>
      <c r="Q12" s="1">
        <f t="shared" ca="1" si="2"/>
        <v>-10072473.836962417</v>
      </c>
      <c r="R12" s="1">
        <f t="shared" ca="1" si="2"/>
        <v>-10505710.308488347</v>
      </c>
      <c r="S12" s="1">
        <f t="shared" ca="1" si="2"/>
        <v>-11316391.702716686</v>
      </c>
      <c r="T12" s="1">
        <f t="shared" ca="1" si="2"/>
        <v>-12124852.502479076</v>
      </c>
      <c r="U12" s="1">
        <f t="shared" ca="1" si="2"/>
        <v>-12926401.089174725</v>
      </c>
      <c r="V12" s="1">
        <f t="shared" ca="1" si="2"/>
        <v>-13715814.402836531</v>
      </c>
      <c r="W12" s="1">
        <f t="shared" ca="1" si="2"/>
        <v>-14487295.352441698</v>
      </c>
      <c r="X12" s="1">
        <f t="shared" ca="1" si="2"/>
        <v>-15234427.306683332</v>
      </c>
      <c r="Y12" s="1">
        <f t="shared" ca="1" si="2"/>
        <v>-15950125.482084662</v>
      </c>
      <c r="Z12" s="1">
        <f t="shared" ca="1" si="2"/>
        <v>-16626585.034480587</v>
      </c>
      <c r="AA12" s="1">
        <f t="shared" ca="1" si="2"/>
        <v>-17255225.648412257</v>
      </c>
      <c r="AB12" s="1">
        <f t="shared" ca="1" si="2"/>
        <v>-17826632.40684709</v>
      </c>
      <c r="AC12" s="1">
        <f t="shared" ca="1" si="2"/>
        <v>-18330492.710813046</v>
      </c>
      <c r="AD12" s="1">
        <f t="shared" ca="1" si="2"/>
        <v>-18755529.004981577</v>
      </c>
      <c r="AE12" s="1">
        <f t="shared" ca="1" si="2"/>
        <v>-19089427.05091098</v>
      </c>
      <c r="AF12" s="1">
        <f t="shared" ca="1" si="2"/>
        <v>-20991337.998565823</v>
      </c>
      <c r="AG12" s="1"/>
      <c r="AH12" s="1"/>
      <c r="AI12" s="1"/>
      <c r="AJ12" s="1"/>
      <c r="AK12" s="1"/>
      <c r="AL12" s="1"/>
      <c r="AM12" s="1"/>
      <c r="AN12" s="1"/>
      <c r="AO12" s="1"/>
      <c r="AP12" s="1"/>
    </row>
    <row r="13" spans="1:42" x14ac:dyDescent="0.35">
      <c r="A13" t="s">
        <v>19</v>
      </c>
      <c r="C13" s="1">
        <f ca="1">C12</f>
        <v>-24648346.171602689</v>
      </c>
      <c r="D13" s="1">
        <f ca="1">D12</f>
        <v>-19247805.573054198</v>
      </c>
      <c r="E13" s="1">
        <f ca="1">E12</f>
        <v>-14328258.018764693</v>
      </c>
      <c r="F13" s="1">
        <f t="shared" ref="F13:AF13" ca="1" si="3">F12</f>
        <v>-11822901.852454979</v>
      </c>
      <c r="G13" s="1">
        <f ca="1">G12</f>
        <v>-9914518.7051267549</v>
      </c>
      <c r="H13" s="1">
        <f t="shared" ca="1" si="3"/>
        <v>-9278017.8321504667</v>
      </c>
      <c r="I13" s="1">
        <f t="shared" ca="1" si="3"/>
        <v>-9223917.1678543463</v>
      </c>
      <c r="J13" s="1">
        <f t="shared" ca="1" si="3"/>
        <v>-9490293.5190158524</v>
      </c>
      <c r="K13" s="1">
        <f t="shared" ca="1" si="3"/>
        <v>-9661184.6795187518</v>
      </c>
      <c r="L13" s="1">
        <f t="shared" ca="1" si="3"/>
        <v>-9720597.153091915</v>
      </c>
      <c r="M13" s="1">
        <f t="shared" ca="1" si="3"/>
        <v>-9650857.656777218</v>
      </c>
      <c r="N13" s="1">
        <f t="shared" ca="1" si="3"/>
        <v>-9432465.7151418775</v>
      </c>
      <c r="O13" s="1">
        <f t="shared" ca="1" si="3"/>
        <v>-9727357.4328658804</v>
      </c>
      <c r="P13" s="1">
        <f t="shared" ca="1" si="3"/>
        <v>-9944872.8264889345</v>
      </c>
      <c r="Q13" s="1">
        <f t="shared" ca="1" si="3"/>
        <v>-10072473.836962417</v>
      </c>
      <c r="R13" s="1">
        <f t="shared" ca="1" si="3"/>
        <v>-10505710.308488347</v>
      </c>
      <c r="S13" s="1">
        <f t="shared" ca="1" si="3"/>
        <v>-11316391.702716686</v>
      </c>
      <c r="T13" s="1">
        <f t="shared" ca="1" si="3"/>
        <v>-12124852.502479076</v>
      </c>
      <c r="U13" s="1">
        <f t="shared" ca="1" si="3"/>
        <v>-12926401.089174725</v>
      </c>
      <c r="V13" s="1">
        <f t="shared" ca="1" si="3"/>
        <v>-13715814.402836531</v>
      </c>
      <c r="W13" s="1">
        <f t="shared" ca="1" si="3"/>
        <v>-14487295.352441698</v>
      </c>
      <c r="X13" s="1">
        <f t="shared" ca="1" si="3"/>
        <v>-15234427.306683332</v>
      </c>
      <c r="Y13" s="1">
        <f t="shared" ca="1" si="3"/>
        <v>-15950125.482084662</v>
      </c>
      <c r="Z13" s="1">
        <f t="shared" ca="1" si="3"/>
        <v>-16626585.034480587</v>
      </c>
      <c r="AA13" s="1">
        <f t="shared" ca="1" si="3"/>
        <v>-17255225.648412257</v>
      </c>
      <c r="AB13" s="1">
        <f t="shared" ca="1" si="3"/>
        <v>-17826632.40684709</v>
      </c>
      <c r="AC13" s="1">
        <f t="shared" ca="1" si="3"/>
        <v>-18330492.710813046</v>
      </c>
      <c r="AD13" s="1">
        <f t="shared" ca="1" si="3"/>
        <v>-18755529.004981577</v>
      </c>
      <c r="AE13" s="1">
        <f t="shared" ca="1" si="3"/>
        <v>-19089427.05091098</v>
      </c>
      <c r="AF13" s="1">
        <f t="shared" ca="1" si="3"/>
        <v>-20991337.998565823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163937069.58374304</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81968534.791871518</v>
      </c>
      <c r="D7" s="9">
        <f>C12</f>
        <v>85000810.264568642</v>
      </c>
      <c r="E7" s="9">
        <f>D12</f>
        <v>88796610.571592078</v>
      </c>
      <c r="F7" s="9">
        <f t="shared" ref="F7:H7" si="1">E12</f>
        <v>93401696.252254665</v>
      </c>
      <c r="G7" s="9">
        <f t="shared" si="1"/>
        <v>98863974.670954913</v>
      </c>
      <c r="H7" s="9">
        <f t="shared" si="1"/>
        <v>105233590.55519024</v>
      </c>
      <c r="I7" s="9">
        <f t="shared" ref="I7" si="2">H12</f>
        <v>112563020.12965412</v>
      </c>
      <c r="J7" s="9">
        <f t="shared" ref="J7" si="3">I12</f>
        <v>120907168.98385575</v>
      </c>
      <c r="K7" s="9">
        <f t="shared" ref="K7" si="4">J12</f>
        <v>130323473.81581411</v>
      </c>
      <c r="L7" s="9">
        <f t="shared" ref="L7" si="5">K12</f>
        <v>140872008.1996789</v>
      </c>
      <c r="M7" s="9">
        <f t="shared" ref="M7" si="6">L12</f>
        <v>152615592.53062418</v>
      </c>
      <c r="N7" s="9">
        <f t="shared" ref="N7" si="7">M12</f>
        <v>165619908.30605406</v>
      </c>
      <c r="O7" s="9">
        <f t="shared" ref="O7" si="8">N12</f>
        <v>179953616.90806067</v>
      </c>
      <c r="P7" s="9">
        <f t="shared" ref="P7" si="9">O12</f>
        <v>195688483.05819088</v>
      </c>
      <c r="Q7" s="9">
        <f t="shared" ref="Q7" si="10">P12</f>
        <v>212899503.12191615</v>
      </c>
      <c r="R7" s="9">
        <f t="shared" ref="R7" si="11">Q12</f>
        <v>231665038.44676879</v>
      </c>
      <c r="S7" s="9">
        <f t="shared" ref="S7" si="12">R12</f>
        <v>252066953.92491573</v>
      </c>
      <c r="T7" s="9">
        <f t="shared" ref="T7" si="13">S12</f>
        <v>274190761.97799516</v>
      </c>
      <c r="U7" s="9">
        <f t="shared" ref="U7" si="14">T12</f>
        <v>298125772.16935313</v>
      </c>
      <c r="V7" s="9">
        <f t="shared" ref="V7" si="15">U12</f>
        <v>323965246.65639311</v>
      </c>
      <c r="W7" s="9">
        <f t="shared" ref="W7" si="16">V12</f>
        <v>351806561.70360279</v>
      </c>
      <c r="X7" s="9">
        <f t="shared" ref="X7" si="17">W12</f>
        <v>381751375.48495829</v>
      </c>
      <c r="Y7" s="9">
        <f t="shared" ref="Y7" si="18">X12</f>
        <v>413905802.41283667</v>
      </c>
      <c r="Z7" s="9">
        <f t="shared" ref="Z7" si="19">Y12</f>
        <v>448380594.23930323</v>
      </c>
      <c r="AA7" s="9">
        <f t="shared" ref="AA7" si="20">Z12</f>
        <v>485291328.18469346</v>
      </c>
      <c r="AB7" s="9">
        <f t="shared" ref="AB7" si="21">AA12</f>
        <v>524758602.35778821</v>
      </c>
      <c r="AC7" s="9">
        <f t="shared" ref="AC7" si="22">AB12</f>
        <v>566908238.74160039</v>
      </c>
      <c r="AD7" s="9">
        <f t="shared" ref="AD7" si="23">AC12</f>
        <v>611871494.02886283</v>
      </c>
      <c r="AE7" s="9">
        <f t="shared" ref="AE7" si="24">AD12</f>
        <v>659785278.60173929</v>
      </c>
      <c r="AF7" s="9">
        <f t="shared" ref="AF7" si="25">AE12</f>
        <v>710792383.96109474</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2386449.872697128</v>
      </c>
      <c r="D8" s="9">
        <f>Assumptions!E111*Assumptions!E11</f>
        <v>2462816.2686234359</v>
      </c>
      <c r="E8" s="9">
        <f>Assumptions!F111*Assumptions!F11</f>
        <v>2541626.3892193856</v>
      </c>
      <c r="F8" s="9">
        <f>Assumptions!G111*Assumptions!G11</f>
        <v>2622958.4336744058</v>
      </c>
      <c r="G8" s="9">
        <f>Assumptions!H111*Assumptions!H11</f>
        <v>2706893.1035519871</v>
      </c>
      <c r="H8" s="9">
        <f>Assumptions!I111*Assumptions!I11</f>
        <v>2793513.6828656504</v>
      </c>
      <c r="I8" s="9">
        <f>Assumptions!J111*Assumptions!J11</f>
        <v>2882906.1207173509</v>
      </c>
      <c r="J8" s="9">
        <f>Assumptions!K111*Assumptions!K11</f>
        <v>2975159.1165803066</v>
      </c>
      <c r="K8" s="9">
        <f>Assumptions!L111*Assumptions!L11</f>
        <v>3070364.2083108765</v>
      </c>
      <c r="L8" s="9">
        <f>Assumptions!M111*Assumptions!M11</f>
        <v>3168615.8629768244</v>
      </c>
      <c r="M8" s="9">
        <f>Assumptions!N111*Assumptions!N11</f>
        <v>3270011.5705920826</v>
      </c>
      <c r="N8" s="9">
        <f>Assumptions!O111*Assumptions!O11</f>
        <v>3374651.9408510295</v>
      </c>
      <c r="O8" s="9">
        <f>Assumptions!P111*Assumptions!P11</f>
        <v>3482640.8029582626</v>
      </c>
      <c r="P8" s="9">
        <f>Assumptions!Q111*Assumptions!Q11</f>
        <v>3594085.3086529262</v>
      </c>
      <c r="Q8" s="9">
        <f>Assumptions!R111*Assumptions!R11</f>
        <v>3709096.0385298193</v>
      </c>
      <c r="R8" s="9">
        <f>Assumptions!S111*Assumptions!S11</f>
        <v>3827787.1117627746</v>
      </c>
      <c r="S8" s="9">
        <f>Assumptions!T111*Assumptions!T11</f>
        <v>3950276.2993391836</v>
      </c>
      <c r="T8" s="9">
        <f>Assumptions!U111*Assumptions!U11</f>
        <v>4076685.1409180369</v>
      </c>
      <c r="U8" s="9">
        <f>Assumptions!V111*Assumptions!V11</f>
        <v>4207139.0654274132</v>
      </c>
      <c r="V8" s="9">
        <f>Assumptions!W111*Assumptions!W11</f>
        <v>4341767.5155210914</v>
      </c>
      <c r="W8" s="9">
        <f>Assumptions!X111*Assumptions!X11</f>
        <v>4480704.0760177672</v>
      </c>
      <c r="X8" s="9">
        <f>Assumptions!Y111*Assumptions!Y11</f>
        <v>4624086.6064503351</v>
      </c>
      <c r="Y8" s="9">
        <f>Assumptions!Z111*Assumptions!Z11</f>
        <v>4772057.3778567445</v>
      </c>
      <c r="Z8" s="9">
        <f>Assumptions!AA111*Assumptions!AA11</f>
        <v>4924763.2139481604</v>
      </c>
      <c r="AA8" s="9">
        <f>Assumptions!AB111*Assumptions!AB11</f>
        <v>5082355.6367945028</v>
      </c>
      <c r="AB8" s="9">
        <f>Assumptions!AC111*Assumptions!AC11</f>
        <v>5244991.0171719259</v>
      </c>
      <c r="AC8" s="9">
        <f>Assumptions!AD111*Assumptions!AD11</f>
        <v>5412830.7297214279</v>
      </c>
      <c r="AD8" s="9">
        <f>Assumptions!AE111*Assumptions!AE11</f>
        <v>5586041.3130725138</v>
      </c>
      <c r="AE8" s="9">
        <f>Assumptions!AF111*Assumptions!AF11</f>
        <v>5764794.6350908345</v>
      </c>
      <c r="AF8" s="9">
        <f>Assumptions!AG111*Assumptions!AG11</f>
        <v>5949268.0634137401</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645825.6</v>
      </c>
      <c r="D9" s="9">
        <f>Assumptions!E120*Assumptions!E11</f>
        <v>1332984.0384</v>
      </c>
      <c r="E9" s="9">
        <f>Assumptions!F120*Assumptions!F11</f>
        <v>2063459.2914431999</v>
      </c>
      <c r="F9" s="9">
        <f>Assumptions!G120*Assumptions!G11</f>
        <v>2839319.9850258431</v>
      </c>
      <c r="G9" s="9">
        <f>Assumptions!H120*Assumptions!H11</f>
        <v>3662722.7806833377</v>
      </c>
      <c r="H9" s="9">
        <f>Assumptions!I120*Assumptions!I11</f>
        <v>4535915.8915982451</v>
      </c>
      <c r="I9" s="9">
        <f>Assumptions!J120*Assumptions!J11</f>
        <v>5461242.7334842859</v>
      </c>
      <c r="J9" s="9">
        <f>Assumptions!K120*Assumptions!K11</f>
        <v>6441145.7153780395</v>
      </c>
      <c r="K9" s="9">
        <f>Assumptions!L120*Assumptions!L11</f>
        <v>7478170.1755539039</v>
      </c>
      <c r="L9" s="9">
        <f>Assumptions!M120*Assumptions!M11</f>
        <v>8574968.4679684751</v>
      </c>
      <c r="M9" s="9">
        <f>Assumptions!N120*Assumptions!N11</f>
        <v>9734304.204837814</v>
      </c>
      <c r="N9" s="9">
        <f>Assumptions!O120*Assumptions!O11</f>
        <v>10959056.661155589</v>
      </c>
      <c r="O9" s="9">
        <f>Assumptions!P120*Assumptions!P11</f>
        <v>12252225.347171949</v>
      </c>
      <c r="P9" s="9">
        <f>Assumptions!Q120*Assumptions!Q11</f>
        <v>13616934.755072331</v>
      </c>
      <c r="Q9" s="9">
        <f>Assumptions!R120*Assumptions!R11</f>
        <v>15056439.286322832</v>
      </c>
      <c r="R9" s="9">
        <f>Assumptions!S120*Assumptions!S11</f>
        <v>16574128.366384178</v>
      </c>
      <c r="S9" s="9">
        <f>Assumptions!T120*Assumptions!T11</f>
        <v>18173531.753740251</v>
      </c>
      <c r="T9" s="9">
        <f>Assumptions!U120*Assumptions!U11</f>
        <v>19858325.050439935</v>
      </c>
      <c r="U9" s="9">
        <f>Assumptions!V120*Assumptions!V11</f>
        <v>21632335.421612564</v>
      </c>
      <c r="V9" s="9">
        <f>Assumptions!W120*Assumptions!W11</f>
        <v>23499547.531688601</v>
      </c>
      <c r="W9" s="9">
        <f>Assumptions!X120*Assumptions!X11</f>
        <v>25464109.70533777</v>
      </c>
      <c r="X9" s="9">
        <f>Assumptions!Y120*Assumptions!Y11</f>
        <v>27530340.321428031</v>
      </c>
      <c r="Y9" s="9">
        <f>Assumptions!Z120*Assumptions!Z11</f>
        <v>29702734.448609803</v>
      </c>
      <c r="Z9" s="9">
        <f>Assumptions!AA120*Assumptions!AA11</f>
        <v>31985970.731442071</v>
      </c>
      <c r="AA9" s="9">
        <f>Assumptions!AB120*Assumptions!AB11</f>
        <v>34384918.536300234</v>
      </c>
      <c r="AB9" s="9">
        <f>Assumptions!AC120*Assumptions!AC11</f>
        <v>36904645.366640307</v>
      </c>
      <c r="AC9" s="9">
        <f>Assumptions!AD120*Assumptions!AD11</f>
        <v>39550424.557540983</v>
      </c>
      <c r="AD9" s="9">
        <f>Assumptions!AE120*Assumptions!AE11</f>
        <v>42327743.259803861</v>
      </c>
      <c r="AE9" s="9">
        <f>Assumptions!AF120*Assumptions!AF11</f>
        <v>45242310.724264644</v>
      </c>
      <c r="AF9" s="9">
        <f>Assumptions!AG120*Assumptions!AG11</f>
        <v>48300066.897352867</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3032275.4726971281</v>
      </c>
      <c r="D10" s="9">
        <f>SUM($C$8:D9)</f>
        <v>6828075.7797205634</v>
      </c>
      <c r="E10" s="9">
        <f>SUM($C$8:E9)</f>
        <v>11433161.460383147</v>
      </c>
      <c r="F10" s="9">
        <f>SUM($C$8:F9)</f>
        <v>16895439.879083395</v>
      </c>
      <c r="G10" s="9">
        <f>SUM($C$8:G9)</f>
        <v>23265055.763318721</v>
      </c>
      <c r="H10" s="9">
        <f>SUM($C$8:H9)</f>
        <v>30594485.337782614</v>
      </c>
      <c r="I10" s="9">
        <f>SUM($C$8:I9)</f>
        <v>38938634.191984251</v>
      </c>
      <c r="J10" s="9">
        <f>SUM($C$8:J9)</f>
        <v>48354939.023942597</v>
      </c>
      <c r="K10" s="9">
        <f>SUM($C$8:K9)</f>
        <v>58903473.407807373</v>
      </c>
      <c r="L10" s="9">
        <f>SUM($C$8:L9)</f>
        <v>70647057.738752678</v>
      </c>
      <c r="M10" s="9">
        <f>SUM($C$8:M9)</f>
        <v>83651373.514182582</v>
      </c>
      <c r="N10" s="9">
        <f>SUM($C$8:N9)</f>
        <v>97985082.116189212</v>
      </c>
      <c r="O10" s="9">
        <f>SUM($C$8:O9)</f>
        <v>113719948.26631941</v>
      </c>
      <c r="P10" s="9">
        <f>SUM($C$8:P9)</f>
        <v>130930968.33004467</v>
      </c>
      <c r="Q10" s="9">
        <f>SUM($C$8:Q9)</f>
        <v>149696503.65489733</v>
      </c>
      <c r="R10" s="9">
        <f>SUM($C$8:R9)</f>
        <v>170098419.1330443</v>
      </c>
      <c r="S10" s="9">
        <f>SUM($C$8:S9)</f>
        <v>192222227.18612373</v>
      </c>
      <c r="T10" s="9">
        <f>SUM($C$8:T9)</f>
        <v>216157237.3774817</v>
      </c>
      <c r="U10" s="9">
        <f>SUM($C$8:U9)</f>
        <v>241996711.86452165</v>
      </c>
      <c r="V10" s="9">
        <f>SUM($C$8:V9)</f>
        <v>269838026.91173136</v>
      </c>
      <c r="W10" s="9">
        <f>SUM($C$8:W9)</f>
        <v>299782840.69308686</v>
      </c>
      <c r="X10" s="9">
        <f>SUM($C$8:X9)</f>
        <v>331937267.62096524</v>
      </c>
      <c r="Y10" s="9">
        <f>SUM($C$8:Y9)</f>
        <v>366412059.4474318</v>
      </c>
      <c r="Z10" s="9">
        <f>SUM($C$8:Z9)</f>
        <v>403322793.39282203</v>
      </c>
      <c r="AA10" s="9">
        <f>SUM($C$8:AA9)</f>
        <v>442790067.56591684</v>
      </c>
      <c r="AB10" s="9">
        <f>SUM($C$8:AB9)</f>
        <v>484939703.94972914</v>
      </c>
      <c r="AC10" s="9">
        <f>SUM($C$8:AC9)</f>
        <v>529902959.23699152</v>
      </c>
      <c r="AD10" s="9">
        <f>SUM($C$8:AD9)</f>
        <v>577816743.80986786</v>
      </c>
      <c r="AE10" s="9">
        <f>SUM($C$8:AE9)</f>
        <v>628823849.16922331</v>
      </c>
      <c r="AF10" s="9">
        <f>SUM($C$8:AF9)</f>
        <v>683073184.12998986</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85000810.264568642</v>
      </c>
      <c r="D12" s="9">
        <f>D7+D8+D9</f>
        <v>88796610.571592078</v>
      </c>
      <c r="E12" s="9">
        <f>E7+E8+E9</f>
        <v>93401696.252254665</v>
      </c>
      <c r="F12" s="9">
        <f t="shared" ref="F12:H12" si="26">F7+F8+F9</f>
        <v>98863974.670954913</v>
      </c>
      <c r="G12" s="9">
        <f t="shared" si="26"/>
        <v>105233590.55519024</v>
      </c>
      <c r="H12" s="9">
        <f t="shared" si="26"/>
        <v>112563020.12965412</v>
      </c>
      <c r="I12" s="9">
        <f t="shared" ref="I12:AF12" si="27">I7+I8+I9</f>
        <v>120907168.98385575</v>
      </c>
      <c r="J12" s="9">
        <f t="shared" si="27"/>
        <v>130323473.81581411</v>
      </c>
      <c r="K12" s="9">
        <f t="shared" si="27"/>
        <v>140872008.1996789</v>
      </c>
      <c r="L12" s="9">
        <f t="shared" si="27"/>
        <v>152615592.53062418</v>
      </c>
      <c r="M12" s="9">
        <f t="shared" si="27"/>
        <v>165619908.30605406</v>
      </c>
      <c r="N12" s="9">
        <f t="shared" si="27"/>
        <v>179953616.90806067</v>
      </c>
      <c r="O12" s="9">
        <f t="shared" si="27"/>
        <v>195688483.05819088</v>
      </c>
      <c r="P12" s="9">
        <f t="shared" si="27"/>
        <v>212899503.12191615</v>
      </c>
      <c r="Q12" s="9">
        <f t="shared" si="27"/>
        <v>231665038.44676879</v>
      </c>
      <c r="R12" s="9">
        <f t="shared" si="27"/>
        <v>252066953.92491573</v>
      </c>
      <c r="S12" s="9">
        <f t="shared" si="27"/>
        <v>274190761.97799516</v>
      </c>
      <c r="T12" s="9">
        <f t="shared" si="27"/>
        <v>298125772.16935313</v>
      </c>
      <c r="U12" s="9">
        <f t="shared" si="27"/>
        <v>323965246.65639311</v>
      </c>
      <c r="V12" s="9">
        <f t="shared" si="27"/>
        <v>351806561.70360279</v>
      </c>
      <c r="W12" s="9">
        <f t="shared" si="27"/>
        <v>381751375.48495829</v>
      </c>
      <c r="X12" s="9">
        <f t="shared" si="27"/>
        <v>413905802.41283667</v>
      </c>
      <c r="Y12" s="9">
        <f t="shared" si="27"/>
        <v>448380594.23930323</v>
      </c>
      <c r="Z12" s="9">
        <f t="shared" si="27"/>
        <v>485291328.18469346</v>
      </c>
      <c r="AA12" s="9">
        <f t="shared" si="27"/>
        <v>524758602.35778821</v>
      </c>
      <c r="AB12" s="9">
        <f t="shared" si="27"/>
        <v>566908238.74160039</v>
      </c>
      <c r="AC12" s="9">
        <f t="shared" si="27"/>
        <v>611871494.02886283</v>
      </c>
      <c r="AD12" s="9">
        <f t="shared" si="27"/>
        <v>659785278.60173929</v>
      </c>
      <c r="AE12" s="9">
        <f t="shared" si="27"/>
        <v>710792383.96109474</v>
      </c>
      <c r="AF12" s="9">
        <f t="shared" si="27"/>
        <v>765041718.92186129</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29941675.472697131</v>
      </c>
      <c r="D18" s="9">
        <f>Investment!D25</f>
        <v>31566301.10702344</v>
      </c>
      <c r="E18" s="9">
        <f>Investment!E25</f>
        <v>33264242.506262582</v>
      </c>
      <c r="F18" s="9">
        <f>Investment!F25</f>
        <v>35038528.262719445</v>
      </c>
      <c r="G18" s="9">
        <f>Investment!G25</f>
        <v>36892305.723263137</v>
      </c>
      <c r="H18" s="9">
        <f>Investment!H25</f>
        <v>38828845.488340601</v>
      </c>
      <c r="I18" s="9">
        <f>Investment!I25</f>
        <v>40851546.077322386</v>
      </c>
      <c r="J18" s="9">
        <f>Investment!J25</f>
        <v>42963938.766218968</v>
      </c>
      <c r="K18" s="9">
        <f>Investment!K25</f>
        <v>45169692.604021743</v>
      </c>
      <c r="L18" s="9">
        <f>Investment!L25</f>
        <v>47472619.614147291</v>
      </c>
      <c r="M18" s="9">
        <f>Investment!M25</f>
        <v>49876680.187694341</v>
      </c>
      <c r="N18" s="9">
        <f>Investment!N25</f>
        <v>52385988.675463527</v>
      </c>
      <c r="O18" s="9">
        <f>Investment!O25</f>
        <v>55004819.185937747</v>
      </c>
      <c r="P18" s="9">
        <f>Investment!P25</f>
        <v>57737611.596678622</v>
      </c>
      <c r="Q18" s="9">
        <f>Investment!Q25</f>
        <v>60588977.786860518</v>
      </c>
      <c r="R18" s="9">
        <f>Investment!R25</f>
        <v>63563708.098939084</v>
      </c>
      <c r="S18" s="9">
        <f>Investment!S25</f>
        <v>66666778.037736915</v>
      </c>
      <c r="T18" s="9">
        <f>Investment!T25</f>
        <v>69903355.215524495</v>
      </c>
      <c r="U18" s="9">
        <f>Investment!U25</f>
        <v>73278806.55197981</v>
      </c>
      <c r="V18" s="9">
        <f>Investment!V25</f>
        <v>76798705.738227606</v>
      </c>
      <c r="W18" s="9">
        <f>Investment!W25</f>
        <v>80468840.974486038</v>
      </c>
      <c r="X18" s="9">
        <f>Investment!X25</f>
        <v>84295222.991189033</v>
      </c>
      <c r="Y18" s="9">
        <f>Investment!Y25</f>
        <v>88284093.363803148</v>
      </c>
      <c r="Z18" s="9">
        <f>Investment!Z25</f>
        <v>92441933.131921604</v>
      </c>
      <c r="AA18" s="9">
        <f>Investment!AA25</f>
        <v>96775471.733595133</v>
      </c>
      <c r="AB18" s="9">
        <f>Investment!AB25</f>
        <v>101291696.26624863</v>
      </c>
      <c r="AC18" s="9">
        <f>Investment!AC25</f>
        <v>105997861.08593675</v>
      </c>
      <c r="AD18" s="9">
        <f>Investment!AD25</f>
        <v>110901497.75710832</v>
      </c>
      <c r="AE18" s="9">
        <f>Investment!AE25</f>
        <v>116010425.36548284</v>
      </c>
      <c r="AF18" s="9">
        <f>Investment!AF25</f>
        <v>121332761.20709005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111910210.26456866</v>
      </c>
      <c r="D19" s="9">
        <f>D18+C20</f>
        <v>140444235.89889497</v>
      </c>
      <c r="E19" s="9">
        <f>E18+D20</f>
        <v>169912678.0981341</v>
      </c>
      <c r="F19" s="9">
        <f t="shared" ref="F19:AF19" si="28">F18+E20</f>
        <v>200346120.68019098</v>
      </c>
      <c r="G19" s="9">
        <f t="shared" si="28"/>
        <v>231776147.98475388</v>
      </c>
      <c r="H19" s="9">
        <f t="shared" si="28"/>
        <v>264235377.58885914</v>
      </c>
      <c r="I19" s="9">
        <f t="shared" si="28"/>
        <v>297757494.0917176</v>
      </c>
      <c r="J19" s="9">
        <f t="shared" si="28"/>
        <v>332377284.00373495</v>
      </c>
      <c r="K19" s="9">
        <f t="shared" si="28"/>
        <v>368130671.77579832</v>
      </c>
      <c r="L19" s="9">
        <f t="shared" si="28"/>
        <v>405054757.00608081</v>
      </c>
      <c r="M19" s="9">
        <f t="shared" si="28"/>
        <v>443187852.8628298</v>
      </c>
      <c r="N19" s="9">
        <f t="shared" si="28"/>
        <v>482569525.7628634</v>
      </c>
      <c r="O19" s="9">
        <f t="shared" si="28"/>
        <v>523240636.34679455</v>
      </c>
      <c r="P19" s="9">
        <f t="shared" si="28"/>
        <v>565243381.79334295</v>
      </c>
      <c r="Q19" s="9">
        <f t="shared" si="28"/>
        <v>608621339.51647818</v>
      </c>
      <c r="R19" s="9">
        <f t="shared" si="28"/>
        <v>653419512.29056454</v>
      </c>
      <c r="S19" s="9">
        <f t="shared" si="28"/>
        <v>699684374.85015452</v>
      </c>
      <c r="T19" s="9">
        <f t="shared" si="28"/>
        <v>747463922.01259947</v>
      </c>
      <c r="U19" s="9">
        <f t="shared" si="28"/>
        <v>796807718.37322128</v>
      </c>
      <c r="V19" s="9">
        <f t="shared" si="28"/>
        <v>847766949.62440884</v>
      </c>
      <c r="W19" s="9">
        <f t="shared" si="28"/>
        <v>900394475.55168521</v>
      </c>
      <c r="X19" s="9">
        <f t="shared" si="28"/>
        <v>954744884.76151872</v>
      </c>
      <c r="Y19" s="9">
        <f t="shared" si="28"/>
        <v>1010874551.1974435</v>
      </c>
      <c r="Z19" s="9">
        <f t="shared" si="28"/>
        <v>1068841692.5028986</v>
      </c>
      <c r="AA19" s="9">
        <f t="shared" si="28"/>
        <v>1128706430.2911034</v>
      </c>
      <c r="AB19" s="9">
        <f t="shared" si="28"/>
        <v>1190530852.3842573</v>
      </c>
      <c r="AC19" s="9">
        <f t="shared" si="28"/>
        <v>1254379077.0863819</v>
      </c>
      <c r="AD19" s="9">
        <f t="shared" si="28"/>
        <v>1320317319.5562277</v>
      </c>
      <c r="AE19" s="9">
        <f t="shared" si="28"/>
        <v>1388413960.3488343</v>
      </c>
      <c r="AF19" s="9">
        <f t="shared" si="28"/>
        <v>1458739616.196569</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108877934.79187153</v>
      </c>
      <c r="D20" s="9">
        <f>D19-D8-D9</f>
        <v>136648435.59187153</v>
      </c>
      <c r="E20" s="9">
        <f t="shared" ref="E20:AF20" si="29">E19-E8-E9</f>
        <v>165307592.41747153</v>
      </c>
      <c r="F20" s="9">
        <f t="shared" si="29"/>
        <v>194883842.26149073</v>
      </c>
      <c r="G20" s="9">
        <f t="shared" si="29"/>
        <v>225406532.10051855</v>
      </c>
      <c r="H20" s="9">
        <f t="shared" si="29"/>
        <v>256905948.01439524</v>
      </c>
      <c r="I20" s="9">
        <f t="shared" si="29"/>
        <v>289413345.23751599</v>
      </c>
      <c r="J20" s="9">
        <f t="shared" si="29"/>
        <v>322960979.17177659</v>
      </c>
      <c r="K20" s="9">
        <f t="shared" si="29"/>
        <v>357582137.3919335</v>
      </c>
      <c r="L20" s="9">
        <f t="shared" si="29"/>
        <v>393311172.67513549</v>
      </c>
      <c r="M20" s="9">
        <f t="shared" si="29"/>
        <v>430183537.0873999</v>
      </c>
      <c r="N20" s="9">
        <f t="shared" si="29"/>
        <v>468235817.16085678</v>
      </c>
      <c r="O20" s="9">
        <f t="shared" si="29"/>
        <v>507505770.19666433</v>
      </c>
      <c r="P20" s="9">
        <f t="shared" si="29"/>
        <v>548032361.72961771</v>
      </c>
      <c r="Q20" s="9">
        <f t="shared" si="29"/>
        <v>589855804.19162548</v>
      </c>
      <c r="R20" s="9">
        <f t="shared" si="29"/>
        <v>633017596.81241763</v>
      </c>
      <c r="S20" s="9">
        <f t="shared" si="29"/>
        <v>677560566.79707503</v>
      </c>
      <c r="T20" s="9">
        <f t="shared" si="29"/>
        <v>723528911.8212415</v>
      </c>
      <c r="U20" s="9">
        <f t="shared" si="29"/>
        <v>770968243.88618124</v>
      </c>
      <c r="V20" s="9">
        <f t="shared" si="29"/>
        <v>819925634.57719922</v>
      </c>
      <c r="W20" s="9">
        <f t="shared" si="29"/>
        <v>870449661.77032971</v>
      </c>
      <c r="X20" s="9">
        <f t="shared" si="29"/>
        <v>922590457.83364034</v>
      </c>
      <c r="Y20" s="9">
        <f t="shared" si="29"/>
        <v>976399759.37097692</v>
      </c>
      <c r="Z20" s="9">
        <f t="shared" si="29"/>
        <v>1031930958.5575083</v>
      </c>
      <c r="AA20" s="9">
        <f t="shared" si="29"/>
        <v>1089239156.1180086</v>
      </c>
      <c r="AB20" s="9">
        <f t="shared" si="29"/>
        <v>1148381216.0004451</v>
      </c>
      <c r="AC20" s="9">
        <f t="shared" si="29"/>
        <v>1209415821.7991195</v>
      </c>
      <c r="AD20" s="9">
        <f t="shared" si="29"/>
        <v>1272403534.9833515</v>
      </c>
      <c r="AE20" s="9">
        <f t="shared" si="29"/>
        <v>1337406854.9894788</v>
      </c>
      <c r="AF20" s="9">
        <f t="shared" si="29"/>
        <v>1404490281.2358022</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25209814.829999998</v>
      </c>
      <c r="D22" s="9">
        <f ca="1">'Balance Sheet'!C11</f>
        <v>49858161.001602687</v>
      </c>
      <c r="E22" s="9">
        <f ca="1">'Balance Sheet'!D11</f>
        <v>69105966.574656889</v>
      </c>
      <c r="F22" s="9">
        <f ca="1">'Balance Sheet'!E11</f>
        <v>83434224.593421578</v>
      </c>
      <c r="G22" s="9">
        <f ca="1">'Balance Sheet'!F11</f>
        <v>95257126.445876554</v>
      </c>
      <c r="H22" s="9">
        <f ca="1">'Balance Sheet'!G11</f>
        <v>105171645.1510033</v>
      </c>
      <c r="I22" s="9">
        <f ca="1">'Balance Sheet'!H11</f>
        <v>114449662.98315376</v>
      </c>
      <c r="J22" s="9">
        <f ca="1">'Balance Sheet'!I11</f>
        <v>123673580.1510081</v>
      </c>
      <c r="K22" s="9">
        <f ca="1">'Balance Sheet'!J11</f>
        <v>133163873.67002395</v>
      </c>
      <c r="L22" s="9">
        <f ca="1">'Balance Sheet'!K11</f>
        <v>142825058.34954271</v>
      </c>
      <c r="M22" s="9">
        <f ca="1">'Balance Sheet'!L11</f>
        <v>152545655.50263461</v>
      </c>
      <c r="N22" s="9">
        <f ca="1">'Balance Sheet'!M11</f>
        <v>162196513.15941185</v>
      </c>
      <c r="O22" s="9">
        <f ca="1">'Balance Sheet'!N11</f>
        <v>171628978.87455374</v>
      </c>
      <c r="P22" s="9">
        <f ca="1">'Balance Sheet'!O11</f>
        <v>181356336.30741963</v>
      </c>
      <c r="Q22" s="9">
        <f ca="1">'Balance Sheet'!P11</f>
        <v>191301209.13390857</v>
      </c>
      <c r="R22" s="9">
        <f ca="1">'Balance Sheet'!Q11</f>
        <v>201373682.97087097</v>
      </c>
      <c r="S22" s="9">
        <f ca="1">'Balance Sheet'!R11</f>
        <v>211879393.27935931</v>
      </c>
      <c r="T22" s="9">
        <f ca="1">'Balance Sheet'!S11</f>
        <v>223195784.98207599</v>
      </c>
      <c r="U22" s="9">
        <f ca="1">'Balance Sheet'!T11</f>
        <v>235320637.48455507</v>
      </c>
      <c r="V22" s="9">
        <f ca="1">'Balance Sheet'!U11</f>
        <v>248247038.57372978</v>
      </c>
      <c r="W22" s="9">
        <f ca="1">'Balance Sheet'!V11</f>
        <v>261962852.97656631</v>
      </c>
      <c r="X22" s="9">
        <f ca="1">'Balance Sheet'!W11</f>
        <v>276450148.32900798</v>
      </c>
      <c r="Y22" s="9">
        <f ca="1">'Balance Sheet'!X11</f>
        <v>291684575.63569129</v>
      </c>
      <c r="Z22" s="9">
        <f ca="1">'Balance Sheet'!Y11</f>
        <v>307634701.11777592</v>
      </c>
      <c r="AA22" s="9">
        <f ca="1">'Balance Sheet'!Z11</f>
        <v>324261286.15225649</v>
      </c>
      <c r="AB22" s="9">
        <f ca="1">'Balance Sheet'!AA11</f>
        <v>341516511.80066872</v>
      </c>
      <c r="AC22" s="9">
        <f ca="1">'Balance Sheet'!AB11</f>
        <v>359343144.20751584</v>
      </c>
      <c r="AD22" s="9">
        <f ca="1">'Balance Sheet'!AC11</f>
        <v>377673636.91832888</v>
      </c>
      <c r="AE22" s="9">
        <f ca="1">'Balance Sheet'!AD11</f>
        <v>396429165.92331046</v>
      </c>
      <c r="AF22" s="9">
        <f ca="1">'Balance Sheet'!AE11</f>
        <v>415518592.97422147</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83668119.961871535</v>
      </c>
      <c r="D23" s="9">
        <f t="shared" ref="D23:AF23" ca="1" si="30">D20-D22</f>
        <v>86790274.59026885</v>
      </c>
      <c r="E23" s="9">
        <f t="shared" ca="1" si="30"/>
        <v>96201625.842814639</v>
      </c>
      <c r="F23" s="9">
        <f t="shared" ca="1" si="30"/>
        <v>111449617.66806915</v>
      </c>
      <c r="G23" s="9">
        <f t="shared" ca="1" si="30"/>
        <v>130149405.654642</v>
      </c>
      <c r="H23" s="9">
        <f t="shared" ca="1" si="30"/>
        <v>151734302.86339194</v>
      </c>
      <c r="I23" s="9">
        <f t="shared" ca="1" si="30"/>
        <v>174963682.25436223</v>
      </c>
      <c r="J23" s="9">
        <f ca="1">J20-J22</f>
        <v>199287399.02076849</v>
      </c>
      <c r="K23" s="9">
        <f t="shared" ca="1" si="30"/>
        <v>224418263.72190955</v>
      </c>
      <c r="L23" s="9">
        <f t="shared" ca="1" si="30"/>
        <v>250486114.32559279</v>
      </c>
      <c r="M23" s="9">
        <f t="shared" ca="1" si="30"/>
        <v>277637881.58476532</v>
      </c>
      <c r="N23" s="9">
        <f t="shared" ca="1" si="30"/>
        <v>306039304.00144494</v>
      </c>
      <c r="O23" s="9">
        <f t="shared" ca="1" si="30"/>
        <v>335876791.32211059</v>
      </c>
      <c r="P23" s="9">
        <f t="shared" ca="1" si="30"/>
        <v>366676025.42219806</v>
      </c>
      <c r="Q23" s="9">
        <f t="shared" ca="1" si="30"/>
        <v>398554595.05771691</v>
      </c>
      <c r="R23" s="9">
        <f t="shared" ca="1" si="30"/>
        <v>431643913.84154665</v>
      </c>
      <c r="S23" s="9">
        <f t="shared" ca="1" si="30"/>
        <v>465681173.51771569</v>
      </c>
      <c r="T23" s="9">
        <f t="shared" ca="1" si="30"/>
        <v>500333126.83916551</v>
      </c>
      <c r="U23" s="9">
        <f t="shared" ca="1" si="30"/>
        <v>535647606.40162617</v>
      </c>
      <c r="V23" s="9">
        <f t="shared" ca="1" si="30"/>
        <v>571678596.00346947</v>
      </c>
      <c r="W23" s="9">
        <f t="shared" ca="1" si="30"/>
        <v>608486808.7937634</v>
      </c>
      <c r="X23" s="9">
        <f t="shared" ca="1" si="30"/>
        <v>646140309.50463235</v>
      </c>
      <c r="Y23" s="9">
        <f t="shared" ca="1" si="30"/>
        <v>684715183.73528564</v>
      </c>
      <c r="Z23" s="9">
        <f t="shared" ca="1" si="30"/>
        <v>724296257.43973243</v>
      </c>
      <c r="AA23" s="9">
        <f t="shared" ca="1" si="30"/>
        <v>764977869.96575212</v>
      </c>
      <c r="AB23" s="9">
        <f t="shared" ca="1" si="30"/>
        <v>806864704.19977641</v>
      </c>
      <c r="AC23" s="9">
        <f t="shared" ca="1" si="30"/>
        <v>850072677.59160364</v>
      </c>
      <c r="AD23" s="9">
        <f t="shared" ca="1" si="30"/>
        <v>894729898.06502259</v>
      </c>
      <c r="AE23" s="9">
        <f t="shared" ca="1" si="30"/>
        <v>940977689.06616831</v>
      </c>
      <c r="AF23" s="9">
        <f t="shared" ca="1" si="30"/>
        <v>988971688.26158071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25209814.829999998</v>
      </c>
      <c r="D5" s="1">
        <f ca="1">C5+C6</f>
        <v>49858161.001602687</v>
      </c>
      <c r="E5" s="1">
        <f t="shared" ref="E5:AF5" ca="1" si="1">D5+D6</f>
        <v>69105966.574656889</v>
      </c>
      <c r="F5" s="1">
        <f t="shared" ca="1" si="1"/>
        <v>83434224.593421578</v>
      </c>
      <c r="G5" s="1">
        <f t="shared" ca="1" si="1"/>
        <v>95257126.445876554</v>
      </c>
      <c r="H5" s="1">
        <f t="shared" ca="1" si="1"/>
        <v>105171645.1510033</v>
      </c>
      <c r="I5" s="1">
        <f t="shared" ca="1" si="1"/>
        <v>114449662.98315376</v>
      </c>
      <c r="J5" s="1">
        <f t="shared" ca="1" si="1"/>
        <v>123673580.1510081</v>
      </c>
      <c r="K5" s="1">
        <f t="shared" ca="1" si="1"/>
        <v>133163873.67002395</v>
      </c>
      <c r="L5" s="1">
        <f t="shared" ca="1" si="1"/>
        <v>142825058.34954271</v>
      </c>
      <c r="M5" s="1">
        <f t="shared" ca="1" si="1"/>
        <v>152545655.50263461</v>
      </c>
      <c r="N5" s="1">
        <f t="shared" ca="1" si="1"/>
        <v>162196513.15941185</v>
      </c>
      <c r="O5" s="1">
        <f t="shared" ca="1" si="1"/>
        <v>171628978.87455374</v>
      </c>
      <c r="P5" s="1">
        <f t="shared" ca="1" si="1"/>
        <v>181356336.30741963</v>
      </c>
      <c r="Q5" s="1">
        <f t="shared" ca="1" si="1"/>
        <v>191301209.13390857</v>
      </c>
      <c r="R5" s="1">
        <f t="shared" ca="1" si="1"/>
        <v>201373682.97087097</v>
      </c>
      <c r="S5" s="1">
        <f t="shared" ca="1" si="1"/>
        <v>211879393.27935931</v>
      </c>
      <c r="T5" s="1">
        <f t="shared" ca="1" si="1"/>
        <v>223195784.98207599</v>
      </c>
      <c r="U5" s="1">
        <f t="shared" ca="1" si="1"/>
        <v>235320637.48455507</v>
      </c>
      <c r="V5" s="1">
        <f t="shared" ca="1" si="1"/>
        <v>248247038.57372978</v>
      </c>
      <c r="W5" s="1">
        <f t="shared" ca="1" si="1"/>
        <v>261962852.97656631</v>
      </c>
      <c r="X5" s="1">
        <f t="shared" ca="1" si="1"/>
        <v>276450148.32900798</v>
      </c>
      <c r="Y5" s="1">
        <f t="shared" ca="1" si="1"/>
        <v>291684575.63569129</v>
      </c>
      <c r="Z5" s="1">
        <f t="shared" ca="1" si="1"/>
        <v>307634701.11777592</v>
      </c>
      <c r="AA5" s="1">
        <f t="shared" ca="1" si="1"/>
        <v>324261286.15225649</v>
      </c>
      <c r="AB5" s="1">
        <f t="shared" ca="1" si="1"/>
        <v>341516511.80066872</v>
      </c>
      <c r="AC5" s="1">
        <f t="shared" ca="1" si="1"/>
        <v>359343144.20751584</v>
      </c>
      <c r="AD5" s="1">
        <f t="shared" ca="1" si="1"/>
        <v>377673636.91832888</v>
      </c>
      <c r="AE5" s="1">
        <f t="shared" ca="1" si="1"/>
        <v>396429165.92331046</v>
      </c>
      <c r="AF5" s="1">
        <f t="shared" ca="1" si="1"/>
        <v>415518592.97422147</v>
      </c>
      <c r="AG5" s="1"/>
      <c r="AH5" s="1"/>
      <c r="AI5" s="1"/>
      <c r="AJ5" s="1"/>
      <c r="AK5" s="1"/>
      <c r="AL5" s="1"/>
      <c r="AM5" s="1"/>
      <c r="AN5" s="1"/>
      <c r="AO5" s="1"/>
      <c r="AP5" s="1"/>
    </row>
    <row r="6" spans="1:42" x14ac:dyDescent="0.35">
      <c r="A6" s="63" t="s">
        <v>3</v>
      </c>
      <c r="C6" s="1">
        <f ca="1">-'Cash Flow'!C13</f>
        <v>24648346.171602689</v>
      </c>
      <c r="D6" s="1">
        <f ca="1">-'Cash Flow'!D13</f>
        <v>19247805.573054198</v>
      </c>
      <c r="E6" s="1">
        <f ca="1">-'Cash Flow'!E13</f>
        <v>14328258.018764693</v>
      </c>
      <c r="F6" s="1">
        <f ca="1">-'Cash Flow'!F13</f>
        <v>11822901.852454979</v>
      </c>
      <c r="G6" s="1">
        <f ca="1">-'Cash Flow'!G13</f>
        <v>9914518.7051267549</v>
      </c>
      <c r="H6" s="1">
        <f ca="1">-'Cash Flow'!H13</f>
        <v>9278017.8321504667</v>
      </c>
      <c r="I6" s="1">
        <f ca="1">-'Cash Flow'!I13</f>
        <v>9223917.1678543463</v>
      </c>
      <c r="J6" s="1">
        <f ca="1">-'Cash Flow'!J13</f>
        <v>9490293.5190158524</v>
      </c>
      <c r="K6" s="1">
        <f ca="1">-'Cash Flow'!K13</f>
        <v>9661184.6795187518</v>
      </c>
      <c r="L6" s="1">
        <f ca="1">-'Cash Flow'!L13</f>
        <v>9720597.153091915</v>
      </c>
      <c r="M6" s="1">
        <f ca="1">-'Cash Flow'!M13</f>
        <v>9650857.656777218</v>
      </c>
      <c r="N6" s="1">
        <f ca="1">-'Cash Flow'!N13</f>
        <v>9432465.7151418775</v>
      </c>
      <c r="O6" s="1">
        <f ca="1">-'Cash Flow'!O13</f>
        <v>9727357.4328658804</v>
      </c>
      <c r="P6" s="1">
        <f ca="1">-'Cash Flow'!P13</f>
        <v>9944872.8264889345</v>
      </c>
      <c r="Q6" s="1">
        <f ca="1">-'Cash Flow'!Q13</f>
        <v>10072473.836962417</v>
      </c>
      <c r="R6" s="1">
        <f ca="1">-'Cash Flow'!R13</f>
        <v>10505710.308488347</v>
      </c>
      <c r="S6" s="1">
        <f ca="1">-'Cash Flow'!S13</f>
        <v>11316391.702716686</v>
      </c>
      <c r="T6" s="1">
        <f ca="1">-'Cash Flow'!T13</f>
        <v>12124852.502479076</v>
      </c>
      <c r="U6" s="1">
        <f ca="1">-'Cash Flow'!U13</f>
        <v>12926401.089174725</v>
      </c>
      <c r="V6" s="1">
        <f ca="1">-'Cash Flow'!V13</f>
        <v>13715814.402836531</v>
      </c>
      <c r="W6" s="1">
        <f ca="1">-'Cash Flow'!W13</f>
        <v>14487295.352441698</v>
      </c>
      <c r="X6" s="1">
        <f ca="1">-'Cash Flow'!X13</f>
        <v>15234427.306683332</v>
      </c>
      <c r="Y6" s="1">
        <f ca="1">-'Cash Flow'!Y13</f>
        <v>15950125.482084662</v>
      </c>
      <c r="Z6" s="1">
        <f ca="1">-'Cash Flow'!Z13</f>
        <v>16626585.034480587</v>
      </c>
      <c r="AA6" s="1">
        <f ca="1">-'Cash Flow'!AA13</f>
        <v>17255225.648412257</v>
      </c>
      <c r="AB6" s="1">
        <f ca="1">-'Cash Flow'!AB13</f>
        <v>17826632.40684709</v>
      </c>
      <c r="AC6" s="1">
        <f ca="1">-'Cash Flow'!AC13</f>
        <v>18330492.710813046</v>
      </c>
      <c r="AD6" s="1">
        <f ca="1">-'Cash Flow'!AD13</f>
        <v>18755529.004981577</v>
      </c>
      <c r="AE6" s="1">
        <f ca="1">-'Cash Flow'!AE13</f>
        <v>19089427.05091098</v>
      </c>
      <c r="AF6" s="1">
        <f ca="1">-'Cash Flow'!AF13</f>
        <v>20991337.998565823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1745035.6350560943</v>
      </c>
      <c r="D8" s="1">
        <f ca="1">IF(SUM(D5:D6)&gt;0,Assumptions!$C$26*SUM(D5:D6),Assumptions!$C$27*(SUM(D5:D6)))</f>
        <v>2418708.8301129914</v>
      </c>
      <c r="E8" s="1">
        <f ca="1">IF(SUM(E5:E6)&gt;0,Assumptions!$C$26*SUM(E5:E6),Assumptions!$C$27*(SUM(E5:E6)))</f>
        <v>2920197.8607697557</v>
      </c>
      <c r="F8" s="1">
        <f ca="1">IF(SUM(F5:F6)&gt;0,Assumptions!$C$26*SUM(F5:F6),Assumptions!$C$27*(SUM(F5:F6)))</f>
        <v>3333999.4256056799</v>
      </c>
      <c r="G8" s="1">
        <f ca="1">IF(SUM(G5:G6)&gt;0,Assumptions!$C$26*SUM(G5:G6),Assumptions!$C$27*(SUM(G5:G6)))</f>
        <v>3681007.5802851161</v>
      </c>
      <c r="H8" s="1">
        <f ca="1">IF(SUM(H5:H6)&gt;0,Assumptions!$C$26*SUM(H5:H6),Assumptions!$C$27*(SUM(H5:H6)))</f>
        <v>4005738.2044103821</v>
      </c>
      <c r="I8" s="1">
        <f ca="1">IF(SUM(I5:I6)&gt;0,Assumptions!$C$26*SUM(I5:I6),Assumptions!$C$27*(SUM(I5:I6)))</f>
        <v>4328575.3052852843</v>
      </c>
      <c r="J8" s="1">
        <f ca="1">IF(SUM(J5:J6)&gt;0,Assumptions!$C$26*SUM(J5:J6),Assumptions!$C$27*(SUM(J5:J6)))</f>
        <v>4660735.578450839</v>
      </c>
      <c r="K8" s="1">
        <f ca="1">IF(SUM(K5:K6)&gt;0,Assumptions!$C$26*SUM(K5:K6),Assumptions!$C$27*(SUM(K5:K6)))</f>
        <v>4998877.0422339952</v>
      </c>
      <c r="L8" s="1">
        <f ca="1">IF(SUM(L5:L6)&gt;0,Assumptions!$C$26*SUM(L5:L6),Assumptions!$C$27*(SUM(L5:L6)))</f>
        <v>5339097.942592212</v>
      </c>
      <c r="M8" s="1">
        <f ca="1">IF(SUM(M5:M6)&gt;0,Assumptions!$C$26*SUM(M5:M6),Assumptions!$C$27*(SUM(M5:M6)))</f>
        <v>5676877.9605794149</v>
      </c>
      <c r="N8" s="1">
        <f ca="1">IF(SUM(N5:N6)&gt;0,Assumptions!$C$26*SUM(N5:N6),Assumptions!$C$27*(SUM(N5:N6)))</f>
        <v>6007014.2606093818</v>
      </c>
      <c r="O8" s="1">
        <f ca="1">IF(SUM(O5:O6)&gt;0,Assumptions!$C$26*SUM(O5:O6),Assumptions!$C$27*(SUM(O5:O6)))</f>
        <v>6347471.7707596878</v>
      </c>
      <c r="P8" s="1">
        <f ca="1">IF(SUM(P5:P6)&gt;0,Assumptions!$C$26*SUM(P5:P6),Assumptions!$C$27*(SUM(P5:P6)))</f>
        <v>6695542.3196868002</v>
      </c>
      <c r="Q8" s="1">
        <f ca="1">IF(SUM(Q5:Q6)&gt;0,Assumptions!$C$26*SUM(Q5:Q6),Assumptions!$C$27*(SUM(Q5:Q6)))</f>
        <v>7048078.9039804842</v>
      </c>
      <c r="R8" s="1">
        <f ca="1">IF(SUM(R5:R6)&gt;0,Assumptions!$C$26*SUM(R5:R6),Assumptions!$C$27*(SUM(R5:R6)))</f>
        <v>7415778.7647775766</v>
      </c>
      <c r="S8" s="1">
        <f ca="1">IF(SUM(S5:S6)&gt;0,Assumptions!$C$26*SUM(S5:S6),Assumptions!$C$27*(SUM(S5:S6)))</f>
        <v>7811852.4743726607</v>
      </c>
      <c r="T8" s="1">
        <f ca="1">IF(SUM(T5:T6)&gt;0,Assumptions!$C$26*SUM(T5:T6),Assumptions!$C$27*(SUM(T5:T6)))</f>
        <v>8236222.3119594278</v>
      </c>
      <c r="U8" s="1">
        <f ca="1">IF(SUM(U5:U6)&gt;0,Assumptions!$C$26*SUM(U5:U6),Assumptions!$C$27*(SUM(U5:U6)))</f>
        <v>8688646.3500805441</v>
      </c>
      <c r="V8" s="1">
        <f ca="1">IF(SUM(V5:V6)&gt;0,Assumptions!$C$26*SUM(V5:V6),Assumptions!$C$27*(SUM(V5:V6)))</f>
        <v>9168699.8541798219</v>
      </c>
      <c r="W8" s="1">
        <f ca="1">IF(SUM(W5:W6)&gt;0,Assumptions!$C$26*SUM(W5:W6),Assumptions!$C$27*(SUM(W5:W6)))</f>
        <v>9675755.1915152799</v>
      </c>
      <c r="X8" s="1">
        <f ca="1">IF(SUM(X5:X6)&gt;0,Assumptions!$C$26*SUM(X5:X6),Assumptions!$C$27*(SUM(X5:X6)))</f>
        <v>10208960.147249196</v>
      </c>
      <c r="Y8" s="1">
        <f ca="1">IF(SUM(Y5:Y6)&gt;0,Assumptions!$C$26*SUM(Y5:Y6),Assumptions!$C$27*(SUM(Y5:Y6)))</f>
        <v>10767214.539122159</v>
      </c>
      <c r="Z8" s="1">
        <f ca="1">IF(SUM(Z5:Z6)&gt;0,Assumptions!$C$26*SUM(Z5:Z6),Assumptions!$C$27*(SUM(Z5:Z6)))</f>
        <v>11349145.015328977</v>
      </c>
      <c r="AA8" s="1">
        <f ca="1">IF(SUM(AA5:AA6)&gt;0,Assumptions!$C$26*SUM(AA5:AA6),Assumptions!$C$27*(SUM(AA5:AA6)))</f>
        <v>11953077.913023407</v>
      </c>
      <c r="AB8" s="1">
        <f ca="1">IF(SUM(AB5:AB6)&gt;0,Assumptions!$C$26*SUM(AB5:AB6),Assumptions!$C$27*(SUM(AB5:AB6)))</f>
        <v>12577010.047263056</v>
      </c>
      <c r="AC8" s="1">
        <f ca="1">IF(SUM(AC5:AC6)&gt;0,Assumptions!$C$26*SUM(AC5:AC6),Assumptions!$C$27*(SUM(AC5:AC6)))</f>
        <v>13218577.292141512</v>
      </c>
      <c r="AD8" s="1">
        <f ca="1">IF(SUM(AD5:AD6)&gt;0,Assumptions!$C$26*SUM(AD5:AD6),Assumptions!$C$27*(SUM(AD5:AD6)))</f>
        <v>13875020.807315867</v>
      </c>
      <c r="AE8" s="1">
        <f ca="1">IF(SUM(AE5:AE6)&gt;0,Assumptions!$C$26*SUM(AE5:AE6),Assumptions!$C$27*(SUM(AE5:AE6)))</f>
        <v>14543150.754097752</v>
      </c>
      <c r="AF8" s="1">
        <f ca="1">IF(SUM(AF5:AF6)&gt;0,Assumptions!$C$26*SUM(AF5:AF6),Assumptions!$C$27*(SUM(AF5:AF6)))</f>
        <v>15277847.584047556</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62.41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35">
      <c r="A7" s="195" t="s">
        <v>97</v>
      </c>
      <c r="B7" s="183">
        <f>Assumptions!C24</f>
        <v>6344648.6199999992</v>
      </c>
      <c r="C7" s="182" t="str">
        <f>Assumptions!B24</f>
        <v>RFI Table F10; Lines F10.62 + F10.70 - F10.61</v>
      </c>
    </row>
    <row r="8" spans="1:3" ht="34" x14ac:dyDescent="0.35">
      <c r="A8" s="195" t="s">
        <v>174</v>
      </c>
      <c r="B8" s="184">
        <f>Assumptions!$C$133</f>
        <v>0.7</v>
      </c>
      <c r="C8" s="182" t="s">
        <v>200</v>
      </c>
    </row>
    <row r="9" spans="1:3" ht="18.5" x14ac:dyDescent="0.35">
      <c r="A9" s="195"/>
      <c r="B9" s="185"/>
      <c r="C9" s="182"/>
    </row>
    <row r="10" spans="1:3" ht="51" x14ac:dyDescent="0.35">
      <c r="A10" s="196" t="s">
        <v>103</v>
      </c>
      <c r="B10" s="186">
        <f>Assumptions!C135</f>
        <v>4138.8888888888887</v>
      </c>
      <c r="C10" s="182" t="s">
        <v>201</v>
      </c>
    </row>
    <row r="11" spans="1:3" ht="18.5" x14ac:dyDescent="0.35">
      <c r="A11" s="196"/>
      <c r="B11" s="187"/>
      <c r="C11" s="182"/>
    </row>
    <row r="12" spans="1:3" ht="18.5" x14ac:dyDescent="0.35">
      <c r="A12" s="196" t="s">
        <v>184</v>
      </c>
      <c r="B12" s="183">
        <f>(B7*B8)/B10</f>
        <v>1073.0546659328857</v>
      </c>
      <c r="C12" s="182"/>
    </row>
    <row r="13" spans="1:3" ht="18.5" x14ac:dyDescent="0.35">
      <c r="A13" s="197"/>
      <c r="B13" s="188"/>
      <c r="C13" s="182"/>
    </row>
    <row r="14" spans="1:3" ht="18.5" x14ac:dyDescent="0.35">
      <c r="A14" s="196" t="s">
        <v>104</v>
      </c>
      <c r="B14" s="189">
        <v>1</v>
      </c>
      <c r="C14" s="182"/>
    </row>
    <row r="15" spans="1:3" ht="18.5" x14ac:dyDescent="0.35">
      <c r="A15" s="197"/>
      <c r="B15" s="190"/>
      <c r="C15" s="182"/>
    </row>
    <row r="16" spans="1:3" ht="18.5" x14ac:dyDescent="0.35">
      <c r="A16" s="197" t="s">
        <v>179</v>
      </c>
      <c r="B16" s="191">
        <f>B12/B14</f>
        <v>1073.0546659328857</v>
      </c>
      <c r="C16" s="182"/>
    </row>
    <row r="17" spans="1:3" ht="18.5" x14ac:dyDescent="0.35">
      <c r="A17" s="196"/>
      <c r="B17" s="192"/>
      <c r="C17" s="182"/>
    </row>
    <row r="18" spans="1:3" ht="18.5" x14ac:dyDescent="0.35">
      <c r="A18" s="198" t="s">
        <v>178</v>
      </c>
      <c r="B18" s="192"/>
      <c r="C18" s="182"/>
    </row>
    <row r="19" spans="1:3" ht="18.5" x14ac:dyDescent="0.35">
      <c r="A19" s="196"/>
      <c r="B19" s="192"/>
      <c r="C19" s="182"/>
    </row>
    <row r="20" spans="1:3" ht="34" x14ac:dyDescent="0.35">
      <c r="A20" s="196" t="s">
        <v>66</v>
      </c>
      <c r="B20" s="183">
        <f>'Profit and Loss'!L5</f>
        <v>57275267.552397497</v>
      </c>
      <c r="C20" s="182" t="s">
        <v>202</v>
      </c>
    </row>
    <row r="21" spans="1:3" ht="34" x14ac:dyDescent="0.35">
      <c r="A21" s="196" t="str">
        <f>A8</f>
        <v>Assumed revenue from households</v>
      </c>
      <c r="B21" s="184">
        <f>B8</f>
        <v>0.7</v>
      </c>
      <c r="C21" s="182" t="s">
        <v>200</v>
      </c>
    </row>
    <row r="22" spans="1:3" ht="18.5" x14ac:dyDescent="0.35">
      <c r="A22" s="196"/>
      <c r="B22" s="187"/>
      <c r="C22" s="182"/>
    </row>
    <row r="23" spans="1:3" ht="34" x14ac:dyDescent="0.35">
      <c r="A23" s="196" t="s">
        <v>102</v>
      </c>
      <c r="B23" s="186">
        <f>Assumptions!M135</f>
        <v>4218.4982154687859</v>
      </c>
      <c r="C23" s="182" t="s">
        <v>203</v>
      </c>
    </row>
    <row r="24" spans="1:3" ht="18.5" x14ac:dyDescent="0.35">
      <c r="A24" s="196"/>
      <c r="B24" s="187"/>
      <c r="C24" s="182"/>
    </row>
    <row r="25" spans="1:3" ht="18.5" x14ac:dyDescent="0.35">
      <c r="A25" s="196" t="s">
        <v>183</v>
      </c>
      <c r="B25" s="183">
        <f>(B20*B21)/B23</f>
        <v>9504.0190226139275</v>
      </c>
      <c r="C25" s="182"/>
    </row>
    <row r="26" spans="1:3" ht="18.5" x14ac:dyDescent="0.35">
      <c r="A26" s="196"/>
      <c r="B26" s="183"/>
      <c r="C26" s="182"/>
    </row>
    <row r="27" spans="1:3" ht="34" x14ac:dyDescent="0.35">
      <c r="A27" s="196" t="s">
        <v>104</v>
      </c>
      <c r="B27" s="189">
        <f>1.022^11</f>
        <v>1.2704566586717592</v>
      </c>
      <c r="C27" s="182" t="s">
        <v>204</v>
      </c>
    </row>
    <row r="28" spans="1:3" ht="18.5" x14ac:dyDescent="0.35">
      <c r="A28" s="197"/>
      <c r="B28" s="188"/>
      <c r="C28" s="182"/>
    </row>
    <row r="29" spans="1:3" ht="18.5" x14ac:dyDescent="0.35">
      <c r="A29" s="197" t="s">
        <v>180</v>
      </c>
      <c r="B29" s="183">
        <f>B25/B27</f>
        <v>7480.7896497234451</v>
      </c>
      <c r="C29" s="182"/>
    </row>
    <row r="30" spans="1:3" ht="18.5" x14ac:dyDescent="0.35">
      <c r="A30" s="197"/>
      <c r="B30" s="188"/>
      <c r="C30" s="182"/>
    </row>
    <row r="31" spans="1:3" ht="18.5" x14ac:dyDescent="0.35">
      <c r="A31" s="198" t="s">
        <v>186</v>
      </c>
      <c r="B31" s="193"/>
      <c r="C31" s="182"/>
    </row>
    <row r="32" spans="1:3" ht="18.5" x14ac:dyDescent="0.35">
      <c r="A32" s="196"/>
      <c r="B32" s="183"/>
      <c r="C32" s="182"/>
    </row>
    <row r="33" spans="1:3" ht="34" x14ac:dyDescent="0.35">
      <c r="A33" s="196" t="s">
        <v>67</v>
      </c>
      <c r="B33" s="183">
        <f>'Profit and Loss'!AF5</f>
        <v>167859980.67259571</v>
      </c>
      <c r="C33" s="182" t="s">
        <v>202</v>
      </c>
    </row>
    <row r="34" spans="1:3" ht="34" x14ac:dyDescent="0.35">
      <c r="A34" s="196" t="str">
        <f>A21</f>
        <v>Assumed revenue from households</v>
      </c>
      <c r="B34" s="184">
        <f>B21</f>
        <v>0.7</v>
      </c>
      <c r="C34" s="182" t="s">
        <v>200</v>
      </c>
    </row>
    <row r="35" spans="1:3" ht="18.5" x14ac:dyDescent="0.35">
      <c r="A35" s="196"/>
      <c r="B35" s="187"/>
      <c r="C35" s="182"/>
    </row>
    <row r="36" spans="1:3" ht="34" x14ac:dyDescent="0.35">
      <c r="A36" s="196" t="s">
        <v>101</v>
      </c>
      <c r="B36" s="186">
        <f>Assumptions!AG135</f>
        <v>4382.3400504481151</v>
      </c>
      <c r="C36" s="182" t="s">
        <v>203</v>
      </c>
    </row>
    <row r="37" spans="1:3" ht="18.5" x14ac:dyDescent="0.35">
      <c r="A37" s="196"/>
      <c r="B37" s="187"/>
      <c r="C37" s="182"/>
    </row>
    <row r="38" spans="1:3" ht="18.5" x14ac:dyDescent="0.35">
      <c r="A38" s="196" t="s">
        <v>182</v>
      </c>
      <c r="B38" s="183">
        <f>(B33*B34)/B36</f>
        <v>26812.61269508327</v>
      </c>
      <c r="C38" s="182"/>
    </row>
    <row r="39" spans="1:3" ht="18.5" x14ac:dyDescent="0.35">
      <c r="A39" s="196"/>
      <c r="B39" s="187"/>
      <c r="C39" s="182"/>
    </row>
    <row r="40" spans="1:3" ht="34" x14ac:dyDescent="0.35">
      <c r="A40" s="196" t="s">
        <v>104</v>
      </c>
      <c r="B40" s="189">
        <f>1.022^31</f>
        <v>1.9632597808456462</v>
      </c>
      <c r="C40" s="182" t="s">
        <v>204</v>
      </c>
    </row>
    <row r="41" spans="1:3" ht="18.5" x14ac:dyDescent="0.35">
      <c r="A41" s="197"/>
      <c r="B41" s="188"/>
      <c r="C41" s="194"/>
    </row>
    <row r="42" spans="1:3" ht="18.5" x14ac:dyDescent="0.35">
      <c r="A42" s="197" t="s">
        <v>181</v>
      </c>
      <c r="B42" s="183">
        <f>B38/B40</f>
        <v>13657.190432299345</v>
      </c>
      <c r="C42" s="19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87.1640625" style="76"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9" t="s">
        <v>28</v>
      </c>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row>
    <row r="4" spans="1:33" s="120" customFormat="1" ht="16" thickBot="1" x14ac:dyDescent="0.4">
      <c r="A4" s="115" t="s">
        <v>26</v>
      </c>
      <c r="B4" s="115" t="s">
        <v>196</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138</v>
      </c>
      <c r="C13" s="127">
        <v>1.9069984240096538E-3</v>
      </c>
      <c r="D13" s="128">
        <f t="shared" ref="D13:AG13" si="3">(1+$C$13)^D8</f>
        <v>1.0019069984240097</v>
      </c>
      <c r="E13" s="128">
        <f t="shared" si="3"/>
        <v>1.0038176334910085</v>
      </c>
      <c r="F13" s="128">
        <f t="shared" si="3"/>
        <v>1.0057319121360691</v>
      </c>
      <c r="G13" s="128">
        <f t="shared" si="3"/>
        <v>1.0076498413074886</v>
      </c>
      <c r="H13" s="128">
        <f t="shared" si="3"/>
        <v>1.0095714279668155</v>
      </c>
      <c r="I13" s="128">
        <f t="shared" si="3"/>
        <v>1.0114966790888735</v>
      </c>
      <c r="J13" s="128">
        <f t="shared" si="3"/>
        <v>1.0134256016617871</v>
      </c>
      <c r="K13" s="128">
        <f t="shared" si="3"/>
        <v>1.0153582026870069</v>
      </c>
      <c r="L13" s="128">
        <f t="shared" si="3"/>
        <v>1.0172944891793363</v>
      </c>
      <c r="M13" s="128">
        <f t="shared" si="3"/>
        <v>1.019234468166955</v>
      </c>
      <c r="N13" s="128">
        <f t="shared" si="3"/>
        <v>1.0211781466914458</v>
      </c>
      <c r="O13" s="128">
        <f t="shared" si="3"/>
        <v>1.0231255318078194</v>
      </c>
      <c r="P13" s="128">
        <f t="shared" si="3"/>
        <v>1.0250766305845409</v>
      </c>
      <c r="Q13" s="128">
        <f t="shared" si="3"/>
        <v>1.0270314501035549</v>
      </c>
      <c r="R13" s="128">
        <f t="shared" si="3"/>
        <v>1.0289899974603107</v>
      </c>
      <c r="S13" s="128">
        <f t="shared" si="3"/>
        <v>1.0309522797637891</v>
      </c>
      <c r="T13" s="128">
        <f t="shared" si="3"/>
        <v>1.0329183041365277</v>
      </c>
      <c r="U13" s="128">
        <f t="shared" si="3"/>
        <v>1.034888077714647</v>
      </c>
      <c r="V13" s="128">
        <f t="shared" si="3"/>
        <v>1.0368616076478752</v>
      </c>
      <c r="W13" s="128">
        <f t="shared" si="3"/>
        <v>1.0388389010995758</v>
      </c>
      <c r="X13" s="128">
        <f t="shared" si="3"/>
        <v>1.0408199652467724</v>
      </c>
      <c r="Y13" s="128">
        <f t="shared" si="3"/>
        <v>1.0428048072801759</v>
      </c>
      <c r="Z13" s="128">
        <f t="shared" si="3"/>
        <v>1.0447934344042089</v>
      </c>
      <c r="AA13" s="128">
        <f t="shared" si="3"/>
        <v>1.0467858538370334</v>
      </c>
      <c r="AB13" s="128">
        <f t="shared" si="3"/>
        <v>1.0487820728105761</v>
      </c>
      <c r="AC13" s="128">
        <f t="shared" si="3"/>
        <v>1.0507820985705554</v>
      </c>
      <c r="AD13" s="128">
        <f t="shared" si="3"/>
        <v>1.052785938376507</v>
      </c>
      <c r="AE13" s="128">
        <f t="shared" si="3"/>
        <v>1.0547935995018105</v>
      </c>
      <c r="AF13" s="128">
        <f t="shared" si="3"/>
        <v>1.056805089233716</v>
      </c>
      <c r="AG13" s="128">
        <f t="shared" si="3"/>
        <v>1.0588204148733702</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133</v>
      </c>
      <c r="B17" s="77" t="s">
        <v>170</v>
      </c>
      <c r="C17" s="136">
        <f>AVERAGE(C49:C50)</f>
        <v>163937069.58374304</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81968534.791871518</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137</v>
      </c>
      <c r="C20" s="137">
        <v>25209814.829999998</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181" t="s">
        <v>199</v>
      </c>
      <c r="C24" s="136">
        <v>6344648.6199999992</v>
      </c>
      <c r="D24" s="140"/>
      <c r="E24" s="179"/>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3520020.8899999997</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132</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132</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135</v>
      </c>
      <c r="C49" s="71">
        <v>147647362.62536874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136</v>
      </c>
      <c r="C50" s="71">
        <v>180226776.54211733</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436082.96871177165</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752836.77366100706</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594459.87118638935</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1188640.4496271398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1930588.8571150471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1559614.6533710933</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2312451.4270321005</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141</v>
      </c>
      <c r="B77" s="180" t="s">
        <v>176</v>
      </c>
      <c r="C77" s="87">
        <v>15600000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889774963.93692267</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976383174.07120347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87</v>
      </c>
      <c r="C82" s="87">
        <f>C79+$C$77</f>
        <v>905374963.93692267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87</v>
      </c>
      <c r="C83" s="87">
        <f>C80+$C$77</f>
        <v>991983174.07120347</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11150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134</v>
      </c>
      <c r="C86" s="150">
        <v>11200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11175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87</v>
      </c>
      <c r="C89" s="150">
        <f>C82/$C$87</f>
        <v>81017.893864601574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87</v>
      </c>
      <c r="C90" s="150">
        <f>C83/$C$87</f>
        <v>88768.06926811664</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87</v>
      </c>
      <c r="C94" s="87">
        <f>IF(C89&lt;$C$92,C89*$C$87,$C$92*$C$87)</f>
        <v>782250000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87</v>
      </c>
      <c r="C95" s="87">
        <f>IF(C90&lt;$C$92,C90*$C$87,$C$92*$C$87)</f>
        <v>782250000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87</v>
      </c>
      <c r="C96" s="87">
        <f>AVERAGE(C94:C95)</f>
        <v>782250000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782250000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26075000</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131</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130</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2312451.4270321005</v>
      </c>
      <c r="E111" s="149">
        <f t="shared" si="9"/>
        <v>2312451.4270321005</v>
      </c>
      <c r="F111" s="149">
        <f t="shared" si="9"/>
        <v>2312451.4270321005</v>
      </c>
      <c r="G111" s="149">
        <f t="shared" si="9"/>
        <v>2312451.4270321005</v>
      </c>
      <c r="H111" s="149">
        <f t="shared" si="9"/>
        <v>2312451.4270321005</v>
      </c>
      <c r="I111" s="149">
        <f t="shared" si="9"/>
        <v>2312451.4270321005</v>
      </c>
      <c r="J111" s="149">
        <f t="shared" si="9"/>
        <v>2312451.4270321005</v>
      </c>
      <c r="K111" s="149">
        <f t="shared" si="9"/>
        <v>2312451.4270321005</v>
      </c>
      <c r="L111" s="149">
        <f t="shared" si="9"/>
        <v>2312451.4270321005</v>
      </c>
      <c r="M111" s="149">
        <f t="shared" si="9"/>
        <v>2312451.4270321005</v>
      </c>
      <c r="N111" s="149">
        <f t="shared" si="9"/>
        <v>2312451.4270321005</v>
      </c>
      <c r="O111" s="149">
        <f t="shared" si="9"/>
        <v>2312451.4270321005</v>
      </c>
      <c r="P111" s="149">
        <f t="shared" si="9"/>
        <v>2312451.4270321005</v>
      </c>
      <c r="Q111" s="149">
        <f t="shared" si="9"/>
        <v>2312451.4270321005</v>
      </c>
      <c r="R111" s="149">
        <f t="shared" si="9"/>
        <v>2312451.4270321005</v>
      </c>
      <c r="S111" s="149">
        <f t="shared" si="9"/>
        <v>2312451.4270321005</v>
      </c>
      <c r="T111" s="149">
        <f t="shared" si="9"/>
        <v>2312451.4270321005</v>
      </c>
      <c r="U111" s="149">
        <f t="shared" si="9"/>
        <v>2312451.4270321005</v>
      </c>
      <c r="V111" s="149">
        <f t="shared" si="9"/>
        <v>2312451.4270321005</v>
      </c>
      <c r="W111" s="149">
        <f t="shared" si="9"/>
        <v>2312451.4270321005</v>
      </c>
      <c r="X111" s="149">
        <f t="shared" si="9"/>
        <v>2312451.4270321005</v>
      </c>
      <c r="Y111" s="149">
        <f t="shared" si="9"/>
        <v>2312451.4270321005</v>
      </c>
      <c r="Z111" s="149">
        <f t="shared" si="9"/>
        <v>2312451.4270321005</v>
      </c>
      <c r="AA111" s="149">
        <f t="shared" si="9"/>
        <v>2312451.4270321005</v>
      </c>
      <c r="AB111" s="149">
        <f t="shared" si="9"/>
        <v>2312451.4270321005</v>
      </c>
      <c r="AC111" s="149">
        <f t="shared" si="9"/>
        <v>2312451.4270321005</v>
      </c>
      <c r="AD111" s="149">
        <f t="shared" si="9"/>
        <v>2312451.4270321005</v>
      </c>
      <c r="AE111" s="149">
        <f t="shared" si="9"/>
        <v>2312451.4270321005</v>
      </c>
      <c r="AF111" s="149">
        <f t="shared" si="9"/>
        <v>2312451.4270321005</v>
      </c>
      <c r="AG111" s="149">
        <f t="shared" si="9"/>
        <v>2312451.4270321005</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782250000</v>
      </c>
      <c r="D113" s="149">
        <f t="shared" ref="D113:AG113" si="10">$C$102</f>
        <v>26075000</v>
      </c>
      <c r="E113" s="149">
        <f t="shared" si="10"/>
        <v>26075000</v>
      </c>
      <c r="F113" s="149">
        <f t="shared" si="10"/>
        <v>26075000</v>
      </c>
      <c r="G113" s="149">
        <f t="shared" si="10"/>
        <v>26075000</v>
      </c>
      <c r="H113" s="149">
        <f t="shared" si="10"/>
        <v>26075000</v>
      </c>
      <c r="I113" s="149">
        <f t="shared" si="10"/>
        <v>26075000</v>
      </c>
      <c r="J113" s="149">
        <f t="shared" si="10"/>
        <v>26075000</v>
      </c>
      <c r="K113" s="149">
        <f t="shared" si="10"/>
        <v>26075000</v>
      </c>
      <c r="L113" s="149">
        <f t="shared" si="10"/>
        <v>26075000</v>
      </c>
      <c r="M113" s="149">
        <f t="shared" si="10"/>
        <v>26075000</v>
      </c>
      <c r="N113" s="149">
        <f t="shared" si="10"/>
        <v>26075000</v>
      </c>
      <c r="O113" s="149">
        <f t="shared" si="10"/>
        <v>26075000</v>
      </c>
      <c r="P113" s="149">
        <f t="shared" si="10"/>
        <v>26075000</v>
      </c>
      <c r="Q113" s="149">
        <f t="shared" si="10"/>
        <v>26075000</v>
      </c>
      <c r="R113" s="149">
        <f t="shared" si="10"/>
        <v>26075000</v>
      </c>
      <c r="S113" s="149">
        <f t="shared" si="10"/>
        <v>26075000</v>
      </c>
      <c r="T113" s="149">
        <f t="shared" si="10"/>
        <v>26075000</v>
      </c>
      <c r="U113" s="149">
        <f t="shared" si="10"/>
        <v>26075000</v>
      </c>
      <c r="V113" s="149">
        <f t="shared" si="10"/>
        <v>26075000</v>
      </c>
      <c r="W113" s="149">
        <f t="shared" si="10"/>
        <v>26075000</v>
      </c>
      <c r="X113" s="149">
        <f t="shared" si="10"/>
        <v>26075000</v>
      </c>
      <c r="Y113" s="149">
        <f t="shared" si="10"/>
        <v>26075000</v>
      </c>
      <c r="Z113" s="149">
        <f t="shared" si="10"/>
        <v>26075000</v>
      </c>
      <c r="AA113" s="149">
        <f t="shared" si="10"/>
        <v>26075000</v>
      </c>
      <c r="AB113" s="149">
        <f t="shared" si="10"/>
        <v>26075000</v>
      </c>
      <c r="AC113" s="149">
        <f t="shared" si="10"/>
        <v>26075000</v>
      </c>
      <c r="AD113" s="149">
        <f t="shared" si="10"/>
        <v>26075000</v>
      </c>
      <c r="AE113" s="149">
        <f t="shared" si="10"/>
        <v>26075000</v>
      </c>
      <c r="AF113" s="149">
        <f t="shared" si="10"/>
        <v>26075000</v>
      </c>
      <c r="AG113" s="149">
        <f t="shared" si="10"/>
        <v>26075000</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26075000</v>
      </c>
      <c r="E118" s="149">
        <f t="shared" ref="E118:AG118" si="13">E113+E115+E116</f>
        <v>26075000</v>
      </c>
      <c r="F118" s="149">
        <f>F113+F115+F116</f>
        <v>26075000</v>
      </c>
      <c r="G118" s="149">
        <f t="shared" si="13"/>
        <v>26075000</v>
      </c>
      <c r="H118" s="149">
        <f t="shared" si="13"/>
        <v>26075000</v>
      </c>
      <c r="I118" s="149">
        <f t="shared" si="13"/>
        <v>26075000</v>
      </c>
      <c r="J118" s="149">
        <f t="shared" si="13"/>
        <v>26075000</v>
      </c>
      <c r="K118" s="149">
        <f t="shared" si="13"/>
        <v>26075000</v>
      </c>
      <c r="L118" s="149">
        <f t="shared" si="13"/>
        <v>26075000</v>
      </c>
      <c r="M118" s="149">
        <f t="shared" si="13"/>
        <v>26075000</v>
      </c>
      <c r="N118" s="149">
        <f t="shared" si="13"/>
        <v>26075000</v>
      </c>
      <c r="O118" s="149">
        <f t="shared" si="13"/>
        <v>26075000</v>
      </c>
      <c r="P118" s="149">
        <f t="shared" si="13"/>
        <v>26075000</v>
      </c>
      <c r="Q118" s="149">
        <f t="shared" si="13"/>
        <v>26075000</v>
      </c>
      <c r="R118" s="149">
        <f t="shared" si="13"/>
        <v>26075000</v>
      </c>
      <c r="S118" s="149">
        <f t="shared" si="13"/>
        <v>26075000</v>
      </c>
      <c r="T118" s="149">
        <f t="shared" si="13"/>
        <v>26075000</v>
      </c>
      <c r="U118" s="149">
        <f t="shared" si="13"/>
        <v>26075000</v>
      </c>
      <c r="V118" s="149">
        <f t="shared" si="13"/>
        <v>26075000</v>
      </c>
      <c r="W118" s="149">
        <f t="shared" si="13"/>
        <v>26075000</v>
      </c>
      <c r="X118" s="149">
        <f t="shared" si="13"/>
        <v>26075000</v>
      </c>
      <c r="Y118" s="149">
        <f t="shared" si="13"/>
        <v>26075000</v>
      </c>
      <c r="Z118" s="149">
        <f t="shared" si="13"/>
        <v>26075000</v>
      </c>
      <c r="AA118" s="149">
        <f t="shared" si="13"/>
        <v>26075000</v>
      </c>
      <c r="AB118" s="149">
        <f t="shared" si="13"/>
        <v>26075000</v>
      </c>
      <c r="AC118" s="149">
        <f t="shared" si="13"/>
        <v>26075000</v>
      </c>
      <c r="AD118" s="149">
        <f t="shared" si="13"/>
        <v>26075000</v>
      </c>
      <c r="AE118" s="149">
        <f t="shared" si="13"/>
        <v>26075000</v>
      </c>
      <c r="AF118" s="149">
        <f t="shared" si="13"/>
        <v>26075000</v>
      </c>
      <c r="AG118" s="149">
        <f t="shared" si="13"/>
        <v>26075000</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625800</v>
      </c>
      <c r="E120" s="149">
        <f>(SUM($D$118:E118)*$C$104/$C$106)+(SUM($D$118:E118)*$C$105/$C$107)</f>
        <v>1251600</v>
      </c>
      <c r="F120" s="149">
        <f>(SUM($D$118:F118)*$C$104/$C$106)+(SUM($D$118:F118)*$C$105/$C$107)</f>
        <v>1877400</v>
      </c>
      <c r="G120" s="149">
        <f>(SUM($D$118:G118)*$C$104/$C$106)+(SUM($D$118:G118)*$C$105/$C$107)</f>
        <v>2503200</v>
      </c>
      <c r="H120" s="149">
        <f>(SUM($D$118:H118)*$C$104/$C$106)+(SUM($D$118:H118)*$C$105/$C$107)</f>
        <v>3129000</v>
      </c>
      <c r="I120" s="149">
        <f>(SUM($D$118:I118)*$C$104/$C$106)+(SUM($D$118:I118)*$C$105/$C$107)</f>
        <v>3754800</v>
      </c>
      <c r="J120" s="149">
        <f>(SUM($D$118:J118)*$C$104/$C$106)+(SUM($D$118:J118)*$C$105/$C$107)</f>
        <v>4380600</v>
      </c>
      <c r="K120" s="149">
        <f>(SUM($D$118:K118)*$C$104/$C$106)+(SUM($D$118:K118)*$C$105/$C$107)</f>
        <v>5006400</v>
      </c>
      <c r="L120" s="149">
        <f>(SUM($D$118:L118)*$C$104/$C$106)+(SUM($D$118:L118)*$C$105/$C$107)</f>
        <v>5632200</v>
      </c>
      <c r="M120" s="149">
        <f>(SUM($D$118:M118)*$C$104/$C$106)+(SUM($D$118:M118)*$C$105/$C$107)</f>
        <v>6258000</v>
      </c>
      <c r="N120" s="149">
        <f>(SUM($D$118:N118)*$C$104/$C$106)+(SUM($D$118:N118)*$C$105/$C$107)</f>
        <v>6883800</v>
      </c>
      <c r="O120" s="149">
        <f>(SUM($D$118:O118)*$C$104/$C$106)+(SUM($D$118:O118)*$C$105/$C$107)</f>
        <v>7509600</v>
      </c>
      <c r="P120" s="149">
        <f>(SUM($D$118:P118)*$C$104/$C$106)+(SUM($D$118:P118)*$C$105/$C$107)</f>
        <v>8135400</v>
      </c>
      <c r="Q120" s="149">
        <f>(SUM($D$118:Q118)*$C$104/$C$106)+(SUM($D$118:Q118)*$C$105/$C$107)</f>
        <v>8761200</v>
      </c>
      <c r="R120" s="149">
        <f>(SUM($D$118:R118)*$C$104/$C$106)+(SUM($D$118:R118)*$C$105/$C$107)</f>
        <v>9387000</v>
      </c>
      <c r="S120" s="149">
        <f>(SUM($D$118:S118)*$C$104/$C$106)+(SUM($D$118:S118)*$C$105/$C$107)</f>
        <v>10012800</v>
      </c>
      <c r="T120" s="149">
        <f>(SUM($D$118:T118)*$C$104/$C$106)+(SUM($D$118:T118)*$C$105/$C$107)</f>
        <v>10638600</v>
      </c>
      <c r="U120" s="149">
        <f>(SUM($D$118:U118)*$C$104/$C$106)+(SUM($D$118:U118)*$C$105/$C$107)</f>
        <v>11264400</v>
      </c>
      <c r="V120" s="149">
        <f>(SUM($D$118:V118)*$C$104/$C$106)+(SUM($D$118:V118)*$C$105/$C$107)</f>
        <v>11890200</v>
      </c>
      <c r="W120" s="149">
        <f>(SUM($D$118:W118)*$C$104/$C$106)+(SUM($D$118:W118)*$C$105/$C$107)</f>
        <v>12516000</v>
      </c>
      <c r="X120" s="149">
        <f>(SUM($D$118:X118)*$C$104/$C$106)+(SUM($D$118:X118)*$C$105/$C$107)</f>
        <v>13141800</v>
      </c>
      <c r="Y120" s="149">
        <f>(SUM($D$118:Y118)*$C$104/$C$106)+(SUM($D$118:Y118)*$C$105/$C$107)</f>
        <v>13767600</v>
      </c>
      <c r="Z120" s="149">
        <f>(SUM($D$118:Z118)*$C$104/$C$106)+(SUM($D$118:Z118)*$C$105/$C$107)</f>
        <v>14393400</v>
      </c>
      <c r="AA120" s="149">
        <f>(SUM($D$118:AA118)*$C$104/$C$106)+(SUM($D$118:AA118)*$C$105/$C$107)</f>
        <v>15019200</v>
      </c>
      <c r="AB120" s="149">
        <f>(SUM($D$118:AB118)*$C$104/$C$106)+(SUM($D$118:AB118)*$C$105/$C$107)</f>
        <v>15645000</v>
      </c>
      <c r="AC120" s="149">
        <f>(SUM($D$118:AC118)*$C$104/$C$106)+(SUM($D$118:AC118)*$C$105/$C$107)</f>
        <v>16270800</v>
      </c>
      <c r="AD120" s="149">
        <f>(SUM($D$118:AD118)*$C$104/$C$106)+(SUM($D$118:AD118)*$C$105/$C$107)</f>
        <v>16896600</v>
      </c>
      <c r="AE120" s="149">
        <f>(SUM($D$118:AE118)*$C$104/$C$106)+(SUM($D$118:AE118)*$C$105/$C$107)</f>
        <v>17522400</v>
      </c>
      <c r="AF120" s="149">
        <f>(SUM($D$118:AF118)*$C$104/$C$106)+(SUM($D$118:AF118)*$C$105/$C$107)</f>
        <v>18148200</v>
      </c>
      <c r="AG120" s="149">
        <f>(SUM($D$118:AG118)*$C$104/$C$106)+(SUM($D$118:AG118)*$C$105/$C$107)</f>
        <v>18774000</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782250</v>
      </c>
      <c r="E122" s="72">
        <f>(SUM($D$118:E118)*$C$109)</f>
        <v>1564500</v>
      </c>
      <c r="F122" s="72">
        <f>(SUM($D$118:F118)*$C$109)</f>
        <v>2346750</v>
      </c>
      <c r="G122" s="72">
        <f>(SUM($D$118:G118)*$C$109)</f>
        <v>3129000</v>
      </c>
      <c r="H122" s="72">
        <f>(SUM($D$118:H118)*$C$109)</f>
        <v>3911250</v>
      </c>
      <c r="I122" s="72">
        <f>(SUM($D$118:I118)*$C$109)</f>
        <v>4693500</v>
      </c>
      <c r="J122" s="72">
        <f>(SUM($D$118:J118)*$C$109)</f>
        <v>5475750</v>
      </c>
      <c r="K122" s="72">
        <f>(SUM($D$118:K118)*$C$109)</f>
        <v>6258000</v>
      </c>
      <c r="L122" s="72">
        <f>(SUM($D$118:L118)*$C$109)</f>
        <v>7040250</v>
      </c>
      <c r="M122" s="72">
        <f>(SUM($D$118:M118)*$C$109)</f>
        <v>7822500</v>
      </c>
      <c r="N122" s="72">
        <f>(SUM($D$118:N118)*$C$109)</f>
        <v>8604750</v>
      </c>
      <c r="O122" s="72">
        <f>(SUM($D$118:O118)*$C$109)</f>
        <v>9387000</v>
      </c>
      <c r="P122" s="72">
        <f>(SUM($D$118:P118)*$C$109)</f>
        <v>10169250</v>
      </c>
      <c r="Q122" s="72">
        <f>(SUM($D$118:Q118)*$C$109)</f>
        <v>10951500</v>
      </c>
      <c r="R122" s="72">
        <f>(SUM($D$118:R118)*$C$109)</f>
        <v>11733750</v>
      </c>
      <c r="S122" s="72">
        <f>(SUM($D$118:S118)*$C$109)</f>
        <v>12516000</v>
      </c>
      <c r="T122" s="72">
        <f>(SUM($D$118:T118)*$C$109)</f>
        <v>13298250</v>
      </c>
      <c r="U122" s="72">
        <f>(SUM($D$118:U118)*$C$109)</f>
        <v>14080500</v>
      </c>
      <c r="V122" s="72">
        <f>(SUM($D$118:V118)*$C$109)</f>
        <v>14862750</v>
      </c>
      <c r="W122" s="72">
        <f>(SUM($D$118:W118)*$C$109)</f>
        <v>15645000</v>
      </c>
      <c r="X122" s="72">
        <f>(SUM($D$118:X118)*$C$109)</f>
        <v>16427250</v>
      </c>
      <c r="Y122" s="72">
        <f>(SUM($D$118:Y118)*$C$109)</f>
        <v>17209500</v>
      </c>
      <c r="Z122" s="72">
        <f>(SUM($D$118:Z118)*$C$109)</f>
        <v>17991750</v>
      </c>
      <c r="AA122" s="72">
        <f>(SUM($D$118:AA118)*$C$109)</f>
        <v>18774000</v>
      </c>
      <c r="AB122" s="72">
        <f>(SUM($D$118:AB118)*$C$109)</f>
        <v>19556250</v>
      </c>
      <c r="AC122" s="72">
        <f>(SUM($D$118:AC118)*$C$109)</f>
        <v>20338500</v>
      </c>
      <c r="AD122" s="72">
        <f>(SUM($D$118:AD118)*$C$109)</f>
        <v>21120750</v>
      </c>
      <c r="AE122" s="72">
        <f>(SUM($D$118:AE118)*$C$109)</f>
        <v>21903000</v>
      </c>
      <c r="AF122" s="72">
        <f>(SUM($D$118:AF118)*$C$109)</f>
        <v>22685250</v>
      </c>
      <c r="AG122" s="72">
        <f>(SUM($D$118:AG118)*$C$109)</f>
        <v>23467500</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11150</v>
      </c>
      <c r="D126" s="140"/>
    </row>
    <row r="127" spans="1:33" x14ac:dyDescent="0.35">
      <c r="A127" s="77" t="s">
        <v>151</v>
      </c>
      <c r="B127" s="77" t="s">
        <v>134</v>
      </c>
      <c r="C127" s="126">
        <v>11200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11175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4138.8888888888887</v>
      </c>
      <c r="D135" s="157">
        <f t="shared" ref="D135:AG135" si="14">$C$135*D13</f>
        <v>4146.7817434771505</v>
      </c>
      <c r="E135" s="157">
        <f t="shared" si="14"/>
        <v>4154.6896497266735</v>
      </c>
      <c r="F135" s="157">
        <f t="shared" si="14"/>
        <v>4162.6126363409521</v>
      </c>
      <c r="G135" s="157">
        <f t="shared" si="14"/>
        <v>4170.5507320782162</v>
      </c>
      <c r="H135" s="157">
        <f t="shared" si="14"/>
        <v>4178.5039657515417</v>
      </c>
      <c r="I135" s="157">
        <f t="shared" si="14"/>
        <v>4186.4723662289489</v>
      </c>
      <c r="J135" s="157">
        <f t="shared" si="14"/>
        <v>4194.455962433507</v>
      </c>
      <c r="K135" s="157">
        <f t="shared" si="14"/>
        <v>4202.4547833434453</v>
      </c>
      <c r="L135" s="157">
        <f t="shared" si="14"/>
        <v>4210.4688579922531</v>
      </c>
      <c r="M135" s="157">
        <f t="shared" si="14"/>
        <v>4218.4982154687859</v>
      </c>
      <c r="N135" s="157">
        <f t="shared" si="14"/>
        <v>4226.5428849173722</v>
      </c>
      <c r="O135" s="157">
        <f t="shared" si="14"/>
        <v>4234.6028955379188</v>
      </c>
      <c r="P135" s="157">
        <f t="shared" si="14"/>
        <v>4242.6782765860162</v>
      </c>
      <c r="Q135" s="157">
        <f t="shared" si="14"/>
        <v>4250.7690573730461</v>
      </c>
      <c r="R135" s="157">
        <f t="shared" si="14"/>
        <v>4258.8752672662858</v>
      </c>
      <c r="S135" s="157">
        <f t="shared" si="14"/>
        <v>4266.996935689016</v>
      </c>
      <c r="T135" s="157">
        <f t="shared" si="14"/>
        <v>4275.1340921206283</v>
      </c>
      <c r="U135" s="157">
        <f t="shared" si="14"/>
        <v>4283.2867660967331</v>
      </c>
      <c r="V135" s="157">
        <f t="shared" si="14"/>
        <v>4291.4549872092612</v>
      </c>
      <c r="W135" s="157">
        <f t="shared" si="14"/>
        <v>4299.6387851065774</v>
      </c>
      <c r="X135" s="157">
        <f t="shared" si="14"/>
        <v>4307.8381894935856</v>
      </c>
      <c r="Y135" s="157">
        <f t="shared" si="14"/>
        <v>4316.053230131839</v>
      </c>
      <c r="Z135" s="157">
        <f t="shared" si="14"/>
        <v>4324.2839368396426</v>
      </c>
      <c r="AA135" s="157">
        <f t="shared" si="14"/>
        <v>4332.5303394921657</v>
      </c>
      <c r="AB135" s="157">
        <f t="shared" si="14"/>
        <v>4340.792468021551</v>
      </c>
      <c r="AC135" s="157">
        <f t="shared" si="14"/>
        <v>4349.0703524170203</v>
      </c>
      <c r="AD135" s="157">
        <f t="shared" si="14"/>
        <v>4357.3640227249871</v>
      </c>
      <c r="AE135" s="157">
        <f t="shared" si="14"/>
        <v>4365.6735090491602</v>
      </c>
      <c r="AF135" s="157">
        <f t="shared" si="14"/>
        <v>4373.9988415506577</v>
      </c>
      <c r="AG135" s="157">
        <f t="shared" si="14"/>
        <v>4382.3400504481151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0.8</v>
      </c>
      <c r="F4" s="65">
        <v>0.75</v>
      </c>
      <c r="G4" s="65">
        <v>0.4</v>
      </c>
      <c r="H4" s="65">
        <v>0.2</v>
      </c>
      <c r="I4" s="65">
        <v>0.15</v>
      </c>
      <c r="J4" s="65">
        <v>0.1</v>
      </c>
      <c r="K4" s="65">
        <v>0.08</v>
      </c>
      <c r="L4" s="65">
        <v>7.0000000000000007E-2</v>
      </c>
      <c r="M4" s="65">
        <v>7.0000000000000007E-2</v>
      </c>
      <c r="N4" s="65">
        <v>7.0000000000000007E-2</v>
      </c>
      <c r="O4" s="65">
        <v>7.0000000000000007E-2</v>
      </c>
      <c r="P4" s="65">
        <v>7.0000000000000007E-2</v>
      </c>
      <c r="Q4" s="65">
        <v>0.06</v>
      </c>
      <c r="R4" s="65">
        <v>0.06</v>
      </c>
      <c r="S4" s="65">
        <v>0.06</v>
      </c>
      <c r="T4" s="65">
        <v>5.5E-2</v>
      </c>
      <c r="U4" s="65">
        <v>0.05</v>
      </c>
      <c r="V4" s="65">
        <v>0.05</v>
      </c>
      <c r="W4" s="65">
        <v>0.05</v>
      </c>
      <c r="X4" s="65">
        <v>0.05</v>
      </c>
      <c r="Y4" s="65">
        <v>0.05</v>
      </c>
      <c r="Z4" s="65">
        <v>0.05</v>
      </c>
      <c r="AA4" s="65">
        <v>0.05</v>
      </c>
      <c r="AB4" s="65">
        <v>0.05</v>
      </c>
      <c r="AC4" s="65">
        <v>0.05</v>
      </c>
      <c r="AD4" s="65">
        <v>0.05</v>
      </c>
      <c r="AE4" s="65">
        <v>0.05</v>
      </c>
      <c r="AF4" s="65">
        <v>0.05</v>
      </c>
      <c r="AG4" s="65">
        <v>0.05</v>
      </c>
      <c r="AH4" s="65">
        <v>0.04</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2.4936602560412511</v>
      </c>
      <c r="C6" s="25"/>
      <c r="D6" s="25"/>
      <c r="E6" s="27">
        <f>'Debt worksheet'!C5/'Profit and Loss'!C5</f>
        <v>2.2032418153089193</v>
      </c>
      <c r="F6" s="28">
        <f ca="1">'Debt worksheet'!D5/'Profit and Loss'!D5</f>
        <v>2.4852112249609255</v>
      </c>
      <c r="G6" s="28">
        <f ca="1">'Debt worksheet'!E5/'Profit and Loss'!E5</f>
        <v>2.4557669524527417</v>
      </c>
      <c r="H6" s="28">
        <f ca="1">'Debt worksheet'!F5/'Profit and Loss'!F5</f>
        <v>2.4660801235703329</v>
      </c>
      <c r="I6" s="28">
        <f ca="1">'Debt worksheet'!G5/'Profit and Loss'!G5</f>
        <v>2.443628459473326</v>
      </c>
      <c r="J6" s="28">
        <f ca="1">'Debt worksheet'!H5/'Profit and Loss'!H5</f>
        <v>2.4480273762497267</v>
      </c>
      <c r="K6" s="28">
        <f ca="1">'Debt worksheet'!I5/'Profit and Loss'!I5</f>
        <v>2.4619597883066366</v>
      </c>
      <c r="L6" s="28">
        <f ca="1">'Debt worksheet'!J5/'Profit and Loss'!J5</f>
        <v>2.4816022959749535</v>
      </c>
      <c r="M6" s="28">
        <f ca="1">'Debt worksheet'!K5/'Profit and Loss'!K5</f>
        <v>2.4924731084731415</v>
      </c>
      <c r="N6" s="28">
        <f ca="1">'Debt worksheet'!L5/'Profit and Loss'!L5</f>
        <v>2.4936602560412511</v>
      </c>
      <c r="O6" s="28">
        <f ca="1">'Debt worksheet'!M5/'Profit and Loss'!M5</f>
        <v>2.4844000479649533</v>
      </c>
      <c r="P6" s="28">
        <f ca="1">'Debt worksheet'!N5/'Profit and Loss'!N5</f>
        <v>2.4640641563699557</v>
      </c>
      <c r="Q6" s="28">
        <f ca="1">'Debt worksheet'!O5/'Profit and Loss'!O5</f>
        <v>2.4550923934850379</v>
      </c>
      <c r="R6" s="28">
        <f ca="1">'Debt worksheet'!P5/'Profit and Loss'!P5</f>
        <v>2.4427368297153027</v>
      </c>
      <c r="S6" s="28">
        <f ca="1">'Debt worksheet'!Q5/'Profit and Loss'!Q5</f>
        <v>2.4262099877658212</v>
      </c>
      <c r="T6" s="28">
        <f ca="1">'Debt worksheet'!R5/'Profit and Loss'!R5</f>
        <v>2.4162035295499451</v>
      </c>
      <c r="U6" s="28">
        <f ca="1">'Debt worksheet'!S5/'Profit and Loss'!S5</f>
        <v>2.4165891025216779</v>
      </c>
      <c r="V6" s="28">
        <f ca="1">'Debt worksheet'!T5/'Profit and Loss'!T5</f>
        <v>2.4198217254198928</v>
      </c>
      <c r="W6" s="28">
        <f ca="1">'Debt worksheet'!U5/'Profit and Loss'!U5</f>
        <v>2.4251616376201777</v>
      </c>
      <c r="X6" s="28">
        <f ca="1">'Debt worksheet'!V5/'Profit and Loss'!V5</f>
        <v>2.4319130352126659</v>
      </c>
      <c r="Y6" s="28">
        <f ca="1">'Debt worksheet'!W5/'Profit and Loss'!W5</f>
        <v>2.4394221704462611</v>
      </c>
      <c r="Z6" s="28">
        <f ca="1">'Debt worksheet'!X5/'Profit and Loss'!X5</f>
        <v>2.4470755228879777</v>
      </c>
      <c r="AA6" s="28">
        <f ca="1">'Debt worksheet'!Y5/'Profit and Loss'!Y5</f>
        <v>2.4542980397756953</v>
      </c>
      <c r="AB6" s="28">
        <f ca="1">'Debt worksheet'!Z5/'Profit and Loss'!Z5</f>
        <v>2.4605514431277467</v>
      </c>
      <c r="AC6" s="28">
        <f ca="1">'Debt worksheet'!AA5/'Profit and Loss'!AA5</f>
        <v>2.4653326012550929</v>
      </c>
      <c r="AD6" s="28">
        <f ca="1">'Debt worksheet'!AB5/'Profit and Loss'!AB5</f>
        <v>2.4681719624014624</v>
      </c>
      <c r="AE6" s="28">
        <f ca="1">'Debt worksheet'!AC5/'Profit and Loss'!AC5</f>
        <v>2.4686320483138235</v>
      </c>
      <c r="AF6" s="28">
        <f ca="1">'Debt worksheet'!AD5/'Profit and Loss'!AD5</f>
        <v>2.4663060056200172</v>
      </c>
      <c r="AG6" s="28">
        <f ca="1">'Debt worksheet'!AE5/'Profit and Loss'!AE5</f>
        <v>2.4608162129623845</v>
      </c>
      <c r="AH6" s="28">
        <f ca="1">'Debt worksheet'!AF5/'Profit and Loss'!AF5</f>
        <v>2.4753880663472381</v>
      </c>
      <c r="AI6" s="31"/>
    </row>
    <row r="7" spans="1:35" ht="21" x14ac:dyDescent="0.5">
      <c r="A7" s="19" t="s">
        <v>39</v>
      </c>
      <c r="B7" s="26">
        <f ca="1">MIN('Price and Financial ratios'!E7:AH7)</f>
        <v>0.20997097109953045</v>
      </c>
      <c r="C7" s="26"/>
      <c r="D7" s="26"/>
      <c r="E7" s="56">
        <f ca="1">'Cash Flow'!C7/'Debt worksheet'!C5</f>
        <v>0.20997097109953045</v>
      </c>
      <c r="F7" s="32">
        <f ca="1">'Cash Flow'!D7/'Debt worksheet'!D5</f>
        <v>0.24707079616460914</v>
      </c>
      <c r="G7" s="32">
        <f ca="1">'Cash Flow'!E7/'Debt worksheet'!E5</f>
        <v>0.27401374188205407</v>
      </c>
      <c r="H7" s="32">
        <f ca="1">'Cash Flow'!F7/'Debt worksheet'!F5</f>
        <v>0.27825064023061485</v>
      </c>
      <c r="I7" s="32">
        <f ca="1">'Cash Flow'!G7/'Debt worksheet'!G5</f>
        <v>0.28321017045863434</v>
      </c>
      <c r="J7" s="32">
        <f ca="1">'Cash Flow'!H7/'Debt worksheet'!H5</f>
        <v>0.28097713612601249</v>
      </c>
      <c r="K7" s="32">
        <f ca="1">'Cash Flow'!I7/'Debt worksheet'!I5</f>
        <v>0.27634532147223029</v>
      </c>
      <c r="L7" s="32">
        <f ca="1">'Cash Flow'!J7/'Debt worksheet'!J5</f>
        <v>0.2706612455653914</v>
      </c>
      <c r="M7" s="17">
        <f ca="1">'Cash Flow'!K7/'Debt worksheet'!K5</f>
        <v>0.26665271102350174</v>
      </c>
      <c r="N7" s="17">
        <f ca="1">'Cash Flow'!L7/'Debt worksheet'!L5</f>
        <v>0.26432352205775417</v>
      </c>
      <c r="O7" s="17">
        <f ca="1">'Cash Flow'!M7/'Debt worksheet'!M5</f>
        <v>0.26369693976779551</v>
      </c>
      <c r="P7" s="17">
        <f ca="1">'Cash Flow'!N7/'Debt worksheet'!N5</f>
        <v>0.26482396029133853</v>
      </c>
      <c r="Q7" s="17">
        <f ca="1">'Cash Flow'!O7/'Debt worksheet'!O5</f>
        <v>0.26381012140243437</v>
      </c>
      <c r="R7" s="17">
        <f ca="1">'Cash Flow'!P7/'Debt worksheet'!P5</f>
        <v>0.26352946769488966</v>
      </c>
      <c r="S7" s="17">
        <f ca="1">'Cash Flow'!Q7/'Debt worksheet'!Q5</f>
        <v>0.26406787588329955</v>
      </c>
      <c r="T7" s="17">
        <f ca="1">'Cash Flow'!R7/'Debt worksheet'!R5</f>
        <v>0.26348029696673753</v>
      </c>
      <c r="U7" s="17">
        <f ca="1">'Cash Flow'!S7/'Debt worksheet'!S5</f>
        <v>0.26123534468517995</v>
      </c>
      <c r="V7" s="17">
        <f ca="1">'Cash Flow'!T7/'Debt worksheet'!T5</f>
        <v>0.25886914807860456</v>
      </c>
      <c r="W7" s="17">
        <f ca="1">'Cash Flow'!U7/'Debt worksheet'!U5</f>
        <v>0.25646881679370864</v>
      </c>
      <c r="X7" s="17">
        <f ca="1">'Cash Flow'!V7/'Debt worksheet'!V5</f>
        <v>0.25411336907713139</v>
      </c>
      <c r="Y7" s="17">
        <f ca="1">'Cash Flow'!W7/'Debt worksheet'!W5</f>
        <v>0.25187367167644442</v>
      </c>
      <c r="Z7" s="17">
        <f ca="1">'Cash Flow'!X7/'Debt worksheet'!X5</f>
        <v>0.24981283642617289</v>
      </c>
      <c r="AA7" s="17">
        <f ca="1">'Cash Flow'!Y7/'Debt worksheet'!Y5</f>
        <v>0.24798694865532517</v>
      </c>
      <c r="AB7" s="17">
        <f ca="1">'Cash Flow'!Z7/'Debt worksheet'!Z5</f>
        <v>0.24644602127773491</v>
      </c>
      <c r="AC7" s="17">
        <f ca="1">'Cash Flow'!AA7/'Debt worksheet'!AA5</f>
        <v>0.24523509120926709</v>
      </c>
      <c r="AD7" s="17">
        <f ca="1">'Cash Flow'!AB7/'Debt worksheet'!AB5</f>
        <v>0.24439539810045022</v>
      </c>
      <c r="AE7" s="17">
        <f ca="1">'Cash Flow'!AC7/'Debt worksheet'!AC5</f>
        <v>0.24396560721497162</v>
      </c>
      <c r="AF7" s="17">
        <f ca="1">'Cash Flow'!AD7/'Debt worksheet'!AD5</f>
        <v>0.24398305771089102</v>
      </c>
      <c r="AG7" s="17">
        <f ca="1">'Cash Flow'!AE7/'Debt worksheet'!AE5</f>
        <v>0.24448503451767042</v>
      </c>
      <c r="AH7" s="17">
        <f ca="1">'Cash Flow'!AF7/'Debt worksheet'!AF5</f>
        <v>0.24148479732349631</v>
      </c>
      <c r="AI7" s="29"/>
    </row>
    <row r="8" spans="1:35" ht="21" x14ac:dyDescent="0.5">
      <c r="A8" s="19" t="s">
        <v>34</v>
      </c>
      <c r="B8" s="26">
        <f ca="1">MAX('Price and Financial ratios'!E8:AH8)</f>
        <v>0.64347468847073808</v>
      </c>
      <c r="C8" s="26"/>
      <c r="D8" s="176"/>
      <c r="E8" s="17">
        <f>'Balance Sheet'!B11/'Balance Sheet'!B8</f>
        <v>0.31936926131836962</v>
      </c>
      <c r="F8" s="17">
        <f ca="1">'Balance Sheet'!C11/'Balance Sheet'!C8</f>
        <v>0.61986588033666334</v>
      </c>
      <c r="G8" s="17">
        <f ca="1">'Balance Sheet'!D11/'Balance Sheet'!D8</f>
        <v>0.64347468847073808</v>
      </c>
      <c r="H8" s="17">
        <f ca="1">'Balance Sheet'!E11/'Balance Sheet'!E8</f>
        <v>0.61713088639740188</v>
      </c>
      <c r="I8" s="17">
        <f ca="1">'Balance Sheet'!F11/'Balance Sheet'!F8</f>
        <v>0.58131153554558324</v>
      </c>
      <c r="J8" s="17">
        <f ca="1">'Balance Sheet'!G11/'Balance Sheet'!G8</f>
        <v>0.54372290414916202</v>
      </c>
      <c r="K8" s="17">
        <f ca="1">'Balance Sheet'!H11/'Balance Sheet'!H8</f>
        <v>0.5111334824039595</v>
      </c>
      <c r="L8" s="17">
        <f ca="1">'Balance Sheet'!I11/'Balance Sheet'!I8</f>
        <v>0.48433214245339434</v>
      </c>
      <c r="M8" s="17">
        <f ca="1">'Balance Sheet'!J11/'Balance Sheet'!J8</f>
        <v>0.4627536037689618</v>
      </c>
      <c r="N8" s="17">
        <f ca="1">'Balance Sheet'!K11/'Balance Sheet'!K8</f>
        <v>0.44467438697074008</v>
      </c>
      <c r="O8" s="17">
        <f ca="1">'Balance Sheet'!L11/'Balance Sheet'!L8</f>
        <v>0.42891046017806134</v>
      </c>
      <c r="P8" s="17">
        <f ca="1">'Balance Sheet'!M11/'Balance Sheet'!M8</f>
        <v>0.41461119267771773</v>
      </c>
      <c r="Q8" s="17">
        <f ca="1">'Balance Sheet'!N11/'Balance Sheet'!N8</f>
        <v>0.40114043232034918</v>
      </c>
      <c r="R8" s="17">
        <f ca="1">'Balance Sheet'!O11/'Balance Sheet'!O8</f>
        <v>0.38947221489222106</v>
      </c>
      <c r="S8" s="17">
        <f ca="1">'Balance Sheet'!P11/'Balance Sheet'!P8</f>
        <v>0.37910068027139338</v>
      </c>
      <c r="T8" s="17">
        <f ca="1">'Balance Sheet'!Q11/'Balance Sheet'!Q8</f>
        <v>0.36962487942272088</v>
      </c>
      <c r="U8" s="17">
        <f ca="1">'Balance Sheet'!R11/'Balance Sheet'!R8</f>
        <v>0.3614175529350066</v>
      </c>
      <c r="V8" s="17">
        <f ca="1">'Balance Sheet'!S11/'Balance Sheet'!S8</f>
        <v>0.35485512237880323</v>
      </c>
      <c r="W8" s="17">
        <f ca="1">'Balance Sheet'!T11/'Balance Sheet'!T8</f>
        <v>0.34963784615002691</v>
      </c>
      <c r="X8" s="17">
        <f ca="1">'Balance Sheet'!U11/'Balance Sheet'!U8</f>
        <v>0.34551765990310612</v>
      </c>
      <c r="Y8" s="17">
        <f ca="1">'Balance Sheet'!V11/'Balance Sheet'!V8</f>
        <v>0.34228634176954714</v>
      </c>
      <c r="Z8" s="17">
        <f ca="1">'Balance Sheet'!W11/'Balance Sheet'!W8</f>
        <v>0.33976673687108827</v>
      </c>
      <c r="AA8" s="17">
        <f ca="1">'Balance Sheet'!X11/'Balance Sheet'!X8</f>
        <v>0.33780615540983794</v>
      </c>
      <c r="AB8" s="17">
        <f ca="1">'Balance Sheet'!Y11/'Balance Sheet'!Y8</f>
        <v>0.33627134002025316</v>
      </c>
      <c r="AC8" s="17">
        <f ca="1">'Balance Sheet'!Z11/'Balance Sheet'!Z8</f>
        <v>0.33504458273108634</v>
      </c>
      <c r="AD8" s="17">
        <f ca="1">'Balance Sheet'!AA11/'Balance Sheet'!AA8</f>
        <v>0.33402069540166168</v>
      </c>
      <c r="AE8" s="17">
        <f ca="1">'Balance Sheet'!AB11/'Balance Sheet'!AB8</f>
        <v>0.33310462156483484</v>
      </c>
      <c r="AF8" s="17">
        <f ca="1">'Balance Sheet'!AC11/'Balance Sheet'!AC8</f>
        <v>0.33220953574770662</v>
      </c>
      <c r="AG8" s="17">
        <f ca="1">'Balance Sheet'!AD11/'Balance Sheet'!AD8</f>
        <v>0.3312553171421731</v>
      </c>
      <c r="AH8" s="17">
        <f ca="1">'Balance Sheet'!AE11/'Balance Sheet'!AE8</f>
        <v>0.33016731352122763</v>
      </c>
      <c r="AI8" s="29"/>
    </row>
    <row r="9" spans="1:35" ht="21.5" thickBot="1" x14ac:dyDescent="0.55000000000000004">
      <c r="A9" s="20" t="s">
        <v>33</v>
      </c>
      <c r="B9" s="21">
        <f ca="1">MIN('Price and Financial ratios'!E9:AH9)</f>
        <v>4.0333645885256031</v>
      </c>
      <c r="C9" s="21"/>
      <c r="D9" s="177"/>
      <c r="E9" s="21">
        <f ca="1">('Cash Flow'!C7+'Profit and Loss'!C8)/('Profit and Loss'!C8)</f>
        <v>4.0333645885256031</v>
      </c>
      <c r="F9" s="21">
        <f ca="1">('Cash Flow'!D7+'Profit and Loss'!D8)/('Profit and Loss'!D8)</f>
        <v>6.0930047389762816</v>
      </c>
      <c r="G9" s="21">
        <f ca="1">('Cash Flow'!E7+'Profit and Loss'!E8)/('Profit and Loss'!E8)</f>
        <v>7.4844868020369066</v>
      </c>
      <c r="H9" s="21">
        <f ca="1">('Cash Flow'!F7+'Profit and Loss'!F8)/('Profit and Loss'!F8)</f>
        <v>7.9632964636899839</v>
      </c>
      <c r="I9" s="21">
        <f ca="1">('Cash Flow'!G7+'Profit and Loss'!G8)/('Profit and Loss'!G8)</f>
        <v>8.328913736180569</v>
      </c>
      <c r="J9" s="21">
        <f ca="1">('Cash Flow'!H7+'Profit and Loss'!H8)/('Profit and Loss'!H8)</f>
        <v>8.3771240526038859</v>
      </c>
      <c r="K9" s="21">
        <f ca="1">('Cash Flow'!I7+'Profit and Loss'!I8)/('Profit and Loss'!I8)</f>
        <v>8.3067064054193569</v>
      </c>
      <c r="L9" s="21">
        <f ca="1">('Cash Flow'!J7+'Profit and Loss'!J8)/('Profit and Loss'!J8)</f>
        <v>8.1820519923872777</v>
      </c>
      <c r="M9" s="21">
        <f ca="1">('Cash Flow'!K7+'Profit and Loss'!K8)/('Profit and Loss'!K8)</f>
        <v>8.1032969253899196</v>
      </c>
      <c r="N9" s="21">
        <f ca="1">('Cash Flow'!L7+'Profit and Loss'!L8)/('Profit and Loss'!L8)</f>
        <v>8.0708615700588187</v>
      </c>
      <c r="O9" s="21">
        <f ca="1">('Cash Flow'!M7+'Profit and Loss'!M8)/('Profit and Loss'!M8)</f>
        <v>8.0859058113011546</v>
      </c>
      <c r="P9" s="21">
        <f ca="1">('Cash Flow'!N7+'Profit and Loss'!N8)/('Profit and Loss'!N8)</f>
        <v>8.1505611767873898</v>
      </c>
      <c r="Q9" s="21">
        <f ca="1">('Cash Flow'!O7+'Profit and Loss'!O8)/('Profit and Loss'!O8)</f>
        <v>8.1331489746275629</v>
      </c>
      <c r="R9" s="21">
        <f ca="1">('Cash Flow'!P7+'Profit and Loss'!P8)/('Profit and Loss'!P8)</f>
        <v>8.1379936812086804</v>
      </c>
      <c r="S9" s="21">
        <f ca="1">('Cash Flow'!Q7+'Profit and Loss'!Q8)/('Profit and Loss'!Q8)</f>
        <v>8.16741464420444</v>
      </c>
      <c r="T9" s="21">
        <f ca="1">('Cash Flow'!R7+'Profit and Loss'!R8)/('Profit and Loss'!R8)</f>
        <v>8.1547438877839991</v>
      </c>
      <c r="U9" s="21">
        <f ca="1">('Cash Flow'!S7+'Profit and Loss'!S8)/('Profit and Loss'!S8)</f>
        <v>8.0854367151198918</v>
      </c>
      <c r="V9" s="21">
        <f ca="1">('Cash Flow'!T7+'Profit and Loss'!T8)/('Profit and Loss'!T8)</f>
        <v>8.0151703687196498</v>
      </c>
      <c r="W9" s="21">
        <f ca="1">('Cash Flow'!U7+'Profit and Loss'!U8)/('Profit and Loss'!U8)</f>
        <v>7.9461229092660233</v>
      </c>
      <c r="X9" s="21">
        <f ca="1">('Cash Flow'!V7+'Profit and Loss'!V8)/('Profit and Loss'!V8)</f>
        <v>7.8802439101147899</v>
      </c>
      <c r="Y9" s="21">
        <f ca="1">('Cash Flow'!W7+'Profit and Loss'!W8)/('Profit and Loss'!W8)</f>
        <v>7.8192657127067351</v>
      </c>
      <c r="Z9" s="21">
        <f ca="1">('Cash Flow'!X7+'Profit and Loss'!X8)/('Profit and Loss'!X8)</f>
        <v>7.7647238003092927</v>
      </c>
      <c r="AA9" s="21">
        <f ca="1">('Cash Flow'!Y7+'Profit and Loss'!Y8)/('Profit and Loss'!Y8)</f>
        <v>7.7179833390424681</v>
      </c>
      <c r="AB9" s="21">
        <f ca="1">('Cash Flow'!Z7+'Profit and Loss'!Z8)/('Profit and Loss'!Z8)</f>
        <v>7.6802695705305828</v>
      </c>
      <c r="AC9" s="21">
        <f ca="1">('Cash Flow'!AA7+'Profit and Loss'!AA8)/('Profit and Loss'!AA8)</f>
        <v>7.6527003892898628</v>
      </c>
      <c r="AD9" s="21">
        <f ca="1">('Cash Flow'!AB7+'Profit and Loss'!AB8)/('Profit and Loss'!AB8)</f>
        <v>7.6363200431381362</v>
      </c>
      <c r="AE9" s="21">
        <f ca="1">('Cash Flow'!AC7+'Profit and Loss'!AC8)/('Profit and Loss'!AC8)</f>
        <v>7.6321334314277713</v>
      </c>
      <c r="AF9" s="21">
        <f ca="1">('Cash Flow'!AD7+'Profit and Loss'!AD8)/('Profit and Loss'!AD8)</f>
        <v>7.6411409418241041</v>
      </c>
      <c r="AG9" s="21">
        <f ca="1">('Cash Flow'!AE7+'Profit and Loss'!AE8)/('Profit and Loss'!AE8)</f>
        <v>7.6643741754009467</v>
      </c>
      <c r="AH9" s="21">
        <f ca="1">('Cash Flow'!AF7+'Profit and Loss'!AF8)/('Profit and Loss'!AF8)</f>
        <v>7.5677722373206713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2312451.4270321005</v>
      </c>
      <c r="D5" s="1">
        <f>Assumptions!E111</f>
        <v>2312451.4270321005</v>
      </c>
      <c r="E5" s="1">
        <f>Assumptions!F111</f>
        <v>2312451.4270321005</v>
      </c>
      <c r="F5" s="1">
        <f>Assumptions!G111</f>
        <v>2312451.4270321005</v>
      </c>
      <c r="G5" s="1">
        <f>Assumptions!H111</f>
        <v>2312451.4270321005</v>
      </c>
      <c r="H5" s="1">
        <f>Assumptions!I111</f>
        <v>2312451.4270321005</v>
      </c>
      <c r="I5" s="1">
        <f>Assumptions!J111</f>
        <v>2312451.4270321005</v>
      </c>
      <c r="J5" s="1">
        <f>Assumptions!K111</f>
        <v>2312451.4270321005</v>
      </c>
      <c r="K5" s="1">
        <f>Assumptions!L111</f>
        <v>2312451.4270321005</v>
      </c>
      <c r="L5" s="1">
        <f>Assumptions!M111</f>
        <v>2312451.4270321005</v>
      </c>
      <c r="M5" s="1">
        <f>Assumptions!N111</f>
        <v>2312451.4270321005</v>
      </c>
      <c r="N5" s="1">
        <f>Assumptions!O111</f>
        <v>2312451.4270321005</v>
      </c>
      <c r="O5" s="1">
        <f>Assumptions!P111</f>
        <v>2312451.4270321005</v>
      </c>
      <c r="P5" s="1">
        <f>Assumptions!Q111</f>
        <v>2312451.4270321005</v>
      </c>
      <c r="Q5" s="1">
        <f>Assumptions!R111</f>
        <v>2312451.4270321005</v>
      </c>
      <c r="R5" s="1">
        <f>Assumptions!S111</f>
        <v>2312451.4270321005</v>
      </c>
      <c r="S5" s="1">
        <f>Assumptions!T111</f>
        <v>2312451.4270321005</v>
      </c>
      <c r="T5" s="1">
        <f>Assumptions!U111</f>
        <v>2312451.4270321005</v>
      </c>
      <c r="U5" s="1">
        <f>Assumptions!V111</f>
        <v>2312451.4270321005</v>
      </c>
      <c r="V5" s="1">
        <f>Assumptions!W111</f>
        <v>2312451.4270321005</v>
      </c>
      <c r="W5" s="1">
        <f>Assumptions!X111</f>
        <v>2312451.4270321005</v>
      </c>
      <c r="X5" s="1">
        <f>Assumptions!Y111</f>
        <v>2312451.4270321005</v>
      </c>
      <c r="Y5" s="1">
        <f>Assumptions!Z111</f>
        <v>2312451.4270321005</v>
      </c>
      <c r="Z5" s="1">
        <f>Assumptions!AA111</f>
        <v>2312451.4270321005</v>
      </c>
      <c r="AA5" s="1">
        <f>Assumptions!AB111</f>
        <v>2312451.4270321005</v>
      </c>
      <c r="AB5" s="1">
        <f>Assumptions!AC111</f>
        <v>2312451.4270321005</v>
      </c>
      <c r="AC5" s="1">
        <f>Assumptions!AD111</f>
        <v>2312451.4270321005</v>
      </c>
      <c r="AD5" s="1">
        <f>Assumptions!AE111</f>
        <v>2312451.4270321005</v>
      </c>
      <c r="AE5" s="1">
        <f>Assumptions!AF111</f>
        <v>2312451.4270321005</v>
      </c>
      <c r="AF5" s="1">
        <f>Assumptions!AG111</f>
        <v>2312451.4270321005</v>
      </c>
    </row>
    <row r="6" spans="1:32" x14ac:dyDescent="0.35">
      <c r="A6" t="s">
        <v>69</v>
      </c>
      <c r="C6" s="1">
        <f>Assumptions!D113</f>
        <v>26075000</v>
      </c>
      <c r="D6" s="1">
        <f>Assumptions!E113</f>
        <v>26075000</v>
      </c>
      <c r="E6" s="1">
        <f>Assumptions!F113</f>
        <v>26075000</v>
      </c>
      <c r="F6" s="1">
        <f>Assumptions!G113</f>
        <v>26075000</v>
      </c>
      <c r="G6" s="1">
        <f>Assumptions!H113</f>
        <v>26075000</v>
      </c>
      <c r="H6" s="1">
        <f>Assumptions!I113</f>
        <v>26075000</v>
      </c>
      <c r="I6" s="1">
        <f>Assumptions!J113</f>
        <v>26075000</v>
      </c>
      <c r="J6" s="1">
        <f>Assumptions!K113</f>
        <v>26075000</v>
      </c>
      <c r="K6" s="1">
        <f>Assumptions!L113</f>
        <v>26075000</v>
      </c>
      <c r="L6" s="1">
        <f>Assumptions!M113</f>
        <v>26075000</v>
      </c>
      <c r="M6" s="1">
        <f>Assumptions!N113</f>
        <v>26075000</v>
      </c>
      <c r="N6" s="1">
        <f>Assumptions!O113</f>
        <v>26075000</v>
      </c>
      <c r="O6" s="1">
        <f>Assumptions!P113</f>
        <v>26075000</v>
      </c>
      <c r="P6" s="1">
        <f>Assumptions!Q113</f>
        <v>26075000</v>
      </c>
      <c r="Q6" s="1">
        <f>Assumptions!R113</f>
        <v>26075000</v>
      </c>
      <c r="R6" s="1">
        <f>Assumptions!S113</f>
        <v>26075000</v>
      </c>
      <c r="S6" s="1">
        <f>Assumptions!T113</f>
        <v>26075000</v>
      </c>
      <c r="T6" s="1">
        <f>Assumptions!U113</f>
        <v>26075000</v>
      </c>
      <c r="U6" s="1">
        <f>Assumptions!V113</f>
        <v>26075000</v>
      </c>
      <c r="V6" s="1">
        <f>Assumptions!W113</f>
        <v>26075000</v>
      </c>
      <c r="W6" s="1">
        <f>Assumptions!X113</f>
        <v>26075000</v>
      </c>
      <c r="X6" s="1">
        <f>Assumptions!Y113</f>
        <v>26075000</v>
      </c>
      <c r="Y6" s="1">
        <f>Assumptions!Z113</f>
        <v>26075000</v>
      </c>
      <c r="Z6" s="1">
        <f>Assumptions!AA113</f>
        <v>26075000</v>
      </c>
      <c r="AA6" s="1">
        <f>Assumptions!AB113</f>
        <v>26075000</v>
      </c>
      <c r="AB6" s="1">
        <f>Assumptions!AC113</f>
        <v>26075000</v>
      </c>
      <c r="AC6" s="1">
        <f>Assumptions!AD113</f>
        <v>26075000</v>
      </c>
      <c r="AD6" s="1">
        <f>Assumptions!AE113</f>
        <v>26075000</v>
      </c>
      <c r="AE6" s="1">
        <f>Assumptions!AF113</f>
        <v>26075000</v>
      </c>
      <c r="AF6" s="1">
        <f>Assumptions!AG113</f>
        <v>26075000</v>
      </c>
    </row>
    <row r="7" spans="1:32" x14ac:dyDescent="0.35">
      <c r="A7" t="s">
        <v>74</v>
      </c>
      <c r="C7" s="1">
        <f>Assumptions!D120</f>
        <v>625800</v>
      </c>
      <c r="D7" s="1">
        <f>Assumptions!E120</f>
        <v>1251600</v>
      </c>
      <c r="E7" s="1">
        <f>Assumptions!F120</f>
        <v>1877400</v>
      </c>
      <c r="F7" s="1">
        <f>Assumptions!G120</f>
        <v>2503200</v>
      </c>
      <c r="G7" s="1">
        <f>Assumptions!H120</f>
        <v>3129000</v>
      </c>
      <c r="H7" s="1">
        <f>Assumptions!I120</f>
        <v>3754800</v>
      </c>
      <c r="I7" s="1">
        <f>Assumptions!J120</f>
        <v>4380600</v>
      </c>
      <c r="J7" s="1">
        <f>Assumptions!K120</f>
        <v>5006400</v>
      </c>
      <c r="K7" s="1">
        <f>Assumptions!L120</f>
        <v>5632200</v>
      </c>
      <c r="L7" s="1">
        <f>Assumptions!M120</f>
        <v>6258000</v>
      </c>
      <c r="M7" s="1">
        <f>Assumptions!N120</f>
        <v>6883800</v>
      </c>
      <c r="N7" s="1">
        <f>Assumptions!O120</f>
        <v>7509600</v>
      </c>
      <c r="O7" s="1">
        <f>Assumptions!P120</f>
        <v>8135400</v>
      </c>
      <c r="P7" s="1">
        <f>Assumptions!Q120</f>
        <v>8761200</v>
      </c>
      <c r="Q7" s="1">
        <f>Assumptions!R120</f>
        <v>9387000</v>
      </c>
      <c r="R7" s="1">
        <f>Assumptions!S120</f>
        <v>10012800</v>
      </c>
      <c r="S7" s="1">
        <f>Assumptions!T120</f>
        <v>10638600</v>
      </c>
      <c r="T7" s="1">
        <f>Assumptions!U120</f>
        <v>11264400</v>
      </c>
      <c r="U7" s="1">
        <f>Assumptions!V120</f>
        <v>11890200</v>
      </c>
      <c r="V7" s="1">
        <f>Assumptions!W120</f>
        <v>12516000</v>
      </c>
      <c r="W7" s="1">
        <f>Assumptions!X120</f>
        <v>13141800</v>
      </c>
      <c r="X7" s="1">
        <f>Assumptions!Y120</f>
        <v>13767600</v>
      </c>
      <c r="Y7" s="1">
        <f>Assumptions!Z120</f>
        <v>14393400</v>
      </c>
      <c r="Z7" s="1">
        <f>Assumptions!AA120</f>
        <v>15019200</v>
      </c>
      <c r="AA7" s="1">
        <f>Assumptions!AB120</f>
        <v>15645000</v>
      </c>
      <c r="AB7" s="1">
        <f>Assumptions!AC120</f>
        <v>16270800</v>
      </c>
      <c r="AC7" s="1">
        <f>Assumptions!AD120</f>
        <v>16896600</v>
      </c>
      <c r="AD7" s="1">
        <f>Assumptions!AE120</f>
        <v>17522400</v>
      </c>
      <c r="AE7" s="1">
        <f>Assumptions!AF120</f>
        <v>18148200</v>
      </c>
      <c r="AF7" s="1">
        <f>Assumptions!AG120</f>
        <v>18774000</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2386449.872697128</v>
      </c>
      <c r="D11" s="1">
        <f>D5*D$9</f>
        <v>2462816.2686234359</v>
      </c>
      <c r="E11" s="1">
        <f t="shared" ref="D11:AF13" si="1">E5*E$9</f>
        <v>2541626.3892193856</v>
      </c>
      <c r="F11" s="1">
        <f t="shared" si="1"/>
        <v>2622958.4336744058</v>
      </c>
      <c r="G11" s="1">
        <f t="shared" si="1"/>
        <v>2706893.1035519871</v>
      </c>
      <c r="H11" s="1">
        <f t="shared" si="1"/>
        <v>2793513.6828656504</v>
      </c>
      <c r="I11" s="1">
        <f t="shared" si="1"/>
        <v>2882906.1207173509</v>
      </c>
      <c r="J11" s="1">
        <f t="shared" si="1"/>
        <v>2975159.1165803066</v>
      </c>
      <c r="K11" s="1">
        <f t="shared" si="1"/>
        <v>3070364.2083108765</v>
      </c>
      <c r="L11" s="1">
        <f t="shared" si="1"/>
        <v>3168615.8629768244</v>
      </c>
      <c r="M11" s="1">
        <f t="shared" si="1"/>
        <v>3270011.5705920826</v>
      </c>
      <c r="N11" s="1">
        <f t="shared" si="1"/>
        <v>3374651.9408510295</v>
      </c>
      <c r="O11" s="1">
        <f t="shared" si="1"/>
        <v>3482640.8029582626</v>
      </c>
      <c r="P11" s="1">
        <f t="shared" si="1"/>
        <v>3594085.3086529262</v>
      </c>
      <c r="Q11" s="1">
        <f t="shared" si="1"/>
        <v>3709096.0385298193</v>
      </c>
      <c r="R11" s="1">
        <f t="shared" si="1"/>
        <v>3827787.1117627746</v>
      </c>
      <c r="S11" s="1">
        <f t="shared" si="1"/>
        <v>3950276.2993391836</v>
      </c>
      <c r="T11" s="1">
        <f t="shared" si="1"/>
        <v>4076685.1409180369</v>
      </c>
      <c r="U11" s="1">
        <f t="shared" si="1"/>
        <v>4207139.0654274132</v>
      </c>
      <c r="V11" s="1">
        <f t="shared" si="1"/>
        <v>4341767.5155210914</v>
      </c>
      <c r="W11" s="1">
        <f t="shared" si="1"/>
        <v>4480704.0760177672</v>
      </c>
      <c r="X11" s="1">
        <f t="shared" si="1"/>
        <v>4624086.6064503351</v>
      </c>
      <c r="Y11" s="1">
        <f t="shared" si="1"/>
        <v>4772057.3778567445</v>
      </c>
      <c r="Z11" s="1">
        <f t="shared" si="1"/>
        <v>4924763.2139481604</v>
      </c>
      <c r="AA11" s="1">
        <f t="shared" si="1"/>
        <v>5082355.6367945028</v>
      </c>
      <c r="AB11" s="1">
        <f t="shared" si="1"/>
        <v>5244991.0171719259</v>
      </c>
      <c r="AC11" s="1">
        <f t="shared" si="1"/>
        <v>5412830.7297214279</v>
      </c>
      <c r="AD11" s="1">
        <f t="shared" si="1"/>
        <v>5586041.3130725138</v>
      </c>
      <c r="AE11" s="1">
        <f t="shared" si="1"/>
        <v>5764794.6350908345</v>
      </c>
      <c r="AF11" s="1">
        <f t="shared" si="1"/>
        <v>5949268.0634137401</v>
      </c>
    </row>
    <row r="12" spans="1:32" x14ac:dyDescent="0.35">
      <c r="A12" t="s">
        <v>72</v>
      </c>
      <c r="C12" s="1">
        <f t="shared" ref="C12:R12" si="2">C6*C$9</f>
        <v>26909400</v>
      </c>
      <c r="D12" s="1">
        <f t="shared" si="2"/>
        <v>27770500.800000001</v>
      </c>
      <c r="E12" s="1">
        <f t="shared" si="2"/>
        <v>28659156.825599998</v>
      </c>
      <c r="F12" s="1">
        <f t="shared" si="2"/>
        <v>29576249.844019197</v>
      </c>
      <c r="G12" s="1">
        <f t="shared" si="2"/>
        <v>30522689.839027815</v>
      </c>
      <c r="H12" s="1">
        <f t="shared" si="2"/>
        <v>31499415.913876701</v>
      </c>
      <c r="I12" s="1">
        <f t="shared" si="2"/>
        <v>32507397.223120753</v>
      </c>
      <c r="J12" s="1">
        <f t="shared" si="2"/>
        <v>33547633.934260622</v>
      </c>
      <c r="K12" s="1">
        <f t="shared" si="2"/>
        <v>34621158.22015696</v>
      </c>
      <c r="L12" s="1">
        <f t="shared" si="2"/>
        <v>35729035.283201985</v>
      </c>
      <c r="M12" s="1">
        <f t="shared" si="2"/>
        <v>36872364.412264444</v>
      </c>
      <c r="N12" s="1">
        <f t="shared" si="2"/>
        <v>38052280.073456906</v>
      </c>
      <c r="O12" s="1">
        <f t="shared" si="2"/>
        <v>39269953.035807535</v>
      </c>
      <c r="P12" s="1">
        <f t="shared" si="2"/>
        <v>40526591.532953367</v>
      </c>
      <c r="Q12" s="1">
        <f t="shared" si="2"/>
        <v>41823442.462007865</v>
      </c>
      <c r="R12" s="1">
        <f t="shared" si="2"/>
        <v>43161792.620792128</v>
      </c>
      <c r="S12" s="1">
        <f t="shared" si="1"/>
        <v>44542969.984657481</v>
      </c>
      <c r="T12" s="1">
        <f t="shared" si="1"/>
        <v>45968345.024166517</v>
      </c>
      <c r="U12" s="1">
        <f t="shared" si="1"/>
        <v>47439332.064939834</v>
      </c>
      <c r="V12" s="1">
        <f t="shared" si="1"/>
        <v>48957390.691017918</v>
      </c>
      <c r="W12" s="1">
        <f t="shared" si="1"/>
        <v>50524027.193130501</v>
      </c>
      <c r="X12" s="1">
        <f t="shared" si="1"/>
        <v>52140796.063310668</v>
      </c>
      <c r="Y12" s="1">
        <f t="shared" si="1"/>
        <v>53809301.537336595</v>
      </c>
      <c r="Z12" s="1">
        <f t="shared" si="1"/>
        <v>55531199.186531372</v>
      </c>
      <c r="AA12" s="1">
        <f t="shared" si="1"/>
        <v>57308197.560500391</v>
      </c>
      <c r="AB12" s="1">
        <f t="shared" si="1"/>
        <v>59142059.882436395</v>
      </c>
      <c r="AC12" s="1">
        <f t="shared" si="1"/>
        <v>61034605.798674352</v>
      </c>
      <c r="AD12" s="1">
        <f t="shared" si="1"/>
        <v>62987713.184231937</v>
      </c>
      <c r="AE12" s="1">
        <f t="shared" si="1"/>
        <v>65003320.006127357</v>
      </c>
      <c r="AF12" s="1">
        <f t="shared" si="1"/>
        <v>67083426.246323429</v>
      </c>
    </row>
    <row r="13" spans="1:32" x14ac:dyDescent="0.35">
      <c r="A13" t="s">
        <v>75</v>
      </c>
      <c r="C13" s="1">
        <f>C7*C$9</f>
        <v>645825.6</v>
      </c>
      <c r="D13" s="1">
        <f t="shared" si="1"/>
        <v>1332984.0384</v>
      </c>
      <c r="E13" s="1">
        <f t="shared" si="1"/>
        <v>2063459.2914431999</v>
      </c>
      <c r="F13" s="1">
        <f t="shared" si="1"/>
        <v>2839319.9850258431</v>
      </c>
      <c r="G13" s="1">
        <f t="shared" si="1"/>
        <v>3662722.7806833377</v>
      </c>
      <c r="H13" s="1">
        <f t="shared" si="1"/>
        <v>4535915.8915982451</v>
      </c>
      <c r="I13" s="1">
        <f t="shared" si="1"/>
        <v>5461242.7334842859</v>
      </c>
      <c r="J13" s="1">
        <f t="shared" si="1"/>
        <v>6441145.7153780395</v>
      </c>
      <c r="K13" s="1">
        <f t="shared" si="1"/>
        <v>7478170.1755539039</v>
      </c>
      <c r="L13" s="1">
        <f t="shared" si="1"/>
        <v>8574968.4679684751</v>
      </c>
      <c r="M13" s="1">
        <f t="shared" si="1"/>
        <v>9734304.204837814</v>
      </c>
      <c r="N13" s="1">
        <f t="shared" si="1"/>
        <v>10959056.661155589</v>
      </c>
      <c r="O13" s="1">
        <f t="shared" si="1"/>
        <v>12252225.347171949</v>
      </c>
      <c r="P13" s="1">
        <f t="shared" si="1"/>
        <v>13616934.755072331</v>
      </c>
      <c r="Q13" s="1">
        <f t="shared" si="1"/>
        <v>15056439.286322832</v>
      </c>
      <c r="R13" s="1">
        <f t="shared" si="1"/>
        <v>16574128.366384178</v>
      </c>
      <c r="S13" s="1">
        <f t="shared" si="1"/>
        <v>18173531.753740251</v>
      </c>
      <c r="T13" s="1">
        <f t="shared" si="1"/>
        <v>19858325.050439935</v>
      </c>
      <c r="U13" s="1">
        <f t="shared" si="1"/>
        <v>21632335.421612564</v>
      </c>
      <c r="V13" s="1">
        <f t="shared" si="1"/>
        <v>23499547.531688601</v>
      </c>
      <c r="W13" s="1">
        <f t="shared" si="1"/>
        <v>25464109.70533777</v>
      </c>
      <c r="X13" s="1">
        <f t="shared" si="1"/>
        <v>27530340.321428031</v>
      </c>
      <c r="Y13" s="1">
        <f t="shared" si="1"/>
        <v>29702734.448609803</v>
      </c>
      <c r="Z13" s="1">
        <f t="shared" si="1"/>
        <v>31985970.731442071</v>
      </c>
      <c r="AA13" s="1">
        <f t="shared" si="1"/>
        <v>34384918.536300234</v>
      </c>
      <c r="AB13" s="1">
        <f t="shared" si="1"/>
        <v>36904645.366640307</v>
      </c>
      <c r="AC13" s="1">
        <f t="shared" si="1"/>
        <v>39550424.557540983</v>
      </c>
      <c r="AD13" s="1">
        <f t="shared" si="1"/>
        <v>42327743.259803861</v>
      </c>
      <c r="AE13" s="1">
        <f t="shared" si="1"/>
        <v>45242310.724264644</v>
      </c>
      <c r="AF13" s="1">
        <f t="shared" si="1"/>
        <v>48300066.897352867</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29941675.472697131</v>
      </c>
      <c r="D25" s="40">
        <f>SUM(D11:D13,D18:D23)</f>
        <v>31566301.10702344</v>
      </c>
      <c r="E25" s="40">
        <f t="shared" ref="E25:AF25" si="7">SUM(E11:E13,E18:E23)</f>
        <v>33264242.506262582</v>
      </c>
      <c r="F25" s="40">
        <f t="shared" si="7"/>
        <v>35038528.262719445</v>
      </c>
      <c r="G25" s="40">
        <f t="shared" si="7"/>
        <v>36892305.723263137</v>
      </c>
      <c r="H25" s="40">
        <f t="shared" si="7"/>
        <v>38828845.488340601</v>
      </c>
      <c r="I25" s="40">
        <f t="shared" si="7"/>
        <v>40851546.077322386</v>
      </c>
      <c r="J25" s="40">
        <f t="shared" si="7"/>
        <v>42963938.766218968</v>
      </c>
      <c r="K25" s="40">
        <f t="shared" si="7"/>
        <v>45169692.604021743</v>
      </c>
      <c r="L25" s="40">
        <f t="shared" si="7"/>
        <v>47472619.614147291</v>
      </c>
      <c r="M25" s="40">
        <f t="shared" si="7"/>
        <v>49876680.187694341</v>
      </c>
      <c r="N25" s="40">
        <f t="shared" si="7"/>
        <v>52385988.675463527</v>
      </c>
      <c r="O25" s="40">
        <f t="shared" si="7"/>
        <v>55004819.185937747</v>
      </c>
      <c r="P25" s="40">
        <f t="shared" si="7"/>
        <v>57737611.596678622</v>
      </c>
      <c r="Q25" s="40">
        <f t="shared" si="7"/>
        <v>60588977.786860518</v>
      </c>
      <c r="R25" s="40">
        <f t="shared" si="7"/>
        <v>63563708.098939084</v>
      </c>
      <c r="S25" s="40">
        <f t="shared" si="7"/>
        <v>66666778.037736915</v>
      </c>
      <c r="T25" s="40">
        <f t="shared" si="7"/>
        <v>69903355.215524495</v>
      </c>
      <c r="U25" s="40">
        <f t="shared" si="7"/>
        <v>73278806.55197981</v>
      </c>
      <c r="V25" s="40">
        <f t="shared" si="7"/>
        <v>76798705.738227606</v>
      </c>
      <c r="W25" s="40">
        <f t="shared" si="7"/>
        <v>80468840.974486038</v>
      </c>
      <c r="X25" s="40">
        <f t="shared" si="7"/>
        <v>84295222.991189033</v>
      </c>
      <c r="Y25" s="40">
        <f t="shared" si="7"/>
        <v>88284093.363803148</v>
      </c>
      <c r="Z25" s="40">
        <f t="shared" si="7"/>
        <v>92441933.131921604</v>
      </c>
      <c r="AA25" s="40">
        <f t="shared" si="7"/>
        <v>96775471.733595133</v>
      </c>
      <c r="AB25" s="40">
        <f t="shared" si="7"/>
        <v>101291696.26624863</v>
      </c>
      <c r="AC25" s="40">
        <f t="shared" si="7"/>
        <v>105997861.08593675</v>
      </c>
      <c r="AD25" s="40">
        <f t="shared" si="7"/>
        <v>110901497.75710832</v>
      </c>
      <c r="AE25" s="40">
        <f t="shared" si="7"/>
        <v>116010425.36548284</v>
      </c>
      <c r="AF25" s="40">
        <f t="shared" si="7"/>
        <v>121332761.20709005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11442146.138854623</v>
      </c>
      <c r="D5" s="59">
        <f>C5*('Price and Financial ratios'!F4+1)*(1+Assumptions!$C$13)</f>
        <v>20061941.013640236</v>
      </c>
      <c r="E5" s="59">
        <f>D5*('Price and Financial ratios'!G4+1)*(1+Assumptions!$C$13)</f>
        <v>28140278.744950149</v>
      </c>
      <c r="F5" s="59">
        <f>E5*('Price and Financial ratios'!H4+1)*(1+Assumptions!$C$13)</f>
        <v>33832730.654601552</v>
      </c>
      <c r="G5" s="59">
        <f>F5*('Price and Financial ratios'!I4+1)*(1+Assumptions!$C$13)</f>
        <v>38981837.061435796</v>
      </c>
      <c r="H5" s="59">
        <f>G5*('Price and Financial ratios'!J4+1)*(1+Assumptions!$C$13)</f>
        <v>42961792.899604648</v>
      </c>
      <c r="I5" s="59">
        <f>H5*('Price and Financial ratios'!K4+1)*(1+Assumptions!$C$13)</f>
        <v>46487218.648633376</v>
      </c>
      <c r="J5" s="59">
        <f>I5*('Price and Financial ratios'!L4+1)*(1+Assumptions!$C$13)</f>
        <v>49836180.580426224</v>
      </c>
      <c r="K5" s="59">
        <f>J5*('Price and Financial ratios'!M4+1)*(1+Assumptions!$C$13)</f>
        <v>53426403.365129381</v>
      </c>
      <c r="L5" s="59">
        <f>K5*('Price and Financial ratios'!N4+1)*(1+Assumptions!$C$13)</f>
        <v>57275267.552397497</v>
      </c>
      <c r="M5" s="59">
        <f>L5*('Price and Financial ratios'!O4+1)*(1+Assumptions!$C$13)</f>
        <v>61401405.79516948</v>
      </c>
      <c r="N5" s="59">
        <f>M5*('Price and Financial ratios'!P4+1)*(1+Assumptions!$C$13)</f>
        <v>65824793.051800549</v>
      </c>
      <c r="O5" s="59">
        <f>N5*('Price and Financial ratios'!Q4+1)*(1+Assumptions!$C$13)</f>
        <v>69907340.078115761</v>
      </c>
      <c r="P5" s="59">
        <f>O5*('Price and Financial ratios'!R4+1)*(1+Assumptions!$C$13)</f>
        <v>74243092.461399719</v>
      </c>
      <c r="Q5" s="59">
        <f>P5*('Price and Financial ratios'!S4+1)*(1+Assumptions!$C$13)</f>
        <v>78847754.357020244</v>
      </c>
      <c r="R5" s="59">
        <f>Q5*('Price and Financial ratios'!T4+1)*(1+Assumptions!$C$13)</f>
        <v>83343013.32983315</v>
      </c>
      <c r="S5" s="59">
        <f>R5*('Price and Financial ratios'!U4+1)*(1+Assumptions!$C$13)</f>
        <v>87677045.741150633</v>
      </c>
      <c r="T5" s="59">
        <f>S5*('Price and Financial ratios'!V4+1)*(1+Assumptions!$C$13)</f>
        <v>92236458.015660867</v>
      </c>
      <c r="U5" s="59">
        <f>T5*('Price and Financial ratios'!W4+1)*(1+Assumptions!$C$13)</f>
        <v>97032970.435519621</v>
      </c>
      <c r="V5" s="59">
        <f>U5*('Price and Financial ratios'!X4+1)*(1+Assumptions!$C$13)</f>
        <v>102078912.76507799</v>
      </c>
      <c r="W5" s="59">
        <f>V5*('Price and Financial ratios'!Y4+1)*(1+Assumptions!$C$13)</f>
        <v>107387255.9453879</v>
      </c>
      <c r="X5" s="59">
        <f>W5*('Price and Financial ratios'!Z4+1)*(1+Assumptions!$C$13)</f>
        <v>112971645.4368962</v>
      </c>
      <c r="Y5" s="59">
        <f>X5*('Price and Financial ratios'!AA4+1)*(1+Assumptions!$C$13)</f>
        <v>118846436.29603726</v>
      </c>
      <c r="Z5" s="59">
        <f>Y5*('Price and Financial ratios'!AB4+1)*(1+Assumptions!$C$13)</f>
        <v>125026730.07589062</v>
      </c>
      <c r="AA5" s="59">
        <f>Z5*('Price and Financial ratios'!AC4+1)*(1+Assumptions!$C$13)</f>
        <v>131528413.64575964</v>
      </c>
      <c r="AB5" s="59">
        <f>AA5*('Price and Financial ratios'!AD4+1)*(1+Assumptions!$C$13)</f>
        <v>138368200.02945933</v>
      </c>
      <c r="AC5" s="59">
        <f>AB5*('Price and Financial ratios'!AE4+1)*(1+Assumptions!$C$13)</f>
        <v>145563671.367291</v>
      </c>
      <c r="AD5" s="59">
        <f>AC5*('Price and Financial ratios'!AF4+1)*(1+Assumptions!$C$13)</f>
        <v>153133324.11214057</v>
      </c>
      <c r="AE5" s="59">
        <f>AD5*('Price and Financial ratios'!AG4+1)*(1+Assumptions!$C$13)</f>
        <v>161096616.57588005</v>
      </c>
      <c r="AF5" s="59">
        <f>AE5*('Price and Financial ratios'!AH4+1)*(1+Assumptions!$C$13)</f>
        <v>167859980.67259571</v>
      </c>
    </row>
    <row r="6" spans="1:32" s="11" customFormat="1" x14ac:dyDescent="0.35">
      <c r="A6" s="11" t="s">
        <v>20</v>
      </c>
      <c r="C6" s="59">
        <f>C27</f>
        <v>4403781.202704085</v>
      </c>
      <c r="D6" s="59">
        <f t="shared" ref="D6:AF6" si="1">D27</f>
        <v>5324736.6495580021</v>
      </c>
      <c r="E6" s="59">
        <f>E27</f>
        <v>6284096.3966825027</v>
      </c>
      <c r="F6" s="59">
        <f t="shared" si="1"/>
        <v>7283104.818731403</v>
      </c>
      <c r="G6" s="59">
        <f t="shared" si="1"/>
        <v>8323042.4630142953</v>
      </c>
      <c r="H6" s="59">
        <f t="shared" si="1"/>
        <v>9405227.0390041303</v>
      </c>
      <c r="I6" s="59">
        <f t="shared" si="1"/>
        <v>10531014.433880052</v>
      </c>
      <c r="J6" s="59">
        <f t="shared" si="1"/>
        <v>11701799.75477227</v>
      </c>
      <c r="K6" s="59">
        <f t="shared" si="1"/>
        <v>12919018.398392398</v>
      </c>
      <c r="L6" s="59">
        <f t="shared" si="1"/>
        <v>14184147.148749914</v>
      </c>
      <c r="M6" s="59">
        <f t="shared" si="1"/>
        <v>15498705.30367294</v>
      </c>
      <c r="N6" s="59">
        <f t="shared" si="1"/>
        <v>16864255.830869526</v>
      </c>
      <c r="O6" s="59">
        <f t="shared" si="1"/>
        <v>18282406.554284208</v>
      </c>
      <c r="P6" s="59">
        <f t="shared" si="1"/>
        <v>19754811.371523235</v>
      </c>
      <c r="Q6" s="59">
        <f t="shared" si="1"/>
        <v>21283171.503141653</v>
      </c>
      <c r="R6" s="59">
        <f t="shared" si="1"/>
        <v>22869236.774604823</v>
      </c>
      <c r="S6" s="59">
        <f t="shared" si="1"/>
        <v>24514806.931757741</v>
      </c>
      <c r="T6" s="59">
        <f t="shared" si="1"/>
        <v>26221732.990656022</v>
      </c>
      <c r="U6" s="59">
        <f t="shared" si="1"/>
        <v>27991918.622633994</v>
      </c>
      <c r="V6" s="59">
        <f t="shared" si="1"/>
        <v>29827321.575507082</v>
      </c>
      <c r="W6" s="59">
        <f t="shared" si="1"/>
        <v>31729955.131828286</v>
      </c>
      <c r="X6" s="59">
        <f t="shared" si="1"/>
        <v>33701889.605141319</v>
      </c>
      <c r="Y6" s="59">
        <f t="shared" si="1"/>
        <v>35745253.875196606</v>
      </c>
      <c r="Z6" s="59">
        <f t="shared" si="1"/>
        <v>37862236.963120617</v>
      </c>
      <c r="AA6" s="59">
        <f t="shared" si="1"/>
        <v>40055089.647553355</v>
      </c>
      <c r="AB6" s="59">
        <f t="shared" si="1"/>
        <v>42326126.122794732</v>
      </c>
      <c r="AC6" s="59">
        <f t="shared" si="1"/>
        <v>44677725.700025782</v>
      </c>
      <c r="AD6" s="59">
        <f t="shared" si="1"/>
        <v>47112334.552697949</v>
      </c>
      <c r="AE6" s="59">
        <f t="shared" si="1"/>
        <v>49632467.507210441</v>
      </c>
      <c r="AF6" s="59">
        <f t="shared" si="1"/>
        <v>52240709.880023919</v>
      </c>
    </row>
    <row r="7" spans="1:32" x14ac:dyDescent="0.35">
      <c r="A7" t="s">
        <v>21</v>
      </c>
      <c r="C7" s="4">
        <f>Depreciation!C8+Depreciation!C9</f>
        <v>3032275.4726971281</v>
      </c>
      <c r="D7" s="4">
        <f>Depreciation!D8+Depreciation!D9</f>
        <v>3795800.3070234358</v>
      </c>
      <c r="E7" s="4">
        <f>Depreciation!E8+Depreciation!E9</f>
        <v>4605085.6806625854</v>
      </c>
      <c r="F7" s="4">
        <f>Depreciation!F8+Depreciation!F9</f>
        <v>5462278.4187002489</v>
      </c>
      <c r="G7" s="4">
        <f>Depreciation!G8+Depreciation!G9</f>
        <v>6369615.8842353243</v>
      </c>
      <c r="H7" s="4">
        <f>Depreciation!H8+Depreciation!H9</f>
        <v>7329429.5744638955</v>
      </c>
      <c r="I7" s="4">
        <f>Depreciation!I8+Depreciation!I9</f>
        <v>8344148.8542016372</v>
      </c>
      <c r="J7" s="4">
        <f>Depreciation!J8+Depreciation!J9</f>
        <v>9416304.8319583461</v>
      </c>
      <c r="K7" s="4">
        <f>Depreciation!K8+Depreciation!K9</f>
        <v>10548534.383864781</v>
      </c>
      <c r="L7" s="4">
        <f>Depreciation!L8+Depreciation!L9</f>
        <v>11743584.3309453</v>
      </c>
      <c r="M7" s="4">
        <f>Depreciation!M8+Depreciation!M9</f>
        <v>13004315.775429897</v>
      </c>
      <c r="N7" s="4">
        <f>Depreciation!N8+Depreciation!N9</f>
        <v>14333708.602006618</v>
      </c>
      <c r="O7" s="4">
        <f>Depreciation!O8+Depreciation!O9</f>
        <v>15734866.150130212</v>
      </c>
      <c r="P7" s="4">
        <f>Depreciation!P8+Depreciation!P9</f>
        <v>17211020.063725255</v>
      </c>
      <c r="Q7" s="4">
        <f>Depreciation!Q8+Depreciation!Q9</f>
        <v>18765535.324852653</v>
      </c>
      <c r="R7" s="4">
        <f>Depreciation!R8+Depreciation!R9</f>
        <v>20401915.478146952</v>
      </c>
      <c r="S7" s="4">
        <f>Depreciation!S8+Depreciation!S9</f>
        <v>22123808.053079434</v>
      </c>
      <c r="T7" s="4">
        <f>Depreciation!T8+Depreciation!T9</f>
        <v>23935010.19135797</v>
      </c>
      <c r="U7" s="4">
        <f>Depreciation!U8+Depreciation!U9</f>
        <v>25839474.487039976</v>
      </c>
      <c r="V7" s="4">
        <f>Depreciation!V8+Depreciation!V9</f>
        <v>27841315.047209691</v>
      </c>
      <c r="W7" s="4">
        <f>Depreciation!W8+Depreciation!W9</f>
        <v>29944813.781355537</v>
      </c>
      <c r="X7" s="4">
        <f>Depreciation!X8+Depreciation!X9</f>
        <v>32154426.927878365</v>
      </c>
      <c r="Y7" s="4">
        <f>Depreciation!Y8+Depreciation!Y9</f>
        <v>34474791.826466545</v>
      </c>
      <c r="Z7" s="4">
        <f>Depreciation!Z8+Depreciation!Z9</f>
        <v>36910733.945390232</v>
      </c>
      <c r="AA7" s="4">
        <f>Depreciation!AA8+Depreciation!AA9</f>
        <v>39467274.173094735</v>
      </c>
      <c r="AB7" s="4">
        <f>Depreciation!AB8+Depreciation!AB9</f>
        <v>42149636.383812234</v>
      </c>
      <c r="AC7" s="4">
        <f>Depreciation!AC8+Depreciation!AC9</f>
        <v>44963255.28726241</v>
      </c>
      <c r="AD7" s="4">
        <f>Depreciation!AD8+Depreciation!AD9</f>
        <v>47913784.572876379</v>
      </c>
      <c r="AE7" s="4">
        <f>Depreciation!AE8+Depreciation!AE9</f>
        <v>51007105.359355479</v>
      </c>
      <c r="AF7" s="4">
        <f>Depreciation!AF8+Depreciation!AF9</f>
        <v>54249334.960766606</v>
      </c>
    </row>
    <row r="8" spans="1:32" x14ac:dyDescent="0.35">
      <c r="A8" t="s">
        <v>6</v>
      </c>
      <c r="C8" s="4">
        <f ca="1">'Debt worksheet'!C8</f>
        <v>1745035.6350560943</v>
      </c>
      <c r="D8" s="4">
        <f ca="1">'Debt worksheet'!D8</f>
        <v>2418708.8301129914</v>
      </c>
      <c r="E8" s="4">
        <f ca="1">'Debt worksheet'!E8</f>
        <v>2920197.8607697557</v>
      </c>
      <c r="F8" s="4">
        <f ca="1">'Debt worksheet'!F8</f>
        <v>3333999.4256056799</v>
      </c>
      <c r="G8" s="4">
        <f ca="1">'Debt worksheet'!G8</f>
        <v>3681007.5802851161</v>
      </c>
      <c r="H8" s="4">
        <f ca="1">'Debt worksheet'!H8</f>
        <v>4005738.2044103821</v>
      </c>
      <c r="I8" s="4">
        <f ca="1">'Debt worksheet'!I8</f>
        <v>4328575.3052852843</v>
      </c>
      <c r="J8" s="4">
        <f ca="1">'Debt worksheet'!J8</f>
        <v>4660735.578450839</v>
      </c>
      <c r="K8" s="4">
        <f ca="1">'Debt worksheet'!K8</f>
        <v>4998877.0422339952</v>
      </c>
      <c r="L8" s="4">
        <f ca="1">'Debt worksheet'!L8</f>
        <v>5339097.942592212</v>
      </c>
      <c r="M8" s="4">
        <f ca="1">'Debt worksheet'!M8</f>
        <v>5676877.9605794149</v>
      </c>
      <c r="N8" s="4">
        <f ca="1">'Debt worksheet'!N8</f>
        <v>6007014.2606093818</v>
      </c>
      <c r="O8" s="4">
        <f ca="1">'Debt worksheet'!O8</f>
        <v>6347471.7707596878</v>
      </c>
      <c r="P8" s="4">
        <f ca="1">'Debt worksheet'!P8</f>
        <v>6695542.3196868002</v>
      </c>
      <c r="Q8" s="4">
        <f ca="1">'Debt worksheet'!Q8</f>
        <v>7048078.9039804842</v>
      </c>
      <c r="R8" s="4">
        <f ca="1">'Debt worksheet'!R8</f>
        <v>7415778.7647775766</v>
      </c>
      <c r="S8" s="4">
        <f ca="1">'Debt worksheet'!S8</f>
        <v>7811852.4743726607</v>
      </c>
      <c r="T8" s="4">
        <f ca="1">'Debt worksheet'!T8</f>
        <v>8236222.3119594278</v>
      </c>
      <c r="U8" s="4">
        <f ca="1">'Debt worksheet'!U8</f>
        <v>8688646.3500805441</v>
      </c>
      <c r="V8" s="4">
        <f ca="1">'Debt worksheet'!V8</f>
        <v>9168699.8541798219</v>
      </c>
      <c r="W8" s="4">
        <f ca="1">'Debt worksheet'!W8</f>
        <v>9675755.1915152799</v>
      </c>
      <c r="X8" s="4">
        <f ca="1">'Debt worksheet'!X8</f>
        <v>10208960.147249196</v>
      </c>
      <c r="Y8" s="4">
        <f ca="1">'Debt worksheet'!Y8</f>
        <v>10767214.539122159</v>
      </c>
      <c r="Z8" s="4">
        <f ca="1">'Debt worksheet'!Z8</f>
        <v>11349145.015328977</v>
      </c>
      <c r="AA8" s="4">
        <f ca="1">'Debt worksheet'!AA8</f>
        <v>11953077.913023407</v>
      </c>
      <c r="AB8" s="4">
        <f ca="1">'Debt worksheet'!AB8</f>
        <v>12577010.047263056</v>
      </c>
      <c r="AC8" s="4">
        <f ca="1">'Debt worksheet'!AC8</f>
        <v>13218577.292141512</v>
      </c>
      <c r="AD8" s="4">
        <f ca="1">'Debt worksheet'!AD8</f>
        <v>13875020.807315867</v>
      </c>
      <c r="AE8" s="4">
        <f ca="1">'Debt worksheet'!AE8</f>
        <v>14543150.754097752</v>
      </c>
      <c r="AF8" s="4">
        <f ca="1">'Debt worksheet'!AF8</f>
        <v>15277847.584047556</v>
      </c>
    </row>
    <row r="9" spans="1:32" x14ac:dyDescent="0.35">
      <c r="A9" t="s">
        <v>22</v>
      </c>
      <c r="C9" s="4">
        <f ca="1">C5-C6-C7-C8</f>
        <v>2261053.8283973155</v>
      </c>
      <c r="D9" s="4">
        <f t="shared" ref="D9:AF9" ca="1" si="2">D5-D6-D7-D8</f>
        <v>8522695.2269458063</v>
      </c>
      <c r="E9" s="4">
        <f t="shared" ca="1" si="2"/>
        <v>14330898.806835301</v>
      </c>
      <c r="F9" s="4">
        <f t="shared" ca="1" si="2"/>
        <v>17753347.991564218</v>
      </c>
      <c r="G9" s="4">
        <f t="shared" ca="1" si="2"/>
        <v>20608171.13390106</v>
      </c>
      <c r="H9" s="4">
        <f t="shared" ca="1" si="2"/>
        <v>22221398.081726238</v>
      </c>
      <c r="I9" s="4">
        <f t="shared" ca="1" si="2"/>
        <v>23283480.055266403</v>
      </c>
      <c r="J9" s="4">
        <f t="shared" ca="1" si="2"/>
        <v>24057340.415244769</v>
      </c>
      <c r="K9" s="4">
        <f t="shared" ca="1" si="2"/>
        <v>24959973.540638208</v>
      </c>
      <c r="L9" s="4">
        <f t="shared" ca="1" si="2"/>
        <v>26008438.130110078</v>
      </c>
      <c r="M9" s="4">
        <f t="shared" ca="1" si="2"/>
        <v>27221506.75548723</v>
      </c>
      <c r="N9" s="4">
        <f t="shared" ca="1" si="2"/>
        <v>28619814.358315028</v>
      </c>
      <c r="O9" s="4">
        <f t="shared" ca="1" si="2"/>
        <v>29542595.602941655</v>
      </c>
      <c r="P9" s="4">
        <f t="shared" ca="1" si="2"/>
        <v>30581718.706464432</v>
      </c>
      <c r="Q9" s="4">
        <f t="shared" ca="1" si="2"/>
        <v>31750968.625045449</v>
      </c>
      <c r="R9" s="4">
        <f t="shared" ca="1" si="2"/>
        <v>32656082.312303789</v>
      </c>
      <c r="S9" s="4">
        <f t="shared" ca="1" si="2"/>
        <v>33226578.281940795</v>
      </c>
      <c r="T9" s="4">
        <f t="shared" ca="1" si="2"/>
        <v>33843492.521687448</v>
      </c>
      <c r="U9" s="4">
        <f t="shared" ca="1" si="2"/>
        <v>34512930.975765109</v>
      </c>
      <c r="V9" s="4">
        <f t="shared" ca="1" si="2"/>
        <v>35241576.288181387</v>
      </c>
      <c r="W9" s="4">
        <f t="shared" ca="1" si="2"/>
        <v>36036731.840688802</v>
      </c>
      <c r="X9" s="4">
        <f t="shared" ca="1" si="2"/>
        <v>36906368.756627336</v>
      </c>
      <c r="Y9" s="4">
        <f t="shared" ca="1" si="2"/>
        <v>37859176.055251949</v>
      </c>
      <c r="Z9" s="4">
        <f t="shared" ca="1" si="2"/>
        <v>38904614.152050778</v>
      </c>
      <c r="AA9" s="4">
        <f t="shared" ca="1" si="2"/>
        <v>40052971.912088148</v>
      </c>
      <c r="AB9" s="4">
        <f t="shared" ca="1" si="2"/>
        <v>41315427.475589305</v>
      </c>
      <c r="AC9" s="4">
        <f t="shared" ca="1" si="2"/>
        <v>42704113.0878613</v>
      </c>
      <c r="AD9" s="4">
        <f t="shared" ca="1" si="2"/>
        <v>44232184.17925036</v>
      </c>
      <c r="AE9" s="4">
        <f t="shared" ca="1" si="2"/>
        <v>45913892.955216385</v>
      </c>
      <c r="AF9" s="4">
        <f t="shared" ca="1" si="2"/>
        <v>46092088.247757621</v>
      </c>
    </row>
    <row r="12" spans="1:32" x14ac:dyDescent="0.35">
      <c r="A12" t="s">
        <v>80</v>
      </c>
      <c r="C12" s="2">
        <f>Assumptions!$C$25*Assumptions!D9*Assumptions!D13</f>
        <v>3604321.7027040846</v>
      </c>
      <c r="D12" s="2">
        <f>Assumptions!$C$25*Assumptions!E9*Assumptions!E13</f>
        <v>3690641.4315580018</v>
      </c>
      <c r="E12" s="2">
        <f>Assumptions!$C$25*Assumptions!F9*Assumptions!F13</f>
        <v>3779028.4274885026</v>
      </c>
      <c r="F12" s="2">
        <f>Assumptions!$C$25*Assumptions!G9*Assumptions!G13</f>
        <v>3869532.1993763782</v>
      </c>
      <c r="G12" s="2">
        <f>Assumptions!$C$25*Assumptions!H9*Assumptions!H13</f>
        <v>3962203.4417882529</v>
      </c>
      <c r="H12" s="2">
        <f>Assumptions!$C$25*Assumptions!I9*Assumptions!I13</f>
        <v>4057094.063372511</v>
      </c>
      <c r="I12" s="2">
        <f>Assumptions!$C$25*Assumptions!J9*Assumptions!J13</f>
        <v>4154257.2159352847</v>
      </c>
      <c r="J12" s="2">
        <f>Assumptions!$C$25*Assumptions!K9*Assumptions!K13</f>
        <v>4253747.3242127812</v>
      </c>
      <c r="K12" s="2">
        <f>Assumptions!$C$25*Assumptions!L9*Assumptions!L13</f>
        <v>4355620.1163566271</v>
      </c>
      <c r="L12" s="2">
        <f>Assumptions!$C$25*Assumptions!M9*Assumptions!M13</f>
        <v>4459932.6551492931</v>
      </c>
      <c r="M12" s="2">
        <f>Assumptions!$C$25*Assumptions!N9*Assumptions!N13</f>
        <v>4566743.3699671188</v>
      </c>
      <c r="N12" s="2">
        <f>Assumptions!$C$25*Assumptions!O9*Assumptions!O13</f>
        <v>4676112.0895087849</v>
      </c>
      <c r="O12" s="2">
        <f>Assumptions!$C$25*Assumptions!P9*Assumptions!P13</f>
        <v>4788100.0753076375</v>
      </c>
      <c r="P12" s="2">
        <f>Assumptions!$C$25*Assumptions!Q9*Assumptions!Q13</f>
        <v>4902770.0560465651</v>
      </c>
      <c r="Q12" s="2">
        <f>Assumptions!$C$25*Assumptions!R9*Assumptions!R13</f>
        <v>5020186.2626946969</v>
      </c>
      <c r="R12" s="2">
        <f>Assumptions!$C$25*Assumptions!S9*Assumptions!S13</f>
        <v>5140414.4644855792</v>
      </c>
      <c r="S12" s="2">
        <f>Assumptions!$C$25*Assumptions!T9*Assumptions!T13</f>
        <v>5263522.0057570087</v>
      </c>
      <c r="T12" s="2">
        <f>Assumptions!$C$25*Assumptions!U9*Assumptions!U13</f>
        <v>5389577.8436731147</v>
      </c>
      <c r="U12" s="2">
        <f>Assumptions!$C$25*Assumptions!V9*Assumptions!V13</f>
        <v>5518652.586849873</v>
      </c>
      <c r="V12" s="2">
        <f>Assumptions!$C$25*Assumptions!W9*Assumptions!W13</f>
        <v>5650818.5349056367</v>
      </c>
      <c r="W12" s="2">
        <f>Assumptions!$C$25*Assumptions!X9*Assumptions!X13</f>
        <v>5786149.7189588789</v>
      </c>
      <c r="X12" s="2">
        <f>Assumptions!$C$25*Assumptions!Y9*Assumptions!Y13</f>
        <v>5924721.9430958061</v>
      </c>
      <c r="Y12" s="2">
        <f>Assumptions!$C$25*Assumptions!Z9*Assumptions!Z13</f>
        <v>6066612.8268310726</v>
      </c>
      <c r="Z12" s="2">
        <f>Assumptions!$C$25*Assumptions!AA9*Assumptions!AA13</f>
        <v>6211901.8485853979</v>
      </c>
      <c r="AA12" s="2">
        <f>Assumptions!$C$25*Assumptions!AB9*Assumptions!AB13</f>
        <v>6360670.3902044082</v>
      </c>
      <c r="AB12" s="2">
        <f>Assumptions!$C$25*Assumptions!AC9*Assumptions!AC13</f>
        <v>6513001.7825436853</v>
      </c>
      <c r="AC12" s="2">
        <f>Assumptions!$C$25*Assumptions!AD9*Assumptions!AD13</f>
        <v>6668981.3521454968</v>
      </c>
      <c r="AD12" s="2">
        <f>Assumptions!$C$25*Assumptions!AE9*Assumptions!AE13</f>
        <v>6828696.4690334108</v>
      </c>
      <c r="AE12" s="2">
        <f>Assumptions!$C$25*Assumptions!AF9*Assumptions!AF13</f>
        <v>6992236.5956515316</v>
      </c>
      <c r="AF12" s="2">
        <f>Assumptions!$C$25*Assumptions!AG9*Assumptions!AG13</f>
        <v>7159693.3369757766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799459.5</v>
      </c>
      <c r="D14" s="5">
        <f>Assumptions!E122*Assumptions!E9</f>
        <v>1634095.2179999999</v>
      </c>
      <c r="E14" s="5">
        <f>Assumptions!F122*Assumptions!F9</f>
        <v>2505067.9691940001</v>
      </c>
      <c r="F14" s="5">
        <f>Assumptions!G122*Assumptions!G9</f>
        <v>3413572.6193550243</v>
      </c>
      <c r="G14" s="5">
        <f>Assumptions!H122*Assumptions!H9</f>
        <v>4360839.0212260429</v>
      </c>
      <c r="H14" s="5">
        <f>Assumptions!I122*Assumptions!I9</f>
        <v>5348132.9756316189</v>
      </c>
      <c r="I14" s="5">
        <f>Assumptions!J122*Assumptions!J9</f>
        <v>6376757.2179447673</v>
      </c>
      <c r="J14" s="5">
        <f>Assumptions!K122*Assumptions!K9</f>
        <v>7448052.4305594889</v>
      </c>
      <c r="K14" s="5">
        <f>Assumptions!L122*Assumptions!L9</f>
        <v>8563398.2820357718</v>
      </c>
      <c r="L14" s="5">
        <f>Assumptions!M122*Assumptions!M9</f>
        <v>9724214.4936006218</v>
      </c>
      <c r="M14" s="5">
        <f>Assumptions!N122*Assumptions!N9</f>
        <v>10931961.93370582</v>
      </c>
      <c r="N14" s="5">
        <f>Assumptions!O122*Assumptions!O9</f>
        <v>12188143.741360743</v>
      </c>
      <c r="O14" s="5">
        <f>Assumptions!P122*Assumptions!P9</f>
        <v>13494306.47897657</v>
      </c>
      <c r="P14" s="5">
        <f>Assumptions!Q122*Assumptions!Q9</f>
        <v>14852041.315476671</v>
      </c>
      <c r="Q14" s="5">
        <f>Assumptions!R122*Assumptions!R9</f>
        <v>16262985.240446957</v>
      </c>
      <c r="R14" s="5">
        <f>Assumptions!S122*Assumptions!S9</f>
        <v>17728822.310119245</v>
      </c>
      <c r="S14" s="5">
        <f>Assumptions!T122*Assumptions!T9</f>
        <v>19251284.926000733</v>
      </c>
      <c r="T14" s="5">
        <f>Assumptions!U122*Assumptions!U9</f>
        <v>20832155.146982908</v>
      </c>
      <c r="U14" s="5">
        <f>Assumptions!V122*Assumptions!V9</f>
        <v>22473266.035784122</v>
      </c>
      <c r="V14" s="5">
        <f>Assumptions!W122*Assumptions!W9</f>
        <v>24176503.040601443</v>
      </c>
      <c r="W14" s="5">
        <f>Assumptions!X122*Assumptions!X9</f>
        <v>25943805.412869409</v>
      </c>
      <c r="X14" s="5">
        <f>Assumptions!Y122*Assumptions!Y9</f>
        <v>27777167.662045512</v>
      </c>
      <c r="Y14" s="5">
        <f>Assumptions!Z122*Assumptions!Z9</f>
        <v>29678641.048365537</v>
      </c>
      <c r="Z14" s="5">
        <f>Assumptions!AA122*Assumptions!AA9</f>
        <v>31650335.114535216</v>
      </c>
      <c r="AA14" s="5">
        <f>Assumptions!AB122*Assumptions!AB9</f>
        <v>33694419.257348947</v>
      </c>
      <c r="AB14" s="5">
        <f>Assumptions!AC122*Assumptions!AC9</f>
        <v>35813124.340251051</v>
      </c>
      <c r="AC14" s="5">
        <f>Assumptions!AD122*Assumptions!AD9</f>
        <v>38008744.347880289</v>
      </c>
      <c r="AD14" s="5">
        <f>Assumptions!AE122*Assumptions!AE9</f>
        <v>40283638.083664536</v>
      </c>
      <c r="AE14" s="5">
        <f>Assumptions!AF122*Assumptions!AF9</f>
        <v>42640230.911558911</v>
      </c>
      <c r="AF14" s="5">
        <f>Assumptions!AG122*Assumptions!AG9</f>
        <v>45081016.543048143</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4403781.202704085</v>
      </c>
      <c r="D27" s="2">
        <f t="shared" ref="D27:AF27" si="8">D12+D13+D14+D19+D20+D22+D24+D25</f>
        <v>5324736.6495580021</v>
      </c>
      <c r="E27" s="2">
        <f t="shared" si="8"/>
        <v>6284096.3966825027</v>
      </c>
      <c r="F27" s="2">
        <f t="shared" si="8"/>
        <v>7283104.818731403</v>
      </c>
      <c r="G27" s="2">
        <f t="shared" si="8"/>
        <v>8323042.4630142953</v>
      </c>
      <c r="H27" s="2">
        <f t="shared" si="8"/>
        <v>9405227.0390041303</v>
      </c>
      <c r="I27" s="2">
        <f t="shared" si="8"/>
        <v>10531014.433880052</v>
      </c>
      <c r="J27" s="2">
        <f t="shared" si="8"/>
        <v>11701799.75477227</v>
      </c>
      <c r="K27" s="2">
        <f t="shared" si="8"/>
        <v>12919018.398392398</v>
      </c>
      <c r="L27" s="2">
        <f t="shared" si="8"/>
        <v>14184147.148749914</v>
      </c>
      <c r="M27" s="2">
        <f t="shared" si="8"/>
        <v>15498705.30367294</v>
      </c>
      <c r="N27" s="2">
        <f t="shared" si="8"/>
        <v>16864255.830869526</v>
      </c>
      <c r="O27" s="2">
        <f t="shared" si="8"/>
        <v>18282406.554284208</v>
      </c>
      <c r="P27" s="2">
        <f t="shared" si="8"/>
        <v>19754811.371523235</v>
      </c>
      <c r="Q27" s="2">
        <f t="shared" si="8"/>
        <v>21283171.503141653</v>
      </c>
      <c r="R27" s="2">
        <f t="shared" si="8"/>
        <v>22869236.774604823</v>
      </c>
      <c r="S27" s="2">
        <f t="shared" si="8"/>
        <v>24514806.931757741</v>
      </c>
      <c r="T27" s="2">
        <f t="shared" si="8"/>
        <v>26221732.990656022</v>
      </c>
      <c r="U27" s="2">
        <f t="shared" si="8"/>
        <v>27991918.622633994</v>
      </c>
      <c r="V27" s="2">
        <f t="shared" si="8"/>
        <v>29827321.575507082</v>
      </c>
      <c r="W27" s="2">
        <f t="shared" si="8"/>
        <v>31729955.131828286</v>
      </c>
      <c r="X27" s="2">
        <f t="shared" si="8"/>
        <v>33701889.605141319</v>
      </c>
      <c r="Y27" s="2">
        <f t="shared" si="8"/>
        <v>35745253.875196606</v>
      </c>
      <c r="Z27" s="2">
        <f t="shared" si="8"/>
        <v>37862236.963120617</v>
      </c>
      <c r="AA27" s="2">
        <f t="shared" si="8"/>
        <v>40055089.647553355</v>
      </c>
      <c r="AB27" s="2">
        <f t="shared" si="8"/>
        <v>42326126.122794732</v>
      </c>
      <c r="AC27" s="2">
        <f t="shared" si="8"/>
        <v>44677725.700025782</v>
      </c>
      <c r="AD27" s="2">
        <f t="shared" si="8"/>
        <v>47112334.552697949</v>
      </c>
      <c r="AE27" s="2">
        <f t="shared" si="8"/>
        <v>49632467.507210441</v>
      </c>
      <c r="AF27" s="2">
        <f t="shared" si="8"/>
        <v>52240709.880023919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3W2DU3RAJ5R2-1900874439-859</_dlc_DocId>
    <_dlc_DocIdUrl xmlns="f54e2983-00ce-40fc-8108-18f351fc47bf">
      <Url>https://dia.cohesion.net.nz/Sites/LGV/TWRP/CAE/_layouts/15/DocIdRedir.aspx?ID=3W2DU3RAJ5R2-1900874439-859</Url>
      <Description>3W2DU3RAJ5R2-1900874439-859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EE8222D3-138A-46B5-9CC9-61A003EF4983}"/>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5B72200E-8626-4B3A-AF93-56F0EF4123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2021-06-28T22:04:21Z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efb80571-786b-464a-84a9-8958b27f7b73</vt:lpwstr>
  </property>
</Properties>
</file>