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02" documentId="8_{AF48672A-5AA8-476D-9028-161262F81791}" xr6:coauthVersionLast="47" xr6:coauthVersionMax="47" xr10:uidLastSave="{AE4E28B3-5592-43EF-A67C-4D753FC4CB96}"/>
  <bookViews>
    <workbookView xWindow="1140" yWindow="114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1" l="1"/>
  <c r="A11" i="19"/>
  <c r="A9" i="19"/>
  <c r="B40" i="21"/>
  <c r="B27" i="21"/>
  <c r="A21" i="21"/>
  <c r="A34" i="21"/>
  <c r="B8" i="21"/>
  <c r="B12" i="21"/>
  <c r="B16" i="21"/>
  <c r="B21" i="21"/>
  <c r="B34" i="21"/>
  <c r="C83" i="2"/>
  <c r="C87" i="2"/>
  <c r="C82" i="2"/>
  <c r="C89" i="2"/>
  <c r="C94" i="2"/>
  <c r="C90" i="2"/>
  <c r="C95" i="2"/>
  <c r="C58" i="2"/>
  <c r="C106" i="2"/>
  <c r="C63" i="2"/>
  <c r="C107" i="2"/>
  <c r="D11" i="2"/>
  <c r="C40" i="2"/>
  <c r="C41" i="2"/>
  <c r="C39" i="2"/>
  <c r="C36" i="2"/>
  <c r="C37" i="2"/>
  <c r="C35" i="2"/>
  <c r="H43" i="2"/>
  <c r="F9" i="2"/>
  <c r="E9" i="2"/>
  <c r="D9" i="2"/>
  <c r="C12" i="8"/>
  <c r="G11" i="2"/>
  <c r="F9" i="9"/>
  <c r="V9" i="2"/>
  <c r="E11" i="2"/>
  <c r="F11" i="2"/>
  <c r="H11" i="2"/>
  <c r="G9" i="9"/>
  <c r="I11" i="2"/>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D17" i="8"/>
  <c r="C17" i="8"/>
  <c r="F45" i="2"/>
  <c r="E16" i="9"/>
  <c r="D16" i="9"/>
  <c r="AG9" i="2"/>
  <c r="AF9" i="2"/>
  <c r="AE9" i="2"/>
  <c r="AD9" i="2"/>
  <c r="AC9" i="2"/>
  <c r="AB12" i="8"/>
  <c r="AB9" i="2"/>
  <c r="AA9" i="2"/>
  <c r="Z9" i="2"/>
  <c r="Y9" i="2"/>
  <c r="X9" i="2"/>
  <c r="W9" i="2"/>
  <c r="U9" i="2"/>
  <c r="T9" i="2"/>
  <c r="S12" i="8"/>
  <c r="S9" i="2"/>
  <c r="R9" i="2"/>
  <c r="Q9" i="2"/>
  <c r="P12" i="8"/>
  <c r="P9" i="2"/>
  <c r="O9" i="2"/>
  <c r="N9" i="2"/>
  <c r="M9" i="2"/>
  <c r="L9" i="2"/>
  <c r="K9" i="2"/>
  <c r="J9" i="2"/>
  <c r="I12" i="8"/>
  <c r="I9" i="2"/>
  <c r="H9" i="2"/>
  <c r="G9" i="2"/>
  <c r="B11" i="5"/>
  <c r="C22" i="6"/>
  <c r="C129" i="2"/>
  <c r="C135" i="2"/>
  <c r="Z135" i="2"/>
  <c r="B10" i="21"/>
  <c r="C22" i="8"/>
  <c r="D22" i="8"/>
  <c r="H44" i="2"/>
  <c r="G15" i="9"/>
  <c r="D13" i="2"/>
  <c r="E13" i="2"/>
  <c r="F13" i="2"/>
  <c r="E12" i="8"/>
  <c r="E19" i="8"/>
  <c r="C5" i="8"/>
  <c r="E6" i="7"/>
  <c r="G13" i="2"/>
  <c r="AF13" i="2"/>
  <c r="AE13" i="2"/>
  <c r="AD12" i="8"/>
  <c r="V13" i="2"/>
  <c r="U12" i="8"/>
  <c r="U13" i="2"/>
  <c r="T12" i="8"/>
  <c r="J13" i="2"/>
  <c r="J135" i="2"/>
  <c r="E135" i="2"/>
  <c r="O13" i="2"/>
  <c r="N12" i="8"/>
  <c r="AB13" i="2"/>
  <c r="AA12" i="8"/>
  <c r="S13" i="2"/>
  <c r="R12" i="8"/>
  <c r="Z13" i="2"/>
  <c r="AG13" i="2"/>
  <c r="AF12" i="8"/>
  <c r="AC13" i="2"/>
  <c r="AA13" i="2"/>
  <c r="AA135" i="2"/>
  <c r="Q13" i="2"/>
  <c r="P13" i="2"/>
  <c r="O12" i="8"/>
  <c r="W13" i="2"/>
  <c r="V12" i="8"/>
  <c r="T13" i="2"/>
  <c r="Y13" i="2"/>
  <c r="X12" i="8"/>
  <c r="N13" i="2"/>
  <c r="M12" i="8"/>
  <c r="L13" i="2"/>
  <c r="K12" i="8"/>
  <c r="R13" i="2"/>
  <c r="I13" i="2"/>
  <c r="H12" i="8"/>
  <c r="X13" i="2"/>
  <c r="AD13" i="2"/>
  <c r="AC12" i="8"/>
  <c r="K13" i="2"/>
  <c r="M13" i="2"/>
  <c r="L12" i="8"/>
  <c r="H13" i="2"/>
  <c r="G12" i="8"/>
  <c r="AF135" i="2"/>
  <c r="AE12" i="8"/>
  <c r="Y135" i="2"/>
  <c r="O135" i="2"/>
  <c r="Q135" i="2"/>
  <c r="P135" i="2"/>
  <c r="W12" i="8"/>
  <c r="Z12" i="8"/>
  <c r="S135" i="2"/>
  <c r="D12" i="8"/>
  <c r="Y12" i="8"/>
  <c r="Q12" i="8"/>
  <c r="H135" i="2"/>
  <c r="AG135" i="2"/>
  <c r="B36" i="21"/>
  <c r="J12" i="8"/>
  <c r="AD135" i="2"/>
  <c r="F12" i="8"/>
  <c r="AC135" i="2"/>
  <c r="M135" i="2"/>
  <c r="B23" i="21"/>
  <c r="C17" i="2"/>
  <c r="C18" i="2"/>
  <c r="C66" i="2"/>
  <c r="C68" i="2"/>
  <c r="C71" i="2"/>
  <c r="C73" i="2"/>
  <c r="C75" i="2"/>
  <c r="F111" i="2"/>
  <c r="F19" i="8"/>
  <c r="C7" i="6"/>
  <c r="B6" i="5"/>
  <c r="AG111" i="2"/>
  <c r="AF5" i="9"/>
  <c r="AF11" i="9"/>
  <c r="M111" i="2"/>
  <c r="AF111" i="2"/>
  <c r="Z111" i="2"/>
  <c r="G111" i="2"/>
  <c r="F5" i="9"/>
  <c r="F8" i="6"/>
  <c r="AC111" i="2"/>
  <c r="AB5" i="9"/>
  <c r="AB11" i="9"/>
  <c r="P111" i="2"/>
  <c r="O8" i="6"/>
  <c r="H111" i="2"/>
  <c r="G5" i="9"/>
  <c r="G11" i="9"/>
  <c r="G8" i="6"/>
  <c r="AD111" i="2"/>
  <c r="AC5" i="9"/>
  <c r="AC11" i="9"/>
  <c r="L111" i="2"/>
  <c r="K8" i="6"/>
  <c r="AA111" i="2"/>
  <c r="Z5" i="9"/>
  <c r="Z11" i="9"/>
  <c r="Q111" i="2"/>
  <c r="U111" i="2"/>
  <c r="T8" i="6"/>
  <c r="AB8" i="6"/>
  <c r="AC8" i="6"/>
  <c r="AF8" i="6"/>
  <c r="Z8" i="6"/>
  <c r="F11" i="9"/>
  <c r="E5" i="9"/>
  <c r="E11" i="9"/>
  <c r="E8" i="6"/>
  <c r="T5" i="9"/>
  <c r="T11" i="9"/>
  <c r="K5" i="9"/>
  <c r="K11" i="9"/>
  <c r="O5" i="9"/>
  <c r="O11" i="9"/>
  <c r="P5" i="9"/>
  <c r="P11" i="9"/>
  <c r="P8" i="6"/>
  <c r="L5" i="9"/>
  <c r="L11" i="9"/>
  <c r="L8" i="6"/>
  <c r="Y8" i="6"/>
  <c r="Y5" i="9"/>
  <c r="Y11" i="9"/>
  <c r="AB111" i="2"/>
  <c r="K111" i="2"/>
  <c r="D111" i="2"/>
  <c r="AE111" i="2"/>
  <c r="T111" i="2"/>
  <c r="W111" i="2"/>
  <c r="E111" i="2"/>
  <c r="J111" i="2"/>
  <c r="Y111" i="2"/>
  <c r="I111" i="2"/>
  <c r="N111" i="2"/>
  <c r="X111" i="2"/>
  <c r="S111" i="2"/>
  <c r="O111" i="2"/>
  <c r="R111" i="2"/>
  <c r="V111" i="2"/>
  <c r="C20" i="8"/>
  <c r="C19" i="8"/>
  <c r="C96" i="2"/>
  <c r="C102" i="2"/>
  <c r="AE8" i="6"/>
  <c r="AE5" i="9"/>
  <c r="AE11" i="9"/>
  <c r="D20" i="8"/>
  <c r="D19" i="8"/>
  <c r="I43" i="2"/>
  <c r="G16" i="8"/>
  <c r="G19" i="8"/>
  <c r="C6" i="6"/>
  <c r="AE135" i="2"/>
  <c r="D135" i="2"/>
  <c r="G45" i="2"/>
  <c r="I44" i="2"/>
  <c r="I135" i="2"/>
  <c r="X135" i="2"/>
  <c r="F135" i="2"/>
  <c r="V135" i="2"/>
  <c r="AB135" i="2"/>
  <c r="G135" i="2"/>
  <c r="U135" i="2"/>
  <c r="D5" i="8"/>
  <c r="W135" i="2"/>
  <c r="L135" i="2"/>
  <c r="N135" i="2"/>
  <c r="K135" i="2"/>
  <c r="R135" i="2"/>
  <c r="T135" i="2"/>
  <c r="E17" i="8"/>
  <c r="E22" i="8"/>
  <c r="W8" i="6"/>
  <c r="W5" i="9"/>
  <c r="W11" i="9"/>
  <c r="AD5" i="9"/>
  <c r="AD11" i="9"/>
  <c r="AD8" i="6"/>
  <c r="M5" i="9"/>
  <c r="M11" i="9"/>
  <c r="M8" i="6"/>
  <c r="C8" i="6"/>
  <c r="C5" i="9"/>
  <c r="C11" i="9"/>
  <c r="H45" i="2"/>
  <c r="F17" i="8"/>
  <c r="F16" i="9"/>
  <c r="F18" i="9"/>
  <c r="F113" i="2"/>
  <c r="W113" i="2"/>
  <c r="J113" i="2"/>
  <c r="U113" i="2"/>
  <c r="Q113" i="2"/>
  <c r="X113" i="2"/>
  <c r="S113" i="2"/>
  <c r="Y113" i="2"/>
  <c r="AE113" i="2"/>
  <c r="K113" i="2"/>
  <c r="T113" i="2"/>
  <c r="H113" i="2"/>
  <c r="AA113" i="2"/>
  <c r="N113" i="2"/>
  <c r="P113" i="2"/>
  <c r="L113" i="2"/>
  <c r="V113" i="2"/>
  <c r="AF113" i="2"/>
  <c r="D113" i="2"/>
  <c r="AD113" i="2"/>
  <c r="I113" i="2"/>
  <c r="E113" i="2"/>
  <c r="AB113" i="2"/>
  <c r="AG113" i="2"/>
  <c r="M113" i="2"/>
  <c r="G113" i="2"/>
  <c r="R113" i="2"/>
  <c r="AC113" i="2"/>
  <c r="O113" i="2"/>
  <c r="Z113" i="2"/>
  <c r="H5" i="9"/>
  <c r="H11" i="9"/>
  <c r="H8" i="6"/>
  <c r="J8" i="6"/>
  <c r="J5" i="9"/>
  <c r="J11" i="9"/>
  <c r="J43" i="2"/>
  <c r="H16" i="8"/>
  <c r="H19" i="8"/>
  <c r="E20" i="8"/>
  <c r="X5" i="9"/>
  <c r="X11" i="9"/>
  <c r="X8" i="6"/>
  <c r="AA5" i="9"/>
  <c r="AA11" i="9"/>
  <c r="AA8" i="6"/>
  <c r="U5" i="9"/>
  <c r="U11" i="9"/>
  <c r="U8" i="6"/>
  <c r="I5" i="9"/>
  <c r="I11" i="9"/>
  <c r="I8" i="6"/>
  <c r="H15" i="9"/>
  <c r="J44" i="2"/>
  <c r="Q5" i="9"/>
  <c r="Q11" i="9"/>
  <c r="Q8" i="6"/>
  <c r="D8" i="6"/>
  <c r="D5" i="9"/>
  <c r="D11" i="9"/>
  <c r="E18" i="9"/>
  <c r="N8" i="6"/>
  <c r="N5" i="9"/>
  <c r="N11" i="9"/>
  <c r="V8" i="6"/>
  <c r="V5" i="9"/>
  <c r="V11" i="9"/>
  <c r="E5" i="8"/>
  <c r="R5" i="9"/>
  <c r="R11" i="9"/>
  <c r="R8" i="6"/>
  <c r="S5" i="9"/>
  <c r="S11" i="9"/>
  <c r="S8" i="6"/>
  <c r="N6" i="9"/>
  <c r="N12" i="9"/>
  <c r="AC6" i="9"/>
  <c r="AC12" i="9"/>
  <c r="Q6" i="9"/>
  <c r="Q12" i="9"/>
  <c r="D116" i="2"/>
  <c r="D115" i="2"/>
  <c r="C113" i="2"/>
  <c r="C114" i="2"/>
  <c r="C6" i="9"/>
  <c r="C12" i="9"/>
  <c r="D118" i="2"/>
  <c r="S6" i="9"/>
  <c r="S12" i="9"/>
  <c r="I6" i="9"/>
  <c r="I12" i="9"/>
  <c r="J115" i="2"/>
  <c r="F6" i="9"/>
  <c r="F12" i="9"/>
  <c r="G116" i="2"/>
  <c r="G118" i="2"/>
  <c r="G115" i="2"/>
  <c r="AE6" i="9"/>
  <c r="AE12" i="9"/>
  <c r="J6" i="9"/>
  <c r="J12" i="9"/>
  <c r="V6" i="9"/>
  <c r="V12" i="9"/>
  <c r="C18" i="9"/>
  <c r="L6" i="9"/>
  <c r="L12" i="9"/>
  <c r="U6" i="9"/>
  <c r="U12" i="9"/>
  <c r="AD6" i="9"/>
  <c r="AD12" i="9"/>
  <c r="F116" i="2"/>
  <c r="F115" i="2"/>
  <c r="F118" i="2"/>
  <c r="E6" i="9"/>
  <c r="E12" i="9"/>
  <c r="F5" i="8"/>
  <c r="AF6" i="9"/>
  <c r="AF12" i="9"/>
  <c r="X6" i="9"/>
  <c r="X12" i="9"/>
  <c r="D18" i="9"/>
  <c r="K43" i="2"/>
  <c r="I16" i="8"/>
  <c r="I19" i="8"/>
  <c r="K6" i="9"/>
  <c r="K12" i="9"/>
  <c r="R6" i="9"/>
  <c r="R12" i="9"/>
  <c r="AA6" i="9"/>
  <c r="AA12" i="9"/>
  <c r="O6" i="9"/>
  <c r="O12" i="9"/>
  <c r="F20" i="8"/>
  <c r="F22" i="8"/>
  <c r="Y6" i="9"/>
  <c r="Y12" i="9"/>
  <c r="E116" i="2"/>
  <c r="E115" i="2"/>
  <c r="E118" i="2"/>
  <c r="D6" i="9"/>
  <c r="D12" i="9"/>
  <c r="M6" i="9"/>
  <c r="M12" i="9"/>
  <c r="W6" i="9"/>
  <c r="W12" i="9"/>
  <c r="I45" i="2"/>
  <c r="I116" i="2"/>
  <c r="I118" i="2"/>
  <c r="G17" i="8"/>
  <c r="G16" i="9"/>
  <c r="G18" i="9"/>
  <c r="I115" i="2"/>
  <c r="H6" i="9"/>
  <c r="H12" i="9"/>
  <c r="P6" i="9"/>
  <c r="P12" i="9"/>
  <c r="Z6" i="9"/>
  <c r="Z12" i="9"/>
  <c r="I15" i="9"/>
  <c r="K44" i="2"/>
  <c r="K115" i="2"/>
  <c r="AB6" i="9"/>
  <c r="AB12" i="9"/>
  <c r="H115" i="2"/>
  <c r="H118" i="2"/>
  <c r="H116" i="2"/>
  <c r="G6" i="9"/>
  <c r="G12" i="9"/>
  <c r="T6" i="9"/>
  <c r="T12" i="9"/>
  <c r="F20" i="9"/>
  <c r="F21" i="9"/>
  <c r="L43" i="2"/>
  <c r="J16" i="8"/>
  <c r="J19" i="8"/>
  <c r="F122" i="2"/>
  <c r="E14" i="8"/>
  <c r="D122" i="2"/>
  <c r="C14" i="8"/>
  <c r="H122" i="2"/>
  <c r="G14" i="8"/>
  <c r="E122" i="2"/>
  <c r="D14" i="8"/>
  <c r="G122" i="2"/>
  <c r="F14" i="8"/>
  <c r="I122" i="2"/>
  <c r="H14" i="8"/>
  <c r="H120" i="2"/>
  <c r="I120" i="2"/>
  <c r="E120" i="2"/>
  <c r="D120" i="2"/>
  <c r="G120" i="2"/>
  <c r="F120" i="2"/>
  <c r="G22" i="8"/>
  <c r="G20" i="8"/>
  <c r="G5" i="8"/>
  <c r="C21" i="9"/>
  <c r="C20" i="9"/>
  <c r="G21" i="9"/>
  <c r="G20" i="9"/>
  <c r="H17" i="8"/>
  <c r="J45" i="2"/>
  <c r="H16" i="9"/>
  <c r="H18" i="9"/>
  <c r="D20" i="9"/>
  <c r="D21" i="9"/>
  <c r="I20" i="9"/>
  <c r="H20" i="9"/>
  <c r="E20" i="9"/>
  <c r="E21" i="9"/>
  <c r="J15" i="9"/>
  <c r="J20" i="9"/>
  <c r="L44" i="2"/>
  <c r="D7" i="9"/>
  <c r="D13" i="9"/>
  <c r="D9" i="6"/>
  <c r="F24" i="8"/>
  <c r="F25" i="8"/>
  <c r="F27" i="8"/>
  <c r="F6" i="8"/>
  <c r="I16" i="9"/>
  <c r="K45" i="2"/>
  <c r="I17" i="8"/>
  <c r="J116" i="2"/>
  <c r="J118" i="2"/>
  <c r="H22" i="8"/>
  <c r="H20" i="8"/>
  <c r="H27" i="8"/>
  <c r="H6" i="8"/>
  <c r="F9" i="6"/>
  <c r="F7" i="9"/>
  <c r="F13" i="9"/>
  <c r="G24" i="8"/>
  <c r="G27" i="8"/>
  <c r="G6" i="8"/>
  <c r="G25" i="8"/>
  <c r="H5" i="8"/>
  <c r="C9" i="6"/>
  <c r="C7" i="9"/>
  <c r="C13" i="9"/>
  <c r="C24" i="8"/>
  <c r="C27" i="8"/>
  <c r="C6" i="8"/>
  <c r="C25" i="8"/>
  <c r="K15" i="9"/>
  <c r="K20" i="9"/>
  <c r="M44" i="2"/>
  <c r="L115" i="2"/>
  <c r="H21" i="9"/>
  <c r="E9" i="6"/>
  <c r="E7" i="9"/>
  <c r="E13" i="9"/>
  <c r="H25" i="8"/>
  <c r="H24" i="8"/>
  <c r="K16" i="8"/>
  <c r="K19" i="8"/>
  <c r="M43" i="2"/>
  <c r="G9" i="6"/>
  <c r="G7" i="9"/>
  <c r="G13" i="9"/>
  <c r="E25" i="8"/>
  <c r="E24" i="8"/>
  <c r="E27" i="8"/>
  <c r="E6" i="8"/>
  <c r="H7" i="9"/>
  <c r="H13" i="9"/>
  <c r="H9" i="6"/>
  <c r="D24" i="8"/>
  <c r="D27" i="8"/>
  <c r="D6" i="8"/>
  <c r="D25" i="8"/>
  <c r="I5" i="8"/>
  <c r="F23" i="9"/>
  <c r="F25" i="9"/>
  <c r="I18" i="9"/>
  <c r="I21" i="9"/>
  <c r="D23" i="9"/>
  <c r="D25" i="9"/>
  <c r="G23" i="9"/>
  <c r="G25" i="9"/>
  <c r="G6" i="4"/>
  <c r="G7" i="8"/>
  <c r="H6" i="4"/>
  <c r="H7" i="8"/>
  <c r="E23" i="9"/>
  <c r="E25" i="9"/>
  <c r="C23" i="9"/>
  <c r="C25" i="9"/>
  <c r="E7" i="8"/>
  <c r="E6" i="4"/>
  <c r="J122" i="2"/>
  <c r="I14" i="8"/>
  <c r="J120" i="2"/>
  <c r="H23" i="9"/>
  <c r="H25" i="9"/>
  <c r="N44" i="2"/>
  <c r="L15" i="9"/>
  <c r="L20" i="9"/>
  <c r="M115" i="2"/>
  <c r="C10" i="6"/>
  <c r="D10" i="6"/>
  <c r="E10" i="6"/>
  <c r="C6" i="4"/>
  <c r="C12" i="6"/>
  <c r="G10" i="6"/>
  <c r="F10" i="6"/>
  <c r="H10" i="6"/>
  <c r="C7" i="8"/>
  <c r="I22" i="8"/>
  <c r="I20" i="8"/>
  <c r="L45" i="2"/>
  <c r="J17" i="8"/>
  <c r="J16" i="9"/>
  <c r="K116" i="2"/>
  <c r="K118" i="2"/>
  <c r="N43" i="2"/>
  <c r="L16" i="8"/>
  <c r="L19" i="8"/>
  <c r="D7" i="8"/>
  <c r="D6" i="4"/>
  <c r="F7" i="8"/>
  <c r="F6" i="4"/>
  <c r="F18" i="6"/>
  <c r="F10" i="4"/>
  <c r="G18" i="6"/>
  <c r="G10" i="4"/>
  <c r="D10" i="4"/>
  <c r="D18" i="6"/>
  <c r="H18" i="6"/>
  <c r="H10" i="4"/>
  <c r="E18" i="6"/>
  <c r="E10" i="4"/>
  <c r="J18" i="9"/>
  <c r="J21" i="9"/>
  <c r="M15" i="9"/>
  <c r="M20" i="9"/>
  <c r="O44" i="2"/>
  <c r="N115" i="2"/>
  <c r="J5" i="8"/>
  <c r="J20" i="8"/>
  <c r="J22" i="8"/>
  <c r="O43" i="2"/>
  <c r="M16" i="8"/>
  <c r="M19" i="8"/>
  <c r="M45" i="2"/>
  <c r="K17" i="8"/>
  <c r="K16" i="9"/>
  <c r="L116" i="2"/>
  <c r="L118" i="2"/>
  <c r="B7" i="5"/>
  <c r="B8" i="5"/>
  <c r="D7" i="6"/>
  <c r="D12" i="6"/>
  <c r="K122" i="2"/>
  <c r="J14" i="8"/>
  <c r="I7" i="9"/>
  <c r="I13" i="9"/>
  <c r="I9" i="6"/>
  <c r="K120" i="2"/>
  <c r="I24" i="8"/>
  <c r="I25" i="8"/>
  <c r="I27" i="8"/>
  <c r="I6" i="8"/>
  <c r="C18" i="6"/>
  <c r="C10" i="4"/>
  <c r="E7" i="6"/>
  <c r="E12" i="6"/>
  <c r="C7" i="5"/>
  <c r="N16" i="8"/>
  <c r="N19" i="8"/>
  <c r="P43" i="2"/>
  <c r="B10" i="5"/>
  <c r="E8" i="7"/>
  <c r="D19" i="6"/>
  <c r="D20" i="6"/>
  <c r="E19" i="6"/>
  <c r="E20" i="6"/>
  <c r="J9" i="6"/>
  <c r="J7" i="9"/>
  <c r="J13" i="9"/>
  <c r="P44" i="2"/>
  <c r="N15" i="9"/>
  <c r="N20" i="9"/>
  <c r="O115" i="2"/>
  <c r="I6" i="4"/>
  <c r="I7" i="8"/>
  <c r="I10" i="6"/>
  <c r="J10" i="6"/>
  <c r="C19" i="6"/>
  <c r="C20" i="6"/>
  <c r="C23" i="6"/>
  <c r="I23" i="9"/>
  <c r="I25" i="9"/>
  <c r="K18" i="9"/>
  <c r="K21" i="9"/>
  <c r="K5" i="8"/>
  <c r="L122" i="2"/>
  <c r="K14" i="8"/>
  <c r="J25" i="8"/>
  <c r="J27" i="8"/>
  <c r="J6" i="8"/>
  <c r="J24" i="8"/>
  <c r="K22" i="8"/>
  <c r="K20" i="8"/>
  <c r="L17" i="8"/>
  <c r="L16" i="9"/>
  <c r="N45" i="2"/>
  <c r="M116" i="2"/>
  <c r="M118" i="2"/>
  <c r="L120" i="2"/>
  <c r="I10" i="4"/>
  <c r="I18" i="6"/>
  <c r="F19" i="6"/>
  <c r="F20" i="6"/>
  <c r="K24" i="8"/>
  <c r="K25" i="8"/>
  <c r="K27" i="8"/>
  <c r="K6" i="8"/>
  <c r="M120" i="2"/>
  <c r="J23" i="9"/>
  <c r="J25" i="9"/>
  <c r="M16" i="9"/>
  <c r="O45" i="2"/>
  <c r="M17" i="8"/>
  <c r="N116" i="2"/>
  <c r="N118" i="2"/>
  <c r="L5" i="8"/>
  <c r="Q44" i="2"/>
  <c r="O15" i="9"/>
  <c r="O20" i="9"/>
  <c r="P115" i="2"/>
  <c r="J6" i="4"/>
  <c r="J7" i="8"/>
  <c r="Q43" i="2"/>
  <c r="O16" i="8"/>
  <c r="O19" i="8"/>
  <c r="L18" i="9"/>
  <c r="L21" i="9"/>
  <c r="K9" i="6"/>
  <c r="K7" i="9"/>
  <c r="K13" i="9"/>
  <c r="L22" i="8"/>
  <c r="L20" i="8"/>
  <c r="M122" i="2"/>
  <c r="L14" i="8"/>
  <c r="F7" i="6"/>
  <c r="F12" i="6"/>
  <c r="D7" i="5"/>
  <c r="M22" i="8"/>
  <c r="M20" i="8"/>
  <c r="K7" i="8"/>
  <c r="K6" i="4"/>
  <c r="K10" i="6"/>
  <c r="L10" i="6"/>
  <c r="R43" i="2"/>
  <c r="P16" i="8"/>
  <c r="P19" i="8"/>
  <c r="M5" i="8"/>
  <c r="B20" i="21"/>
  <c r="B25" i="21"/>
  <c r="B29" i="21"/>
  <c r="L24" i="8"/>
  <c r="L27" i="8"/>
  <c r="L6" i="8"/>
  <c r="L25" i="8"/>
  <c r="N120" i="2"/>
  <c r="N122" i="2"/>
  <c r="M14" i="8"/>
  <c r="J18" i="6"/>
  <c r="J10" i="4"/>
  <c r="P15" i="9"/>
  <c r="P20" i="9"/>
  <c r="R44" i="2"/>
  <c r="Q115" i="2"/>
  <c r="P45" i="2"/>
  <c r="N17" i="8"/>
  <c r="N16" i="9"/>
  <c r="O116" i="2"/>
  <c r="O118" i="2"/>
  <c r="L9" i="6"/>
  <c r="L7" i="9"/>
  <c r="L13" i="9"/>
  <c r="G7" i="6"/>
  <c r="G12" i="6"/>
  <c r="E7" i="5"/>
  <c r="K23" i="9"/>
  <c r="K25" i="9"/>
  <c r="M18" i="9"/>
  <c r="M21" i="9"/>
  <c r="G19" i="6"/>
  <c r="G20" i="6"/>
  <c r="K18" i="6"/>
  <c r="K10" i="4"/>
  <c r="N22" i="8"/>
  <c r="N20" i="8"/>
  <c r="M9" i="6"/>
  <c r="M7" i="9"/>
  <c r="M13" i="9"/>
  <c r="H19" i="6"/>
  <c r="H20" i="6"/>
  <c r="L23" i="9"/>
  <c r="L25" i="9"/>
  <c r="S44" i="2"/>
  <c r="Q15" i="9"/>
  <c r="Q20" i="9"/>
  <c r="R115" i="2"/>
  <c r="L7" i="8"/>
  <c r="L6" i="4"/>
  <c r="O120" i="2"/>
  <c r="O122" i="2"/>
  <c r="N14" i="8"/>
  <c r="N18" i="9"/>
  <c r="N21" i="9"/>
  <c r="M27" i="8"/>
  <c r="M6" i="8"/>
  <c r="M24" i="8"/>
  <c r="M25" i="8"/>
  <c r="N5" i="8"/>
  <c r="F7" i="5"/>
  <c r="H7" i="6"/>
  <c r="H12" i="6"/>
  <c r="Q45" i="2"/>
  <c r="O17" i="8"/>
  <c r="O16" i="9"/>
  <c r="P116" i="2"/>
  <c r="P118" i="2"/>
  <c r="S43" i="2"/>
  <c r="Q16" i="8"/>
  <c r="Q19" i="8"/>
  <c r="M10" i="6"/>
  <c r="T44" i="2"/>
  <c r="R15" i="9"/>
  <c r="R20" i="9"/>
  <c r="S115" i="2"/>
  <c r="L18" i="6"/>
  <c r="L10" i="4"/>
  <c r="P17" i="8"/>
  <c r="R45" i="2"/>
  <c r="P16" i="9"/>
  <c r="Q116" i="2"/>
  <c r="Q118" i="2"/>
  <c r="N24" i="8"/>
  <c r="N25" i="8"/>
  <c r="N27" i="8"/>
  <c r="N6" i="8"/>
  <c r="O22" i="8"/>
  <c r="O20" i="8"/>
  <c r="G7" i="5"/>
  <c r="I7" i="6"/>
  <c r="I12" i="6"/>
  <c r="N9" i="6"/>
  <c r="N7" i="9"/>
  <c r="N13" i="9"/>
  <c r="I19" i="6"/>
  <c r="I20" i="6"/>
  <c r="O18" i="9"/>
  <c r="O21" i="9"/>
  <c r="T43" i="2"/>
  <c r="R16" i="8"/>
  <c r="R19" i="8"/>
  <c r="M23" i="9"/>
  <c r="M25" i="9"/>
  <c r="P120" i="2"/>
  <c r="P122" i="2"/>
  <c r="O14" i="8"/>
  <c r="O5" i="8"/>
  <c r="M7" i="8"/>
  <c r="M6" i="4"/>
  <c r="M18" i="6"/>
  <c r="M10" i="4"/>
  <c r="O25" i="8"/>
  <c r="O27" i="8"/>
  <c r="O6" i="8"/>
  <c r="O24" i="8"/>
  <c r="Q16" i="9"/>
  <c r="S45" i="2"/>
  <c r="Q17" i="8"/>
  <c r="R116" i="2"/>
  <c r="R118" i="2"/>
  <c r="O9" i="6"/>
  <c r="O7" i="9"/>
  <c r="O13" i="9"/>
  <c r="N23" i="9"/>
  <c r="N25" i="9"/>
  <c r="P22" i="8"/>
  <c r="P20" i="8"/>
  <c r="N6" i="4"/>
  <c r="N7" i="8"/>
  <c r="N10" i="6"/>
  <c r="J19" i="6"/>
  <c r="J20" i="6"/>
  <c r="J7" i="6"/>
  <c r="J12" i="6"/>
  <c r="H7" i="5"/>
  <c r="Q120" i="2"/>
  <c r="Q122" i="2"/>
  <c r="P14" i="8"/>
  <c r="S15" i="9"/>
  <c r="S20" i="9"/>
  <c r="U44" i="2"/>
  <c r="T115" i="2"/>
  <c r="P5" i="8"/>
  <c r="S16" i="8"/>
  <c r="S19" i="8"/>
  <c r="U43" i="2"/>
  <c r="P18" i="9"/>
  <c r="P21" i="9"/>
  <c r="N10" i="4"/>
  <c r="N18" i="6"/>
  <c r="P25" i="8"/>
  <c r="P24" i="8"/>
  <c r="P27" i="8"/>
  <c r="P6" i="8"/>
  <c r="O7" i="8"/>
  <c r="O6" i="4"/>
  <c r="O10" i="6"/>
  <c r="P7" i="9"/>
  <c r="P13" i="9"/>
  <c r="P9" i="6"/>
  <c r="Q5" i="8"/>
  <c r="R120" i="2"/>
  <c r="R122" i="2"/>
  <c r="Q14" i="8"/>
  <c r="Q22" i="8"/>
  <c r="Q20" i="8"/>
  <c r="T15" i="9"/>
  <c r="T20" i="9"/>
  <c r="V44" i="2"/>
  <c r="U115" i="2"/>
  <c r="K19" i="6"/>
  <c r="K20" i="6"/>
  <c r="T45" i="2"/>
  <c r="R17" i="8"/>
  <c r="R16" i="9"/>
  <c r="S116" i="2"/>
  <c r="S118" i="2"/>
  <c r="K7" i="6"/>
  <c r="K12" i="6"/>
  <c r="I7" i="5"/>
  <c r="Q18" i="9"/>
  <c r="Q21" i="9"/>
  <c r="V43" i="2"/>
  <c r="T16" i="8"/>
  <c r="T19" i="8"/>
  <c r="O23" i="9"/>
  <c r="O25" i="9"/>
  <c r="O18" i="6"/>
  <c r="O10" i="4"/>
  <c r="Q25" i="8"/>
  <c r="Q27" i="8"/>
  <c r="Q6" i="8"/>
  <c r="Q24" i="8"/>
  <c r="J7" i="5"/>
  <c r="L7" i="6"/>
  <c r="L12" i="6"/>
  <c r="Q9" i="6"/>
  <c r="Q7" i="9"/>
  <c r="Q13" i="9"/>
  <c r="L19" i="6"/>
  <c r="L20" i="6"/>
  <c r="S120" i="2"/>
  <c r="S122" i="2"/>
  <c r="R14" i="8"/>
  <c r="R18" i="9"/>
  <c r="R21" i="9"/>
  <c r="P7" i="8"/>
  <c r="P6" i="4"/>
  <c r="P10" i="6"/>
  <c r="W43" i="2"/>
  <c r="U16" i="8"/>
  <c r="U19" i="8"/>
  <c r="R22" i="8"/>
  <c r="R20" i="8"/>
  <c r="U15" i="9"/>
  <c r="U20" i="9"/>
  <c r="W44" i="2"/>
  <c r="V115" i="2"/>
  <c r="P23" i="9"/>
  <c r="P25" i="9"/>
  <c r="U45" i="2"/>
  <c r="S16" i="9"/>
  <c r="S17" i="8"/>
  <c r="T116" i="2"/>
  <c r="T118" i="2"/>
  <c r="R5" i="8"/>
  <c r="X43" i="2"/>
  <c r="V16" i="8"/>
  <c r="V19" i="8"/>
  <c r="Q23" i="9"/>
  <c r="Q25" i="9"/>
  <c r="Q6" i="4"/>
  <c r="Q7" i="8"/>
  <c r="Q10" i="6"/>
  <c r="T17" i="8"/>
  <c r="V45" i="2"/>
  <c r="T16" i="9"/>
  <c r="U116" i="2"/>
  <c r="U118" i="2"/>
  <c r="K7" i="5"/>
  <c r="M7" i="6"/>
  <c r="M12" i="6"/>
  <c r="P10" i="4"/>
  <c r="P18" i="6"/>
  <c r="X44" i="2"/>
  <c r="V15" i="9"/>
  <c r="V20" i="9"/>
  <c r="W115" i="2"/>
  <c r="T122" i="2"/>
  <c r="S14" i="8"/>
  <c r="T120" i="2"/>
  <c r="S22" i="8"/>
  <c r="S20" i="8"/>
  <c r="R24" i="8"/>
  <c r="R27" i="8"/>
  <c r="R6" i="8"/>
  <c r="R25" i="8"/>
  <c r="S5" i="8"/>
  <c r="S18" i="9"/>
  <c r="S21" i="9"/>
  <c r="R9" i="6"/>
  <c r="R7" i="9"/>
  <c r="R13" i="9"/>
  <c r="M19" i="6"/>
  <c r="M20" i="6"/>
  <c r="Q10" i="4"/>
  <c r="Q18" i="6"/>
  <c r="T18" i="9"/>
  <c r="T21" i="9"/>
  <c r="N19" i="6"/>
  <c r="N20" i="6"/>
  <c r="R23" i="9"/>
  <c r="R25" i="9"/>
  <c r="S24" i="8"/>
  <c r="S25" i="8"/>
  <c r="S27" i="8"/>
  <c r="S6" i="8"/>
  <c r="T22" i="8"/>
  <c r="T20" i="8"/>
  <c r="R6" i="4"/>
  <c r="R7" i="8"/>
  <c r="R10" i="6"/>
  <c r="N7" i="6"/>
  <c r="N12" i="6"/>
  <c r="L7" i="5"/>
  <c r="Y43" i="2"/>
  <c r="W16" i="8"/>
  <c r="W19" i="8"/>
  <c r="U16" i="9"/>
  <c r="W45" i="2"/>
  <c r="U17" i="8"/>
  <c r="V116" i="2"/>
  <c r="V118" i="2"/>
  <c r="S7" i="9"/>
  <c r="S13" i="9"/>
  <c r="S9" i="6"/>
  <c r="T5" i="8"/>
  <c r="Y44" i="2"/>
  <c r="W15" i="9"/>
  <c r="W20" i="9"/>
  <c r="X115" i="2"/>
  <c r="U120" i="2"/>
  <c r="U122" i="2"/>
  <c r="T14" i="8"/>
  <c r="S23" i="9"/>
  <c r="S25" i="9"/>
  <c r="U22" i="8"/>
  <c r="U20" i="8"/>
  <c r="M7" i="5"/>
  <c r="O7" i="6"/>
  <c r="O12" i="6"/>
  <c r="O19" i="6"/>
  <c r="O20" i="6"/>
  <c r="X45" i="2"/>
  <c r="V17" i="8"/>
  <c r="V16" i="9"/>
  <c r="W116" i="2"/>
  <c r="W118" i="2"/>
  <c r="T25" i="8"/>
  <c r="T24" i="8"/>
  <c r="T27" i="8"/>
  <c r="T6" i="8"/>
  <c r="U18" i="9"/>
  <c r="U21" i="9"/>
  <c r="T9" i="6"/>
  <c r="T7" i="9"/>
  <c r="T13" i="9"/>
  <c r="U5" i="8"/>
  <c r="Z43" i="2"/>
  <c r="X16" i="8"/>
  <c r="X19" i="8"/>
  <c r="X15" i="9"/>
  <c r="X20" i="9"/>
  <c r="Z44" i="2"/>
  <c r="Y115" i="2"/>
  <c r="R18" i="6"/>
  <c r="R10" i="4"/>
  <c r="S7" i="8"/>
  <c r="S6" i="4"/>
  <c r="S10" i="6"/>
  <c r="V120" i="2"/>
  <c r="V122" i="2"/>
  <c r="U14" i="8"/>
  <c r="AA43" i="2"/>
  <c r="Y16" i="8"/>
  <c r="Y19" i="8"/>
  <c r="T7" i="8"/>
  <c r="T6" i="4"/>
  <c r="T10" i="6"/>
  <c r="V18" i="9"/>
  <c r="V21" i="9"/>
  <c r="P7" i="6"/>
  <c r="P12" i="6"/>
  <c r="N7" i="5"/>
  <c r="V5" i="8"/>
  <c r="V22" i="8"/>
  <c r="V20" i="8"/>
  <c r="Y45" i="2"/>
  <c r="W17" i="8"/>
  <c r="W16" i="9"/>
  <c r="X116" i="2"/>
  <c r="X118" i="2"/>
  <c r="U24" i="8"/>
  <c r="U25" i="8"/>
  <c r="U27" i="8"/>
  <c r="U6" i="8"/>
  <c r="U7" i="9"/>
  <c r="U13" i="9"/>
  <c r="U9" i="6"/>
  <c r="Y15" i="9"/>
  <c r="Y20" i="9"/>
  <c r="AA44" i="2"/>
  <c r="Z115" i="2"/>
  <c r="P19" i="6"/>
  <c r="P20" i="6"/>
  <c r="S10" i="4"/>
  <c r="S18" i="6"/>
  <c r="T23" i="9"/>
  <c r="T25" i="9"/>
  <c r="W120" i="2"/>
  <c r="W122" i="2"/>
  <c r="V14" i="8"/>
  <c r="Z15" i="9"/>
  <c r="Z20" i="9"/>
  <c r="AB44" i="2"/>
  <c r="AA115" i="2"/>
  <c r="X17" i="8"/>
  <c r="Z45" i="2"/>
  <c r="X16" i="9"/>
  <c r="Y116" i="2"/>
  <c r="Y118" i="2"/>
  <c r="T18" i="6"/>
  <c r="T10" i="4"/>
  <c r="U7" i="8"/>
  <c r="U6" i="4"/>
  <c r="U10" i="6"/>
  <c r="W5" i="8"/>
  <c r="Q19" i="6"/>
  <c r="Q20" i="6"/>
  <c r="U23" i="9"/>
  <c r="U25" i="9"/>
  <c r="X120" i="2"/>
  <c r="X122" i="2"/>
  <c r="W14" i="8"/>
  <c r="V27" i="8"/>
  <c r="V6" i="8"/>
  <c r="V24" i="8"/>
  <c r="V25" i="8"/>
  <c r="W18" i="9"/>
  <c r="W21" i="9"/>
  <c r="Z16" i="8"/>
  <c r="Z19" i="8"/>
  <c r="AB43" i="2"/>
  <c r="V9" i="6"/>
  <c r="V7" i="9"/>
  <c r="V13" i="9"/>
  <c r="W22" i="8"/>
  <c r="W20" i="8"/>
  <c r="O7" i="5"/>
  <c r="Q7" i="6"/>
  <c r="Q12" i="6"/>
  <c r="U18" i="6"/>
  <c r="U10" i="4"/>
  <c r="X18" i="9"/>
  <c r="X21" i="9"/>
  <c r="Y16" i="9"/>
  <c r="AA45" i="2"/>
  <c r="Y17" i="8"/>
  <c r="Z116" i="2"/>
  <c r="Z118" i="2"/>
  <c r="R7" i="6"/>
  <c r="R12" i="6"/>
  <c r="P7" i="5"/>
  <c r="X5" i="8"/>
  <c r="X22" i="8"/>
  <c r="X20" i="8"/>
  <c r="V23" i="9"/>
  <c r="V25" i="9"/>
  <c r="W24" i="8"/>
  <c r="W25" i="8"/>
  <c r="W27" i="8"/>
  <c r="W6" i="8"/>
  <c r="AC44" i="2"/>
  <c r="AA15" i="9"/>
  <c r="AA20" i="9"/>
  <c r="AB115" i="2"/>
  <c r="W9" i="6"/>
  <c r="W7" i="9"/>
  <c r="W13" i="9"/>
  <c r="R19" i="6"/>
  <c r="R20" i="6"/>
  <c r="V7" i="8"/>
  <c r="V6" i="4"/>
  <c r="V10" i="6"/>
  <c r="AA16" i="8"/>
  <c r="AA19" i="8"/>
  <c r="AC43" i="2"/>
  <c r="Y120" i="2"/>
  <c r="Y122" i="2"/>
  <c r="X14" i="8"/>
  <c r="W6" i="4"/>
  <c r="W7" i="8"/>
  <c r="W10" i="6"/>
  <c r="Y18" i="9"/>
  <c r="Y21" i="9"/>
  <c r="Y5" i="8"/>
  <c r="X24" i="8"/>
  <c r="X27" i="8"/>
  <c r="X6" i="8"/>
  <c r="X25" i="8"/>
  <c r="AD43" i="2"/>
  <c r="AB16" i="8"/>
  <c r="AB19" i="8"/>
  <c r="X7" i="9"/>
  <c r="X13" i="9"/>
  <c r="X9" i="6"/>
  <c r="Q7" i="5"/>
  <c r="S7" i="6"/>
  <c r="S12" i="6"/>
  <c r="S19" i="6"/>
  <c r="S20" i="6"/>
  <c r="AB15" i="9"/>
  <c r="AB20" i="9"/>
  <c r="AD44" i="2"/>
  <c r="AC115" i="2"/>
  <c r="Z122" i="2"/>
  <c r="Y14" i="8"/>
  <c r="Z120" i="2"/>
  <c r="V18" i="6"/>
  <c r="V10" i="4"/>
  <c r="Y22" i="8"/>
  <c r="Y20" i="8"/>
  <c r="W23" i="9"/>
  <c r="W25" i="9"/>
  <c r="Z16" i="9"/>
  <c r="AB45" i="2"/>
  <c r="Z17" i="8"/>
  <c r="AA116" i="2"/>
  <c r="AA118" i="2"/>
  <c r="Y9" i="6"/>
  <c r="Y7" i="9"/>
  <c r="Y13" i="9"/>
  <c r="T19" i="6"/>
  <c r="T20" i="6"/>
  <c r="Z5" i="8"/>
  <c r="Y24" i="8"/>
  <c r="Y27" i="8"/>
  <c r="Y6" i="8"/>
  <c r="Y25" i="8"/>
  <c r="T7" i="6"/>
  <c r="T12" i="6"/>
  <c r="R7" i="5"/>
  <c r="X7" i="8"/>
  <c r="X6" i="4"/>
  <c r="X10" i="6"/>
  <c r="AA120" i="2"/>
  <c r="AA122" i="2"/>
  <c r="Z14" i="8"/>
  <c r="X23" i="9"/>
  <c r="X25" i="9"/>
  <c r="AE43" i="2"/>
  <c r="AC16" i="8"/>
  <c r="AC19" i="8"/>
  <c r="Z22" i="8"/>
  <c r="Z20" i="8"/>
  <c r="W10" i="4"/>
  <c r="W18" i="6"/>
  <c r="AC45" i="2"/>
  <c r="AA17" i="8"/>
  <c r="AA16" i="9"/>
  <c r="AB116" i="2"/>
  <c r="AB118" i="2"/>
  <c r="Z18" i="9"/>
  <c r="Z21" i="9"/>
  <c r="AE44" i="2"/>
  <c r="AC15" i="9"/>
  <c r="AC20" i="9"/>
  <c r="AD115" i="2"/>
  <c r="AA20" i="8"/>
  <c r="AA22" i="8"/>
  <c r="U19" i="6"/>
  <c r="U20" i="6"/>
  <c r="AF44" i="2"/>
  <c r="AD15" i="9"/>
  <c r="AD20" i="9"/>
  <c r="AE115" i="2"/>
  <c r="AF43" i="2"/>
  <c r="AD16" i="8"/>
  <c r="AD19" i="8"/>
  <c r="X10" i="4"/>
  <c r="X18" i="6"/>
  <c r="Y23" i="9"/>
  <c r="Y25" i="9"/>
  <c r="AB17" i="8"/>
  <c r="AD45" i="2"/>
  <c r="AB16" i="9"/>
  <c r="AC116" i="2"/>
  <c r="AC118" i="2"/>
  <c r="Y7" i="8"/>
  <c r="Y6" i="4"/>
  <c r="Y10" i="6"/>
  <c r="Z25" i="8"/>
  <c r="Z27" i="8"/>
  <c r="Z6" i="8"/>
  <c r="Z24" i="8"/>
  <c r="U7" i="6"/>
  <c r="U12" i="6"/>
  <c r="S7" i="5"/>
  <c r="AB120" i="2"/>
  <c r="AB122" i="2"/>
  <c r="AA14" i="8"/>
  <c r="AA18" i="9"/>
  <c r="AA21" i="9"/>
  <c r="Z7" i="9"/>
  <c r="Z13" i="9"/>
  <c r="Z9" i="6"/>
  <c r="AA5" i="8"/>
  <c r="Y10" i="4"/>
  <c r="Y18" i="6"/>
  <c r="AB5" i="8"/>
  <c r="T7" i="5"/>
  <c r="V7" i="6"/>
  <c r="V12" i="6"/>
  <c r="V19" i="6"/>
  <c r="V20" i="6"/>
  <c r="Z6" i="4"/>
  <c r="Z7" i="8"/>
  <c r="Z10" i="6"/>
  <c r="AC120" i="2"/>
  <c r="AC122" i="2"/>
  <c r="AB14" i="8"/>
  <c r="AB18" i="9"/>
  <c r="AB21" i="9"/>
  <c r="AG43" i="2"/>
  <c r="AF16" i="8"/>
  <c r="AF19" i="8"/>
  <c r="AE16" i="8"/>
  <c r="AE19" i="8"/>
  <c r="AC16" i="9"/>
  <c r="AE45" i="2"/>
  <c r="AC17" i="8"/>
  <c r="AD116" i="2"/>
  <c r="AD118" i="2"/>
  <c r="AA25" i="8"/>
  <c r="AA24" i="8"/>
  <c r="AA27" i="8"/>
  <c r="AA6" i="8"/>
  <c r="AB22" i="8"/>
  <c r="AB20" i="8"/>
  <c r="Z23" i="9"/>
  <c r="Z25" i="9"/>
  <c r="AA7" i="9"/>
  <c r="AA13" i="9"/>
  <c r="AA9" i="6"/>
  <c r="AE15" i="9"/>
  <c r="AE20" i="9"/>
  <c r="AG44" i="2"/>
  <c r="AF115" i="2"/>
  <c r="AB24" i="8"/>
  <c r="AB25" i="8"/>
  <c r="AB27" i="8"/>
  <c r="AB6" i="8"/>
  <c r="AA7" i="8"/>
  <c r="AA6" i="4"/>
  <c r="AA10" i="6"/>
  <c r="AB7" i="9"/>
  <c r="AB13" i="9"/>
  <c r="AB9" i="6"/>
  <c r="W19" i="6"/>
  <c r="W20" i="6"/>
  <c r="AC5" i="8"/>
  <c r="AF15" i="9"/>
  <c r="AF20" i="9"/>
  <c r="AG115" i="2"/>
  <c r="AD120" i="2"/>
  <c r="AD122" i="2"/>
  <c r="AC14" i="8"/>
  <c r="AC22" i="8"/>
  <c r="AC20" i="8"/>
  <c r="Z18" i="6"/>
  <c r="Z10" i="4"/>
  <c r="AD17" i="8"/>
  <c r="AD16" i="9"/>
  <c r="AF45" i="2"/>
  <c r="AE116" i="2"/>
  <c r="AE118" i="2"/>
  <c r="AC18" i="9"/>
  <c r="AC21" i="9"/>
  <c r="U7" i="5"/>
  <c r="W7" i="6"/>
  <c r="W12" i="6"/>
  <c r="AA23" i="9"/>
  <c r="AA25" i="9"/>
  <c r="AC7" i="9"/>
  <c r="AC13" i="9"/>
  <c r="AC9" i="6"/>
  <c r="AB23" i="9"/>
  <c r="AB25" i="9"/>
  <c r="AD5" i="8"/>
  <c r="AA18" i="6"/>
  <c r="AA10" i="4"/>
  <c r="AG45" i="2"/>
  <c r="AE17" i="8"/>
  <c r="AE16" i="9"/>
  <c r="AF116" i="2"/>
  <c r="AF118" i="2"/>
  <c r="X19" i="6"/>
  <c r="X20" i="6"/>
  <c r="V7" i="5"/>
  <c r="X7" i="6"/>
  <c r="X12" i="6"/>
  <c r="AD18" i="9"/>
  <c r="AD21" i="9"/>
  <c r="AE120" i="2"/>
  <c r="AE122" i="2"/>
  <c r="AD14" i="8"/>
  <c r="AD22" i="8"/>
  <c r="AD20" i="8"/>
  <c r="AC25" i="8"/>
  <c r="AC24" i="8"/>
  <c r="AC27" i="8"/>
  <c r="AC6" i="8"/>
  <c r="AB6" i="4"/>
  <c r="AB7" i="8"/>
  <c r="AB10" i="6"/>
  <c r="AB10" i="4"/>
  <c r="AB18" i="6"/>
  <c r="AF120" i="2"/>
  <c r="AF122" i="2"/>
  <c r="AE14" i="8"/>
  <c r="W7" i="5"/>
  <c r="Y7" i="6"/>
  <c r="Y12" i="6"/>
  <c r="AE18" i="9"/>
  <c r="AE21" i="9"/>
  <c r="AC6" i="4"/>
  <c r="AC7" i="8"/>
  <c r="AC10" i="6"/>
  <c r="AD24" i="8"/>
  <c r="AD25" i="8"/>
  <c r="AD27" i="8"/>
  <c r="AD6" i="8"/>
  <c r="AE22" i="8"/>
  <c r="AE20" i="8"/>
  <c r="AC23" i="9"/>
  <c r="AC25" i="9"/>
  <c r="AD7" i="9"/>
  <c r="AD13" i="9"/>
  <c r="AD9" i="6"/>
  <c r="AF16" i="9"/>
  <c r="AF17" i="8"/>
  <c r="AG116" i="2"/>
  <c r="AG118" i="2"/>
  <c r="AE5" i="8"/>
  <c r="Y19" i="6"/>
  <c r="Y20" i="6"/>
  <c r="AD23" i="9"/>
  <c r="AD25" i="9"/>
  <c r="AD6" i="4"/>
  <c r="AD7" i="8"/>
  <c r="AD10" i="6"/>
  <c r="Z19" i="6"/>
  <c r="Z20" i="6"/>
  <c r="AF22" i="8"/>
  <c r="AF20" i="8"/>
  <c r="AG120" i="2"/>
  <c r="AG122" i="2"/>
  <c r="AF14" i="8"/>
  <c r="AF18" i="9"/>
  <c r="AF21" i="9"/>
  <c r="X7" i="5"/>
  <c r="Z7" i="6"/>
  <c r="Z12" i="6"/>
  <c r="AC18" i="6"/>
  <c r="AC10" i="4"/>
  <c r="AE25" i="8"/>
  <c r="AE24" i="8"/>
  <c r="AE27" i="8"/>
  <c r="AE6" i="8"/>
  <c r="AF5" i="8"/>
  <c r="AE7" i="9"/>
  <c r="AE13" i="9"/>
  <c r="AE9" i="6"/>
  <c r="AD18" i="6"/>
  <c r="AD10" i="4"/>
  <c r="AF24" i="8"/>
  <c r="AF27" i="8"/>
  <c r="AF6" i="8"/>
  <c r="AF25" i="8"/>
  <c r="AF7" i="9"/>
  <c r="AF13" i="9"/>
  <c r="AF9" i="6"/>
  <c r="Y7" i="5"/>
  <c r="AA7" i="6"/>
  <c r="AA12" i="6"/>
  <c r="AE23" i="9"/>
  <c r="AE25" i="9"/>
  <c r="AA19" i="6"/>
  <c r="AA20" i="6"/>
  <c r="AE7" i="8"/>
  <c r="AE6" i="4"/>
  <c r="AE10" i="6"/>
  <c r="B33" i="21"/>
  <c r="B38" i="21"/>
  <c r="B42" i="21"/>
  <c r="AF7" i="8"/>
  <c r="AF6" i="4"/>
  <c r="AF10" i="6"/>
  <c r="Z7" i="5"/>
  <c r="AB7" i="6"/>
  <c r="AB12" i="6"/>
  <c r="AF23" i="9"/>
  <c r="AF25" i="9"/>
  <c r="AE10" i="4"/>
  <c r="AE18" i="6"/>
  <c r="AB19" i="6"/>
  <c r="AB20" i="6"/>
  <c r="AF18" i="6"/>
  <c r="AF10" i="4"/>
  <c r="AC7" i="6"/>
  <c r="AC12" i="6"/>
  <c r="AA7" i="5"/>
  <c r="AC19" i="6"/>
  <c r="AC20" i="6"/>
  <c r="AD7" i="6"/>
  <c r="AD12" i="6"/>
  <c r="AB7" i="5"/>
  <c r="AD19" i="6"/>
  <c r="AD20" i="6"/>
  <c r="AE19" i="6"/>
  <c r="AE20" i="6"/>
  <c r="AC7" i="5"/>
  <c r="AE7" i="6"/>
  <c r="AE12" i="6"/>
  <c r="AF19" i="6"/>
  <c r="AF20" i="6"/>
  <c r="AD7" i="5"/>
  <c r="AF7" i="6"/>
  <c r="AF12" i="6"/>
  <c r="AE7" i="5"/>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<sst xmlns="http://schemas.openxmlformats.org/spreadsheetml/2006/main" count="277" uniqueCount="205">
  <si>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</si>
  <si>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</si>
  <si>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</si>
  <si>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</si>
  <si>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</si>
  <si>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</si>
  <si>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</si>
  <si>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</si>
  <si>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</si>
  <si>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</si>
  <si>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</si>
  <si>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</si>
  <si>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</si>
  <si>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</si>
  <si>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</si>
  <si>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</si>
  <si>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</si>
  <si>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</si>
  <si>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</si>
  <si>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</si>
  <si>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</si>
  <si>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</si>
  <si>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</si>
  <si>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</si>
  <si>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</si>
  <si>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</si>
  <si>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</si>
  <si>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</si>
  <si>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</si>
  <si>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</si>
  <si>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</si>
  <si>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</si>
  <si>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</si>
  <si>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</si>
  <si>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</si>
  <si>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</si>
  <si>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</si>
  <si>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</si>
  <si>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</si>
  <si>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</si>
  <si>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</si>
  <si>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</si>
  <si>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</si>
  <si>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</si>
  <si>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</si>
  <si>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</si>
  <si>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</si>
  <si>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</si>
  <si>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</si>
  <si>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</si>
  <si>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</si>
  <si>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</si>
  <si>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</si>
  <si>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</si>
  <si>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</si>
  <si>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</si>
  <si>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</si>
  <si>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</si>
  <si>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</si>
  <si>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</si>
  <si>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</si>
  <si>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</si>
  <si>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</si>
  <si>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</si>
  <si>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</si>
  <si>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</si>
  <si>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</si>
  <si>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</si>
  <si>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</si>
  <si>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</si>
  <si>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</si>
  <si>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</si>
  <si>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</si>
  <si>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</si>
  <si>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</si>
  <si>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</si>
  <si>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</si>
  <si>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</si>
  <si>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</si>
  <si>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</si>
  <si>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</si>
  <si>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</si>
  <si>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</si>
  <si>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</si>
  <si>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</si>
  <si>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</si>
  <si>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</si>
  <si>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</si>
  <si>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</si>
  <si>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</si>
  <si>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</si>
  <si>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</si>
  <si>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</si>
  <si>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</si>
  <si>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</si>
  <si>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</si>
  <si>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</si>
  <si>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</si>
  <si>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</si>
  <si>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</si>
  <si>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</si>
  <si>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</si>
  <si>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</si>
  <si>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</si>
  <si>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</si>
  <si>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</si>
  <si>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</si>
  <si>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</si>
  <si>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</si>
  <si>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</si>
  <si>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</si>
  <si>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</si>
  <si>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</si>
  <si>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</si>
  <si>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</si>
  <si>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</si>
  <si>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</si>
  <si>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</si>
  <si>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</si>
  <si>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</si>
  <si>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</si>
  <si>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</si>
  <si>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</si>
  <si>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</si>
  <si>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</si>
  <si>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</si>
  <si>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</si>
  <si>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</si>
  <si>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</si>
  <si>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</si>
  <si>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</si>
  <si>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</si>
  <si>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</si>
  <si>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</si>
  <si>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</si>
  <si>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</si>
  <si>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</si>
  <si>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</si>
  <si>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</si>
  <si>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</si>
  <si>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</si>
  <si>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</si>
  <si>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</si>
  <si>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</si>
  <si>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</si>
  <si>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</si>
  <si>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</si>
  <si>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</si>
  <si>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</si>
  <si>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</si>
  <si>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</si>
  <si>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</si>
  <si>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</si>
  <si>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</si>
  <si>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</si>
  <si>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</si>
  <si>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</si>
  <si>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</si>
  <si>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</si>
  <si>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</si>
  <si>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</si>
  <si>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</si>
  <si>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</si>
  <si>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</si>
  <si>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</si>
  <si>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</si>
  <si>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</si>
  <si>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</si>
  <si>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</si>
  <si>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</si>
  <si>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</si>
  <si>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</si>
  <si>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</si>
  <si>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</si>
  <si>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</si>
  <si>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</si>
  <si>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No reported growth investment</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</si>
  <si>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</si>
  <si>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</si>
  <si>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</si>
  <si>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</si>
  <si>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</si>
  <si>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</si>
  <si>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</si>
  <si>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</si>
  <si>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</si>
  <si>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</si>
  <si>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</si>
  <si>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</si>
  <si>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</si>
  <si>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</si>
  <si>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</si>
  <si>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</si>
  <si>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</si>
  <si>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</si>
  <si>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</si>
  <si>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</si>
  <si>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Stratford Stand-alone Council</t>
  </si>
  <si>
    <t>RFI Table J1; Sum of lines J1.1 to J1.30 (Column J); J1.6 was divided by 1,000</t>
  </si>
  <si>
    <t>RFI Table A1; Line A1.43</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</si>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</sst>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7">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0" fontId="16" fillId="0" borderId="0" xfId="0" applyFont="1" applyFill="1" applyAlignment="1">
      <alignment vertical="center"/>
    </xf>
    <xf numFmtId="0" fontId="17" fillId="0" borderId="0" xfId="0" applyFont="1" applyFill="1" applyAlignment="1">
      <alignment vertical="center"/>
    </xf>
    <xf numFmtId="0" fontId="15" fillId="0" borderId="0" xfId="0" applyFont="1" applyFill="1" applyAlignment="1">
      <alignment vertical="center"/>
    </xf>
    <xf numFmtId="0" fontId="16" fillId="0" borderId="0" xfId="0" applyFont="1" applyAlignment="1">
      <alignment vertical="center"/>
    </xf>
    <xf numFmtId="166" fontId="16" fillId="0" borderId="0" xfId="2" applyNumberFormat="1" applyFont="1" applyFill="1" applyAlignment="1">
      <alignment horizontal="center" vertical="center"/>
    </xf>
    <xf numFmtId="9" fontId="16" fillId="0" borderId="0" xfId="3" applyFont="1" applyFill="1" applyAlignment="1">
      <alignment horizontal="center" vertical="center"/>
    </xf>
    <xf numFmtId="167" fontId="16" fillId="0" borderId="0" xfId="0" applyNumberFormat="1" applyFont="1" applyAlignment="1">
      <alignment horizontal="center" vertical="center"/>
    </xf>
    <xf numFmtId="3" fontId="16" fillId="0" borderId="0" xfId="1" applyNumberFormat="1" applyFont="1" applyFill="1" applyAlignment="1">
      <alignment horizontal="center" vertical="center"/>
    </xf>
    <xf numFmtId="166" fontId="17" fillId="0" borderId="0" xfId="2" applyNumberFormat="1" applyFont="1" applyFill="1" applyAlignment="1">
      <alignment horizontal="center" vertical="center"/>
    </xf>
    <xf numFmtId="2" fontId="16" fillId="0" borderId="0" xfId="2" applyNumberFormat="1" applyFont="1" applyFill="1" applyAlignment="1">
      <alignment vertical="center"/>
    </xf>
    <xf numFmtId="1" fontId="17" fillId="0" borderId="0" xfId="2" applyNumberFormat="1" applyFont="1" applyFill="1" applyAlignment="1">
      <alignment horizontal="right" vertical="center"/>
    </xf>
    <xf numFmtId="173" fontId="16" fillId="0" borderId="0" xfId="0" applyNumberFormat="1" applyFont="1" applyFill="1" applyAlignment="1">
      <alignment vertical="center"/>
    </xf>
    <xf numFmtId="167" fontId="16" fillId="0" borderId="0" xfId="0" applyNumberFormat="1" applyFont="1" applyFill="1" applyAlignment="1">
      <alignment horizontal="center" vertical="center"/>
    </xf>
    <xf numFmtId="2" fontId="16" fillId="0" borderId="0" xfId="2" applyNumberFormat="1" applyFont="1" applyFill="1" applyAlignment="1">
      <alignment horizontal="right" vertical="center"/>
    </xf>
    <xf numFmtId="0" fontId="0" fillId="0" borderId="0" xfId="0" applyAlignment="1">
      <alignment vertic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197</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53195755.775000006</v>
      </c>
      <c r="C6" s="12">
        <f ca="1">B6+Depreciation!C18+'Cash Flow'!C13</f>
        <v>55716648.984945625</v>
      </c>
      <c r="D6" s="1">
        <f ca="1">C6+Depreciation!D18</f>
        <v>73165624.301617816</v>
      </c>
      <c r="E6" s="1">
        <f ca="1">D6+Depreciation!E18</f>
        <v>91566452.310644642</v>
      </c>
      <c r="F6" s="1">
        <f ca="1">E6+Depreciation!F18</f>
        <v>110962183.83361252</v>
      </c>
      <c r="G6" s="1">
        <f ca="1">F6+Depreciation!G18</f>
        <v>131397650.24753243</v>
      </c>
      <c r="H6" s="1">
        <f ca="1">G6+Depreciation!H18</f>
        <v>152919533.35634577</v>
      </c>
      <c r="I6" s="1">
        <f ca="1">H6+Depreciation!I18</f>
        <v>175576437.91091788</v>
      </c>
      <c r="J6" s="1">
        <f ca="1">I6+Depreciation!J18</f>
        <v>199418966.87547392</v>
      </c>
      <c r="K6" s="1">
        <f ca="1">J6+Depreciation!K18</f>
        <v>224499799.54198897</v>
      </c>
      <c r="L6" s="1">
        <f ca="1">K6+Depreciation!L18</f>
        <v>250873772.59772867</v>
      </c>
      <c r="M6" s="1">
        <f ca="1">L6+Depreciation!M18</f>
        <v>278597964.25495291</v>
      </c>
      <c r="N6" s="1">
        <f ca="1">M6+Depreciation!N18</f>
        <v>307731781.55574763</v>
      </c>
      <c r="O6" s="1">
        <f ca="1">N6+Depreciation!O18</f>
        <v>338337050.96904433</v>
      </c>
      <c r="P6" s="1">
        <f ca="1">O6+Depreciation!P18</f>
        <v>370478112.4011271</v>
      </c>
      <c r="Q6" s="1">
        <f ca="1">P6+Depreciation!Q18</f>
        <v>404221916.74531907</v>
      </c>
      <c r="R6" s="1">
        <f ca="1">Q6+Depreciation!R18</f>
        <v>439638127.10108876</v>
      </c>
      <c r="S6" s="1">
        <f ca="1">R6+Depreciation!S18</f>
        <v>476799223.79752868</v>
      </c>
      <c r="T6" s="1">
        <f ca="1">S6+Depreciation!T18</f>
        <v>515780613.36103743</v>
      </c>
      <c r="U6" s="1">
        <f ca="1">T6+Depreciation!U18</f>
        <v>556660741.57209027</v>
      </c>
      <c r="V6" s="1">
        <f ca="1">U6+Depreciation!V18</f>
        <v>599521210.761217</v>
      </c>
      <c r="W6" s="1">
        <f ca="1">V6+Depreciation!W18</f>
        <v>644446901.49972618</v>
      </c>
      <c r="X6" s="1">
        <f ca="1">W6+Depreciation!X18</f>
        <v>691526098.84632874</v>
      </c>
      <c r="Y6" s="1">
        <f ca="1">X6+Depreciation!Y18</f>
        <v>740850623.31662631</v>
      </c>
      <c r="Z6" s="1">
        <f ca="1">Y6+Depreciation!Z18</f>
        <v>792515966.74845243</v>
      </c>
      <c r="AA6" s="1">
        <f ca="1">Z6+Depreciation!AA18</f>
        <v>846621433.2422874</v>
      </c>
      <c r="AB6" s="1">
        <f ca="1">AA6+Depreciation!AB18</f>
        <v>903270285.36242557</v>
      </c>
      <c r="AC6" s="1">
        <f ca="1">AB6+Depreciation!AC18</f>
        <v>962569895.79126072</v>
      </c>
      <c r="AD6" s="1">
        <f ca="1">AC6+Depreciation!AD18</f>
        <v>1024631904.6359783</v>
      </c>
      <c r="AE6" s="1">
        <f ca="1">AD6+Depreciation!AE18</f>
        <v>1089572382.5941157</v>
      </c>
      <c r="AF6" s="1"/>
      <c r="AG6" s="1"/>
      <c r="AH6" s="1"/>
      <c r="AI6" s="1"/>
      <c r="AJ6" s="1"/>
      <c r="AK6" s="1"/>
      <c r="AL6" s="1"/>
      <c r="AM6" s="1"/>
      <c r="AN6" s="1"/>
      <c r="AO6" s="1"/>
      <c r="AP6" s="1"/>
    </row>
    <row r="7" spans="1:42" x14ac:dyDescent="0.35">
      <c r="A7" t="s">
        <v>12</v>
      </c>
      <c r="B7" s="1">
        <f>Depreciation!C12</f>
        <v>27742104.326251324</v>
      </c>
      <c r="C7" s="1">
        <f>Depreciation!D12</f>
        <v>29304230.393039893</v>
      </c>
      <c r="D7" s="1">
        <f>Depreciation!E12</f>
        <v>31309829.976186816</v>
      </c>
      <c r="E7" s="1">
        <f>Depreciation!F12</f>
        <v>33785685.763646632</v>
      </c>
      <c r="F7" s="1">
        <f>Depreciation!G12</f>
        <v>36759840.418522224</v>
      </c>
      <c r="G7" s="1">
        <f>Depreciation!H12</f>
        <v>40261649.792001843</v>
      </c>
      <c r="H7" s="1">
        <f>Depreciation!I12</f>
        <v>44321838.251709558</v>
      </c>
      <c r="I7" s="1">
        <f>Depreciation!J12</f>
        <v>48972556.206365526</v>
      </c>
      <c r="J7" s="1">
        <f>Depreciation!K12</f>
        <v>54247439.910663687</v>
      </c>
      <c r="K7" s="1">
        <f>Depreciation!L12</f>
        <v>60181673.637395583</v>
      </c>
      <c r="L7" s="1">
        <f>Depreciation!M12</f>
        <v>66812054.307083756</v>
      </c>
      <c r="M7" s="1">
        <f>Depreciation!N12</f>
        <v>74177058.668741241</v>
      </c>
      <c r="N7" s="1">
        <f>Depreciation!O12</f>
        <v>82316913.128848314</v>
      </c>
      <c r="O7" s="1">
        <f>Depreciation!P12</f>
        <v>91273666.329239428</v>
      </c>
      <c r="P7" s="1">
        <f>Depreciation!Q12</f>
        <v>101091264.5783256</v>
      </c>
      <c r="Q7" s="1">
        <f>Depreciation!R12</f>
        <v>111815630.24394611</v>
      </c>
      <c r="R7" s="1">
        <f>Depreciation!S12</f>
        <v>123494743.22015208</v>
      </c>
      <c r="S7" s="1">
        <f>Depreciation!T12</f>
        <v>136178725.5843794</v>
      </c>
      <c r="T7" s="1">
        <f>Depreciation!U12</f>
        <v>149919929.56577381</v>
      </c>
      <c r="U7" s="1">
        <f>Depreciation!V12</f>
        <v>164773028.94989303</v>
      </c>
      <c r="V7" s="1">
        <f>Depreciation!W12</f>
        <v>180795114.04963446</v>
      </c>
      <c r="W7" s="1">
        <f>Depreciation!X12</f>
        <v>198045790.37702861</v>
      </c>
      <c r="X7" s="1">
        <f>Depreciation!Y12</f>
        <v>216587281.15550312</v>
      </c>
      <c r="Y7" s="1">
        <f>Depreciation!Z12</f>
        <v>236484533.81736788</v>
      </c>
      <c r="Z7" s="1">
        <f>Depreciation!AA12</f>
        <v>257805330.63660276</v>
      </c>
      <c r="AA7" s="1">
        <f>Depreciation!AB12</f>
        <v>280620403.65255362</v>
      </c>
      <c r="AB7" s="1">
        <f>Depreciation!AC12</f>
        <v>305003554.04586744</v>
      </c>
      <c r="AC7" s="1">
        <f>Depreciation!AD12</f>
        <v>331031776.13392705</v>
      </c>
      <c r="AD7" s="1">
        <f>Depreciation!AE12</f>
        <v>358785386.15919346</v>
      </c>
      <c r="AE7" s="1">
        <f>Depreciation!AF12</f>
        <v>388348156.05022979</v>
      </c>
      <c r="AF7" s="1"/>
      <c r="AG7" s="1"/>
      <c r="AH7" s="1"/>
      <c r="AI7" s="1"/>
      <c r="AJ7" s="1"/>
      <c r="AK7" s="1"/>
      <c r="AL7" s="1"/>
      <c r="AM7" s="1"/>
      <c r="AN7" s="1"/>
      <c r="AO7" s="1"/>
      <c r="AP7" s="1"/>
    </row>
    <row r="8" spans="1:42" x14ac:dyDescent="0.35">
      <c r="A8" t="s">
        <v>191</v>
      </c>
      <c r="B8" s="1">
        <f t="shared" ref="B8:AE8" si="1">B6-B7</f>
        <v>25453651.448748682</v>
      </c>
      <c r="C8" s="1">
        <f t="shared" ca="1" si="1"/>
        <v>26412418.591905732</v>
      </c>
      <c r="D8" s="1">
        <f ca="1">D6-D7</f>
        <v>41855794.325431004</v>
      </c>
      <c r="E8" s="1">
        <f t="shared" ca="1" si="1"/>
        <v>57780766.546998009</v>
      </c>
      <c r="F8" s="1">
        <f t="shared" ca="1" si="1"/>
        <v>74202343.415090293</v>
      </c>
      <c r="G8" s="1">
        <f t="shared" ca="1" si="1"/>
        <v>91136000.455530584</v>
      </c>
      <c r="H8" s="1">
        <f t="shared" ca="1" si="1"/>
        <v>108597695.10463622</v>
      </c>
      <c r="I8" s="1">
        <f t="shared" ca="1" si="1"/>
        <v>126603881.70455235</v>
      </c>
      <c r="J8" s="1">
        <f t="shared" ca="1" si="1"/>
        <v>145171526.96481022</v>
      </c>
      <c r="K8" s="1">
        <f t="shared" ca="1" si="1"/>
        <v>164318125.90459338</v>
      </c>
      <c r="L8" s="1">
        <f t="shared" ca="1" si="1"/>
        <v>184061718.29064491</v>
      </c>
      <c r="M8" s="1">
        <f t="shared" ca="1" si="1"/>
        <v>204420905.58621168</v>
      </c>
      <c r="N8" s="1">
        <f t="shared" ca="1" si="1"/>
        <v>225414868.42689931</v>
      </c>
      <c r="O8" s="1">
        <f t="shared" ca="1" si="1"/>
        <v>247063384.6398049</v>
      </c>
      <c r="P8" s="1">
        <f t="shared" ca="1" si="1"/>
        <v>269386847.82280147</v>
      </c>
      <c r="Q8" s="1">
        <f t="shared" ca="1" si="1"/>
        <v>292406286.50137293</v>
      </c>
      <c r="R8" s="1">
        <f t="shared" ca="1" si="1"/>
        <v>316143383.88093668</v>
      </c>
      <c r="S8" s="1">
        <f t="shared" ca="1" si="1"/>
        <v>340620498.21314931</v>
      </c>
      <c r="T8" s="1">
        <f t="shared" ca="1" si="1"/>
        <v>365860683.79526365</v>
      </c>
      <c r="U8" s="1">
        <f t="shared" ca="1" si="1"/>
        <v>391887712.62219727</v>
      </c>
      <c r="V8" s="1">
        <f t="shared" ca="1" si="1"/>
        <v>418726096.71158254</v>
      </c>
      <c r="W8" s="1">
        <f t="shared" ca="1" si="1"/>
        <v>446401111.12269759</v>
      </c>
      <c r="X8" s="1">
        <f t="shared" ca="1" si="1"/>
        <v>474938817.69082558</v>
      </c>
      <c r="Y8" s="1">
        <f t="shared" ca="1" si="1"/>
        <v>504366089.4992584</v>
      </c>
      <c r="Z8" s="1">
        <f t="shared" ca="1" si="1"/>
        <v>534710636.11184967</v>
      </c>
      <c r="AA8" s="1">
        <f t="shared" ca="1" si="1"/>
        <v>566001029.58973384</v>
      </c>
      <c r="AB8" s="1">
        <f t="shared" ca="1" si="1"/>
        <v>598266731.31655812</v>
      </c>
      <c r="AC8" s="1">
        <f t="shared" ca="1" si="1"/>
        <v>631538119.65733361</v>
      </c>
      <c r="AD8" s="1">
        <f t="shared" ca="1" si="1"/>
        <v>665846518.47678494</v>
      </c>
      <c r="AE8" s="1">
        <f t="shared" ca="1" si="1"/>
        <v>701224226.54388595</v>
      </c>
      <c r="AF8" s="1"/>
      <c r="AG8" s="1"/>
      <c r="AH8" s="1"/>
      <c r="AI8" s="1"/>
      <c r="AJ8" s="1"/>
      <c r="AK8" s="1"/>
      <c r="AL8" s="1"/>
      <c r="AM8" s="1"/>
      <c r="AN8" s="1"/>
      <c r="AO8" s="1"/>
      <c r="AP8" s="1"/>
    </row>
    <row r="10" spans="1:42" x14ac:dyDescent="0.35">
      <c r="A10" t="s">
        <v>17</v>
      </c>
      <c r="B10" s="1">
        <f>B8-B11</f>
        <v>16885651.448748682</v>
      </c>
      <c r="C10" s="1">
        <f ca="1">C8-C11</f>
        <v>3826851.5938329548</v>
      </c>
      <c r="D10" s="1">
        <f ca="1">D8-D11</f>
        <v>7028316.3870123625</v>
      </c>
      <c r="E10" s="1">
        <f t="shared" ref="E10:AE10" ca="1" si="2">E8-E11</f>
        <v>13977216.725203857</v>
      </c>
      <c r="F10" s="1">
        <f t="shared" ca="1" si="2"/>
        <v>23186619.729464903</v>
      </c>
      <c r="G10" s="1">
        <f ca="1">G8-G11</f>
        <v>33925118.040441968</v>
      </c>
      <c r="H10" s="1">
        <f t="shared" ca="1" si="2"/>
        <v>45787433.470591187</v>
      </c>
      <c r="I10" s="1">
        <f t="shared" ca="1" si="2"/>
        <v>58563975.459471673</v>
      </c>
      <c r="J10" s="1">
        <f t="shared" ca="1" si="2"/>
        <v>72446873.130571932</v>
      </c>
      <c r="K10" s="1">
        <f t="shared" ca="1" si="2"/>
        <v>87074174.892259389</v>
      </c>
      <c r="L10" s="1">
        <f t="shared" ca="1" si="2"/>
        <v>101942741.55494557</v>
      </c>
      <c r="M10" s="1">
        <f t="shared" ca="1" si="2"/>
        <v>117083360.96898627</v>
      </c>
      <c r="N10" s="1">
        <f t="shared" ca="1" si="2"/>
        <v>132531302.55434176</v>
      </c>
      <c r="O10" s="1">
        <f t="shared" ca="1" si="2"/>
        <v>148326764.02772254</v>
      </c>
      <c r="P10" s="1">
        <f t="shared" ca="1" si="2"/>
        <v>164515354.42792583</v>
      </c>
      <c r="Q10" s="1">
        <f t="shared" ca="1" si="2"/>
        <v>181148616.07041061</v>
      </c>
      <c r="R10" s="1">
        <f t="shared" ca="1" si="2"/>
        <v>198284588.24028364</v>
      </c>
      <c r="S10" s="1">
        <f t="shared" ca="1" si="2"/>
        <v>215988415.62255573</v>
      </c>
      <c r="T10" s="1">
        <f t="shared" ca="1" si="2"/>
        <v>234082538.52538148</v>
      </c>
      <c r="U10" s="1">
        <f t="shared" ca="1" si="2"/>
        <v>252610445.02157313</v>
      </c>
      <c r="V10" s="1">
        <f t="shared" ca="1" si="2"/>
        <v>271620995.34756011</v>
      </c>
      <c r="W10" s="1">
        <f t="shared" ca="1" si="2"/>
        <v>291168912.68595433</v>
      </c>
      <c r="X10" s="1">
        <f t="shared" ca="1" si="2"/>
        <v>311315311.24286902</v>
      </c>
      <c r="Y10" s="1">
        <f t="shared" ca="1" si="2"/>
        <v>332128264.15969765</v>
      </c>
      <c r="Z10" s="1">
        <f t="shared" ca="1" si="2"/>
        <v>353338060.51797378</v>
      </c>
      <c r="AA10" s="1">
        <f t="shared" ca="1" si="2"/>
        <v>374979780.1958251</v>
      </c>
      <c r="AB10" s="1">
        <f t="shared" ca="1" si="2"/>
        <v>397092805.31839758</v>
      </c>
      <c r="AC10" s="1">
        <f t="shared" ca="1" si="2"/>
        <v>419721208.10601598</v>
      </c>
      <c r="AD10" s="1">
        <f t="shared" ca="1" si="2"/>
        <v>442914167.35081923</v>
      </c>
      <c r="AE10" s="1">
        <f t="shared" ca="1" si="2"/>
        <v>466726415.39449012</v>
      </c>
      <c r="AF10" s="1"/>
      <c r="AG10" s="1"/>
      <c r="AH10" s="1"/>
      <c r="AI10" s="1"/>
      <c r="AJ10" s="1"/>
      <c r="AK10" s="1"/>
      <c r="AL10" s="1"/>
      <c r="AM10" s="1"/>
      <c r="AN10" s="1"/>
      <c r="AO10" s="1"/>
    </row>
    <row r="11" spans="1:42" x14ac:dyDescent="0.35">
      <c r="A11" t="s">
        <v>9</v>
      </c>
      <c r="B11" s="1">
        <f>Assumptions!$C$20</f>
        <v>8568000</v>
      </c>
      <c r="C11" s="1">
        <f ca="1">'Debt worksheet'!D5</f>
        <v>22585566.998072777</v>
      </c>
      <c r="D11" s="1">
        <f ca="1">'Debt worksheet'!E5</f>
        <v>34827477.938418642</v>
      </c>
      <c r="E11" s="1">
        <f ca="1">'Debt worksheet'!F5</f>
        <v>43803549.821794152</v>
      </c>
      <c r="F11" s="1">
        <f ca="1">'Debt worksheet'!G5</f>
        <v>51015723.685625389</v>
      </c>
      <c r="G11" s="1">
        <f ca="1">'Debt worksheet'!H5</f>
        <v>57210882.415088616</v>
      </c>
      <c r="H11" s="1">
        <f ca="1">'Debt worksheet'!I5</f>
        <v>62810261.634045035</v>
      </c>
      <c r="I11" s="1">
        <f ca="1">'Debt worksheet'!J5</f>
        <v>68039906.24508068</v>
      </c>
      <c r="J11" s="1">
        <f ca="1">'Debt worksheet'!K5</f>
        <v>72724653.834238291</v>
      </c>
      <c r="K11" s="1">
        <f ca="1">'Debt worksheet'!L5</f>
        <v>77243951.012333989</v>
      </c>
      <c r="L11" s="1">
        <f ca="1">'Debt worksheet'!M5</f>
        <v>82118976.735699341</v>
      </c>
      <c r="M11" s="1">
        <f ca="1">'Debt worksheet'!N5</f>
        <v>87337544.617225409</v>
      </c>
      <c r="N11" s="1">
        <f ca="1">'Debt worksheet'!O5</f>
        <v>92883565.872557551</v>
      </c>
      <c r="O11" s="1">
        <f ca="1">'Debt worksheet'!P5</f>
        <v>98736620.612082377</v>
      </c>
      <c r="P11" s="1">
        <f ca="1">'Debt worksheet'!Q5</f>
        <v>104871493.39487565</v>
      </c>
      <c r="Q11" s="1">
        <f ca="1">'Debt worksheet'!R5</f>
        <v>111257670.43096234</v>
      </c>
      <c r="R11" s="1">
        <f ca="1">'Debt worksheet'!S5</f>
        <v>117858795.64065304</v>
      </c>
      <c r="S11" s="1">
        <f ca="1">'Debt worksheet'!T5</f>
        <v>124632082.59059358</v>
      </c>
      <c r="T11" s="1">
        <f ca="1">'Debt worksheet'!U5</f>
        <v>131778145.26988217</v>
      </c>
      <c r="U11" s="1">
        <f ca="1">'Debt worksheet'!V5</f>
        <v>139277267.60062414</v>
      </c>
      <c r="V11" s="1">
        <f ca="1">'Debt worksheet'!W5</f>
        <v>147105101.36402243</v>
      </c>
      <c r="W11" s="1">
        <f ca="1">'Debt worksheet'!X5</f>
        <v>155232198.43674329</v>
      </c>
      <c r="X11" s="1">
        <f ca="1">'Debt worksheet'!Y5</f>
        <v>163623506.44795656</v>
      </c>
      <c r="Y11" s="1">
        <f ca="1">'Debt worksheet'!Z5</f>
        <v>172237825.33956072</v>
      </c>
      <c r="Z11" s="1">
        <f ca="1">'Debt worksheet'!AA5</f>
        <v>181372575.59387591</v>
      </c>
      <c r="AA11" s="1">
        <f ca="1">'Debt worksheet'!AB5</f>
        <v>191021249.39390874</v>
      </c>
      <c r="AB11" s="1">
        <f ca="1">'Debt worksheet'!AC5</f>
        <v>201173925.99816054</v>
      </c>
      <c r="AC11" s="1">
        <f ca="1">'Debt worksheet'!AD5</f>
        <v>211816911.55131763</v>
      </c>
      <c r="AD11" s="1">
        <f ca="1">'Debt worksheet'!AE5</f>
        <v>222932351.12596568</v>
      </c>
      <c r="AE11" s="1">
        <f ca="1">'Debt worksheet'!AF5</f>
        <v>234497811.14939585</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1376666.7711943015</v>
      </c>
      <c r="D5" s="4">
        <f ca="1">'Profit and Loss'!D9</f>
        <v>3644938.3095377563</v>
      </c>
      <c r="E5" s="4">
        <f ca="1">'Profit and Loss'!E9</f>
        <v>7419156.5425043935</v>
      </c>
      <c r="F5" s="4">
        <f ca="1">'Profit and Loss'!F9</f>
        <v>9707701.8716768175</v>
      </c>
      <c r="G5" s="4">
        <f ca="1">'Profit and Loss'!G9</f>
        <v>11266153.02958109</v>
      </c>
      <c r="H5" s="4">
        <f ca="1">'Profit and Loss'!H9</f>
        <v>12420694.516377309</v>
      </c>
      <c r="I5" s="4">
        <f ca="1">'Profit and Loss'!I9</f>
        <v>13367071.483828751</v>
      </c>
      <c r="J5" s="4">
        <f ca="1">'Profit and Loss'!J9</f>
        <v>14507063.420742456</v>
      </c>
      <c r="K5" s="4">
        <f ca="1">'Profit and Loss'!K9</f>
        <v>15286651.784121178</v>
      </c>
      <c r="L5" s="4">
        <f ca="1">'Profit and Loss'!L9</f>
        <v>15564713.605642462</v>
      </c>
      <c r="M5" s="4">
        <f ca="1">'Profit and Loss'!M9</f>
        <v>15875243.106010001</v>
      </c>
      <c r="N5" s="4">
        <f ca="1">'Profit and Loss'!N9</f>
        <v>16222791.683805082</v>
      </c>
      <c r="O5" s="4">
        <f ca="1">'Profit and Loss'!O9</f>
        <v>16612360.213664781</v>
      </c>
      <c r="P5" s="4">
        <f ca="1">'Profit and Loss'!P9</f>
        <v>17049435.448898409</v>
      </c>
      <c r="Q5" s="4">
        <f ca="1">'Profit and Loss'!Q9</f>
        <v>17540029.059019111</v>
      </c>
      <c r="R5" s="4">
        <f ca="1">'Profit and Loss'!R9</f>
        <v>18090719.480458487</v>
      </c>
      <c r="S5" s="4">
        <f ca="1">'Profit and Loss'!S9</f>
        <v>18708696.770293429</v>
      </c>
      <c r="T5" s="4">
        <f ca="1">'Profit and Loss'!T9</f>
        <v>19151344.519992851</v>
      </c>
      <c r="U5" s="4">
        <f ca="1">'Profit and Loss'!U9</f>
        <v>19639801.898916479</v>
      </c>
      <c r="V5" s="4">
        <f ca="1">'Profit and Loss'!V9</f>
        <v>20179536.041609257</v>
      </c>
      <c r="W5" s="4">
        <f ca="1">'Profit and Loss'!W9</f>
        <v>20776508.566046927</v>
      </c>
      <c r="X5" s="4">
        <f ca="1">'Profit and Loss'!X9</f>
        <v>21437213.007995058</v>
      </c>
      <c r="Y5" s="4">
        <f ca="1">'Profit and Loss'!Y9</f>
        <v>22168714.800218858</v>
      </c>
      <c r="Z5" s="4">
        <f ca="1">'Profit and Loss'!Z9</f>
        <v>22633340.515646137</v>
      </c>
      <c r="AA5" s="4">
        <f ca="1">'Profit and Loss'!AA9</f>
        <v>23135995.874567274</v>
      </c>
      <c r="AB5" s="4">
        <f ca="1">'Profit and Loss'!AB9</f>
        <v>23681102.499935526</v>
      </c>
      <c r="AC5" s="4">
        <f ca="1">'Profit and Loss'!AC9</f>
        <v>24273474.482364181</v>
      </c>
      <c r="AD5" s="4">
        <f ca="1">'Profit and Loss'!AD9</f>
        <v>24918347.182009939</v>
      </c>
      <c r="AE5" s="4">
        <f ca="1">'Profit and Loss'!AE9</f>
        <v>25621407.909440864</v>
      </c>
      <c r="AF5" s="4">
        <f ca="1">'Profit and Loss'!AF9</f>
        <v>26388828.599092811</v>
      </c>
      <c r="AG5" s="4"/>
      <c r="AH5" s="4"/>
      <c r="AI5" s="4"/>
      <c r="AJ5" s="4"/>
      <c r="AK5" s="4"/>
      <c r="AL5" s="4"/>
      <c r="AM5" s="4"/>
      <c r="AN5" s="4"/>
      <c r="AO5" s="4"/>
      <c r="AP5" s="4"/>
    </row>
    <row r="6" spans="1:42" x14ac:dyDescent="0.35">
      <c r="A6" t="s">
        <v>21</v>
      </c>
      <c r="C6" s="4">
        <f>Depreciation!C8+Depreciation!C9</f>
        <v>1144226.4387513213</v>
      </c>
      <c r="D6" s="4">
        <f>Depreciation!D8+Depreciation!D9</f>
        <v>1562126.0667885705</v>
      </c>
      <c r="E6" s="4">
        <f>Depreciation!E8+Depreciation!E9</f>
        <v>2005599.5831469223</v>
      </c>
      <c r="F6" s="4">
        <f>Depreciation!F8+Depreciation!F9</f>
        <v>2475855.7874598168</v>
      </c>
      <c r="G6" s="4">
        <f>Depreciation!G8+Depreciation!G9</f>
        <v>2974154.6548755951</v>
      </c>
      <c r="H6" s="4">
        <f>Depreciation!H8+Depreciation!H9</f>
        <v>3501809.3734796233</v>
      </c>
      <c r="I6" s="4">
        <f>Depreciation!I8+Depreciation!I9</f>
        <v>4060188.4597077169</v>
      </c>
      <c r="J6" s="4">
        <f>Depreciation!J8+Depreciation!J9</f>
        <v>4650717.9546559667</v>
      </c>
      <c r="K6" s="4">
        <f>Depreciation!K8+Depreciation!K9</f>
        <v>5274883.7042981628</v>
      </c>
      <c r="L6" s="4">
        <f>Depreciation!L8+Depreciation!L9</f>
        <v>5934233.7267318917</v>
      </c>
      <c r="M6" s="4">
        <f>Depreciation!M8+Depreciation!M9</f>
        <v>6630380.6696881764</v>
      </c>
      <c r="N6" s="4">
        <f>Depreciation!N8+Depreciation!N9</f>
        <v>7365004.3616574937</v>
      </c>
      <c r="O6" s="4">
        <f>Depreciation!O8+Depreciation!O9</f>
        <v>8139854.4601070834</v>
      </c>
      <c r="P6" s="4">
        <f>Depreciation!P8+Depreciation!P9</f>
        <v>8956753.20039111</v>
      </c>
      <c r="Q6" s="4">
        <f>Depreciation!Q8+Depreciation!Q9</f>
        <v>9817598.2490861621</v>
      </c>
      <c r="R6" s="4">
        <f>Depreciation!R8+Depreciation!R9</f>
        <v>10724365.665620506</v>
      </c>
      <c r="S6" s="4">
        <f>Depreciation!S8+Depreciation!S9</f>
        <v>11679112.976205977</v>
      </c>
      <c r="T6" s="4">
        <f>Depreciation!T8+Depreciation!T9</f>
        <v>12683982.364227321</v>
      </c>
      <c r="U6" s="4">
        <f>Depreciation!U8+Depreciation!U9</f>
        <v>13741203.981394395</v>
      </c>
      <c r="V6" s="4">
        <f>Depreciation!V8+Depreciation!V9</f>
        <v>14853099.384119194</v>
      </c>
      <c r="W6" s="4">
        <f>Depreciation!W8+Depreciation!W9</f>
        <v>16022085.099741437</v>
      </c>
      <c r="X6" s="4">
        <f>Depreciation!X8+Depreciation!X9</f>
        <v>17250676.327394161</v>
      </c>
      <c r="Y6" s="4">
        <f>Depreciation!Y8+Depreciation!Y9</f>
        <v>18541490.778474521</v>
      </c>
      <c r="Z6" s="4">
        <f>Depreciation!Z8+Depreciation!Z9</f>
        <v>19897252.66186478</v>
      </c>
      <c r="AA6" s="4">
        <f>Depreciation!AA8+Depreciation!AA9</f>
        <v>21320796.819234863</v>
      </c>
      <c r="AB6" s="4">
        <f>Depreciation!AB8+Depreciation!AB9</f>
        <v>22815073.015950866</v>
      </c>
      <c r="AC6" s="4">
        <f>Depreciation!AC8+Depreciation!AC9</f>
        <v>24383150.393313803</v>
      </c>
      <c r="AD6" s="4">
        <f>Depreciation!AD8+Depreciation!AD9</f>
        <v>26028222.088059634</v>
      </c>
      <c r="AE6" s="4">
        <f>Depreciation!AE8+Depreciation!AE9</f>
        <v>27753610.025266446</v>
      </c>
      <c r="AF6" s="4">
        <f>Depreciation!AF8+Depreciation!AF9</f>
        <v>29562769.891036317</v>
      </c>
      <c r="AG6" s="4"/>
      <c r="AH6" s="4"/>
      <c r="AI6" s="4"/>
      <c r="AJ6" s="4"/>
      <c r="AK6" s="4"/>
      <c r="AL6" s="4"/>
      <c r="AM6" s="4"/>
      <c r="AN6" s="4"/>
      <c r="AO6" s="4"/>
      <c r="AP6" s="4"/>
    </row>
    <row r="7" spans="1:42" x14ac:dyDescent="0.35">
      <c r="A7" t="s">
        <v>23</v>
      </c>
      <c r="C7" s="4">
        <f ca="1">C6+C5</f>
        <v>2520893.2099456228</v>
      </c>
      <c r="D7" s="4">
        <f ca="1">D6+D5</f>
        <v>5207064.3763263263</v>
      </c>
      <c r="E7" s="4">
        <f t="shared" ref="E7:AF7" ca="1" si="1">E6+E5</f>
        <v>9424756.1256513149</v>
      </c>
      <c r="F7" s="4">
        <f t="shared" ca="1" si="1"/>
        <v>12183557.659136634</v>
      </c>
      <c r="G7" s="4">
        <f ca="1">G6+G5</f>
        <v>14240307.684456686</v>
      </c>
      <c r="H7" s="4">
        <f t="shared" ca="1" si="1"/>
        <v>15922503.889856933</v>
      </c>
      <c r="I7" s="4">
        <f t="shared" ca="1" si="1"/>
        <v>17427259.943536468</v>
      </c>
      <c r="J7" s="4">
        <f t="shared" ca="1" si="1"/>
        <v>19157781.375398424</v>
      </c>
      <c r="K7" s="4">
        <f t="shared" ca="1" si="1"/>
        <v>20561535.488419339</v>
      </c>
      <c r="L7" s="4">
        <f t="shared" ca="1" si="1"/>
        <v>21498947.332374353</v>
      </c>
      <c r="M7" s="4">
        <f t="shared" ca="1" si="1"/>
        <v>22505623.775698178</v>
      </c>
      <c r="N7" s="4">
        <f t="shared" ca="1" si="1"/>
        <v>23587796.045462575</v>
      </c>
      <c r="O7" s="4">
        <f t="shared" ca="1" si="1"/>
        <v>24752214.673771866</v>
      </c>
      <c r="P7" s="4">
        <f t="shared" ca="1" si="1"/>
        <v>26006188.649289519</v>
      </c>
      <c r="Q7" s="4">
        <f t="shared" ca="1" si="1"/>
        <v>27357627.308105275</v>
      </c>
      <c r="R7" s="4">
        <f t="shared" ca="1" si="1"/>
        <v>28815085.146078993</v>
      </c>
      <c r="S7" s="4">
        <f t="shared" ca="1" si="1"/>
        <v>30387809.746499404</v>
      </c>
      <c r="T7" s="4">
        <f t="shared" ca="1" si="1"/>
        <v>31835326.884220172</v>
      </c>
      <c r="U7" s="4">
        <f t="shared" ca="1" si="1"/>
        <v>33381005.880310874</v>
      </c>
      <c r="V7" s="4">
        <f t="shared" ca="1" si="1"/>
        <v>35032635.425728455</v>
      </c>
      <c r="W7" s="4">
        <f t="shared" ca="1" si="1"/>
        <v>36798593.665788367</v>
      </c>
      <c r="X7" s="4">
        <f t="shared" ca="1" si="1"/>
        <v>38687889.335389219</v>
      </c>
      <c r="Y7" s="4">
        <f t="shared" ca="1" si="1"/>
        <v>40710205.578693375</v>
      </c>
      <c r="Z7" s="4">
        <f t="shared" ca="1" si="1"/>
        <v>42530593.177510917</v>
      </c>
      <c r="AA7" s="4">
        <f t="shared" ca="1" si="1"/>
        <v>44456792.693802133</v>
      </c>
      <c r="AB7" s="4">
        <f t="shared" ca="1" si="1"/>
        <v>46496175.515886396</v>
      </c>
      <c r="AC7" s="4">
        <f t="shared" ca="1" si="1"/>
        <v>48656624.875677988</v>
      </c>
      <c r="AD7" s="4">
        <f t="shared" ca="1" si="1"/>
        <v>50946569.270069569</v>
      </c>
      <c r="AE7" s="4">
        <f t="shared" ca="1" si="1"/>
        <v>53375017.934707314</v>
      </c>
      <c r="AF7" s="4">
        <f t="shared" ca="1" si="1"/>
        <v>55951598.490129128</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16538460.2080184</v>
      </c>
      <c r="D10" s="9">
        <f>Investment!D25</f>
        <v>17448975.316672195</v>
      </c>
      <c r="E10" s="9">
        <f>Investment!E25</f>
        <v>18400828.009026822</v>
      </c>
      <c r="F10" s="9">
        <f>Investment!F25</f>
        <v>19395731.522967871</v>
      </c>
      <c r="G10" s="9">
        <f>Investment!G25</f>
        <v>20435466.413919911</v>
      </c>
      <c r="H10" s="9">
        <f>Investment!H25</f>
        <v>21521883.108813353</v>
      </c>
      <c r="I10" s="9">
        <f>Investment!I25</f>
        <v>22656904.55457212</v>
      </c>
      <c r="J10" s="9">
        <f>Investment!J25</f>
        <v>23842528.964556038</v>
      </c>
      <c r="K10" s="9">
        <f>Investment!K25</f>
        <v>25080832.666515037</v>
      </c>
      <c r="L10" s="9">
        <f>Investment!L25</f>
        <v>26373973.055739701</v>
      </c>
      <c r="M10" s="9">
        <f>Investment!M25</f>
        <v>27724191.657224238</v>
      </c>
      <c r="N10" s="9">
        <f>Investment!N25</f>
        <v>29133817.300794713</v>
      </c>
      <c r="O10" s="9">
        <f>Investment!O25</f>
        <v>30605269.413296696</v>
      </c>
      <c r="P10" s="9">
        <f>Investment!P25</f>
        <v>32141061.432082783</v>
      </c>
      <c r="Q10" s="9">
        <f>Investment!Q25</f>
        <v>33743804.344191968</v>
      </c>
      <c r="R10" s="9">
        <f>Investment!R25</f>
        <v>35416210.355769701</v>
      </c>
      <c r="S10" s="9">
        <f>Investment!S25</f>
        <v>37161096.696439944</v>
      </c>
      <c r="T10" s="9">
        <f>Investment!T25</f>
        <v>38981389.563508771</v>
      </c>
      <c r="U10" s="9">
        <f>Investment!U25</f>
        <v>40880128.21105285</v>
      </c>
      <c r="V10" s="9">
        <f>Investment!V25</f>
        <v>42860469.18912673</v>
      </c>
      <c r="W10" s="9">
        <f>Investment!W25</f>
        <v>44925690.738509215</v>
      </c>
      <c r="X10" s="9">
        <f>Investment!X25</f>
        <v>47079197.346602507</v>
      </c>
      <c r="Y10" s="9">
        <f>Investment!Y25</f>
        <v>49324524.470297523</v>
      </c>
      <c r="Z10" s="9">
        <f>Investment!Z25</f>
        <v>51665343.431826122</v>
      </c>
      <c r="AA10" s="9">
        <f>Investment!AA25</f>
        <v>54105466.493834972</v>
      </c>
      <c r="AB10" s="9">
        <f>Investment!AB25</f>
        <v>56648852.120138183</v>
      </c>
      <c r="AC10" s="9">
        <f>Investment!AC25</f>
        <v>59299610.428835094</v>
      </c>
      <c r="AD10" s="9">
        <f>Investment!AD25</f>
        <v>62062008.844717622</v>
      </c>
      <c r="AE10" s="9">
        <f>Investment!AE25</f>
        <v>64940477.958137482</v>
      </c>
      <c r="AF10" s="9">
        <f>Investment!AF25</f>
        <v>67939617.597759217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-14017566.998072777</v>
      </c>
      <c r="D12" s="1">
        <f t="shared" ref="D12:AF12" ca="1" si="2">D7-D9-D10</f>
        <v>-12241910.940345868</v>
      </c>
      <c r="E12" s="1">
        <f ca="1">E7-E9-E10</f>
        <v>-8976071.8833755068</v>
      </c>
      <c r="F12" s="1">
        <f t="shared" ca="1" si="2"/>
        <v>-7212173.863831237</v>
      </c>
      <c r="G12" s="1">
        <f ca="1">G7-G9-G10</f>
        <v>-6195158.7294632252</v>
      </c>
      <c r="H12" s="1">
        <f t="shared" ca="1" si="2"/>
        <v>-5599379.2189564202</v>
      </c>
      <c r="I12" s="1">
        <f t="shared" ca="1" si="2"/>
        <v>-5229644.6110356525</v>
      </c>
      <c r="J12" s="1">
        <f t="shared" ca="1" si="2"/>
        <v>-4684747.5891576149</v>
      </c>
      <c r="K12" s="1">
        <f t="shared" ca="1" si="2"/>
        <v>-4519297.1780956984</v>
      </c>
      <c r="L12" s="1">
        <f t="shared" ca="1" si="2"/>
        <v>-4875025.7233653478</v>
      </c>
      <c r="M12" s="1">
        <f t="shared" ca="1" si="2"/>
        <v>-5218567.8815260604</v>
      </c>
      <c r="N12" s="1">
        <f t="shared" ca="1" si="2"/>
        <v>-5546021.2553321384</v>
      </c>
      <c r="O12" s="1">
        <f t="shared" ca="1" si="2"/>
        <v>-5853054.7395248301</v>
      </c>
      <c r="P12" s="1">
        <f t="shared" ca="1" si="2"/>
        <v>-6134872.7827932648</v>
      </c>
      <c r="Q12" s="1">
        <f t="shared" ca="1" si="2"/>
        <v>-6386177.0360866934</v>
      </c>
      <c r="R12" s="1">
        <f t="shared" ca="1" si="2"/>
        <v>-6601125.2096907087</v>
      </c>
      <c r="S12" s="1">
        <f t="shared" ca="1" si="2"/>
        <v>-6773286.9499405399</v>
      </c>
      <c r="T12" s="1">
        <f t="shared" ca="1" si="2"/>
        <v>-7146062.6792885996</v>
      </c>
      <c r="U12" s="1">
        <f t="shared" ca="1" si="2"/>
        <v>-7499122.3307419755</v>
      </c>
      <c r="V12" s="1">
        <f t="shared" ca="1" si="2"/>
        <v>-7827833.7633982748</v>
      </c>
      <c r="W12" s="1">
        <f t="shared" ca="1" si="2"/>
        <v>-8127097.072720848</v>
      </c>
      <c r="X12" s="1">
        <f t="shared" ca="1" si="2"/>
        <v>-8391308.0112132877</v>
      </c>
      <c r="Y12" s="1">
        <f t="shared" ca="1" si="2"/>
        <v>-8614318.8916041479</v>
      </c>
      <c r="Z12" s="1">
        <f t="shared" ca="1" si="2"/>
        <v>-9134750.2543152049</v>
      </c>
      <c r="AA12" s="1">
        <f t="shared" ca="1" si="2"/>
        <v>-9648673.8000328392</v>
      </c>
      <c r="AB12" s="1">
        <f t="shared" ca="1" si="2"/>
        <v>-10152676.604251787</v>
      </c>
      <c r="AC12" s="1">
        <f t="shared" ca="1" si="2"/>
        <v>-10642985.553157106</v>
      </c>
      <c r="AD12" s="1">
        <f t="shared" ca="1" si="2"/>
        <v>-11115439.574648052</v>
      </c>
      <c r="AE12" s="1">
        <f t="shared" ca="1" si="2"/>
        <v>-11565460.023430169</v>
      </c>
      <c r="AF12" s="1">
        <f t="shared" ca="1" si="2"/>
        <v>-11988019.107630089</v>
      </c>
      <c r="AG12" s="1"/>
      <c r="AH12" s="1"/>
      <c r="AI12" s="1"/>
      <c r="AJ12" s="1"/>
      <c r="AK12" s="1"/>
      <c r="AL12" s="1"/>
      <c r="AM12" s="1"/>
      <c r="AN12" s="1"/>
      <c r="AO12" s="1"/>
      <c r="AP12" s="1"/>
    </row>
    <row r="13" spans="1:42" x14ac:dyDescent="0.35">
      <c r="A13" t="s">
        <v>19</v>
      </c>
      <c r="C13" s="1">
        <f ca="1">C12</f>
        <v>-14017566.998072777</v>
      </c>
      <c r="D13" s="1">
        <f ca="1">D12</f>
        <v>-12241910.940345868</v>
      </c>
      <c r="E13" s="1">
        <f ca="1">E12</f>
        <v>-8976071.8833755068</v>
      </c>
      <c r="F13" s="1">
        <f t="shared" ref="F13:AF13" ca="1" si="3">F12</f>
        <v>-7212173.863831237</v>
      </c>
      <c r="G13" s="1">
        <f ca="1">G12</f>
        <v>-6195158.7294632252</v>
      </c>
      <c r="H13" s="1">
        <f t="shared" ca="1" si="3"/>
        <v>-5599379.2189564202</v>
      </c>
      <c r="I13" s="1">
        <f t="shared" ca="1" si="3"/>
        <v>-5229644.6110356525</v>
      </c>
      <c r="J13" s="1">
        <f t="shared" ca="1" si="3"/>
        <v>-4684747.5891576149</v>
      </c>
      <c r="K13" s="1">
        <f t="shared" ca="1" si="3"/>
        <v>-4519297.1780956984</v>
      </c>
      <c r="L13" s="1">
        <f t="shared" ca="1" si="3"/>
        <v>-4875025.7233653478</v>
      </c>
      <c r="M13" s="1">
        <f t="shared" ca="1" si="3"/>
        <v>-5218567.8815260604</v>
      </c>
      <c r="N13" s="1">
        <f t="shared" ca="1" si="3"/>
        <v>-5546021.2553321384</v>
      </c>
      <c r="O13" s="1">
        <f t="shared" ca="1" si="3"/>
        <v>-5853054.7395248301</v>
      </c>
      <c r="P13" s="1">
        <f t="shared" ca="1" si="3"/>
        <v>-6134872.7827932648</v>
      </c>
      <c r="Q13" s="1">
        <f t="shared" ca="1" si="3"/>
        <v>-6386177.0360866934</v>
      </c>
      <c r="R13" s="1">
        <f t="shared" ca="1" si="3"/>
        <v>-6601125.2096907087</v>
      </c>
      <c r="S13" s="1">
        <f t="shared" ca="1" si="3"/>
        <v>-6773286.9499405399</v>
      </c>
      <c r="T13" s="1">
        <f t="shared" ca="1" si="3"/>
        <v>-7146062.6792885996</v>
      </c>
      <c r="U13" s="1">
        <f t="shared" ca="1" si="3"/>
        <v>-7499122.3307419755</v>
      </c>
      <c r="V13" s="1">
        <f t="shared" ca="1" si="3"/>
        <v>-7827833.7633982748</v>
      </c>
      <c r="W13" s="1">
        <f t="shared" ca="1" si="3"/>
        <v>-8127097.072720848</v>
      </c>
      <c r="X13" s="1">
        <f t="shared" ca="1" si="3"/>
        <v>-8391308.0112132877</v>
      </c>
      <c r="Y13" s="1">
        <f t="shared" ca="1" si="3"/>
        <v>-8614318.8916041479</v>
      </c>
      <c r="Z13" s="1">
        <f t="shared" ca="1" si="3"/>
        <v>-9134750.2543152049</v>
      </c>
      <c r="AA13" s="1">
        <f t="shared" ca="1" si="3"/>
        <v>-9648673.8000328392</v>
      </c>
      <c r="AB13" s="1">
        <f t="shared" ca="1" si="3"/>
        <v>-10152676.604251787</v>
      </c>
      <c r="AC13" s="1">
        <f t="shared" ca="1" si="3"/>
        <v>-10642985.553157106</v>
      </c>
      <c r="AD13" s="1">
        <f t="shared" ca="1" si="3"/>
        <v>-11115439.574648052</v>
      </c>
      <c r="AE13" s="1">
        <f t="shared" ca="1" si="3"/>
        <v>-11565460.023430169</v>
      </c>
      <c r="AF13" s="1">
        <f t="shared" ca="1" si="3"/>
        <v>-11988019.107630089</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53195755.775000006</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26597877.887500003</v>
      </c>
      <c r="D7" s="9">
        <f>C12</f>
        <v>27742104.326251324</v>
      </c>
      <c r="E7" s="9">
        <f>D12</f>
        <v>29304230.393039893</v>
      </c>
      <c r="F7" s="9">
        <f t="shared" ref="F7:H7" si="1">E12</f>
        <v>31309829.976186816</v>
      </c>
      <c r="G7" s="9">
        <f t="shared" si="1"/>
        <v>33785685.763646632</v>
      </c>
      <c r="H7" s="9">
        <f t="shared" si="1"/>
        <v>36759840.418522224</v>
      </c>
      <c r="I7" s="9">
        <f t="shared" ref="I7" si="2">H12</f>
        <v>40261649.792001843</v>
      </c>
      <c r="J7" s="9">
        <f t="shared" ref="J7" si="3">I12</f>
        <v>44321838.251709558</v>
      </c>
      <c r="K7" s="9">
        <f t="shared" ref="K7" si="4">J12</f>
        <v>48972556.206365526</v>
      </c>
      <c r="L7" s="9">
        <f t="shared" ref="L7" si="5">K12</f>
        <v>54247439.910663687</v>
      </c>
      <c r="M7" s="9">
        <f t="shared" ref="M7" si="6">L12</f>
        <v>60181673.637395583</v>
      </c>
      <c r="N7" s="9">
        <f t="shared" ref="N7" si="7">M12</f>
        <v>66812054.307083756</v>
      </c>
      <c r="O7" s="9">
        <f t="shared" ref="O7" si="8">N12</f>
        <v>74177058.668741241</v>
      </c>
      <c r="P7" s="9">
        <f t="shared" ref="P7" si="9">O12</f>
        <v>82316913.128848314</v>
      </c>
      <c r="Q7" s="9">
        <f t="shared" ref="Q7" si="10">P12</f>
        <v>91273666.329239428</v>
      </c>
      <c r="R7" s="9">
        <f t="shared" ref="R7" si="11">Q12</f>
        <v>101091264.5783256</v>
      </c>
      <c r="S7" s="9">
        <f t="shared" ref="S7" si="12">R12</f>
        <v>111815630.24394611</v>
      </c>
      <c r="T7" s="9">
        <f t="shared" ref="T7" si="13">S12</f>
        <v>123494743.22015208</v>
      </c>
      <c r="U7" s="9">
        <f t="shared" ref="U7" si="14">T12</f>
        <v>136178725.5843794</v>
      </c>
      <c r="V7" s="9">
        <f t="shared" ref="V7" si="15">U12</f>
        <v>149919929.56577381</v>
      </c>
      <c r="W7" s="9">
        <f t="shared" ref="W7" si="16">V12</f>
        <v>164773028.94989303</v>
      </c>
      <c r="X7" s="9">
        <f t="shared" ref="X7" si="17">W12</f>
        <v>180795114.04963446</v>
      </c>
      <c r="Y7" s="9">
        <f t="shared" ref="Y7" si="18">X12</f>
        <v>198045790.37702861</v>
      </c>
      <c r="Z7" s="9">
        <f t="shared" ref="Z7" si="19">Y12</f>
        <v>216587281.15550312</v>
      </c>
      <c r="AA7" s="9">
        <f t="shared" ref="AA7" si="20">Z12</f>
        <v>236484533.81736788</v>
      </c>
      <c r="AB7" s="9">
        <f t="shared" ref="AB7" si="21">AA12</f>
        <v>257805330.63660276</v>
      </c>
      <c r="AC7" s="9">
        <f t="shared" ref="AC7" si="22">AB12</f>
        <v>280620403.65255362</v>
      </c>
      <c r="AD7" s="9">
        <f t="shared" ref="AD7" si="23">AC12</f>
        <v>305003554.04586744</v>
      </c>
      <c r="AE7" s="9">
        <f t="shared" ref="AE7" si="24">AD12</f>
        <v>331031776.13392705</v>
      </c>
      <c r="AF7" s="9">
        <f t="shared" ref="AF7" si="25">AE12</f>
        <v>358785386.15919346</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774764.82828891149</v>
      </c>
      <c r="D8" s="9">
        <f>Assumptions!E111*Assumptions!E11</f>
        <v>799557.3027941566</v>
      </c>
      <c r="E8" s="9">
        <f>Assumptions!F111*Assumptions!F11</f>
        <v>825143.13648356951</v>
      </c>
      <c r="F8" s="9">
        <f>Assumptions!G111*Assumptions!G11</f>
        <v>851547.71685104375</v>
      </c>
      <c r="G8" s="9">
        <f>Assumptions!H111*Assumptions!H11</f>
        <v>878797.24379027728</v>
      </c>
      <c r="H8" s="9">
        <f>Assumptions!I111*Assumptions!I11</f>
        <v>906918.75559156598</v>
      </c>
      <c r="I8" s="9">
        <f>Assumptions!J111*Assumptions!J11</f>
        <v>935940.155770496</v>
      </c>
      <c r="J8" s="9">
        <f>Assumptions!K111*Assumptions!K11</f>
        <v>965890.24075515207</v>
      </c>
      <c r="K8" s="9">
        <f>Assumptions!L111*Assumptions!L11</f>
        <v>996798.728459317</v>
      </c>
      <c r="L8" s="9">
        <f>Assumptions!M111*Assumptions!M11</f>
        <v>1028696.287770015</v>
      </c>
      <c r="M8" s="9">
        <f>Assumptions!N111*Assumptions!N11</f>
        <v>1061614.5689786554</v>
      </c>
      <c r="N8" s="9">
        <f>Assumptions!O111*Assumptions!O11</f>
        <v>1095586.2351859724</v>
      </c>
      <c r="O8" s="9">
        <f>Assumptions!P111*Assumptions!P11</f>
        <v>1130644.9947119236</v>
      </c>
      <c r="P8" s="9">
        <f>Assumptions!Q111*Assumptions!Q11</f>
        <v>1166825.634542705</v>
      </c>
      <c r="Q8" s="9">
        <f>Assumptions!R111*Assumptions!R11</f>
        <v>1204164.0548480714</v>
      </c>
      <c r="R8" s="9">
        <f>Assumptions!S111*Assumptions!S11</f>
        <v>1242697.30460321</v>
      </c>
      <c r="S8" s="9">
        <f>Assumptions!T111*Assumptions!T11</f>
        <v>1282463.6183505128</v>
      </c>
      <c r="T8" s="9">
        <f>Assumptions!U111*Assumptions!U11</f>
        <v>1323502.454137729</v>
      </c>
      <c r="U8" s="9">
        <f>Assumptions!V111*Assumptions!V11</f>
        <v>1365854.5326701363</v>
      </c>
      <c r="V8" s="9">
        <f>Assumptions!W111*Assumptions!W11</f>
        <v>1409561.8777155806</v>
      </c>
      <c r="W8" s="9">
        <f>Assumptions!X111*Assumptions!X11</f>
        <v>1454667.8578024795</v>
      </c>
      <c r="X8" s="9">
        <f>Assumptions!Y111*Assumptions!Y11</f>
        <v>1501217.2292521587</v>
      </c>
      <c r="Y8" s="9">
        <f>Assumptions!Z111*Assumptions!Z11</f>
        <v>1549256.1805882275</v>
      </c>
      <c r="Z8" s="9">
        <f>Assumptions!AA111*Assumptions!AA11</f>
        <v>1598832.3783670508</v>
      </c>
      <c r="AA8" s="9">
        <f>Assumptions!AB111*Assumptions!AB11</f>
        <v>1649995.0144747968</v>
      </c>
      <c r="AB8" s="9">
        <f>Assumptions!AC111*Assumptions!AC11</f>
        <v>1702794.85493799</v>
      </c>
      <c r="AC8" s="9">
        <f>Assumptions!AD111*Assumptions!AD11</f>
        <v>1757284.2902960056</v>
      </c>
      <c r="AD8" s="9">
        <f>Assumptions!AE111*Assumptions!AE11</f>
        <v>1813517.3875854779</v>
      </c>
      <c r="AE8" s="9">
        <f>Assumptions!AF111*Assumptions!AF11</f>
        <v>1871549.9439882133</v>
      </c>
      <c r="AF8" s="9">
        <f>Assumptions!AG111*Assumptions!AG11</f>
        <v>1931439.5421958358</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369461.61046240985</v>
      </c>
      <c r="D9" s="9">
        <f>Assumptions!E120*Assumptions!E11</f>
        <v>762568.76399441389</v>
      </c>
      <c r="E9" s="9">
        <f>Assumptions!F120*Assumptions!F11</f>
        <v>1180456.4466633527</v>
      </c>
      <c r="F9" s="9">
        <f>Assumptions!G120*Assumptions!G11</f>
        <v>1624308.0706087733</v>
      </c>
      <c r="G9" s="9">
        <f>Assumptions!H120*Assumptions!H11</f>
        <v>2095357.4110853176</v>
      </c>
      <c r="H9" s="9">
        <f>Assumptions!I120*Assumptions!I11</f>
        <v>2594890.6178880576</v>
      </c>
      <c r="I9" s="9">
        <f>Assumptions!J120*Assumptions!J11</f>
        <v>3124248.3039372209</v>
      </c>
      <c r="J9" s="9">
        <f>Assumptions!K120*Assumptions!K11</f>
        <v>3684827.7139008143</v>
      </c>
      <c r="K9" s="9">
        <f>Assumptions!L120*Assumptions!L11</f>
        <v>4278084.9758388456</v>
      </c>
      <c r="L9" s="9">
        <f>Assumptions!M120*Assumptions!M11</f>
        <v>4905537.4389618766</v>
      </c>
      <c r="M9" s="9">
        <f>Assumptions!N120*Assumptions!N11</f>
        <v>5568766.1007095212</v>
      </c>
      <c r="N9" s="9">
        <f>Assumptions!O120*Assumptions!O11</f>
        <v>6269418.1264715213</v>
      </c>
      <c r="O9" s="9">
        <f>Assumptions!P120*Assumptions!P11</f>
        <v>7009209.46539516</v>
      </c>
      <c r="P9" s="9">
        <f>Assumptions!Q120*Assumptions!Q11</f>
        <v>7789927.5658484055</v>
      </c>
      <c r="Q9" s="9">
        <f>Assumptions!R120*Assumptions!R11</f>
        <v>8613434.1942380909</v>
      </c>
      <c r="R9" s="9">
        <f>Assumptions!S120*Assumptions!S11</f>
        <v>9481668.3610172961</v>
      </c>
      <c r="S9" s="9">
        <f>Assumptions!T120*Assumptions!T11</f>
        <v>10396649.357855463</v>
      </c>
      <c r="T9" s="9">
        <f>Assumptions!U120*Assumptions!U11</f>
        <v>11360479.910089592</v>
      </c>
      <c r="U9" s="9">
        <f>Assumptions!V120*Assumptions!V11</f>
        <v>12375349.448724259</v>
      </c>
      <c r="V9" s="9">
        <f>Assumptions!W120*Assumptions!W11</f>
        <v>13443537.506403614</v>
      </c>
      <c r="W9" s="9">
        <f>Assumptions!X120*Assumptions!X11</f>
        <v>14567417.241938958</v>
      </c>
      <c r="X9" s="9">
        <f>Assumptions!Y120*Assumptions!Y11</f>
        <v>15749459.098142004</v>
      </c>
      <c r="Y9" s="9">
        <f>Assumptions!Z120*Assumptions!Z11</f>
        <v>16992234.597886294</v>
      </c>
      <c r="Z9" s="9">
        <f>Assumptions!AA120*Assumptions!AA11</f>
        <v>18298420.283497728</v>
      </c>
      <c r="AA9" s="9">
        <f>Assumptions!AB120*Assumptions!AB11</f>
        <v>19670801.804760065</v>
      </c>
      <c r="AB9" s="9">
        <f>Assumptions!AC120*Assumptions!AC11</f>
        <v>21112278.161012877</v>
      </c>
      <c r="AC9" s="9">
        <f>Assumptions!AD120*Assumptions!AD11</f>
        <v>22625866.103017796</v>
      </c>
      <c r="AD9" s="9">
        <f>Assumptions!AE120*Assumptions!AE11</f>
        <v>24214704.700474158</v>
      </c>
      <c r="AE9" s="9">
        <f>Assumptions!AF120*Assumptions!AF11</f>
        <v>25882060.081278231</v>
      </c>
      <c r="AF9" s="9">
        <f>Assumptions!AG120*Assumptions!AG11</f>
        <v>27631330.348840483</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1144226.4387513213</v>
      </c>
      <c r="D10" s="9">
        <f>SUM($C$8:D9)</f>
        <v>2706352.5055398918</v>
      </c>
      <c r="E10" s="9">
        <f>SUM($C$8:E9)</f>
        <v>4711952.0886868145</v>
      </c>
      <c r="F10" s="9">
        <f>SUM($C$8:F9)</f>
        <v>7187807.8761466313</v>
      </c>
      <c r="G10" s="9">
        <f>SUM($C$8:G9)</f>
        <v>10161962.531022225</v>
      </c>
      <c r="H10" s="9">
        <f>SUM($C$8:H9)</f>
        <v>13663771.904501848</v>
      </c>
      <c r="I10" s="9">
        <f>SUM($C$8:I9)</f>
        <v>17723960.364209563</v>
      </c>
      <c r="J10" s="9">
        <f>SUM($C$8:J9)</f>
        <v>22374678.318865534</v>
      </c>
      <c r="K10" s="9">
        <f>SUM($C$8:K9)</f>
        <v>27649562.023163691</v>
      </c>
      <c r="L10" s="9">
        <f>SUM($C$8:L9)</f>
        <v>33583795.749895588</v>
      </c>
      <c r="M10" s="9">
        <f>SUM($C$8:M9)</f>
        <v>40214176.41958376</v>
      </c>
      <c r="N10" s="9">
        <f>SUM($C$8:N9)</f>
        <v>47579180.781241253</v>
      </c>
      <c r="O10" s="9">
        <f>SUM($C$8:O9)</f>
        <v>55719035.241348341</v>
      </c>
      <c r="P10" s="9">
        <f>SUM($C$8:P9)</f>
        <v>64675788.441739447</v>
      </c>
      <c r="Q10" s="9">
        <f>SUM($C$8:Q9)</f>
        <v>74493386.690825611</v>
      </c>
      <c r="R10" s="9">
        <f>SUM($C$8:R9)</f>
        <v>85217752.356446132</v>
      </c>
      <c r="S10" s="9">
        <f>SUM($C$8:S9)</f>
        <v>96896865.332652107</v>
      </c>
      <c r="T10" s="9">
        <f>SUM($C$8:T9)</f>
        <v>109580847.69687943</v>
      </c>
      <c r="U10" s="9">
        <f>SUM($C$8:U9)</f>
        <v>123322051.67827383</v>
      </c>
      <c r="V10" s="9">
        <f>SUM($C$8:V9)</f>
        <v>138175151.06239304</v>
      </c>
      <c r="W10" s="9">
        <f>SUM($C$8:W9)</f>
        <v>154197236.16213447</v>
      </c>
      <c r="X10" s="9">
        <f>SUM($C$8:X9)</f>
        <v>171447912.48952863</v>
      </c>
      <c r="Y10" s="9">
        <f>SUM($C$8:Y9)</f>
        <v>189989403.26800314</v>
      </c>
      <c r="Z10" s="9">
        <f>SUM($C$8:Z9)</f>
        <v>209886655.92986789</v>
      </c>
      <c r="AA10" s="9">
        <f>SUM($C$8:AA9)</f>
        <v>231207452.74910277</v>
      </c>
      <c r="AB10" s="9">
        <f>SUM($C$8:AB9)</f>
        <v>254022525.76505366</v>
      </c>
      <c r="AC10" s="9">
        <f>SUM($C$8:AC9)</f>
        <v>278405676.15836746</v>
      </c>
      <c r="AD10" s="9">
        <f>SUM($C$8:AD9)</f>
        <v>304433898.24642712</v>
      </c>
      <c r="AE10" s="9">
        <f>SUM($C$8:AE9)</f>
        <v>332187508.27169353</v>
      </c>
      <c r="AF10" s="9">
        <f>SUM($C$8:AF9)</f>
        <v>361750278.1627298</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27742104.326251324</v>
      </c>
      <c r="D12" s="9">
        <f>D7+D8+D9</f>
        <v>29304230.393039893</v>
      </c>
      <c r="E12" s="9">
        <f>E7+E8+E9</f>
        <v>31309829.976186816</v>
      </c>
      <c r="F12" s="9">
        <f t="shared" ref="F12:H12" si="26">F7+F8+F9</f>
        <v>33785685.763646632</v>
      </c>
      <c r="G12" s="9">
        <f t="shared" si="26"/>
        <v>36759840.418522224</v>
      </c>
      <c r="H12" s="9">
        <f t="shared" si="26"/>
        <v>40261649.792001843</v>
      </c>
      <c r="I12" s="9">
        <f t="shared" ref="I12:AF12" si="27">I7+I8+I9</f>
        <v>44321838.251709558</v>
      </c>
      <c r="J12" s="9">
        <f t="shared" si="27"/>
        <v>48972556.206365526</v>
      </c>
      <c r="K12" s="9">
        <f t="shared" si="27"/>
        <v>54247439.910663687</v>
      </c>
      <c r="L12" s="9">
        <f t="shared" si="27"/>
        <v>60181673.637395583</v>
      </c>
      <c r="M12" s="9">
        <f t="shared" si="27"/>
        <v>66812054.307083756</v>
      </c>
      <c r="N12" s="9">
        <f t="shared" si="27"/>
        <v>74177058.668741241</v>
      </c>
      <c r="O12" s="9">
        <f t="shared" si="27"/>
        <v>82316913.128848314</v>
      </c>
      <c r="P12" s="9">
        <f t="shared" si="27"/>
        <v>91273666.329239428</v>
      </c>
      <c r="Q12" s="9">
        <f t="shared" si="27"/>
        <v>101091264.5783256</v>
      </c>
      <c r="R12" s="9">
        <f t="shared" si="27"/>
        <v>111815630.24394611</v>
      </c>
      <c r="S12" s="9">
        <f t="shared" si="27"/>
        <v>123494743.22015208</v>
      </c>
      <c r="T12" s="9">
        <f t="shared" si="27"/>
        <v>136178725.5843794</v>
      </c>
      <c r="U12" s="9">
        <f t="shared" si="27"/>
        <v>149919929.56577381</v>
      </c>
      <c r="V12" s="9">
        <f t="shared" si="27"/>
        <v>164773028.94989303</v>
      </c>
      <c r="W12" s="9">
        <f t="shared" si="27"/>
        <v>180795114.04963446</v>
      </c>
      <c r="X12" s="9">
        <f t="shared" si="27"/>
        <v>198045790.37702861</v>
      </c>
      <c r="Y12" s="9">
        <f t="shared" si="27"/>
        <v>216587281.15550312</v>
      </c>
      <c r="Z12" s="9">
        <f t="shared" si="27"/>
        <v>236484533.81736788</v>
      </c>
      <c r="AA12" s="9">
        <f t="shared" si="27"/>
        <v>257805330.63660276</v>
      </c>
      <c r="AB12" s="9">
        <f t="shared" si="27"/>
        <v>280620403.65255362</v>
      </c>
      <c r="AC12" s="9">
        <f t="shared" si="27"/>
        <v>305003554.04586744</v>
      </c>
      <c r="AD12" s="9">
        <f t="shared" si="27"/>
        <v>331031776.13392705</v>
      </c>
      <c r="AE12" s="9">
        <f t="shared" si="27"/>
        <v>358785386.15919346</v>
      </c>
      <c r="AF12" s="9">
        <f t="shared" si="27"/>
        <v>388348156.05022979</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16538460.2080184</v>
      </c>
      <c r="D18" s="9">
        <f>Investment!D25</f>
        <v>17448975.316672195</v>
      </c>
      <c r="E18" s="9">
        <f>Investment!E25</f>
        <v>18400828.009026822</v>
      </c>
      <c r="F18" s="9">
        <f>Investment!F25</f>
        <v>19395731.522967871</v>
      </c>
      <c r="G18" s="9">
        <f>Investment!G25</f>
        <v>20435466.413919911</v>
      </c>
      <c r="H18" s="9">
        <f>Investment!H25</f>
        <v>21521883.108813353</v>
      </c>
      <c r="I18" s="9">
        <f>Investment!I25</f>
        <v>22656904.55457212</v>
      </c>
      <c r="J18" s="9">
        <f>Investment!J25</f>
        <v>23842528.964556038</v>
      </c>
      <c r="K18" s="9">
        <f>Investment!K25</f>
        <v>25080832.666515037</v>
      </c>
      <c r="L18" s="9">
        <f>Investment!L25</f>
        <v>26373973.055739701</v>
      </c>
      <c r="M18" s="9">
        <f>Investment!M25</f>
        <v>27724191.657224238</v>
      </c>
      <c r="N18" s="9">
        <f>Investment!N25</f>
        <v>29133817.300794713</v>
      </c>
      <c r="O18" s="9">
        <f>Investment!O25</f>
        <v>30605269.413296696</v>
      </c>
      <c r="P18" s="9">
        <f>Investment!P25</f>
        <v>32141061.432082783</v>
      </c>
      <c r="Q18" s="9">
        <f>Investment!Q25</f>
        <v>33743804.344191968</v>
      </c>
      <c r="R18" s="9">
        <f>Investment!R25</f>
        <v>35416210.355769701</v>
      </c>
      <c r="S18" s="9">
        <f>Investment!S25</f>
        <v>37161096.696439944</v>
      </c>
      <c r="T18" s="9">
        <f>Investment!T25</f>
        <v>38981389.563508771</v>
      </c>
      <c r="U18" s="9">
        <f>Investment!U25</f>
        <v>40880128.21105285</v>
      </c>
      <c r="V18" s="9">
        <f>Investment!V25</f>
        <v>42860469.18912673</v>
      </c>
      <c r="W18" s="9">
        <f>Investment!W25</f>
        <v>44925690.738509215</v>
      </c>
      <c r="X18" s="9">
        <f>Investment!X25</f>
        <v>47079197.346602507</v>
      </c>
      <c r="Y18" s="9">
        <f>Investment!Y25</f>
        <v>49324524.470297523</v>
      </c>
      <c r="Z18" s="9">
        <f>Investment!Z25</f>
        <v>51665343.431826122</v>
      </c>
      <c r="AA18" s="9">
        <f>Investment!AA25</f>
        <v>54105466.493834972</v>
      </c>
      <c r="AB18" s="9">
        <f>Investment!AB25</f>
        <v>56648852.120138183</v>
      </c>
      <c r="AC18" s="9">
        <f>Investment!AC25</f>
        <v>59299610.428835094</v>
      </c>
      <c r="AD18" s="9">
        <f>Investment!AD25</f>
        <v>62062008.844717622</v>
      </c>
      <c r="AE18" s="9">
        <f>Investment!AE25</f>
        <v>64940477.958137482</v>
      </c>
      <c r="AF18" s="9">
        <f>Investment!AF25</f>
        <v>67939617.597759217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43136338.095518403</v>
      </c>
      <c r="D19" s="9">
        <f>D18+C20</f>
        <v>59441086.973439276</v>
      </c>
      <c r="E19" s="9">
        <f>E18+D20</f>
        <v>76279788.915677533</v>
      </c>
      <c r="F19" s="9">
        <f t="shared" ref="F19:AF19" si="28">F18+E20</f>
        <v>93669920.855498493</v>
      </c>
      <c r="G19" s="9">
        <f t="shared" si="28"/>
        <v>111629531.48195858</v>
      </c>
      <c r="H19" s="9">
        <f t="shared" si="28"/>
        <v>130177259.93589634</v>
      </c>
      <c r="I19" s="9">
        <f t="shared" si="28"/>
        <v>149332355.11698884</v>
      </c>
      <c r="J19" s="9">
        <f t="shared" si="28"/>
        <v>169114695.62183714</v>
      </c>
      <c r="K19" s="9">
        <f t="shared" si="28"/>
        <v>189544810.33369625</v>
      </c>
      <c r="L19" s="9">
        <f t="shared" si="28"/>
        <v>210643899.68513778</v>
      </c>
      <c r="M19" s="9">
        <f t="shared" si="28"/>
        <v>232433857.61563015</v>
      </c>
      <c r="N19" s="9">
        <f t="shared" si="28"/>
        <v>254937294.24673668</v>
      </c>
      <c r="O19" s="9">
        <f t="shared" si="28"/>
        <v>278177559.29837584</v>
      </c>
      <c r="P19" s="9">
        <f t="shared" si="28"/>
        <v>302178766.27035153</v>
      </c>
      <c r="Q19" s="9">
        <f t="shared" si="28"/>
        <v>326965817.41415238</v>
      </c>
      <c r="R19" s="9">
        <f t="shared" si="28"/>
        <v>352564429.52083594</v>
      </c>
      <c r="S19" s="9">
        <f t="shared" si="28"/>
        <v>379001160.55165535</v>
      </c>
      <c r="T19" s="9">
        <f t="shared" si="28"/>
        <v>406303437.13895816</v>
      </c>
      <c r="U19" s="9">
        <f t="shared" si="28"/>
        <v>434499582.98578364</v>
      </c>
      <c r="V19" s="9">
        <f t="shared" si="28"/>
        <v>463618848.19351596</v>
      </c>
      <c r="W19" s="9">
        <f t="shared" si="28"/>
        <v>493691439.54790598</v>
      </c>
      <c r="X19" s="9">
        <f t="shared" si="28"/>
        <v>524748551.79476708</v>
      </c>
      <c r="Y19" s="9">
        <f t="shared" si="28"/>
        <v>556822399.93767047</v>
      </c>
      <c r="Z19" s="9">
        <f t="shared" si="28"/>
        <v>589946252.59102201</v>
      </c>
      <c r="AA19" s="9">
        <f t="shared" si="28"/>
        <v>624154466.42299223</v>
      </c>
      <c r="AB19" s="9">
        <f t="shared" si="28"/>
        <v>659482521.72389555</v>
      </c>
      <c r="AC19" s="9">
        <f t="shared" si="28"/>
        <v>695967059.13677979</v>
      </c>
      <c r="AD19" s="9">
        <f t="shared" si="28"/>
        <v>733645917.58818364</v>
      </c>
      <c r="AE19" s="9">
        <f t="shared" si="28"/>
        <v>772558173.45826149</v>
      </c>
      <c r="AF19" s="9">
        <f t="shared" si="28"/>
        <v>812744181.03075433</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41992111.656767078</v>
      </c>
      <c r="D20" s="9">
        <f>D19-D8-D9</f>
        <v>57878960.906650707</v>
      </c>
      <c r="E20" s="9">
        <f t="shared" ref="E20:AF20" si="29">E19-E8-E9</f>
        <v>74274189.332530618</v>
      </c>
      <c r="F20" s="9">
        <f t="shared" si="29"/>
        <v>91194065.068038672</v>
      </c>
      <c r="G20" s="9">
        <f t="shared" si="29"/>
        <v>108655376.82708298</v>
      </c>
      <c r="H20" s="9">
        <f t="shared" si="29"/>
        <v>126675450.5624167</v>
      </c>
      <c r="I20" s="9">
        <f t="shared" si="29"/>
        <v>145272166.6572811</v>
      </c>
      <c r="J20" s="9">
        <f t="shared" si="29"/>
        <v>164463977.66718119</v>
      </c>
      <c r="K20" s="9">
        <f t="shared" si="29"/>
        <v>184269926.62939808</v>
      </c>
      <c r="L20" s="9">
        <f t="shared" si="29"/>
        <v>204709665.95840591</v>
      </c>
      <c r="M20" s="9">
        <f t="shared" si="29"/>
        <v>225803476.94594195</v>
      </c>
      <c r="N20" s="9">
        <f t="shared" si="29"/>
        <v>247572289.88507918</v>
      </c>
      <c r="O20" s="9">
        <f t="shared" si="29"/>
        <v>270037704.83826876</v>
      </c>
      <c r="P20" s="9">
        <f t="shared" si="29"/>
        <v>293222013.06996042</v>
      </c>
      <c r="Q20" s="9">
        <f t="shared" si="29"/>
        <v>317148219.16506624</v>
      </c>
      <c r="R20" s="9">
        <f t="shared" si="29"/>
        <v>341840063.85521543</v>
      </c>
      <c r="S20" s="9">
        <f t="shared" si="29"/>
        <v>367322047.57544941</v>
      </c>
      <c r="T20" s="9">
        <f t="shared" si="29"/>
        <v>393619454.7747308</v>
      </c>
      <c r="U20" s="9">
        <f t="shared" si="29"/>
        <v>420758379.00438923</v>
      </c>
      <c r="V20" s="9">
        <f t="shared" si="29"/>
        <v>448765748.80939674</v>
      </c>
      <c r="W20" s="9">
        <f t="shared" si="29"/>
        <v>477669354.44816458</v>
      </c>
      <c r="X20" s="9">
        <f t="shared" si="29"/>
        <v>507497875.46737289</v>
      </c>
      <c r="Y20" s="9">
        <f t="shared" si="29"/>
        <v>538280909.1591959</v>
      </c>
      <c r="Z20" s="9">
        <f t="shared" si="29"/>
        <v>570048999.92915726</v>
      </c>
      <c r="AA20" s="9">
        <f t="shared" si="29"/>
        <v>602833669.60375738</v>
      </c>
      <c r="AB20" s="9">
        <f t="shared" si="29"/>
        <v>636667448.70794463</v>
      </c>
      <c r="AC20" s="9">
        <f t="shared" si="29"/>
        <v>671583908.74346602</v>
      </c>
      <c r="AD20" s="9">
        <f t="shared" si="29"/>
        <v>707617695.50012398</v>
      </c>
      <c r="AE20" s="9">
        <f t="shared" si="29"/>
        <v>744804563.43299508</v>
      </c>
      <c r="AF20" s="9">
        <f t="shared" si="29"/>
        <v>783181411.13971806</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8568000</v>
      </c>
      <c r="D22" s="9">
        <f ca="1">'Balance Sheet'!C11</f>
        <v>22585566.998072777</v>
      </c>
      <c r="E22" s="9">
        <f ca="1">'Balance Sheet'!D11</f>
        <v>34827477.938418642</v>
      </c>
      <c r="F22" s="9">
        <f ca="1">'Balance Sheet'!E11</f>
        <v>43803549.821794152</v>
      </c>
      <c r="G22" s="9">
        <f ca="1">'Balance Sheet'!F11</f>
        <v>51015723.685625389</v>
      </c>
      <c r="H22" s="9">
        <f ca="1">'Balance Sheet'!G11</f>
        <v>57210882.415088616</v>
      </c>
      <c r="I22" s="9">
        <f ca="1">'Balance Sheet'!H11</f>
        <v>62810261.634045035</v>
      </c>
      <c r="J22" s="9">
        <f ca="1">'Balance Sheet'!I11</f>
        <v>68039906.24508068</v>
      </c>
      <c r="K22" s="9">
        <f ca="1">'Balance Sheet'!J11</f>
        <v>72724653.834238291</v>
      </c>
      <c r="L22" s="9">
        <f ca="1">'Balance Sheet'!K11</f>
        <v>77243951.012333989</v>
      </c>
      <c r="M22" s="9">
        <f ca="1">'Balance Sheet'!L11</f>
        <v>82118976.735699341</v>
      </c>
      <c r="N22" s="9">
        <f ca="1">'Balance Sheet'!M11</f>
        <v>87337544.617225409</v>
      </c>
      <c r="O22" s="9">
        <f ca="1">'Balance Sheet'!N11</f>
        <v>92883565.872557551</v>
      </c>
      <c r="P22" s="9">
        <f ca="1">'Balance Sheet'!O11</f>
        <v>98736620.612082377</v>
      </c>
      <c r="Q22" s="9">
        <f ca="1">'Balance Sheet'!P11</f>
        <v>104871493.39487565</v>
      </c>
      <c r="R22" s="9">
        <f ca="1">'Balance Sheet'!Q11</f>
        <v>111257670.43096234</v>
      </c>
      <c r="S22" s="9">
        <f ca="1">'Balance Sheet'!R11</f>
        <v>117858795.64065304</v>
      </c>
      <c r="T22" s="9">
        <f ca="1">'Balance Sheet'!S11</f>
        <v>124632082.59059358</v>
      </c>
      <c r="U22" s="9">
        <f ca="1">'Balance Sheet'!T11</f>
        <v>131778145.26988217</v>
      </c>
      <c r="V22" s="9">
        <f ca="1">'Balance Sheet'!U11</f>
        <v>139277267.60062414</v>
      </c>
      <c r="W22" s="9">
        <f ca="1">'Balance Sheet'!V11</f>
        <v>147105101.36402243</v>
      </c>
      <c r="X22" s="9">
        <f ca="1">'Balance Sheet'!W11</f>
        <v>155232198.43674329</v>
      </c>
      <c r="Y22" s="9">
        <f ca="1">'Balance Sheet'!X11</f>
        <v>163623506.44795656</v>
      </c>
      <c r="Z22" s="9">
        <f ca="1">'Balance Sheet'!Y11</f>
        <v>172237825.33956072</v>
      </c>
      <c r="AA22" s="9">
        <f ca="1">'Balance Sheet'!Z11</f>
        <v>181372575.59387591</v>
      </c>
      <c r="AB22" s="9">
        <f ca="1">'Balance Sheet'!AA11</f>
        <v>191021249.39390874</v>
      </c>
      <c r="AC22" s="9">
        <f ca="1">'Balance Sheet'!AB11</f>
        <v>201173925.99816054</v>
      </c>
      <c r="AD22" s="9">
        <f ca="1">'Balance Sheet'!AC11</f>
        <v>211816911.55131763</v>
      </c>
      <c r="AE22" s="9">
        <f ca="1">'Balance Sheet'!AD11</f>
        <v>222932351.12596568</v>
      </c>
      <c r="AF22" s="9">
        <f ca="1">'Balance Sheet'!AE11</f>
        <v>234497811.14939585</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33424111.656767078</v>
      </c>
      <c r="D23" s="9">
        <f t="shared" ref="D23:AF23" ca="1" si="30">D20-D22</f>
        <v>35293393.908577934</v>
      </c>
      <c r="E23" s="9">
        <f t="shared" ca="1" si="30"/>
        <v>39446711.394111976</v>
      </c>
      <c r="F23" s="9">
        <f t="shared" ca="1" si="30"/>
        <v>47390515.24624452</v>
      </c>
      <c r="G23" s="9">
        <f t="shared" ca="1" si="30"/>
        <v>57639653.141457587</v>
      </c>
      <c r="H23" s="9">
        <f t="shared" ca="1" si="30"/>
        <v>69464568.147328079</v>
      </c>
      <c r="I23" s="9">
        <f t="shared" ca="1" si="30"/>
        <v>82461905.023236066</v>
      </c>
      <c r="J23" s="9">
        <f ca="1">J20-J22</f>
        <v>96424071.422100514</v>
      </c>
      <c r="K23" s="9">
        <f t="shared" ca="1" si="30"/>
        <v>111545272.79515979</v>
      </c>
      <c r="L23" s="9">
        <f t="shared" ca="1" si="30"/>
        <v>127465714.94607192</v>
      </c>
      <c r="M23" s="9">
        <f t="shared" ca="1" si="30"/>
        <v>143684500.21024263</v>
      </c>
      <c r="N23" s="9">
        <f t="shared" ca="1" si="30"/>
        <v>160234745.26785377</v>
      </c>
      <c r="O23" s="9">
        <f t="shared" ca="1" si="30"/>
        <v>177154138.96571121</v>
      </c>
      <c r="P23" s="9">
        <f t="shared" ca="1" si="30"/>
        <v>194485392.45787805</v>
      </c>
      <c r="Q23" s="9">
        <f t="shared" ca="1" si="30"/>
        <v>212276725.7701906</v>
      </c>
      <c r="R23" s="9">
        <f t="shared" ca="1" si="30"/>
        <v>230582393.42425311</v>
      </c>
      <c r="S23" s="9">
        <f t="shared" ca="1" si="30"/>
        <v>249463251.93479636</v>
      </c>
      <c r="T23" s="9">
        <f t="shared" ca="1" si="30"/>
        <v>268987372.18413723</v>
      </c>
      <c r="U23" s="9">
        <f t="shared" ca="1" si="30"/>
        <v>288980233.73450708</v>
      </c>
      <c r="V23" s="9">
        <f t="shared" ca="1" si="30"/>
        <v>309488481.2087726</v>
      </c>
      <c r="W23" s="9">
        <f t="shared" ca="1" si="30"/>
        <v>330564253.08414215</v>
      </c>
      <c r="X23" s="9">
        <f t="shared" ca="1" si="30"/>
        <v>352265677.03062963</v>
      </c>
      <c r="Y23" s="9">
        <f t="shared" ca="1" si="30"/>
        <v>374657402.71123934</v>
      </c>
      <c r="Z23" s="9">
        <f t="shared" ca="1" si="30"/>
        <v>397811174.58959651</v>
      </c>
      <c r="AA23" s="9">
        <f t="shared" ca="1" si="30"/>
        <v>421461094.0098815</v>
      </c>
      <c r="AB23" s="9">
        <f t="shared" ca="1" si="30"/>
        <v>445646199.31403589</v>
      </c>
      <c r="AC23" s="9">
        <f t="shared" ca="1" si="30"/>
        <v>470409982.74530548</v>
      </c>
      <c r="AD23" s="9">
        <f t="shared" ca="1" si="30"/>
        <v>495800783.94880635</v>
      </c>
      <c r="AE23" s="9">
        <f t="shared" ca="1" si="30"/>
        <v>521872212.30702937</v>
      </c>
      <c r="AF23" s="9">
        <f t="shared" ca="1" si="30"/>
        <v>548683599.99032223</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8568000</v>
      </c>
      <c r="D5" s="1">
        <f ca="1">C5+C6</f>
        <v>22585566.998072777</v>
      </c>
      <c r="E5" s="1">
        <f t="shared" ref="E5:AF5" ca="1" si="1">D5+D6</f>
        <v>34827477.938418642</v>
      </c>
      <c r="F5" s="1">
        <f t="shared" ca="1" si="1"/>
        <v>43803549.821794152</v>
      </c>
      <c r="G5" s="1">
        <f t="shared" ca="1" si="1"/>
        <v>51015723.685625389</v>
      </c>
      <c r="H5" s="1">
        <f t="shared" ca="1" si="1"/>
        <v>57210882.415088616</v>
      </c>
      <c r="I5" s="1">
        <f t="shared" ca="1" si="1"/>
        <v>62810261.634045035</v>
      </c>
      <c r="J5" s="1">
        <f t="shared" ca="1" si="1"/>
        <v>68039906.24508068</v>
      </c>
      <c r="K5" s="1">
        <f t="shared" ca="1" si="1"/>
        <v>72724653.834238291</v>
      </c>
      <c r="L5" s="1">
        <f t="shared" ca="1" si="1"/>
        <v>77243951.012333989</v>
      </c>
      <c r="M5" s="1">
        <f t="shared" ca="1" si="1"/>
        <v>82118976.735699341</v>
      </c>
      <c r="N5" s="1">
        <f t="shared" ca="1" si="1"/>
        <v>87337544.617225409</v>
      </c>
      <c r="O5" s="1">
        <f t="shared" ca="1" si="1"/>
        <v>92883565.872557551</v>
      </c>
      <c r="P5" s="1">
        <f t="shared" ca="1" si="1"/>
        <v>98736620.612082377</v>
      </c>
      <c r="Q5" s="1">
        <f t="shared" ca="1" si="1"/>
        <v>104871493.39487565</v>
      </c>
      <c r="R5" s="1">
        <f t="shared" ca="1" si="1"/>
        <v>111257670.43096234</v>
      </c>
      <c r="S5" s="1">
        <f t="shared" ca="1" si="1"/>
        <v>117858795.64065304</v>
      </c>
      <c r="T5" s="1">
        <f t="shared" ca="1" si="1"/>
        <v>124632082.59059358</v>
      </c>
      <c r="U5" s="1">
        <f t="shared" ca="1" si="1"/>
        <v>131778145.26988217</v>
      </c>
      <c r="V5" s="1">
        <f t="shared" ca="1" si="1"/>
        <v>139277267.60062414</v>
      </c>
      <c r="W5" s="1">
        <f t="shared" ca="1" si="1"/>
        <v>147105101.36402243</v>
      </c>
      <c r="X5" s="1">
        <f t="shared" ca="1" si="1"/>
        <v>155232198.43674329</v>
      </c>
      <c r="Y5" s="1">
        <f t="shared" ca="1" si="1"/>
        <v>163623506.44795656</v>
      </c>
      <c r="Z5" s="1">
        <f t="shared" ca="1" si="1"/>
        <v>172237825.33956072</v>
      </c>
      <c r="AA5" s="1">
        <f t="shared" ca="1" si="1"/>
        <v>181372575.59387591</v>
      </c>
      <c r="AB5" s="1">
        <f t="shared" ca="1" si="1"/>
        <v>191021249.39390874</v>
      </c>
      <c r="AC5" s="1">
        <f t="shared" ca="1" si="1"/>
        <v>201173925.99816054</v>
      </c>
      <c r="AD5" s="1">
        <f t="shared" ca="1" si="1"/>
        <v>211816911.55131763</v>
      </c>
      <c r="AE5" s="1">
        <f t="shared" ca="1" si="1"/>
        <v>222932351.12596568</v>
      </c>
      <c r="AF5" s="1">
        <f t="shared" ca="1" si="1"/>
        <v>234497811.14939585</v>
      </c>
      <c r="AG5" s="1"/>
      <c r="AH5" s="1"/>
      <c r="AI5" s="1"/>
      <c r="AJ5" s="1"/>
      <c r="AK5" s="1"/>
      <c r="AL5" s="1"/>
      <c r="AM5" s="1"/>
      <c r="AN5" s="1"/>
      <c r="AO5" s="1"/>
      <c r="AP5" s="1"/>
    </row>
    <row r="6" spans="1:42" x14ac:dyDescent="0.35">
      <c r="A6" s="63" t="s">
        <v>3</v>
      </c>
      <c r="C6" s="1">
        <f ca="1">-'Cash Flow'!C13</f>
        <v>14017566.998072777</v>
      </c>
      <c r="D6" s="1">
        <f ca="1">-'Cash Flow'!D13</f>
        <v>12241910.940345868</v>
      </c>
      <c r="E6" s="1">
        <f ca="1">-'Cash Flow'!E13</f>
        <v>8976071.8833755068</v>
      </c>
      <c r="F6" s="1">
        <f ca="1">-'Cash Flow'!F13</f>
        <v>7212173.863831237</v>
      </c>
      <c r="G6" s="1">
        <f ca="1">-'Cash Flow'!G13</f>
        <v>6195158.7294632252</v>
      </c>
      <c r="H6" s="1">
        <f ca="1">-'Cash Flow'!H13</f>
        <v>5599379.2189564202</v>
      </c>
      <c r="I6" s="1">
        <f ca="1">-'Cash Flow'!I13</f>
        <v>5229644.6110356525</v>
      </c>
      <c r="J6" s="1">
        <f ca="1">-'Cash Flow'!J13</f>
        <v>4684747.5891576149</v>
      </c>
      <c r="K6" s="1">
        <f ca="1">-'Cash Flow'!K13</f>
        <v>4519297.1780956984</v>
      </c>
      <c r="L6" s="1">
        <f ca="1">-'Cash Flow'!L13</f>
        <v>4875025.7233653478</v>
      </c>
      <c r="M6" s="1">
        <f ca="1">-'Cash Flow'!M13</f>
        <v>5218567.8815260604</v>
      </c>
      <c r="N6" s="1">
        <f ca="1">-'Cash Flow'!N13</f>
        <v>5546021.2553321384</v>
      </c>
      <c r="O6" s="1">
        <f ca="1">-'Cash Flow'!O13</f>
        <v>5853054.7395248301</v>
      </c>
      <c r="P6" s="1">
        <f ca="1">-'Cash Flow'!P13</f>
        <v>6134872.7827932648</v>
      </c>
      <c r="Q6" s="1">
        <f ca="1">-'Cash Flow'!Q13</f>
        <v>6386177.0360866934</v>
      </c>
      <c r="R6" s="1">
        <f ca="1">-'Cash Flow'!R13</f>
        <v>6601125.2096907087</v>
      </c>
      <c r="S6" s="1">
        <f ca="1">-'Cash Flow'!S13</f>
        <v>6773286.9499405399</v>
      </c>
      <c r="T6" s="1">
        <f ca="1">-'Cash Flow'!T13</f>
        <v>7146062.6792885996</v>
      </c>
      <c r="U6" s="1">
        <f ca="1">-'Cash Flow'!U13</f>
        <v>7499122.3307419755</v>
      </c>
      <c r="V6" s="1">
        <f ca="1">-'Cash Flow'!V13</f>
        <v>7827833.7633982748</v>
      </c>
      <c r="W6" s="1">
        <f ca="1">-'Cash Flow'!W13</f>
        <v>8127097.072720848</v>
      </c>
      <c r="X6" s="1">
        <f ca="1">-'Cash Flow'!X13</f>
        <v>8391308.0112132877</v>
      </c>
      <c r="Y6" s="1">
        <f ca="1">-'Cash Flow'!Y13</f>
        <v>8614318.8916041479</v>
      </c>
      <c r="Z6" s="1">
        <f ca="1">-'Cash Flow'!Z13</f>
        <v>9134750.2543152049</v>
      </c>
      <c r="AA6" s="1">
        <f ca="1">-'Cash Flow'!AA13</f>
        <v>9648673.8000328392</v>
      </c>
      <c r="AB6" s="1">
        <f ca="1">-'Cash Flow'!AB13</f>
        <v>10152676.604251787</v>
      </c>
      <c r="AC6" s="1">
        <f ca="1">-'Cash Flow'!AC13</f>
        <v>10642985.553157106</v>
      </c>
      <c r="AD6" s="1">
        <f ca="1">-'Cash Flow'!AD13</f>
        <v>11115439.574648052</v>
      </c>
      <c r="AE6" s="1">
        <f ca="1">-'Cash Flow'!AE13</f>
        <v>11565460.023430169</v>
      </c>
      <c r="AF6" s="1">
        <f ca="1">-'Cash Flow'!AF13</f>
        <v>11988019.107630089</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790494.8449325473</v>
      </c>
      <c r="D8" s="1">
        <f ca="1">IF(SUM(D5:D6)&gt;0,Assumptions!$C$26*SUM(D5:D6),Assumptions!$C$27*(SUM(D5:D6)))</f>
        <v>1218961.7278446525</v>
      </c>
      <c r="E8" s="1">
        <f ca="1">IF(SUM(E5:E6)&gt;0,Assumptions!$C$26*SUM(E5:E6),Assumptions!$C$27*(SUM(E5:E6)))</f>
        <v>1533124.2437627956</v>
      </c>
      <c r="F8" s="1">
        <f ca="1">IF(SUM(F5:F6)&gt;0,Assumptions!$C$26*SUM(F5:F6),Assumptions!$C$27*(SUM(F5:F6)))</f>
        <v>1785550.3289968888</v>
      </c>
      <c r="G8" s="1">
        <f ca="1">IF(SUM(G5:G6)&gt;0,Assumptions!$C$26*SUM(G5:G6),Assumptions!$C$27*(SUM(G5:G6)))</f>
        <v>2002380.8845281017</v>
      </c>
      <c r="H8" s="1">
        <f ca="1">IF(SUM(H5:H6)&gt;0,Assumptions!$C$26*SUM(H5:H6),Assumptions!$C$27*(SUM(H5:H6)))</f>
        <v>2198359.1571915764</v>
      </c>
      <c r="I8" s="1">
        <f ca="1">IF(SUM(I5:I6)&gt;0,Assumptions!$C$26*SUM(I5:I6),Assumptions!$C$27*(SUM(I5:I6)))</f>
        <v>2381396.7185778241</v>
      </c>
      <c r="J8" s="1">
        <f ca="1">IF(SUM(J5:J6)&gt;0,Assumptions!$C$26*SUM(J5:J6),Assumptions!$C$27*(SUM(J5:J6)))</f>
        <v>2545362.8841983406</v>
      </c>
      <c r="K8" s="1">
        <f ca="1">IF(SUM(K5:K6)&gt;0,Assumptions!$C$26*SUM(K5:K6),Assumptions!$C$27*(SUM(K5:K6)))</f>
        <v>2703538.28543169</v>
      </c>
      <c r="L8" s="1">
        <f ca="1">IF(SUM(L5:L6)&gt;0,Assumptions!$C$26*SUM(L5:L6),Assumptions!$C$27*(SUM(L5:L6)))</f>
        <v>2874164.1857494772</v>
      </c>
      <c r="M8" s="1">
        <f ca="1">IF(SUM(M5:M6)&gt;0,Assumptions!$C$26*SUM(M5:M6),Assumptions!$C$27*(SUM(M5:M6)))</f>
        <v>3056814.0616028896</v>
      </c>
      <c r="N8" s="1">
        <f ca="1">IF(SUM(N5:N6)&gt;0,Assumptions!$C$26*SUM(N5:N6),Assumptions!$C$27*(SUM(N5:N6)))</f>
        <v>3250924.8055395144</v>
      </c>
      <c r="O8" s="1">
        <f ca="1">IF(SUM(O5:O6)&gt;0,Assumptions!$C$26*SUM(O5:O6),Assumptions!$C$27*(SUM(O5:O6)))</f>
        <v>3455781.7214228837</v>
      </c>
      <c r="P8" s="1">
        <f ca="1">IF(SUM(P5:P6)&gt;0,Assumptions!$C$26*SUM(P5:P6),Assumptions!$C$27*(SUM(P5:P6)))</f>
        <v>3670502.2688206481</v>
      </c>
      <c r="Q8" s="1">
        <f ca="1">IF(SUM(Q5:Q6)&gt;0,Assumptions!$C$26*SUM(Q5:Q6),Assumptions!$C$27*(SUM(Q5:Q6)))</f>
        <v>3894018.4650836824</v>
      </c>
      <c r="R8" s="1">
        <f ca="1">IF(SUM(R5:R6)&gt;0,Assumptions!$C$26*SUM(R5:R6),Assumptions!$C$27*(SUM(R5:R6)))</f>
        <v>4125057.8474228568</v>
      </c>
      <c r="S8" s="1">
        <f ca="1">IF(SUM(S5:S6)&gt;0,Assumptions!$C$26*SUM(S5:S6),Assumptions!$C$27*(SUM(S5:S6)))</f>
        <v>4362122.8906707754</v>
      </c>
      <c r="T8" s="1">
        <f ca="1">IF(SUM(T5:T6)&gt;0,Assumptions!$C$26*SUM(T5:T6),Assumptions!$C$27*(SUM(T5:T6)))</f>
        <v>4612235.0844458761</v>
      </c>
      <c r="U8" s="1">
        <f ca="1">IF(SUM(U5:U6)&gt;0,Assumptions!$C$26*SUM(U5:U6),Assumptions!$C$27*(SUM(U5:U6)))</f>
        <v>4874704.3660218455</v>
      </c>
      <c r="V8" s="1">
        <f ca="1">IF(SUM(V5:V6)&gt;0,Assumptions!$C$26*SUM(V5:V6),Assumptions!$C$27*(SUM(V5:V6)))</f>
        <v>5148678.5477407854</v>
      </c>
      <c r="W8" s="1">
        <f ca="1">IF(SUM(W5:W6)&gt;0,Assumptions!$C$26*SUM(W5:W6),Assumptions!$C$27*(SUM(W5:W6)))</f>
        <v>5433126.945286016</v>
      </c>
      <c r="X8" s="1">
        <f ca="1">IF(SUM(X5:X6)&gt;0,Assumptions!$C$26*SUM(X5:X6),Assumptions!$C$27*(SUM(X5:X6)))</f>
        <v>5726822.7256784802</v>
      </c>
      <c r="Y8" s="1">
        <f ca="1">IF(SUM(Y5:Y6)&gt;0,Assumptions!$C$26*SUM(Y5:Y6),Assumptions!$C$27*(SUM(Y5:Y6)))</f>
        <v>6028323.886884626</v>
      </c>
      <c r="Z8" s="1">
        <f ca="1">IF(SUM(Z5:Z6)&gt;0,Assumptions!$C$26*SUM(Z5:Z6),Assumptions!$C$27*(SUM(Z5:Z6)))</f>
        <v>6348040.1457856577</v>
      </c>
      <c r="AA8" s="1">
        <f ca="1">IF(SUM(AA5:AA6)&gt;0,Assumptions!$C$26*SUM(AA5:AA6),Assumptions!$C$27*(SUM(AA5:AA6)))</f>
        <v>6685743.7287868066</v>
      </c>
      <c r="AB8" s="1">
        <f ca="1">IF(SUM(AB5:AB6)&gt;0,Assumptions!$C$26*SUM(AB5:AB6),Assumptions!$C$27*(SUM(AB5:AB6)))</f>
        <v>7041087.4099356197</v>
      </c>
      <c r="AC8" s="1">
        <f ca="1">IF(SUM(AC5:AC6)&gt;0,Assumptions!$C$26*SUM(AC5:AC6),Assumptions!$C$27*(SUM(AC5:AC6)))</f>
        <v>7413591.9042961178</v>
      </c>
      <c r="AD8" s="1">
        <f ca="1">IF(SUM(AD5:AD6)&gt;0,Assumptions!$C$26*SUM(AD5:AD6),Assumptions!$C$27*(SUM(AD5:AD6)))</f>
        <v>7802632.2894087993</v>
      </c>
      <c r="AE8" s="1">
        <f ca="1">IF(SUM(AE5:AE6)&gt;0,Assumptions!$C$26*SUM(AE5:AE6),Assumptions!$C$27*(SUM(AE5:AE6)))</f>
        <v>8207423.3902288554</v>
      </c>
      <c r="AF8" s="1">
        <f ca="1">IF(SUM(AF5:AF6)&gt;0,Assumptions!$C$26*SUM(AF5:AF6),Assumptions!$C$27*(SUM(AF5:AF6)))</f>
        <v>8627004.05899591</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80" zoomScaleNormal="80" workbookViewId="0">
      <selection sqref="A1:XFD1048576"/>
    </sheetView>
  </sheetViews>
  <sheetFormatPr defaultRowHeight="15.5" x14ac:dyDescent="0.35"/>
  <cols>
    <col min="1" max="1" width="107.9140625" style="63" customWidth="1"/>
    <col min="2" max="2" width="18.1640625" style="63" bestFit="1" customWidth="1"/>
    <col min="3" max="3" width="55.66406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90"/>
    </row>
    <row r="7" spans="1:3" ht="18.5" x14ac:dyDescent="0.35">
      <c r="A7" s="183" t="s">
        <v>97</v>
      </c>
      <c r="B7" s="184">
        <f>Assumptions!C24</f>
        <v>3287000</v>
      </c>
      <c r="C7" s="179" t="str">
        <f>Assumptions!B24</f>
        <v>RFI Table F10; Lines F10.62 + F10.70</v>
      </c>
    </row>
    <row r="8" spans="1:3" ht="34" x14ac:dyDescent="0.35">
      <c r="A8" s="183" t="s">
        <v>174</v>
      </c>
      <c r="B8" s="185">
        <f>Assumptions!$C$133</f>
        <v>0.7</v>
      </c>
      <c r="C8" s="179" t="s">
        <v>200</v>
      </c>
    </row>
    <row r="9" spans="1:3" ht="18.5" x14ac:dyDescent="0.35">
      <c r="A9" s="183"/>
      <c r="B9" s="186"/>
      <c r="C9" s="179"/>
    </row>
    <row r="10" spans="1:3" ht="68" x14ac:dyDescent="0.35">
      <c r="A10" s="180" t="s">
        <v>103</v>
      </c>
      <c r="B10" s="187">
        <f>Assumptions!C135</f>
        <v>2421.3333333333335</v>
      </c>
      <c r="C10" s="179" t="s">
        <v>201</v>
      </c>
    </row>
    <row r="11" spans="1:3" ht="18.5" x14ac:dyDescent="0.35">
      <c r="A11" s="180"/>
      <c r="B11" s="180"/>
      <c r="C11" s="179"/>
    </row>
    <row r="12" spans="1:3" ht="18.5" x14ac:dyDescent="0.35">
      <c r="A12" s="180" t="s">
        <v>184</v>
      </c>
      <c r="B12" s="184">
        <f>(B7*B8)/B10</f>
        <v>950.26156387665196</v>
      </c>
      <c r="C12" s="179"/>
    </row>
    <row r="13" spans="1:3" ht="18.5" x14ac:dyDescent="0.35">
      <c r="A13" s="181"/>
      <c r="B13" s="188"/>
      <c r="C13" s="179"/>
    </row>
    <row r="14" spans="1:3" ht="18.5" x14ac:dyDescent="0.35">
      <c r="A14" s="180" t="s">
        <v>104</v>
      </c>
      <c r="B14" s="189">
        <v>1</v>
      </c>
      <c r="C14" s="179"/>
    </row>
    <row r="15" spans="1:3" ht="18.5" x14ac:dyDescent="0.35">
      <c r="A15" s="181"/>
      <c r="B15" s="190"/>
      <c r="C15" s="179"/>
    </row>
    <row r="16" spans="1:3" ht="18.5" x14ac:dyDescent="0.35">
      <c r="A16" s="181" t="s">
        <v>179</v>
      </c>
      <c r="B16" s="191">
        <f>B12/B14</f>
        <v>950.26156387665196</v>
      </c>
      <c r="C16" s="179"/>
    </row>
    <row r="17" spans="1:3" ht="18.5" x14ac:dyDescent="0.35">
      <c r="A17" s="180"/>
      <c r="B17" s="192"/>
      <c r="C17" s="179"/>
    </row>
    <row r="18" spans="1:3" ht="18.5" x14ac:dyDescent="0.35">
      <c r="A18" s="182" t="s">
        <v>178</v>
      </c>
      <c r="B18" s="192"/>
      <c r="C18" s="179"/>
    </row>
    <row r="19" spans="1:3" ht="18.5" x14ac:dyDescent="0.35">
      <c r="A19" s="180"/>
      <c r="B19" s="192"/>
      <c r="C19" s="179"/>
    </row>
    <row r="20" spans="1:3" ht="34" x14ac:dyDescent="0.35">
      <c r="A20" s="180" t="s">
        <v>66</v>
      </c>
      <c r="B20" s="184">
        <f>'Profit and Loss'!L5</f>
        <v>32148838.26506722</v>
      </c>
      <c r="C20" s="179" t="s">
        <v>202</v>
      </c>
    </row>
    <row r="21" spans="1:3" ht="34" x14ac:dyDescent="0.35">
      <c r="A21" s="180" t="str">
        <f>A8</f>
        <v>Assumed revenue from households</v>
      </c>
      <c r="B21" s="185">
        <f>B8</f>
        <v>0.7</v>
      </c>
      <c r="C21" s="179" t="s">
        <v>200</v>
      </c>
    </row>
    <row r="22" spans="1:3" ht="18.5" x14ac:dyDescent="0.35">
      <c r="A22" s="180"/>
      <c r="B22" s="180"/>
      <c r="C22" s="179"/>
    </row>
    <row r="23" spans="1:3" ht="34" x14ac:dyDescent="0.35">
      <c r="A23" s="180" t="s">
        <v>102</v>
      </c>
      <c r="B23" s="187">
        <f>Assumptions!M135</f>
        <v>2421.3333333333335</v>
      </c>
      <c r="C23" s="179" t="s">
        <v>203</v>
      </c>
    </row>
    <row r="24" spans="1:3" ht="18.5" x14ac:dyDescent="0.35">
      <c r="A24" s="180"/>
      <c r="B24" s="180"/>
      <c r="C24" s="179"/>
    </row>
    <row r="25" spans="1:3" ht="18.5" x14ac:dyDescent="0.35">
      <c r="A25" s="180" t="s">
        <v>183</v>
      </c>
      <c r="B25" s="184">
        <f>(B20*B21)/B23</f>
        <v>9294.1300050442114</v>
      </c>
      <c r="C25" s="179"/>
    </row>
    <row r="26" spans="1:3" ht="18.5" x14ac:dyDescent="0.35">
      <c r="A26" s="180"/>
      <c r="B26" s="184"/>
      <c r="C26" s="179"/>
    </row>
    <row r="27" spans="1:3" ht="34" x14ac:dyDescent="0.35">
      <c r="A27" s="180" t="s">
        <v>104</v>
      </c>
      <c r="B27" s="193">
        <f>1.022^11</f>
        <v>1.2704566586717592</v>
      </c>
      <c r="C27" s="179" t="s">
        <v>204</v>
      </c>
    </row>
    <row r="28" spans="1:3" ht="18.5" x14ac:dyDescent="0.35">
      <c r="A28" s="181"/>
      <c r="B28" s="188"/>
      <c r="C28" s="179"/>
    </row>
    <row r="29" spans="1:3" ht="18.5" x14ac:dyDescent="0.35">
      <c r="A29" s="181" t="s">
        <v>180</v>
      </c>
      <c r="B29" s="184">
        <f>B25/B27</f>
        <v>7315.5821110505776</v>
      </c>
      <c r="C29" s="179"/>
    </row>
    <row r="30" spans="1:3" ht="18.5" x14ac:dyDescent="0.35">
      <c r="A30" s="181"/>
      <c r="B30" s="188"/>
      <c r="C30" s="179"/>
    </row>
    <row r="31" spans="1:3" ht="18.5" x14ac:dyDescent="0.35">
      <c r="A31" s="182" t="s">
        <v>186</v>
      </c>
      <c r="B31" s="181"/>
      <c r="C31" s="179"/>
    </row>
    <row r="32" spans="1:3" ht="18.5" x14ac:dyDescent="0.35">
      <c r="A32" s="180"/>
      <c r="B32" s="184"/>
      <c r="C32" s="179"/>
    </row>
    <row r="33" spans="1:3" ht="34" x14ac:dyDescent="0.35">
      <c r="A33" s="180" t="s">
        <v>67</v>
      </c>
      <c r="B33" s="184">
        <f>'Profit and Loss'!AF5</f>
        <v>93787766.164268568</v>
      </c>
      <c r="C33" s="179" t="s">
        <v>202</v>
      </c>
    </row>
    <row r="34" spans="1:3" ht="34" x14ac:dyDescent="0.35">
      <c r="A34" s="180" t="str">
        <f>A21</f>
        <v>Assumed revenue from households</v>
      </c>
      <c r="B34" s="185">
        <f>B21</f>
        <v>0.7</v>
      </c>
      <c r="C34" s="179" t="s">
        <v>200</v>
      </c>
    </row>
    <row r="35" spans="1:3" ht="18.5" x14ac:dyDescent="0.35">
      <c r="A35" s="180"/>
      <c r="B35" s="180"/>
      <c r="C35" s="179"/>
    </row>
    <row r="36" spans="1:3" ht="34" x14ac:dyDescent="0.35">
      <c r="A36" s="180" t="s">
        <v>101</v>
      </c>
      <c r="B36" s="187">
        <f>Assumptions!AG135</f>
        <v>2421.3333333333335</v>
      </c>
      <c r="C36" s="179" t="s">
        <v>203</v>
      </c>
    </row>
    <row r="37" spans="1:3" ht="18.5" x14ac:dyDescent="0.35">
      <c r="A37" s="180"/>
      <c r="B37" s="180"/>
      <c r="C37" s="179"/>
    </row>
    <row r="38" spans="1:3" ht="18.5" x14ac:dyDescent="0.35">
      <c r="A38" s="180" t="s">
        <v>182</v>
      </c>
      <c r="B38" s="184">
        <f>(B33*B34)/B36</f>
        <v>27113.753984714203</v>
      </c>
      <c r="C38" s="179"/>
    </row>
    <row r="39" spans="1:3" ht="18.5" x14ac:dyDescent="0.35">
      <c r="A39" s="180"/>
      <c r="B39" s="180"/>
      <c r="C39" s="179"/>
    </row>
    <row r="40" spans="1:3" ht="34" x14ac:dyDescent="0.35">
      <c r="A40" s="180" t="s">
        <v>104</v>
      </c>
      <c r="B40" s="193">
        <f>1.022^31</f>
        <v>1.9632597808456462</v>
      </c>
      <c r="C40" s="179" t="s">
        <v>204</v>
      </c>
    </row>
    <row r="41" spans="1:3" ht="18.5" x14ac:dyDescent="0.35">
      <c r="A41" s="181"/>
      <c r="B41" s="188"/>
      <c r="C41" s="194"/>
    </row>
    <row r="42" spans="1:3" ht="18.5" x14ac:dyDescent="0.35">
      <c r="A42" s="181" t="s">
        <v>181</v>
      </c>
      <c r="B42" s="184">
        <f>B38/B40</f>
        <v>13810.578838952906</v>
      </c>
      <c r="C42" s="19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5" t="s">
        <v>28</v>
      </c>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row>
    <row r="4" spans="1:33" s="120" customFormat="1" ht="16" thickBot="1" x14ac:dyDescent="0.4">
      <c r="A4" s="115" t="s">
        <v>26</v>
      </c>
      <c r="B4" s="115" t="s">
        <v>196</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138</v>
      </c>
      <c r="C13" s="127">
        <v>0</v>
      </c>
      <c r="D13" s="128">
        <f t="shared" ref="D13:AG13" si="3">(1+$C$13)^D8</f>
        <v>1</v>
      </c>
      <c r="E13" s="128">
        <f t="shared" si="3"/>
        <v>1</v>
      </c>
      <c r="F13" s="128">
        <f t="shared" si="3"/>
        <v>1</v>
      </c>
      <c r="G13" s="128">
        <f t="shared" si="3"/>
        <v>1</v>
      </c>
      <c r="H13" s="128">
        <f t="shared" si="3"/>
        <v>1</v>
      </c>
      <c r="I13" s="128">
        <f t="shared" si="3"/>
        <v>1</v>
      </c>
      <c r="J13" s="128">
        <f t="shared" si="3"/>
        <v>1</v>
      </c>
      <c r="K13" s="128">
        <f t="shared" si="3"/>
        <v>1</v>
      </c>
      <c r="L13" s="128">
        <f t="shared" si="3"/>
        <v>1</v>
      </c>
      <c r="M13" s="128">
        <f t="shared" si="3"/>
        <v>1</v>
      </c>
      <c r="N13" s="128">
        <f t="shared" si="3"/>
        <v>1</v>
      </c>
      <c r="O13" s="128">
        <f t="shared" si="3"/>
        <v>1</v>
      </c>
      <c r="P13" s="128">
        <f t="shared" si="3"/>
        <v>1</v>
      </c>
      <c r="Q13" s="128">
        <f t="shared" si="3"/>
        <v>1</v>
      </c>
      <c r="R13" s="128">
        <f t="shared" si="3"/>
        <v>1</v>
      </c>
      <c r="S13" s="128">
        <f t="shared" si="3"/>
        <v>1</v>
      </c>
      <c r="T13" s="128">
        <f t="shared" si="3"/>
        <v>1</v>
      </c>
      <c r="U13" s="128">
        <f t="shared" si="3"/>
        <v>1</v>
      </c>
      <c r="V13" s="128">
        <f t="shared" si="3"/>
        <v>1</v>
      </c>
      <c r="W13" s="128">
        <f t="shared" si="3"/>
        <v>1</v>
      </c>
      <c r="X13" s="128">
        <f t="shared" si="3"/>
        <v>1</v>
      </c>
      <c r="Y13" s="128">
        <f t="shared" si="3"/>
        <v>1</v>
      </c>
      <c r="Z13" s="128">
        <f t="shared" si="3"/>
        <v>1</v>
      </c>
      <c r="AA13" s="128">
        <f t="shared" si="3"/>
        <v>1</v>
      </c>
      <c r="AB13" s="128">
        <f t="shared" si="3"/>
        <v>1</v>
      </c>
      <c r="AC13" s="128">
        <f t="shared" si="3"/>
        <v>1</v>
      </c>
      <c r="AD13" s="128">
        <f t="shared" si="3"/>
        <v>1</v>
      </c>
      <c r="AE13" s="128">
        <f t="shared" si="3"/>
        <v>1</v>
      </c>
      <c r="AF13" s="128">
        <f t="shared" si="3"/>
        <v>1</v>
      </c>
      <c r="AG13" s="128">
        <f t="shared" si="3"/>
        <v>1</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133</v>
      </c>
      <c r="B17" s="77" t="s">
        <v>170</v>
      </c>
      <c r="C17" s="136">
        <f>AVERAGE(C49:C50)</f>
        <v>53195755.775000006</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26597877.887500003</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137</v>
      </c>
      <c r="C20" s="137">
        <v>8568000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3287000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1780000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132</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132</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135</v>
      </c>
      <c r="C49" s="71">
        <v>47841599.000000007</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198</v>
      </c>
      <c r="C50" s="71">
        <v>58549912.550000012</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141302.26337177708</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244572.57743815539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192937.42040496622</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385150.52849627088</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627186.54199352581</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506168.53524489835</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750741.11268305371</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86" t="s">
        <v>176</v>
      </c>
      <c r="C77" s="87">
        <v>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437381591.23645794</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478823036.57416028</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87</v>
      </c>
      <c r="C82" s="87">
        <f>C79+$C$77</f>
        <v>437381591.23645794</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87</v>
      </c>
      <c r="C83" s="87">
        <f>C80+$C$77</f>
        <v>478823036.57416028</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199</v>
      </c>
      <c r="C85" s="150">
        <v>7008</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134</v>
      </c>
      <c r="C86" s="150">
        <v>6067.2</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6537.6</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87</v>
      </c>
      <c r="C89" s="150">
        <f>C82/$C$87</f>
        <v>66902.470514631961</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87</v>
      </c>
      <c r="C90" s="150">
        <f>C83/$C$87</f>
        <v>73241.409167608945</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87</v>
      </c>
      <c r="C94" s="87">
        <f>IF(C89&lt;$C$92,C89*$C$87,$C$92*$C$87)</f>
        <v>437381591.23645794</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87</v>
      </c>
      <c r="C95" s="87">
        <f>IF(C90&lt;$C$92,C90*$C$87,$C$92*$C$87)</f>
        <v>457632000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87</v>
      </c>
      <c r="C96" s="87">
        <f>AVERAGE(C94:C95)</f>
        <v>447506795.61822897</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447506795.61822897</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14916893.1872743</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131</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130</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750741.11268305371</v>
      </c>
      <c r="E111" s="149">
        <f t="shared" si="9"/>
        <v>750741.11268305371</v>
      </c>
      <c r="F111" s="149">
        <f t="shared" si="9"/>
        <v>750741.11268305371</v>
      </c>
      <c r="G111" s="149">
        <f t="shared" si="9"/>
        <v>750741.11268305371</v>
      </c>
      <c r="H111" s="149">
        <f t="shared" si="9"/>
        <v>750741.11268305371</v>
      </c>
      <c r="I111" s="149">
        <f t="shared" si="9"/>
        <v>750741.11268305371</v>
      </c>
      <c r="J111" s="149">
        <f t="shared" si="9"/>
        <v>750741.11268305371</v>
      </c>
      <c r="K111" s="149">
        <f t="shared" si="9"/>
        <v>750741.11268305371</v>
      </c>
      <c r="L111" s="149">
        <f t="shared" si="9"/>
        <v>750741.11268305371</v>
      </c>
      <c r="M111" s="149">
        <f t="shared" si="9"/>
        <v>750741.11268305371</v>
      </c>
      <c r="N111" s="149">
        <f t="shared" si="9"/>
        <v>750741.11268305371</v>
      </c>
      <c r="O111" s="149">
        <f t="shared" si="9"/>
        <v>750741.11268305371</v>
      </c>
      <c r="P111" s="149">
        <f t="shared" si="9"/>
        <v>750741.11268305371</v>
      </c>
      <c r="Q111" s="149">
        <f t="shared" si="9"/>
        <v>750741.11268305371</v>
      </c>
      <c r="R111" s="149">
        <f t="shared" si="9"/>
        <v>750741.11268305371</v>
      </c>
      <c r="S111" s="149">
        <f t="shared" si="9"/>
        <v>750741.11268305371</v>
      </c>
      <c r="T111" s="149">
        <f t="shared" si="9"/>
        <v>750741.11268305371</v>
      </c>
      <c r="U111" s="149">
        <f t="shared" si="9"/>
        <v>750741.11268305371</v>
      </c>
      <c r="V111" s="149">
        <f t="shared" si="9"/>
        <v>750741.11268305371</v>
      </c>
      <c r="W111" s="149">
        <f t="shared" si="9"/>
        <v>750741.11268305371</v>
      </c>
      <c r="X111" s="149">
        <f t="shared" si="9"/>
        <v>750741.11268305371</v>
      </c>
      <c r="Y111" s="149">
        <f t="shared" si="9"/>
        <v>750741.11268305371</v>
      </c>
      <c r="Z111" s="149">
        <f t="shared" si="9"/>
        <v>750741.11268305371</v>
      </c>
      <c r="AA111" s="149">
        <f t="shared" si="9"/>
        <v>750741.11268305371</v>
      </c>
      <c r="AB111" s="149">
        <f t="shared" si="9"/>
        <v>750741.11268305371</v>
      </c>
      <c r="AC111" s="149">
        <f t="shared" si="9"/>
        <v>750741.11268305371</v>
      </c>
      <c r="AD111" s="149">
        <f t="shared" si="9"/>
        <v>750741.11268305371</v>
      </c>
      <c r="AE111" s="149">
        <f t="shared" si="9"/>
        <v>750741.11268305371</v>
      </c>
      <c r="AF111" s="149">
        <f t="shared" si="9"/>
        <v>750741.11268305371</v>
      </c>
      <c r="AG111" s="149">
        <f t="shared" si="9"/>
        <v>750741.11268305371</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447506795.61822879</v>
      </c>
      <c r="D113" s="149">
        <f t="shared" ref="D113:AG113" si="10">$C$102</f>
        <v>14916893.1872743</v>
      </c>
      <c r="E113" s="149">
        <f t="shared" si="10"/>
        <v>14916893.1872743</v>
      </c>
      <c r="F113" s="149">
        <f t="shared" si="10"/>
        <v>14916893.1872743</v>
      </c>
      <c r="G113" s="149">
        <f t="shared" si="10"/>
        <v>14916893.1872743</v>
      </c>
      <c r="H113" s="149">
        <f t="shared" si="10"/>
        <v>14916893.1872743</v>
      </c>
      <c r="I113" s="149">
        <f t="shared" si="10"/>
        <v>14916893.1872743</v>
      </c>
      <c r="J113" s="149">
        <f t="shared" si="10"/>
        <v>14916893.1872743</v>
      </c>
      <c r="K113" s="149">
        <f t="shared" si="10"/>
        <v>14916893.1872743</v>
      </c>
      <c r="L113" s="149">
        <f t="shared" si="10"/>
        <v>14916893.1872743</v>
      </c>
      <c r="M113" s="149">
        <f t="shared" si="10"/>
        <v>14916893.1872743</v>
      </c>
      <c r="N113" s="149">
        <f t="shared" si="10"/>
        <v>14916893.1872743</v>
      </c>
      <c r="O113" s="149">
        <f t="shared" si="10"/>
        <v>14916893.1872743</v>
      </c>
      <c r="P113" s="149">
        <f t="shared" si="10"/>
        <v>14916893.1872743</v>
      </c>
      <c r="Q113" s="149">
        <f t="shared" si="10"/>
        <v>14916893.1872743</v>
      </c>
      <c r="R113" s="149">
        <f t="shared" si="10"/>
        <v>14916893.1872743</v>
      </c>
      <c r="S113" s="149">
        <f t="shared" si="10"/>
        <v>14916893.1872743</v>
      </c>
      <c r="T113" s="149">
        <f t="shared" si="10"/>
        <v>14916893.1872743</v>
      </c>
      <c r="U113" s="149">
        <f t="shared" si="10"/>
        <v>14916893.1872743</v>
      </c>
      <c r="V113" s="149">
        <f t="shared" si="10"/>
        <v>14916893.1872743</v>
      </c>
      <c r="W113" s="149">
        <f t="shared" si="10"/>
        <v>14916893.1872743</v>
      </c>
      <c r="X113" s="149">
        <f t="shared" si="10"/>
        <v>14916893.1872743</v>
      </c>
      <c r="Y113" s="149">
        <f t="shared" si="10"/>
        <v>14916893.1872743</v>
      </c>
      <c r="Z113" s="149">
        <f t="shared" si="10"/>
        <v>14916893.1872743</v>
      </c>
      <c r="AA113" s="149">
        <f t="shared" si="10"/>
        <v>14916893.1872743</v>
      </c>
      <c r="AB113" s="149">
        <f t="shared" si="10"/>
        <v>14916893.1872743</v>
      </c>
      <c r="AC113" s="149">
        <f t="shared" si="10"/>
        <v>14916893.1872743</v>
      </c>
      <c r="AD113" s="149">
        <f t="shared" si="10"/>
        <v>14916893.1872743</v>
      </c>
      <c r="AE113" s="149">
        <f t="shared" si="10"/>
        <v>14916893.1872743</v>
      </c>
      <c r="AF113" s="149">
        <f t="shared" si="10"/>
        <v>14916893.1872743</v>
      </c>
      <c r="AG113" s="149">
        <f t="shared" si="10"/>
        <v>14916893.1872743</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14916893.1872743</v>
      </c>
      <c r="E118" s="149">
        <f t="shared" ref="E118:AG118" si="13">E113+E115+E116</f>
        <v>14916893.1872743</v>
      </c>
      <c r="F118" s="149">
        <f>F113+F115+F116</f>
        <v>14916893.1872743</v>
      </c>
      <c r="G118" s="149">
        <f t="shared" si="13"/>
        <v>14916893.1872743</v>
      </c>
      <c r="H118" s="149">
        <f t="shared" si="13"/>
        <v>14916893.1872743</v>
      </c>
      <c r="I118" s="149">
        <f t="shared" si="13"/>
        <v>14916893.1872743</v>
      </c>
      <c r="J118" s="149">
        <f t="shared" si="13"/>
        <v>14916893.1872743</v>
      </c>
      <c r="K118" s="149">
        <f t="shared" si="13"/>
        <v>14916893.1872743</v>
      </c>
      <c r="L118" s="149">
        <f t="shared" si="13"/>
        <v>14916893.1872743</v>
      </c>
      <c r="M118" s="149">
        <f t="shared" si="13"/>
        <v>14916893.1872743</v>
      </c>
      <c r="N118" s="149">
        <f t="shared" si="13"/>
        <v>14916893.1872743</v>
      </c>
      <c r="O118" s="149">
        <f t="shared" si="13"/>
        <v>14916893.1872743</v>
      </c>
      <c r="P118" s="149">
        <f t="shared" si="13"/>
        <v>14916893.1872743</v>
      </c>
      <c r="Q118" s="149">
        <f t="shared" si="13"/>
        <v>14916893.1872743</v>
      </c>
      <c r="R118" s="149">
        <f t="shared" si="13"/>
        <v>14916893.1872743</v>
      </c>
      <c r="S118" s="149">
        <f t="shared" si="13"/>
        <v>14916893.1872743</v>
      </c>
      <c r="T118" s="149">
        <f t="shared" si="13"/>
        <v>14916893.1872743</v>
      </c>
      <c r="U118" s="149">
        <f t="shared" si="13"/>
        <v>14916893.1872743</v>
      </c>
      <c r="V118" s="149">
        <f t="shared" si="13"/>
        <v>14916893.1872743</v>
      </c>
      <c r="W118" s="149">
        <f t="shared" si="13"/>
        <v>14916893.1872743</v>
      </c>
      <c r="X118" s="149">
        <f t="shared" si="13"/>
        <v>14916893.1872743</v>
      </c>
      <c r="Y118" s="149">
        <f t="shared" si="13"/>
        <v>14916893.1872743</v>
      </c>
      <c r="Z118" s="149">
        <f t="shared" si="13"/>
        <v>14916893.1872743</v>
      </c>
      <c r="AA118" s="149">
        <f t="shared" si="13"/>
        <v>14916893.1872743</v>
      </c>
      <c r="AB118" s="149">
        <f t="shared" si="13"/>
        <v>14916893.1872743</v>
      </c>
      <c r="AC118" s="149">
        <f t="shared" si="13"/>
        <v>14916893.1872743</v>
      </c>
      <c r="AD118" s="149">
        <f t="shared" si="13"/>
        <v>14916893.1872743</v>
      </c>
      <c r="AE118" s="149">
        <f t="shared" si="13"/>
        <v>14916893.1872743</v>
      </c>
      <c r="AF118" s="149">
        <f t="shared" si="13"/>
        <v>14916893.1872743</v>
      </c>
      <c r="AG118" s="149">
        <f t="shared" si="13"/>
        <v>14916893.1872743</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358005.43649458321</v>
      </c>
      <c r="E120" s="149">
        <f>(SUM($D$118:E118)*$C$104/$C$106)+(SUM($D$118:E118)*$C$105/$C$107)</f>
        <v>716010.87298916641</v>
      </c>
      <c r="F120" s="149">
        <f>(SUM($D$118:F118)*$C$104/$C$106)+(SUM($D$118:F118)*$C$105/$C$107)</f>
        <v>1074016.3094837496</v>
      </c>
      <c r="G120" s="149">
        <f>(SUM($D$118:G118)*$C$104/$C$106)+(SUM($D$118:G118)*$C$105/$C$107)</f>
        <v>1432021.7459783328</v>
      </c>
      <c r="H120" s="149">
        <f>(SUM($D$118:H118)*$C$104/$C$106)+(SUM($D$118:H118)*$C$105/$C$107)</f>
        <v>1790027.1824729159</v>
      </c>
      <c r="I120" s="149">
        <f>(SUM($D$118:I118)*$C$104/$C$106)+(SUM($D$118:I118)*$C$105/$C$107)</f>
        <v>2148032.6189674996</v>
      </c>
      <c r="J120" s="149">
        <f>(SUM($D$118:J118)*$C$104/$C$106)+(SUM($D$118:J118)*$C$105/$C$107)</f>
        <v>2506038.0554620828</v>
      </c>
      <c r="K120" s="149">
        <f>(SUM($D$118:K118)*$C$104/$C$106)+(SUM($D$118:K118)*$C$105/$C$107)</f>
        <v>2864043.4919566661</v>
      </c>
      <c r="L120" s="149">
        <f>(SUM($D$118:L118)*$C$104/$C$106)+(SUM($D$118:L118)*$C$105/$C$107)</f>
        <v>3222048.9284512494</v>
      </c>
      <c r="M120" s="149">
        <f>(SUM($D$118:M118)*$C$104/$C$106)+(SUM($D$118:M118)*$C$105/$C$107)</f>
        <v>3580054.3649458331</v>
      </c>
      <c r="N120" s="149">
        <f>(SUM($D$118:N118)*$C$104/$C$106)+(SUM($D$118:N118)*$C$105/$C$107)</f>
        <v>3938059.8014404159</v>
      </c>
      <c r="O120" s="149">
        <f>(SUM($D$118:O118)*$C$104/$C$106)+(SUM($D$118:O118)*$C$105/$C$107)</f>
        <v>4296065.2379350001</v>
      </c>
      <c r="P120" s="149">
        <f>(SUM($D$118:P118)*$C$104/$C$106)+(SUM($D$118:P118)*$C$105/$C$107)</f>
        <v>4654070.6744295824</v>
      </c>
      <c r="Q120" s="149">
        <f>(SUM($D$118:Q118)*$C$104/$C$106)+(SUM($D$118:Q118)*$C$105/$C$107)</f>
        <v>5012076.1109241666</v>
      </c>
      <c r="R120" s="149">
        <f>(SUM($D$118:R118)*$C$104/$C$106)+(SUM($D$118:R118)*$C$105/$C$107)</f>
        <v>5370081.547418749</v>
      </c>
      <c r="S120" s="149">
        <f>(SUM($D$118:S118)*$C$104/$C$106)+(SUM($D$118:S118)*$C$105/$C$107)</f>
        <v>5728086.9839133341</v>
      </c>
      <c r="T120" s="149">
        <f>(SUM($D$118:T118)*$C$104/$C$106)+(SUM($D$118:T118)*$C$105/$C$107)</f>
        <v>6086092.4204079164</v>
      </c>
      <c r="U120" s="149">
        <f>(SUM($D$118:U118)*$C$104/$C$106)+(SUM($D$118:U118)*$C$105/$C$107)</f>
        <v>6444097.8569024988</v>
      </c>
      <c r="V120" s="149">
        <f>(SUM($D$118:V118)*$C$104/$C$106)+(SUM($D$118:V118)*$C$105/$C$107)</f>
        <v>6802103.293397082</v>
      </c>
      <c r="W120" s="149">
        <f>(SUM($D$118:W118)*$C$104/$C$106)+(SUM($D$118:W118)*$C$105/$C$107)</f>
        <v>7160108.7298916634</v>
      </c>
      <c r="X120" s="149">
        <f>(SUM($D$118:X118)*$C$104/$C$106)+(SUM($D$118:X118)*$C$105/$C$107)</f>
        <v>7518114.1663862467</v>
      </c>
      <c r="Y120" s="149">
        <f>(SUM($D$118:Y118)*$C$104/$C$106)+(SUM($D$118:Y118)*$C$105/$C$107)</f>
        <v>7876119.6028808299</v>
      </c>
      <c r="Z120" s="149">
        <f>(SUM($D$118:Z118)*$C$104/$C$106)+(SUM($D$118:Z118)*$C$105/$C$107)</f>
        <v>8234125.0393754123</v>
      </c>
      <c r="AA120" s="149">
        <f>(SUM($D$118:AA118)*$C$104/$C$106)+(SUM($D$118:AA118)*$C$105/$C$107)</f>
        <v>8592130.4758699946</v>
      </c>
      <c r="AB120" s="149">
        <f>(SUM($D$118:AB118)*$C$104/$C$106)+(SUM($D$118:AB118)*$C$105/$C$107)</f>
        <v>8950135.9123645779</v>
      </c>
      <c r="AC120" s="149">
        <f>(SUM($D$118:AC118)*$C$104/$C$106)+(SUM($D$118:AC118)*$C$105/$C$107)</f>
        <v>9308141.3488591611</v>
      </c>
      <c r="AD120" s="149">
        <f>(SUM($D$118:AD118)*$C$104/$C$106)+(SUM($D$118:AD118)*$C$105/$C$107)</f>
        <v>9666146.7853537425</v>
      </c>
      <c r="AE120" s="149">
        <f>(SUM($D$118:AE118)*$C$104/$C$106)+(SUM($D$118:AE118)*$C$105/$C$107)</f>
        <v>10024152.221848326</v>
      </c>
      <c r="AF120" s="149">
        <f>(SUM($D$118:AF118)*$C$104/$C$106)+(SUM($D$118:AF118)*$C$105/$C$107)</f>
        <v>10382157.658342907</v>
      </c>
      <c r="AG120" s="149">
        <f>(SUM($D$118:AG118)*$C$104/$C$106)+(SUM($D$118:AG118)*$C$105/$C$107)</f>
        <v>10740163.09483749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447506.79561822896</v>
      </c>
      <c r="E122" s="72">
        <f>(SUM($D$118:E118)*$C$109)</f>
        <v>895013.59123645793</v>
      </c>
      <c r="F122" s="72">
        <f>(SUM($D$118:F118)*$C$109)</f>
        <v>1342520.386854687</v>
      </c>
      <c r="G122" s="72">
        <f>(SUM($D$118:G118)*$C$109)</f>
        <v>1790027.1824729159</v>
      </c>
      <c r="H122" s="72">
        <f>(SUM($D$118:H118)*$C$109)</f>
        <v>2237533.9780911449</v>
      </c>
      <c r="I122" s="72">
        <f>(SUM($D$118:I118)*$C$109)</f>
        <v>2685040.7737093745</v>
      </c>
      <c r="J122" s="72">
        <f>(SUM($D$118:J118)*$C$109)</f>
        <v>3132547.5693276036</v>
      </c>
      <c r="K122" s="72">
        <f>(SUM($D$118:K118)*$C$109)</f>
        <v>3580054.3649458326</v>
      </c>
      <c r="L122" s="72">
        <f>(SUM($D$118:L118)*$C$109)</f>
        <v>4027561.1605640617</v>
      </c>
      <c r="M122" s="72">
        <f>(SUM($D$118:M118)*$C$109)</f>
        <v>4475067.9561822908</v>
      </c>
      <c r="N122" s="72">
        <f>(SUM($D$118:N118)*$C$109)</f>
        <v>4922574.7518005203</v>
      </c>
      <c r="O122" s="72">
        <f>(SUM($D$118:O118)*$C$109)</f>
        <v>5370081.5474187499</v>
      </c>
      <c r="P122" s="72">
        <f>(SUM($D$118:P118)*$C$109)</f>
        <v>5817588.3430369785</v>
      </c>
      <c r="Q122" s="72">
        <f>(SUM($D$118:Q118)*$C$109)</f>
        <v>6265095.1386552081</v>
      </c>
      <c r="R122" s="72">
        <f>(SUM($D$118:R118)*$C$109)</f>
        <v>6712601.9342734367</v>
      </c>
      <c r="S122" s="72">
        <f>(SUM($D$118:S118)*$C$109)</f>
        <v>7160108.7298916662</v>
      </c>
      <c r="T122" s="72">
        <f>(SUM($D$118:T118)*$C$109)</f>
        <v>7607615.5255098958</v>
      </c>
      <c r="U122" s="72">
        <f>(SUM($D$118:U118)*$C$109)</f>
        <v>8055122.3211281234</v>
      </c>
      <c r="V122" s="72">
        <f>(SUM($D$118:V118)*$C$109)</f>
        <v>8502629.1167463511</v>
      </c>
      <c r="W122" s="72">
        <f>(SUM($D$118:W118)*$C$109)</f>
        <v>8950135.9123645797</v>
      </c>
      <c r="X122" s="72">
        <f>(SUM($D$118:X118)*$C$109)</f>
        <v>9397642.7079828084</v>
      </c>
      <c r="Y122" s="72">
        <f>(SUM($D$118:Y118)*$C$109)</f>
        <v>9845149.503601037</v>
      </c>
      <c r="Z122" s="72">
        <f>(SUM($D$118:Z118)*$C$109)</f>
        <v>10292656.299219266</v>
      </c>
      <c r="AA122" s="72">
        <f>(SUM($D$118:AA118)*$C$109)</f>
        <v>10740163.094837494</v>
      </c>
      <c r="AB122" s="72">
        <f>(SUM($D$118:AB118)*$C$109)</f>
        <v>11187669.890455721</v>
      </c>
      <c r="AC122" s="72">
        <f>(SUM($D$118:AC118)*$C$109)</f>
        <v>11635176.68607395</v>
      </c>
      <c r="AD122" s="72">
        <f>(SUM($D$118:AD118)*$C$109)</f>
        <v>12082683.481692178</v>
      </c>
      <c r="AE122" s="72">
        <f>(SUM($D$118:AE118)*$C$109)</f>
        <v>12530190.277310407</v>
      </c>
      <c r="AF122" s="72">
        <f>(SUM($D$118:AF118)*$C$109)</f>
        <v>12977697.072928635</v>
      </c>
      <c r="AG122" s="72">
        <f>(SUM($D$118:AG118)*$C$109)</f>
        <v>13425203.868546864</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199</v>
      </c>
      <c r="C126" s="150">
        <v>7008</v>
      </c>
      <c r="D126" s="140"/>
    </row>
    <row r="127" spans="1:33" x14ac:dyDescent="0.35">
      <c r="A127" s="77" t="s">
        <v>151</v>
      </c>
      <c r="B127" s="77" t="s">
        <v>134</v>
      </c>
      <c r="C127" s="150">
        <v>6067.2</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6537.6</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2421.3333333333335</v>
      </c>
      <c r="D135" s="157">
        <f t="shared" ref="D135:AG135" si="14">$C$135*D13</f>
        <v>2421.3333333333335</v>
      </c>
      <c r="E135" s="157">
        <f t="shared" si="14"/>
        <v>2421.3333333333335</v>
      </c>
      <c r="F135" s="157">
        <f t="shared" si="14"/>
        <v>2421.3333333333335</v>
      </c>
      <c r="G135" s="157">
        <f t="shared" si="14"/>
        <v>2421.3333333333335</v>
      </c>
      <c r="H135" s="157">
        <f t="shared" si="14"/>
        <v>2421.3333333333335</v>
      </c>
      <c r="I135" s="157">
        <f t="shared" si="14"/>
        <v>2421.3333333333335</v>
      </c>
      <c r="J135" s="157">
        <f t="shared" si="14"/>
        <v>2421.3333333333335</v>
      </c>
      <c r="K135" s="157">
        <f t="shared" si="14"/>
        <v>2421.3333333333335</v>
      </c>
      <c r="L135" s="157">
        <f t="shared" si="14"/>
        <v>2421.3333333333335</v>
      </c>
      <c r="M135" s="157">
        <f t="shared" si="14"/>
        <v>2421.3333333333335</v>
      </c>
      <c r="N135" s="157">
        <f t="shared" si="14"/>
        <v>2421.3333333333335</v>
      </c>
      <c r="O135" s="157">
        <f t="shared" si="14"/>
        <v>2421.3333333333335</v>
      </c>
      <c r="P135" s="157">
        <f t="shared" si="14"/>
        <v>2421.3333333333335</v>
      </c>
      <c r="Q135" s="157">
        <f t="shared" si="14"/>
        <v>2421.3333333333335</v>
      </c>
      <c r="R135" s="157">
        <f t="shared" si="14"/>
        <v>2421.3333333333335</v>
      </c>
      <c r="S135" s="157">
        <f t="shared" si="14"/>
        <v>2421.3333333333335</v>
      </c>
      <c r="T135" s="157">
        <f t="shared" si="14"/>
        <v>2421.3333333333335</v>
      </c>
      <c r="U135" s="157">
        <f t="shared" si="14"/>
        <v>2421.3333333333335</v>
      </c>
      <c r="V135" s="157">
        <f t="shared" si="14"/>
        <v>2421.3333333333335</v>
      </c>
      <c r="W135" s="157">
        <f t="shared" si="14"/>
        <v>2421.3333333333335</v>
      </c>
      <c r="X135" s="157">
        <f t="shared" si="14"/>
        <v>2421.3333333333335</v>
      </c>
      <c r="Y135" s="157">
        <f t="shared" si="14"/>
        <v>2421.3333333333335</v>
      </c>
      <c r="Z135" s="157">
        <f t="shared" si="14"/>
        <v>2421.3333333333335</v>
      </c>
      <c r="AA135" s="157">
        <f t="shared" si="14"/>
        <v>2421.3333333333335</v>
      </c>
      <c r="AB135" s="157">
        <f t="shared" si="14"/>
        <v>2421.3333333333335</v>
      </c>
      <c r="AC135" s="157">
        <f t="shared" si="14"/>
        <v>2421.3333333333335</v>
      </c>
      <c r="AD135" s="157">
        <f t="shared" si="14"/>
        <v>2421.3333333333335</v>
      </c>
      <c r="AE135" s="157">
        <f t="shared" si="14"/>
        <v>2421.3333333333335</v>
      </c>
      <c r="AF135" s="157">
        <f t="shared" si="14"/>
        <v>2421.3333333333335</v>
      </c>
      <c r="AG135" s="157">
        <f t="shared" si="14"/>
        <v>2421.3333333333335</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0.7</v>
      </c>
      <c r="F4" s="65">
        <v>0.65</v>
      </c>
      <c r="G4" s="65">
        <v>0.55000000000000004</v>
      </c>
      <c r="H4" s="65">
        <v>0.25</v>
      </c>
      <c r="I4" s="65">
        <v>0.16</v>
      </c>
      <c r="J4" s="65">
        <v>0.12</v>
      </c>
      <c r="K4" s="65">
        <v>0.1</v>
      </c>
      <c r="L4" s="65">
        <v>0.1</v>
      </c>
      <c r="M4" s="65">
        <v>0.08</v>
      </c>
      <c r="N4" s="65">
        <v>0.06</v>
      </c>
      <c r="O4" s="65">
        <v>0.06</v>
      </c>
      <c r="P4" s="65">
        <v>0.06</v>
      </c>
      <c r="Q4" s="65">
        <v>0.06</v>
      </c>
      <c r="R4" s="65">
        <v>0.06</v>
      </c>
      <c r="S4" s="65">
        <v>0.06</v>
      </c>
      <c r="T4" s="65">
        <v>0.06</v>
      </c>
      <c r="U4" s="65">
        <v>0.06</v>
      </c>
      <c r="V4" s="65">
        <v>5.5E-2</v>
      </c>
      <c r="W4" s="65">
        <v>5.5E-2</v>
      </c>
      <c r="X4" s="65">
        <v>5.5E-2</v>
      </c>
      <c r="Y4" s="65">
        <v>5.5E-2</v>
      </c>
      <c r="Z4" s="65">
        <v>5.5E-2</v>
      </c>
      <c r="AA4" s="65">
        <v>5.5E-2</v>
      </c>
      <c r="AB4" s="65">
        <v>0.05</v>
      </c>
      <c r="AC4" s="65">
        <v>0.05</v>
      </c>
      <c r="AD4" s="65">
        <v>0.05</v>
      </c>
      <c r="AE4" s="65">
        <v>0.05</v>
      </c>
      <c r="AF4" s="65">
        <v>0.05</v>
      </c>
      <c r="AG4" s="65">
        <v>0.05</v>
      </c>
      <c r="AH4" s="65">
        <v>0.05</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2.5003027659137835</v>
      </c>
      <c r="C6" s="25"/>
      <c r="D6" s="25"/>
      <c r="E6" s="27">
        <f>'Debt worksheet'!C5/'Profit and Loss'!C5</f>
        <v>1.5333130514146638</v>
      </c>
      <c r="F6" s="28">
        <f ca="1">'Debt worksheet'!D5/'Profit and Loss'!D5</f>
        <v>2.4496183580726947</v>
      </c>
      <c r="G6" s="28">
        <f ca="1">'Debt worksheet'!E5/'Profit and Loss'!E5</f>
        <v>2.4370125065069037</v>
      </c>
      <c r="H6" s="28">
        <f ca="1">'Debt worksheet'!F5/'Profit and Loss'!F5</f>
        <v>2.4520822078213942</v>
      </c>
      <c r="I6" s="28">
        <f ca="1">'Debt worksheet'!G5/'Profit and Loss'!G5</f>
        <v>2.4619077850204376</v>
      </c>
      <c r="J6" s="28">
        <f ca="1">'Debt worksheet'!H5/'Profit and Loss'!H5</f>
        <v>2.4650648759072471</v>
      </c>
      <c r="K6" s="28">
        <f ca="1">'Debt worksheet'!I5/'Profit and Loss'!I5</f>
        <v>2.4602974956163588</v>
      </c>
      <c r="L6" s="28">
        <f ca="1">'Debt worksheet'!J5/'Profit and Loss'!J5</f>
        <v>2.4228584568794682</v>
      </c>
      <c r="M6" s="28">
        <f ca="1">'Debt worksheet'!K5/'Profit and Loss'!K5</f>
        <v>2.3978512824849476</v>
      </c>
      <c r="N6" s="28">
        <f ca="1">'Debt worksheet'!L5/'Profit and Loss'!L5</f>
        <v>2.402698050096165</v>
      </c>
      <c r="O6" s="28">
        <f ca="1">'Debt worksheet'!M5/'Profit and Loss'!M5</f>
        <v>2.4097521699161062</v>
      </c>
      <c r="P6" s="28">
        <f ca="1">'Debt worksheet'!N5/'Profit and Loss'!N5</f>
        <v>2.4178199892646393</v>
      </c>
      <c r="Q6" s="28">
        <f ca="1">'Debt worksheet'!O5/'Profit and Loss'!O5</f>
        <v>2.42580563379612</v>
      </c>
      <c r="R6" s="28">
        <f ca="1">'Debt worksheet'!P5/'Profit and Loss'!P5</f>
        <v>2.4327053709230957</v>
      </c>
      <c r="S6" s="28">
        <f ca="1">'Debt worksheet'!Q5/'Profit and Loss'!Q5</f>
        <v>2.4376022515607279</v>
      </c>
      <c r="T6" s="28">
        <f ca="1">'Debt worksheet'!R5/'Profit and Loss'!R5</f>
        <v>2.4396610175582847</v>
      </c>
      <c r="U6" s="28">
        <f ca="1">'Debt worksheet'!S5/'Profit and Loss'!S5</f>
        <v>2.4381232627291514</v>
      </c>
      <c r="V6" s="28">
        <f ca="1">'Debt worksheet'!T5/'Profit and Loss'!T5</f>
        <v>2.4438303375051085</v>
      </c>
      <c r="W6" s="28">
        <f ca="1">'Debt worksheet'!U5/'Profit and Loss'!U5</f>
        <v>2.4492444396720319</v>
      </c>
      <c r="X6" s="28">
        <f ca="1">'Debt worksheet'!V5/'Profit and Loss'!V5</f>
        <v>2.45367206468983</v>
      </c>
      <c r="Y6" s="28">
        <f ca="1">'Debt worksheet'!W5/'Profit and Loss'!W5</f>
        <v>2.4564705078519364</v>
      </c>
      <c r="Z6" s="28">
        <f ca="1">'Debt worksheet'!X5/'Profit and Loss'!X5</f>
        <v>2.4570453324183683</v>
      </c>
      <c r="AA6" s="28">
        <f ca="1">'Debt worksheet'!Y5/'Profit and Loss'!Y5</f>
        <v>2.4548479454789769</v>
      </c>
      <c r="AB6" s="28">
        <f ca="1">'Debt worksheet'!Z5/'Profit and Loss'!Z5</f>
        <v>2.4610369595966763</v>
      </c>
      <c r="AC6" s="28">
        <f ca="1">'Debt worksheet'!AA5/'Profit and Loss'!AA5</f>
        <v>2.4681521230408832</v>
      </c>
      <c r="AD6" s="28">
        <f ca="1">'Debt worksheet'!AB5/'Profit and Loss'!AB5</f>
        <v>2.4756696104098492</v>
      </c>
      <c r="AE6" s="28">
        <f ca="1">'Debt worksheet'!AC5/'Profit and Loss'!AC5</f>
        <v>2.4830953503650584</v>
      </c>
      <c r="AF6" s="28">
        <f ca="1">'Debt worksheet'!AD5/'Profit and Loss'!AD5</f>
        <v>2.4899638250931884</v>
      </c>
      <c r="AG6" s="28">
        <f ca="1">'Debt worksheet'!AE5/'Profit and Loss'!AE5</f>
        <v>2.4958369119515695</v>
      </c>
      <c r="AH6" s="28">
        <f ca="1">'Debt worksheet'!AF5/'Profit and Loss'!AF5</f>
        <v>2.5003027659137835</v>
      </c>
      <c r="AI6" s="31"/>
    </row>
    <row r="7" spans="1:35" ht="21" x14ac:dyDescent="0.5">
      <c r="A7" s="19" t="s">
        <v>39</v>
      </c>
      <c r="B7" s="26">
        <f ca="1">MIN('Price and Financial ratios'!E7:AH7)</f>
        <v>0.23054831329984518</v>
      </c>
      <c r="C7" s="26"/>
      <c r="D7" s="26"/>
      <c r="E7" s="56">
        <f ca="1">'Cash Flow'!C7/'Debt worksheet'!C5</f>
        <v>0.29422189658562359</v>
      </c>
      <c r="F7" s="32">
        <f ca="1">'Cash Flow'!D7/'Debt worksheet'!D5</f>
        <v>0.23054831329984518</v>
      </c>
      <c r="G7" s="32">
        <f ca="1">'Cash Flow'!E7/'Debt worksheet'!E5</f>
        <v>0.27061265080164604</v>
      </c>
      <c r="H7" s="32">
        <f ca="1">'Cash Flow'!F7/'Debt worksheet'!F5</f>
        <v>0.27814087462552611</v>
      </c>
      <c r="I7" s="32">
        <f ca="1">'Cash Flow'!G7/'Debt worksheet'!G5</f>
        <v>0.27913565966857296</v>
      </c>
      <c r="J7" s="32">
        <f ca="1">'Cash Flow'!H7/'Debt worksheet'!H5</f>
        <v>0.27831250310618494</v>
      </c>
      <c r="K7" s="32">
        <f ca="1">'Cash Flow'!I7/'Debt worksheet'!I5</f>
        <v>0.27745880195618183</v>
      </c>
      <c r="L7" s="32">
        <f ca="1">'Cash Flow'!J7/'Debt worksheet'!J5</f>
        <v>0.28156683970715407</v>
      </c>
      <c r="M7" s="17">
        <f ca="1">'Cash Flow'!K7/'Debt worksheet'!K5</f>
        <v>0.28273129405724451</v>
      </c>
      <c r="N7" s="17">
        <f ca="1">'Cash Flow'!L7/'Debt worksheet'!L5</f>
        <v>0.27832531933719301</v>
      </c>
      <c r="O7" s="17">
        <f ca="1">'Cash Flow'!M7/'Debt worksheet'!M5</f>
        <v>0.27406118135315699</v>
      </c>
      <c r="P7" s="17">
        <f ca="1">'Cash Flow'!N7/'Debt worksheet'!N5</f>
        <v>0.27007624440143008</v>
      </c>
      <c r="Q7" s="17">
        <f ca="1">'Cash Flow'!O7/'Debt worksheet'!O5</f>
        <v>0.26648648166386674</v>
      </c>
      <c r="R7" s="17">
        <f ca="1">'Cash Flow'!P7/'Debt worksheet'!P5</f>
        <v>0.26338949508372322</v>
      </c>
      <c r="S7" s="17">
        <f ca="1">'Cash Flow'!Q7/'Debt worksheet'!Q5</f>
        <v>0.26086810078211448</v>
      </c>
      <c r="T7" s="17">
        <f ca="1">'Cash Flow'!R7/'Debt worksheet'!R5</f>
        <v>0.25899414426405182</v>
      </c>
      <c r="U7" s="17">
        <f ca="1">'Cash Flow'!S7/'Debt worksheet'!S5</f>
        <v>0.25783234574321184</v>
      </c>
      <c r="V7" s="17">
        <f ca="1">'Cash Flow'!T7/'Debt worksheet'!T5</f>
        <v>0.25543444530889109</v>
      </c>
      <c r="W7" s="17">
        <f ca="1">'Cash Flow'!U7/'Debt worksheet'!U5</f>
        <v>0.25331215439363214</v>
      </c>
      <c r="X7" s="17">
        <f ca="1">'Cash Flow'!V7/'Debt worksheet'!V5</f>
        <v>0.25153161050074668</v>
      </c>
      <c r="Y7" s="17">
        <f ca="1">'Cash Flow'!W7/'Debt worksheet'!W5</f>
        <v>0.25015171686485249</v>
      </c>
      <c r="Z7" s="17">
        <f ca="1">'Cash Flow'!X7/'Debt worksheet'!X5</f>
        <v>0.2492259320230811</v>
      </c>
      <c r="AA7" s="17">
        <f ca="1">'Cash Flow'!Y7/'Debt worksheet'!Y5</f>
        <v>0.24880413861343326</v>
      </c>
      <c r="AB7" s="17">
        <f ca="1">'Cash Flow'!Z7/'Debt worksheet'!Z5</f>
        <v>0.24692945985391637</v>
      </c>
      <c r="AC7" s="17">
        <f ca="1">'Cash Flow'!AA7/'Debt worksheet'!AA5</f>
        <v>0.24511309137136841</v>
      </c>
      <c r="AD7" s="17">
        <f ca="1">'Cash Flow'!AB7/'Debt worksheet'!AB5</f>
        <v>0.24340839390075239</v>
      </c>
      <c r="AE7" s="17">
        <f ca="1">'Cash Flow'!AC7/'Debt worksheet'!AC5</f>
        <v>0.24186347527026383</v>
      </c>
      <c r="AF7" s="17">
        <f ca="1">'Cash Flow'!AD7/'Debt worksheet'!AD5</f>
        <v>0.24052172650872858</v>
      </c>
      <c r="AG7" s="17">
        <f ca="1">'Cash Flow'!AE7/'Debt worksheet'!AE5</f>
        <v>0.23942248697923746</v>
      </c>
      <c r="AH7" s="17">
        <f ca="1">'Cash Flow'!AF7/'Debt worksheet'!AF5</f>
        <v>0.23860179425932043</v>
      </c>
      <c r="AI7" s="29"/>
    </row>
    <row r="8" spans="1:35" ht="21" x14ac:dyDescent="0.5">
      <c r="A8" s="19" t="s">
        <v>34</v>
      </c>
      <c r="B8" s="26">
        <f ca="1">MAX('Price and Financial ratios'!E8:AH8)</f>
        <v>0.85511165588577642</v>
      </c>
      <c r="C8" s="26"/>
      <c r="D8" s="176"/>
      <c r="E8" s="17">
        <f>'Balance Sheet'!B11/'Balance Sheet'!B8</f>
        <v>0.33661182236473219</v>
      </c>
      <c r="F8" s="17">
        <f ca="1">'Balance Sheet'!C11/'Balance Sheet'!C8</f>
        <v>0.85511165588577642</v>
      </c>
      <c r="G8" s="17">
        <f ca="1">'Balance Sheet'!D11/'Balance Sheet'!D8</f>
        <v>0.83208259452999911</v>
      </c>
      <c r="H8" s="17">
        <f ca="1">'Balance Sheet'!E11/'Balance Sheet'!E8</f>
        <v>0.75809914681843138</v>
      </c>
      <c r="I8" s="17">
        <f ca="1">'Balance Sheet'!F11/'Balance Sheet'!F8</f>
        <v>0.68752173230219682</v>
      </c>
      <c r="J8" s="17">
        <f ca="1">'Balance Sheet'!G11/'Balance Sheet'!G8</f>
        <v>0.62775283235086032</v>
      </c>
      <c r="K8" s="17">
        <f ca="1">'Balance Sheet'!H11/'Balance Sheet'!H8</f>
        <v>0.57837564207533132</v>
      </c>
      <c r="L8" s="17">
        <f ca="1">'Balance Sheet'!I11/'Balance Sheet'!I8</f>
        <v>0.53742353969731516</v>
      </c>
      <c r="M8" s="17">
        <f ca="1">'Balance Sheet'!J11/'Balance Sheet'!J8</f>
        <v>0.50095673273359487</v>
      </c>
      <c r="N8" s="17">
        <f ca="1">'Balance Sheet'!K11/'Balance Sheet'!K8</f>
        <v>0.47008782863786724</v>
      </c>
      <c r="O8" s="17">
        <f ca="1">'Balance Sheet'!L11/'Balance Sheet'!L8</f>
        <v>0.44614913681305723</v>
      </c>
      <c r="P8" s="17">
        <f ca="1">'Balance Sheet'!M11/'Balance Sheet'!M8</f>
        <v>0.4272437027258546</v>
      </c>
      <c r="Q8" s="17">
        <f ca="1">'Balance Sheet'!N11/'Balance Sheet'!N8</f>
        <v>0.41205607474237721</v>
      </c>
      <c r="R8" s="17">
        <f ca="1">'Balance Sheet'!O11/'Balance Sheet'!O8</f>
        <v>0.39964084826260698</v>
      </c>
      <c r="S8" s="17">
        <f ca="1">'Balance Sheet'!P11/'Balance Sheet'!P8</f>
        <v>0.38929700630321235</v>
      </c>
      <c r="T8" s="17">
        <f ca="1">'Balance Sheet'!Q11/'Balance Sheet'!Q8</f>
        <v>0.38049000848153774</v>
      </c>
      <c r="U8" s="17">
        <f ca="1">'Balance Sheet'!R11/'Balance Sheet'!R8</f>
        <v>0.37280171482266433</v>
      </c>
      <c r="V8" s="17">
        <f ca="1">'Balance Sheet'!S11/'Balance Sheet'!S8</f>
        <v>0.36589718835007645</v>
      </c>
      <c r="W8" s="17">
        <f ca="1">'Balance Sheet'!T11/'Balance Sheet'!T8</f>
        <v>0.36018668063176057</v>
      </c>
      <c r="X8" s="17">
        <f ca="1">'Balance Sheet'!U11/'Balance Sheet'!U8</f>
        <v>0.35540095571941444</v>
      </c>
      <c r="Y8" s="17">
        <f ca="1">'Balance Sheet'!V11/'Balance Sheet'!V8</f>
        <v>0.35131581842950682</v>
      </c>
      <c r="Z8" s="17">
        <f ca="1">'Balance Sheet'!W11/'Balance Sheet'!W8</f>
        <v>0.34774151445621343</v>
      </c>
      <c r="AA8" s="17">
        <f ca="1">'Balance Sheet'!X11/'Balance Sheet'!X8</f>
        <v>0.34451491508632964</v>
      </c>
      <c r="AB8" s="17">
        <f ca="1">'Balance Sheet'!Y11/'Balance Sheet'!Y8</f>
        <v>0.34149366685329857</v>
      </c>
      <c r="AC8" s="17">
        <f ca="1">'Balance Sheet'!Z11/'Balance Sheet'!Z8</f>
        <v>0.33919762081548865</v>
      </c>
      <c r="AD8" s="17">
        <f ca="1">'Balance Sheet'!AA11/'Balance Sheet'!AA8</f>
        <v>0.33749275956683433</v>
      </c>
      <c r="AE8" s="17">
        <f ca="1">'Balance Sheet'!AB11/'Balance Sheet'!AB8</f>
        <v>0.33626126185464639</v>
      </c>
      <c r="AF8" s="17">
        <f ca="1">'Balance Sheet'!AC11/'Balance Sheet'!AC8</f>
        <v>0.33539845807921681</v>
      </c>
      <c r="AG8" s="17">
        <f ca="1">'Balance Sheet'!AD11/'Balance Sheet'!AD8</f>
        <v>0.3348104179262722</v>
      </c>
      <c r="AH8" s="17">
        <f ca="1">'Balance Sheet'!AE11/'Balance Sheet'!AE8</f>
        <v>0.33441202153719352</v>
      </c>
      <c r="AI8" s="29"/>
    </row>
    <row r="9" spans="1:35" ht="21.5" thickBot="1" x14ac:dyDescent="0.55000000000000004">
      <c r="A9" s="20" t="s">
        <v>33</v>
      </c>
      <c r="B9" s="21">
        <f ca="1">MIN('Price and Financial ratios'!E9:AH9)</f>
        <v>4.1890065142179767</v>
      </c>
      <c r="C9" s="21"/>
      <c r="D9" s="177"/>
      <c r="E9" s="21">
        <f ca="1">('Cash Flow'!C7+'Profit and Loss'!C8)/('Profit and Loss'!C8)</f>
        <v>4.1890065142179767</v>
      </c>
      <c r="F9" s="21">
        <f ca="1">('Cash Flow'!D7+'Profit and Loss'!D8)/('Profit and Loss'!D8)</f>
        <v>5.271720971529902</v>
      </c>
      <c r="G9" s="21">
        <f ca="1">('Cash Flow'!E7+'Profit and Loss'!E8)/('Profit and Loss'!E8)</f>
        <v>7.1474183609019422</v>
      </c>
      <c r="H9" s="21">
        <f ca="1">('Cash Flow'!F7+'Profit and Loss'!F8)/('Profit and Loss'!F8)</f>
        <v>7.8234187865100857</v>
      </c>
      <c r="I9" s="21">
        <f ca="1">('Cash Flow'!G7+'Profit and Loss'!G8)/('Profit and Loss'!G8)</f>
        <v>8.1116877885161589</v>
      </c>
      <c r="J9" s="21">
        <f ca="1">('Cash Flow'!H7+'Profit and Loss'!H8)/('Profit and Loss'!H8)</f>
        <v>8.2429037983939235</v>
      </c>
      <c r="K9" s="21">
        <f ca="1">('Cash Flow'!I7+'Profit and Loss'!I8)/('Profit and Loss'!I8)</f>
        <v>8.3180834623573645</v>
      </c>
      <c r="L9" s="21">
        <f ca="1">('Cash Flow'!J7+'Profit and Loss'!J8)/('Profit and Loss'!J8)</f>
        <v>8.5265422837467622</v>
      </c>
      <c r="M9" s="21">
        <f ca="1">('Cash Flow'!K7+'Profit and Loss'!K8)/('Profit and Loss'!K8)</f>
        <v>8.6054167973937741</v>
      </c>
      <c r="N9" s="21">
        <f ca="1">('Cash Flow'!L7+'Profit and Loss'!L8)/('Profit and Loss'!L8)</f>
        <v>8.48006931509663</v>
      </c>
      <c r="O9" s="21">
        <f ca="1">('Cash Flow'!M7+'Profit and Loss'!M8)/('Profit and Loss'!M8)</f>
        <v>8.3624444673932814</v>
      </c>
      <c r="P9" s="21">
        <f ca="1">('Cash Flow'!N7+'Profit and Loss'!N8)/('Profit and Loss'!N8)</f>
        <v>8.255718743561653</v>
      </c>
      <c r="Q9" s="21">
        <f ca="1">('Cash Flow'!O7+'Profit and Loss'!O8)/('Profit and Loss'!O8)</f>
        <v>8.1625515351069069</v>
      </c>
      <c r="R9" s="21">
        <f ca="1">('Cash Flow'!P7+'Profit and Loss'!P8)/('Profit and Loss'!P8)</f>
        <v>8.0851852810992657</v>
      </c>
      <c r="S9" s="21">
        <f ca="1">('Cash Flow'!Q7+'Profit and Loss'!Q8)/('Profit and Loss'!Q8)</f>
        <v>8.0255515101974115</v>
      </c>
      <c r="T9" s="21">
        <f ca="1">('Cash Flow'!R7+'Profit and Loss'!R8)/('Profit and Loss'!R8)</f>
        <v>7.9853772266687875</v>
      </c>
      <c r="U9" s="21">
        <f ca="1">('Cash Flow'!S7+'Profit and Loss'!S8)/('Profit and Loss'!S8)</f>
        <v>7.9662892376300265</v>
      </c>
      <c r="V9" s="21">
        <f ca="1">('Cash Flow'!T7+'Profit and Loss'!T8)/('Profit and Loss'!T8)</f>
        <v>7.9023643204095126</v>
      </c>
      <c r="W9" s="21">
        <f ca="1">('Cash Flow'!U7+'Profit and Loss'!U8)/('Profit and Loss'!U8)</f>
        <v>7.8478010918952377</v>
      </c>
      <c r="X9" s="21">
        <f ca="1">('Cash Flow'!V7+'Profit and Loss'!V8)/('Profit and Loss'!V8)</f>
        <v>7.8041993884237737</v>
      </c>
      <c r="Y9" s="21">
        <f ca="1">('Cash Flow'!W7+'Profit and Loss'!W8)/('Profit and Loss'!W8)</f>
        <v>7.7730045766216085</v>
      </c>
      <c r="Z9" s="21">
        <f ca="1">('Cash Flow'!X7+'Profit and Loss'!X8)/('Profit and Loss'!X8)</f>
        <v>7.755559092464436</v>
      </c>
      <c r="AA9" s="21">
        <f ca="1">('Cash Flow'!Y7+'Profit and Loss'!Y8)/('Profit and Loss'!Y8)</f>
        <v>7.7531549967418858</v>
      </c>
      <c r="AB9" s="21">
        <f ca="1">('Cash Flow'!Z7+'Profit and Loss'!Z8)/('Profit and Loss'!Z8)</f>
        <v>7.6997990247031067</v>
      </c>
      <c r="AC9" s="21">
        <f ca="1">('Cash Flow'!AA7+'Profit and Loss'!AA8)/('Profit and Loss'!AA8)</f>
        <v>7.6494909911644564</v>
      </c>
      <c r="AD9" s="21">
        <f ca="1">('Cash Flow'!AB7+'Profit and Loss'!AB8)/('Profit and Loss'!AB8)</f>
        <v>7.6035503905655304</v>
      </c>
      <c r="AE9" s="21">
        <f ca="1">('Cash Flow'!AC7+'Profit and Loss'!AC8)/('Profit and Loss'!AC8)</f>
        <v>7.5631647255201431</v>
      </c>
      <c r="AF9" s="21">
        <f ca="1">('Cash Flow'!AD7+'Profit and Loss'!AD8)/('Profit and Loss'!AD8)</f>
        <v>7.5294079459855929</v>
      </c>
      <c r="AG9" s="21">
        <f ca="1">('Cash Flow'!AE7+'Profit and Loss'!AE8)/('Profit and Loss'!AE8)</f>
        <v>7.5032611816092754</v>
      </c>
      <c r="AH9" s="21">
        <f ca="1">('Cash Flow'!AF7+'Profit and Loss'!AF8)/('Profit and Loss'!AF8)</f>
        <v>7.4856348863989393</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750741.11268305371</v>
      </c>
      <c r="D5" s="1">
        <f>Assumptions!E111</f>
        <v>750741.11268305371</v>
      </c>
      <c r="E5" s="1">
        <f>Assumptions!F111</f>
        <v>750741.11268305371</v>
      </c>
      <c r="F5" s="1">
        <f>Assumptions!G111</f>
        <v>750741.11268305371</v>
      </c>
      <c r="G5" s="1">
        <f>Assumptions!H111</f>
        <v>750741.11268305371</v>
      </c>
      <c r="H5" s="1">
        <f>Assumptions!I111</f>
        <v>750741.11268305371</v>
      </c>
      <c r="I5" s="1">
        <f>Assumptions!J111</f>
        <v>750741.11268305371</v>
      </c>
      <c r="J5" s="1">
        <f>Assumptions!K111</f>
        <v>750741.11268305371</v>
      </c>
      <c r="K5" s="1">
        <f>Assumptions!L111</f>
        <v>750741.11268305371</v>
      </c>
      <c r="L5" s="1">
        <f>Assumptions!M111</f>
        <v>750741.11268305371</v>
      </c>
      <c r="M5" s="1">
        <f>Assumptions!N111</f>
        <v>750741.11268305371</v>
      </c>
      <c r="N5" s="1">
        <f>Assumptions!O111</f>
        <v>750741.11268305371</v>
      </c>
      <c r="O5" s="1">
        <f>Assumptions!P111</f>
        <v>750741.11268305371</v>
      </c>
      <c r="P5" s="1">
        <f>Assumptions!Q111</f>
        <v>750741.11268305371</v>
      </c>
      <c r="Q5" s="1">
        <f>Assumptions!R111</f>
        <v>750741.11268305371</v>
      </c>
      <c r="R5" s="1">
        <f>Assumptions!S111</f>
        <v>750741.11268305371</v>
      </c>
      <c r="S5" s="1">
        <f>Assumptions!T111</f>
        <v>750741.11268305371</v>
      </c>
      <c r="T5" s="1">
        <f>Assumptions!U111</f>
        <v>750741.11268305371</v>
      </c>
      <c r="U5" s="1">
        <f>Assumptions!V111</f>
        <v>750741.11268305371</v>
      </c>
      <c r="V5" s="1">
        <f>Assumptions!W111</f>
        <v>750741.11268305371</v>
      </c>
      <c r="W5" s="1">
        <f>Assumptions!X111</f>
        <v>750741.11268305371</v>
      </c>
      <c r="X5" s="1">
        <f>Assumptions!Y111</f>
        <v>750741.11268305371</v>
      </c>
      <c r="Y5" s="1">
        <f>Assumptions!Z111</f>
        <v>750741.11268305371</v>
      </c>
      <c r="Z5" s="1">
        <f>Assumptions!AA111</f>
        <v>750741.11268305371</v>
      </c>
      <c r="AA5" s="1">
        <f>Assumptions!AB111</f>
        <v>750741.11268305371</v>
      </c>
      <c r="AB5" s="1">
        <f>Assumptions!AC111</f>
        <v>750741.11268305371</v>
      </c>
      <c r="AC5" s="1">
        <f>Assumptions!AD111</f>
        <v>750741.11268305371</v>
      </c>
      <c r="AD5" s="1">
        <f>Assumptions!AE111</f>
        <v>750741.11268305371</v>
      </c>
      <c r="AE5" s="1">
        <f>Assumptions!AF111</f>
        <v>750741.11268305371</v>
      </c>
      <c r="AF5" s="1">
        <f>Assumptions!AG111</f>
        <v>750741.11268305371</v>
      </c>
    </row>
    <row r="6" spans="1:32" x14ac:dyDescent="0.35">
      <c r="A6" t="s">
        <v>69</v>
      </c>
      <c r="C6" s="1">
        <f>Assumptions!D113</f>
        <v>14916893.1872743</v>
      </c>
      <c r="D6" s="1">
        <f>Assumptions!E113</f>
        <v>14916893.1872743</v>
      </c>
      <c r="E6" s="1">
        <f>Assumptions!F113</f>
        <v>14916893.1872743</v>
      </c>
      <c r="F6" s="1">
        <f>Assumptions!G113</f>
        <v>14916893.1872743</v>
      </c>
      <c r="G6" s="1">
        <f>Assumptions!H113</f>
        <v>14916893.1872743</v>
      </c>
      <c r="H6" s="1">
        <f>Assumptions!I113</f>
        <v>14916893.1872743</v>
      </c>
      <c r="I6" s="1">
        <f>Assumptions!J113</f>
        <v>14916893.1872743</v>
      </c>
      <c r="J6" s="1">
        <f>Assumptions!K113</f>
        <v>14916893.1872743</v>
      </c>
      <c r="K6" s="1">
        <f>Assumptions!L113</f>
        <v>14916893.1872743</v>
      </c>
      <c r="L6" s="1">
        <f>Assumptions!M113</f>
        <v>14916893.1872743</v>
      </c>
      <c r="M6" s="1">
        <f>Assumptions!N113</f>
        <v>14916893.1872743</v>
      </c>
      <c r="N6" s="1">
        <f>Assumptions!O113</f>
        <v>14916893.1872743</v>
      </c>
      <c r="O6" s="1">
        <f>Assumptions!P113</f>
        <v>14916893.1872743</v>
      </c>
      <c r="P6" s="1">
        <f>Assumptions!Q113</f>
        <v>14916893.1872743</v>
      </c>
      <c r="Q6" s="1">
        <f>Assumptions!R113</f>
        <v>14916893.1872743</v>
      </c>
      <c r="R6" s="1">
        <f>Assumptions!S113</f>
        <v>14916893.1872743</v>
      </c>
      <c r="S6" s="1">
        <f>Assumptions!T113</f>
        <v>14916893.1872743</v>
      </c>
      <c r="T6" s="1">
        <f>Assumptions!U113</f>
        <v>14916893.1872743</v>
      </c>
      <c r="U6" s="1">
        <f>Assumptions!V113</f>
        <v>14916893.1872743</v>
      </c>
      <c r="V6" s="1">
        <f>Assumptions!W113</f>
        <v>14916893.1872743</v>
      </c>
      <c r="W6" s="1">
        <f>Assumptions!X113</f>
        <v>14916893.1872743</v>
      </c>
      <c r="X6" s="1">
        <f>Assumptions!Y113</f>
        <v>14916893.1872743</v>
      </c>
      <c r="Y6" s="1">
        <f>Assumptions!Z113</f>
        <v>14916893.1872743</v>
      </c>
      <c r="Z6" s="1">
        <f>Assumptions!AA113</f>
        <v>14916893.1872743</v>
      </c>
      <c r="AA6" s="1">
        <f>Assumptions!AB113</f>
        <v>14916893.1872743</v>
      </c>
      <c r="AB6" s="1">
        <f>Assumptions!AC113</f>
        <v>14916893.1872743</v>
      </c>
      <c r="AC6" s="1">
        <f>Assumptions!AD113</f>
        <v>14916893.1872743</v>
      </c>
      <c r="AD6" s="1">
        <f>Assumptions!AE113</f>
        <v>14916893.1872743</v>
      </c>
      <c r="AE6" s="1">
        <f>Assumptions!AF113</f>
        <v>14916893.1872743</v>
      </c>
      <c r="AF6" s="1">
        <f>Assumptions!AG113</f>
        <v>14916893.1872743</v>
      </c>
    </row>
    <row r="7" spans="1:32" x14ac:dyDescent="0.35">
      <c r="A7" t="s">
        <v>74</v>
      </c>
      <c r="C7" s="1">
        <f>Assumptions!D120</f>
        <v>358005.43649458321</v>
      </c>
      <c r="D7" s="1">
        <f>Assumptions!E120</f>
        <v>716010.87298916641</v>
      </c>
      <c r="E7" s="1">
        <f>Assumptions!F120</f>
        <v>1074016.3094837496</v>
      </c>
      <c r="F7" s="1">
        <f>Assumptions!G120</f>
        <v>1432021.7459783328</v>
      </c>
      <c r="G7" s="1">
        <f>Assumptions!H120</f>
        <v>1790027.1824729159</v>
      </c>
      <c r="H7" s="1">
        <f>Assumptions!I120</f>
        <v>2148032.6189674996</v>
      </c>
      <c r="I7" s="1">
        <f>Assumptions!J120</f>
        <v>2506038.0554620828</v>
      </c>
      <c r="J7" s="1">
        <f>Assumptions!K120</f>
        <v>2864043.4919566661</v>
      </c>
      <c r="K7" s="1">
        <f>Assumptions!L120</f>
        <v>3222048.9284512494</v>
      </c>
      <c r="L7" s="1">
        <f>Assumptions!M120</f>
        <v>3580054.3649458331</v>
      </c>
      <c r="M7" s="1">
        <f>Assumptions!N120</f>
        <v>3938059.8014404159</v>
      </c>
      <c r="N7" s="1">
        <f>Assumptions!O120</f>
        <v>4296065.2379350001</v>
      </c>
      <c r="O7" s="1">
        <f>Assumptions!P120</f>
        <v>4654070.6744295824</v>
      </c>
      <c r="P7" s="1">
        <f>Assumptions!Q120</f>
        <v>5012076.1109241666</v>
      </c>
      <c r="Q7" s="1">
        <f>Assumptions!R120</f>
        <v>5370081.547418749</v>
      </c>
      <c r="R7" s="1">
        <f>Assumptions!S120</f>
        <v>5728086.9839133341</v>
      </c>
      <c r="S7" s="1">
        <f>Assumptions!T120</f>
        <v>6086092.4204079164</v>
      </c>
      <c r="T7" s="1">
        <f>Assumptions!U120</f>
        <v>6444097.8569024988</v>
      </c>
      <c r="U7" s="1">
        <f>Assumptions!V120</f>
        <v>6802103.293397082</v>
      </c>
      <c r="V7" s="1">
        <f>Assumptions!W120</f>
        <v>7160108.7298916634</v>
      </c>
      <c r="W7" s="1">
        <f>Assumptions!X120</f>
        <v>7518114.1663862467</v>
      </c>
      <c r="X7" s="1">
        <f>Assumptions!Y120</f>
        <v>7876119.6028808299</v>
      </c>
      <c r="Y7" s="1">
        <f>Assumptions!Z120</f>
        <v>8234125.0393754123</v>
      </c>
      <c r="Z7" s="1">
        <f>Assumptions!AA120</f>
        <v>8592130.4758699946</v>
      </c>
      <c r="AA7" s="1">
        <f>Assumptions!AB120</f>
        <v>8950135.9123645779</v>
      </c>
      <c r="AB7" s="1">
        <f>Assumptions!AC120</f>
        <v>9308141.3488591611</v>
      </c>
      <c r="AC7" s="1">
        <f>Assumptions!AD120</f>
        <v>9666146.7853537425</v>
      </c>
      <c r="AD7" s="1">
        <f>Assumptions!AE120</f>
        <v>10024152.221848326</v>
      </c>
      <c r="AE7" s="1">
        <f>Assumptions!AF120</f>
        <v>10382157.658342907</v>
      </c>
      <c r="AF7" s="1">
        <f>Assumptions!AG120</f>
        <v>10740163.09483749</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774764.82828891149</v>
      </c>
      <c r="D11" s="1">
        <f>D5*D$9</f>
        <v>799557.3027941566</v>
      </c>
      <c r="E11" s="1">
        <f t="shared" ref="D11:AF13" si="1">E5*E$9</f>
        <v>825143.13648356951</v>
      </c>
      <c r="F11" s="1">
        <f t="shared" si="1"/>
        <v>851547.71685104375</v>
      </c>
      <c r="G11" s="1">
        <f t="shared" si="1"/>
        <v>878797.24379027728</v>
      </c>
      <c r="H11" s="1">
        <f t="shared" si="1"/>
        <v>906918.75559156598</v>
      </c>
      <c r="I11" s="1">
        <f t="shared" si="1"/>
        <v>935940.155770496</v>
      </c>
      <c r="J11" s="1">
        <f t="shared" si="1"/>
        <v>965890.24075515207</v>
      </c>
      <c r="K11" s="1">
        <f t="shared" si="1"/>
        <v>996798.728459317</v>
      </c>
      <c r="L11" s="1">
        <f t="shared" si="1"/>
        <v>1028696.287770015</v>
      </c>
      <c r="M11" s="1">
        <f t="shared" si="1"/>
        <v>1061614.5689786554</v>
      </c>
      <c r="N11" s="1">
        <f t="shared" si="1"/>
        <v>1095586.2351859724</v>
      </c>
      <c r="O11" s="1">
        <f t="shared" si="1"/>
        <v>1130644.9947119236</v>
      </c>
      <c r="P11" s="1">
        <f t="shared" si="1"/>
        <v>1166825.634542705</v>
      </c>
      <c r="Q11" s="1">
        <f t="shared" si="1"/>
        <v>1204164.0548480714</v>
      </c>
      <c r="R11" s="1">
        <f t="shared" si="1"/>
        <v>1242697.30460321</v>
      </c>
      <c r="S11" s="1">
        <f t="shared" si="1"/>
        <v>1282463.6183505128</v>
      </c>
      <c r="T11" s="1">
        <f t="shared" si="1"/>
        <v>1323502.454137729</v>
      </c>
      <c r="U11" s="1">
        <f t="shared" si="1"/>
        <v>1365854.5326701363</v>
      </c>
      <c r="V11" s="1">
        <f t="shared" si="1"/>
        <v>1409561.8777155806</v>
      </c>
      <c r="W11" s="1">
        <f t="shared" si="1"/>
        <v>1454667.8578024795</v>
      </c>
      <c r="X11" s="1">
        <f t="shared" si="1"/>
        <v>1501217.2292521587</v>
      </c>
      <c r="Y11" s="1">
        <f t="shared" si="1"/>
        <v>1549256.1805882275</v>
      </c>
      <c r="Z11" s="1">
        <f t="shared" si="1"/>
        <v>1598832.3783670508</v>
      </c>
      <c r="AA11" s="1">
        <f t="shared" si="1"/>
        <v>1649995.0144747968</v>
      </c>
      <c r="AB11" s="1">
        <f t="shared" si="1"/>
        <v>1702794.85493799</v>
      </c>
      <c r="AC11" s="1">
        <f t="shared" si="1"/>
        <v>1757284.2902960056</v>
      </c>
      <c r="AD11" s="1">
        <f t="shared" si="1"/>
        <v>1813517.3875854779</v>
      </c>
      <c r="AE11" s="1">
        <f t="shared" si="1"/>
        <v>1871549.9439882133</v>
      </c>
      <c r="AF11" s="1">
        <f t="shared" si="1"/>
        <v>1931439.5421958358</v>
      </c>
    </row>
    <row r="12" spans="1:32" x14ac:dyDescent="0.35">
      <c r="A12" t="s">
        <v>72</v>
      </c>
      <c r="C12" s="1">
        <f t="shared" ref="C12:R12" si="2">C6*C$9</f>
        <v>15394233.769267078</v>
      </c>
      <c r="D12" s="1">
        <f t="shared" si="2"/>
        <v>15886849.249883624</v>
      </c>
      <c r="E12" s="1">
        <f t="shared" si="2"/>
        <v>16395228.425879898</v>
      </c>
      <c r="F12" s="1">
        <f t="shared" si="2"/>
        <v>16919875.735508054</v>
      </c>
      <c r="G12" s="1">
        <f t="shared" si="2"/>
        <v>17461311.759044316</v>
      </c>
      <c r="H12" s="1">
        <f t="shared" si="2"/>
        <v>18020073.73533373</v>
      </c>
      <c r="I12" s="1">
        <f t="shared" si="2"/>
        <v>18596716.094864406</v>
      </c>
      <c r="J12" s="1">
        <f t="shared" si="2"/>
        <v>19191811.009900071</v>
      </c>
      <c r="K12" s="1">
        <f t="shared" si="2"/>
        <v>19805948.962216876</v>
      </c>
      <c r="L12" s="1">
        <f t="shared" si="2"/>
        <v>20439739.329007812</v>
      </c>
      <c r="M12" s="1">
        <f t="shared" si="2"/>
        <v>21093810.987536062</v>
      </c>
      <c r="N12" s="1">
        <f t="shared" si="2"/>
        <v>21768812.939137217</v>
      </c>
      <c r="O12" s="1">
        <f t="shared" si="2"/>
        <v>22465414.953189611</v>
      </c>
      <c r="P12" s="1">
        <f t="shared" si="2"/>
        <v>23184308.231691673</v>
      </c>
      <c r="Q12" s="1">
        <f t="shared" si="2"/>
        <v>23926206.095105805</v>
      </c>
      <c r="R12" s="1">
        <f t="shared" si="2"/>
        <v>24691844.690149195</v>
      </c>
      <c r="S12" s="1">
        <f t="shared" si="1"/>
        <v>25481983.720233969</v>
      </c>
      <c r="T12" s="1">
        <f t="shared" si="1"/>
        <v>26297407.199281454</v>
      </c>
      <c r="U12" s="1">
        <f t="shared" si="1"/>
        <v>27138924.229658458</v>
      </c>
      <c r="V12" s="1">
        <f t="shared" si="1"/>
        <v>28007369.805007532</v>
      </c>
      <c r="W12" s="1">
        <f t="shared" si="1"/>
        <v>28903605.638767775</v>
      </c>
      <c r="X12" s="1">
        <f t="shared" si="1"/>
        <v>29828521.019208342</v>
      </c>
      <c r="Y12" s="1">
        <f t="shared" si="1"/>
        <v>30783033.691823002</v>
      </c>
      <c r="Z12" s="1">
        <f t="shared" si="1"/>
        <v>31768090.769961342</v>
      </c>
      <c r="AA12" s="1">
        <f t="shared" si="1"/>
        <v>32784669.674600113</v>
      </c>
      <c r="AB12" s="1">
        <f t="shared" si="1"/>
        <v>33833779.10418731</v>
      </c>
      <c r="AC12" s="1">
        <f t="shared" si="1"/>
        <v>34916460.035521299</v>
      </c>
      <c r="AD12" s="1">
        <f t="shared" si="1"/>
        <v>36033786.756657988</v>
      </c>
      <c r="AE12" s="1">
        <f t="shared" si="1"/>
        <v>37186867.932871044</v>
      </c>
      <c r="AF12" s="1">
        <f t="shared" si="1"/>
        <v>38376847.706722908</v>
      </c>
    </row>
    <row r="13" spans="1:32" x14ac:dyDescent="0.35">
      <c r="A13" t="s">
        <v>75</v>
      </c>
      <c r="C13" s="1">
        <f>C7*C$9</f>
        <v>369461.61046240985</v>
      </c>
      <c r="D13" s="1">
        <f t="shared" si="1"/>
        <v>762568.76399441389</v>
      </c>
      <c r="E13" s="1">
        <f t="shared" si="1"/>
        <v>1180456.4466633527</v>
      </c>
      <c r="F13" s="1">
        <f t="shared" si="1"/>
        <v>1624308.0706087733</v>
      </c>
      <c r="G13" s="1">
        <f t="shared" si="1"/>
        <v>2095357.4110853176</v>
      </c>
      <c r="H13" s="1">
        <f t="shared" si="1"/>
        <v>2594890.6178880576</v>
      </c>
      <c r="I13" s="1">
        <f t="shared" si="1"/>
        <v>3124248.3039372209</v>
      </c>
      <c r="J13" s="1">
        <f t="shared" si="1"/>
        <v>3684827.7139008143</v>
      </c>
      <c r="K13" s="1">
        <f t="shared" si="1"/>
        <v>4278084.9758388456</v>
      </c>
      <c r="L13" s="1">
        <f t="shared" si="1"/>
        <v>4905537.4389618766</v>
      </c>
      <c r="M13" s="1">
        <f t="shared" si="1"/>
        <v>5568766.1007095212</v>
      </c>
      <c r="N13" s="1">
        <f t="shared" si="1"/>
        <v>6269418.1264715213</v>
      </c>
      <c r="O13" s="1">
        <f t="shared" si="1"/>
        <v>7009209.46539516</v>
      </c>
      <c r="P13" s="1">
        <f t="shared" si="1"/>
        <v>7789927.5658484055</v>
      </c>
      <c r="Q13" s="1">
        <f t="shared" si="1"/>
        <v>8613434.1942380909</v>
      </c>
      <c r="R13" s="1">
        <f t="shared" si="1"/>
        <v>9481668.3610172961</v>
      </c>
      <c r="S13" s="1">
        <f t="shared" si="1"/>
        <v>10396649.357855463</v>
      </c>
      <c r="T13" s="1">
        <f t="shared" si="1"/>
        <v>11360479.910089592</v>
      </c>
      <c r="U13" s="1">
        <f t="shared" si="1"/>
        <v>12375349.448724259</v>
      </c>
      <c r="V13" s="1">
        <f t="shared" si="1"/>
        <v>13443537.506403614</v>
      </c>
      <c r="W13" s="1">
        <f t="shared" si="1"/>
        <v>14567417.241938958</v>
      </c>
      <c r="X13" s="1">
        <f t="shared" si="1"/>
        <v>15749459.098142004</v>
      </c>
      <c r="Y13" s="1">
        <f t="shared" si="1"/>
        <v>16992234.597886294</v>
      </c>
      <c r="Z13" s="1">
        <f t="shared" si="1"/>
        <v>18298420.283497728</v>
      </c>
      <c r="AA13" s="1">
        <f t="shared" si="1"/>
        <v>19670801.804760065</v>
      </c>
      <c r="AB13" s="1">
        <f t="shared" si="1"/>
        <v>21112278.161012877</v>
      </c>
      <c r="AC13" s="1">
        <f t="shared" si="1"/>
        <v>22625866.103017796</v>
      </c>
      <c r="AD13" s="1">
        <f t="shared" si="1"/>
        <v>24214704.700474158</v>
      </c>
      <c r="AE13" s="1">
        <f t="shared" si="1"/>
        <v>25882060.081278231</v>
      </c>
      <c r="AF13" s="1">
        <f t="shared" si="1"/>
        <v>27631330.348840483</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16538460.2080184</v>
      </c>
      <c r="D25" s="40">
        <f>SUM(D11:D13,D18:D23)</f>
        <v>17448975.316672195</v>
      </c>
      <c r="E25" s="40">
        <f t="shared" ref="E25:AF25" si="7">SUM(E11:E13,E18:E23)</f>
        <v>18400828.009026822</v>
      </c>
      <c r="F25" s="40">
        <f t="shared" si="7"/>
        <v>19395731.522967871</v>
      </c>
      <c r="G25" s="40">
        <f t="shared" si="7"/>
        <v>20435466.413919911</v>
      </c>
      <c r="H25" s="40">
        <f t="shared" si="7"/>
        <v>21521883.108813353</v>
      </c>
      <c r="I25" s="40">
        <f t="shared" si="7"/>
        <v>22656904.55457212</v>
      </c>
      <c r="J25" s="40">
        <f t="shared" si="7"/>
        <v>23842528.964556038</v>
      </c>
      <c r="K25" s="40">
        <f t="shared" si="7"/>
        <v>25080832.666515037</v>
      </c>
      <c r="L25" s="40">
        <f t="shared" si="7"/>
        <v>26373973.055739701</v>
      </c>
      <c r="M25" s="40">
        <f t="shared" si="7"/>
        <v>27724191.657224238</v>
      </c>
      <c r="N25" s="40">
        <f t="shared" si="7"/>
        <v>29133817.300794713</v>
      </c>
      <c r="O25" s="40">
        <f t="shared" si="7"/>
        <v>30605269.413296696</v>
      </c>
      <c r="P25" s="40">
        <f t="shared" si="7"/>
        <v>32141061.432082783</v>
      </c>
      <c r="Q25" s="40">
        <f t="shared" si="7"/>
        <v>33743804.344191968</v>
      </c>
      <c r="R25" s="40">
        <f t="shared" si="7"/>
        <v>35416210.355769701</v>
      </c>
      <c r="S25" s="40">
        <f t="shared" si="7"/>
        <v>37161096.696439944</v>
      </c>
      <c r="T25" s="40">
        <f t="shared" si="7"/>
        <v>38981389.563508771</v>
      </c>
      <c r="U25" s="40">
        <f t="shared" si="7"/>
        <v>40880128.21105285</v>
      </c>
      <c r="V25" s="40">
        <f t="shared" si="7"/>
        <v>42860469.18912673</v>
      </c>
      <c r="W25" s="40">
        <f t="shared" si="7"/>
        <v>44925690.738509215</v>
      </c>
      <c r="X25" s="40">
        <f t="shared" si="7"/>
        <v>47079197.346602507</v>
      </c>
      <c r="Y25" s="40">
        <f t="shared" si="7"/>
        <v>49324524.470297523</v>
      </c>
      <c r="Z25" s="40">
        <f t="shared" si="7"/>
        <v>51665343.431826122</v>
      </c>
      <c r="AA25" s="40">
        <f t="shared" si="7"/>
        <v>54105466.493834972</v>
      </c>
      <c r="AB25" s="40">
        <f t="shared" si="7"/>
        <v>56648852.120138183</v>
      </c>
      <c r="AC25" s="40">
        <f t="shared" si="7"/>
        <v>59299610.428835094</v>
      </c>
      <c r="AD25" s="40">
        <f t="shared" si="7"/>
        <v>62062008.844717622</v>
      </c>
      <c r="AE25" s="40">
        <f t="shared" si="7"/>
        <v>64940477.958137482</v>
      </c>
      <c r="AF25" s="40">
        <f t="shared" si="7"/>
        <v>67939617.597759217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5587900</v>
      </c>
      <c r="D5" s="59">
        <f>C5*('Price and Financial ratios'!F4+1)*(1+Assumptions!$C$13)</f>
        <v>9220035</v>
      </c>
      <c r="E5" s="59">
        <f>D5*('Price and Financial ratios'!G4+1)*(1+Assumptions!$C$13)</f>
        <v>14291054.25</v>
      </c>
      <c r="F5" s="59">
        <f>E5*('Price and Financial ratios'!H4+1)*(1+Assumptions!$C$13)</f>
        <v>17863817.8125</v>
      </c>
      <c r="G5" s="59">
        <f>F5*('Price and Financial ratios'!I4+1)*(1+Assumptions!$C$13)</f>
        <v>20722028.662499998</v>
      </c>
      <c r="H5" s="59">
        <f>G5*('Price and Financial ratios'!J4+1)*(1+Assumptions!$C$13)</f>
        <v>23208672.101999998</v>
      </c>
      <c r="I5" s="59">
        <f>H5*('Price and Financial ratios'!K4+1)*(1+Assumptions!$C$13)</f>
        <v>25529539.312199999</v>
      </c>
      <c r="J5" s="59">
        <f>I5*('Price and Financial ratios'!L4+1)*(1+Assumptions!$C$13)</f>
        <v>28082493.243420001</v>
      </c>
      <c r="K5" s="59">
        <f>J5*('Price and Financial ratios'!M4+1)*(1+Assumptions!$C$13)</f>
        <v>30329092.702893604</v>
      </c>
      <c r="L5" s="59">
        <f>K5*('Price and Financial ratios'!N4+1)*(1+Assumptions!$C$13)</f>
        <v>32148838.26506722</v>
      </c>
      <c r="M5" s="59">
        <f>L5*('Price and Financial ratios'!O4+1)*(1+Assumptions!$C$13)</f>
        <v>34077768.560971253</v>
      </c>
      <c r="N5" s="59">
        <f>M5*('Price and Financial ratios'!P4+1)*(1+Assumptions!$C$13)</f>
        <v>36122434.674629532</v>
      </c>
      <c r="O5" s="59">
        <f>N5*('Price and Financial ratios'!Q4+1)*(1+Assumptions!$C$13)</f>
        <v>38289780.755107306</v>
      </c>
      <c r="P5" s="59">
        <f>O5*('Price and Financial ratios'!R4+1)*(1+Assumptions!$C$13)</f>
        <v>40587167.600413747</v>
      </c>
      <c r="Q5" s="59">
        <f>P5*('Price and Financial ratios'!S4+1)*(1+Assumptions!$C$13)</f>
        <v>43022397.656438574</v>
      </c>
      <c r="R5" s="59">
        <f>Q5*('Price and Financial ratios'!T4+1)*(1+Assumptions!$C$13)</f>
        <v>45603741.515824892</v>
      </c>
      <c r="S5" s="59">
        <f>R5*('Price and Financial ratios'!U4+1)*(1+Assumptions!$C$13)</f>
        <v>48339966.006774388</v>
      </c>
      <c r="T5" s="59">
        <f>S5*('Price and Financial ratios'!V4+1)*(1+Assumptions!$C$13)</f>
        <v>50998664.13714698</v>
      </c>
      <c r="U5" s="59">
        <f>T5*('Price and Financial ratios'!W4+1)*(1+Assumptions!$C$13)</f>
        <v>53803590.664690062</v>
      </c>
      <c r="V5" s="59">
        <f>U5*('Price and Financial ratios'!X4+1)*(1+Assumptions!$C$13)</f>
        <v>56762788.151248015</v>
      </c>
      <c r="W5" s="59">
        <f>V5*('Price and Financial ratios'!Y4+1)*(1+Assumptions!$C$13)</f>
        <v>59884741.499566652</v>
      </c>
      <c r="X5" s="59">
        <f>W5*('Price and Financial ratios'!Z4+1)*(1+Assumptions!$C$13)</f>
        <v>63178402.282042816</v>
      </c>
      <c r="Y5" s="59">
        <f>X5*('Price and Financial ratios'!AA4+1)*(1+Assumptions!$C$13)</f>
        <v>66653214.40755517</v>
      </c>
      <c r="Z5" s="59">
        <f>Y5*('Price and Financial ratios'!AB4+1)*(1+Assumptions!$C$13)</f>
        <v>69985875.127932936</v>
      </c>
      <c r="AA5" s="59">
        <f>Z5*('Price and Financial ratios'!AC4+1)*(1+Assumptions!$C$13)</f>
        <v>73485168.884329587</v>
      </c>
      <c r="AB5" s="59">
        <f>AA5*('Price and Financial ratios'!AD4+1)*(1+Assumptions!$C$13)</f>
        <v>77159427.328546077</v>
      </c>
      <c r="AC5" s="59">
        <f>AB5*('Price and Financial ratios'!AE4+1)*(1+Assumptions!$C$13)</f>
        <v>81017398.694973379</v>
      </c>
      <c r="AD5" s="59">
        <f>AC5*('Price and Financial ratios'!AF4+1)*(1+Assumptions!$C$13)</f>
        <v>85068268.629722059</v>
      </c>
      <c r="AE5" s="59">
        <f>AD5*('Price and Financial ratios'!AG4+1)*(1+Assumptions!$C$13)</f>
        <v>89321682.061208159</v>
      </c>
      <c r="AF5" s="59">
        <f>AE5*('Price and Financial ratios'!AH4+1)*(1+Assumptions!$C$13)</f>
        <v>93787766.164268568</v>
      </c>
    </row>
    <row r="6" spans="1:32" s="11" customFormat="1" x14ac:dyDescent="0.35">
      <c r="A6" s="11" t="s">
        <v>20</v>
      </c>
      <c r="C6" s="59">
        <f>C27</f>
        <v>2276511.9451218299</v>
      </c>
      <c r="D6" s="59">
        <f t="shared" ref="D6:AF6" si="1">D27</f>
        <v>2794008.8958290205</v>
      </c>
      <c r="E6" s="59">
        <f>E27</f>
        <v>3333173.8805858884</v>
      </c>
      <c r="F6" s="59">
        <f t="shared" si="1"/>
        <v>3894709.8243664773</v>
      </c>
      <c r="G6" s="59">
        <f t="shared" si="1"/>
        <v>4479340.0935152089</v>
      </c>
      <c r="H6" s="59">
        <f t="shared" si="1"/>
        <v>5087809.0549514908</v>
      </c>
      <c r="I6" s="59">
        <f t="shared" si="1"/>
        <v>5720882.6500857081</v>
      </c>
      <c r="J6" s="59">
        <f t="shared" si="1"/>
        <v>6379348.9838232361</v>
      </c>
      <c r="K6" s="59">
        <f t="shared" si="1"/>
        <v>7064018.9290425703</v>
      </c>
      <c r="L6" s="59">
        <f t="shared" si="1"/>
        <v>7775726.7469433872</v>
      </c>
      <c r="M6" s="59">
        <f t="shared" si="1"/>
        <v>8515330.7236701846</v>
      </c>
      <c r="N6" s="59">
        <f t="shared" si="1"/>
        <v>9283713.8236274403</v>
      </c>
      <c r="O6" s="59">
        <f t="shared" si="1"/>
        <v>10081784.359912556</v>
      </c>
      <c r="P6" s="59">
        <f t="shared" si="1"/>
        <v>10910476.682303581</v>
      </c>
      <c r="Q6" s="59">
        <f t="shared" si="1"/>
        <v>11770751.883249616</v>
      </c>
      <c r="R6" s="59">
        <f t="shared" si="1"/>
        <v>12663598.522323042</v>
      </c>
      <c r="S6" s="59">
        <f t="shared" si="1"/>
        <v>13590033.369604206</v>
      </c>
      <c r="T6" s="59">
        <f t="shared" si="1"/>
        <v>14551102.168480931</v>
      </c>
      <c r="U6" s="59">
        <f t="shared" si="1"/>
        <v>15547880.418357346</v>
      </c>
      <c r="V6" s="59">
        <f t="shared" si="1"/>
        <v>16581474.17777878</v>
      </c>
      <c r="W6" s="59">
        <f t="shared" si="1"/>
        <v>17653020.888492271</v>
      </c>
      <c r="X6" s="59">
        <f t="shared" si="1"/>
        <v>18763690.220975112</v>
      </c>
      <c r="Y6" s="59">
        <f t="shared" si="1"/>
        <v>19914684.941977166</v>
      </c>
      <c r="Z6" s="59">
        <f t="shared" si="1"/>
        <v>21107241.804636359</v>
      </c>
      <c r="AA6" s="59">
        <f t="shared" si="1"/>
        <v>22342632.461740639</v>
      </c>
      <c r="AB6" s="59">
        <f t="shared" si="1"/>
        <v>23622164.402724065</v>
      </c>
      <c r="AC6" s="59">
        <f t="shared" si="1"/>
        <v>24947181.91499928</v>
      </c>
      <c r="AD6" s="59">
        <f t="shared" si="1"/>
        <v>26319067.070243686</v>
      </c>
      <c r="AE6" s="59">
        <f t="shared" si="1"/>
        <v>27739240.736271989</v>
      </c>
      <c r="AF6" s="59">
        <f t="shared" si="1"/>
        <v>29209163.61514353</v>
      </c>
    </row>
    <row r="7" spans="1:32" x14ac:dyDescent="0.35">
      <c r="A7" t="s">
        <v>21</v>
      </c>
      <c r="C7" s="4">
        <f>Depreciation!C8+Depreciation!C9</f>
        <v>1144226.4387513213</v>
      </c>
      <c r="D7" s="4">
        <f>Depreciation!D8+Depreciation!D9</f>
        <v>1562126.0667885705</v>
      </c>
      <c r="E7" s="4">
        <f>Depreciation!E8+Depreciation!E9</f>
        <v>2005599.5831469223</v>
      </c>
      <c r="F7" s="4">
        <f>Depreciation!F8+Depreciation!F9</f>
        <v>2475855.7874598168</v>
      </c>
      <c r="G7" s="4">
        <f>Depreciation!G8+Depreciation!G9</f>
        <v>2974154.6548755951</v>
      </c>
      <c r="H7" s="4">
        <f>Depreciation!H8+Depreciation!H9</f>
        <v>3501809.3734796233</v>
      </c>
      <c r="I7" s="4">
        <f>Depreciation!I8+Depreciation!I9</f>
        <v>4060188.4597077169</v>
      </c>
      <c r="J7" s="4">
        <f>Depreciation!J8+Depreciation!J9</f>
        <v>4650717.9546559667</v>
      </c>
      <c r="K7" s="4">
        <f>Depreciation!K8+Depreciation!K9</f>
        <v>5274883.7042981628</v>
      </c>
      <c r="L7" s="4">
        <f>Depreciation!L8+Depreciation!L9</f>
        <v>5934233.7267318917</v>
      </c>
      <c r="M7" s="4">
        <f>Depreciation!M8+Depreciation!M9</f>
        <v>6630380.6696881764</v>
      </c>
      <c r="N7" s="4">
        <f>Depreciation!N8+Depreciation!N9</f>
        <v>7365004.3616574937</v>
      </c>
      <c r="O7" s="4">
        <f>Depreciation!O8+Depreciation!O9</f>
        <v>8139854.4601070834</v>
      </c>
      <c r="P7" s="4">
        <f>Depreciation!P8+Depreciation!P9</f>
        <v>8956753.20039111</v>
      </c>
      <c r="Q7" s="4">
        <f>Depreciation!Q8+Depreciation!Q9</f>
        <v>9817598.2490861621</v>
      </c>
      <c r="R7" s="4">
        <f>Depreciation!R8+Depreciation!R9</f>
        <v>10724365.665620506</v>
      </c>
      <c r="S7" s="4">
        <f>Depreciation!S8+Depreciation!S9</f>
        <v>11679112.976205977</v>
      </c>
      <c r="T7" s="4">
        <f>Depreciation!T8+Depreciation!T9</f>
        <v>12683982.364227321</v>
      </c>
      <c r="U7" s="4">
        <f>Depreciation!U8+Depreciation!U9</f>
        <v>13741203.981394395</v>
      </c>
      <c r="V7" s="4">
        <f>Depreciation!V8+Depreciation!V9</f>
        <v>14853099.384119194</v>
      </c>
      <c r="W7" s="4">
        <f>Depreciation!W8+Depreciation!W9</f>
        <v>16022085.099741437</v>
      </c>
      <c r="X7" s="4">
        <f>Depreciation!X8+Depreciation!X9</f>
        <v>17250676.327394161</v>
      </c>
      <c r="Y7" s="4">
        <f>Depreciation!Y8+Depreciation!Y9</f>
        <v>18541490.778474521</v>
      </c>
      <c r="Z7" s="4">
        <f>Depreciation!Z8+Depreciation!Z9</f>
        <v>19897252.66186478</v>
      </c>
      <c r="AA7" s="4">
        <f>Depreciation!AA8+Depreciation!AA9</f>
        <v>21320796.819234863</v>
      </c>
      <c r="AB7" s="4">
        <f>Depreciation!AB8+Depreciation!AB9</f>
        <v>22815073.015950866</v>
      </c>
      <c r="AC7" s="4">
        <f>Depreciation!AC8+Depreciation!AC9</f>
        <v>24383150.393313803</v>
      </c>
      <c r="AD7" s="4">
        <f>Depreciation!AD8+Depreciation!AD9</f>
        <v>26028222.088059634</v>
      </c>
      <c r="AE7" s="4">
        <f>Depreciation!AE8+Depreciation!AE9</f>
        <v>27753610.025266446</v>
      </c>
      <c r="AF7" s="4">
        <f>Depreciation!AF8+Depreciation!AF9</f>
        <v>29562769.891036317</v>
      </c>
    </row>
    <row r="8" spans="1:32" x14ac:dyDescent="0.35">
      <c r="A8" t="s">
        <v>6</v>
      </c>
      <c r="C8" s="4">
        <f ca="1">'Debt worksheet'!C8</f>
        <v>790494.8449325473</v>
      </c>
      <c r="D8" s="4">
        <f ca="1">'Debt worksheet'!D8</f>
        <v>1218961.7278446525</v>
      </c>
      <c r="E8" s="4">
        <f ca="1">'Debt worksheet'!E8</f>
        <v>1533124.2437627956</v>
      </c>
      <c r="F8" s="4">
        <f ca="1">'Debt worksheet'!F8</f>
        <v>1785550.3289968888</v>
      </c>
      <c r="G8" s="4">
        <f ca="1">'Debt worksheet'!G8</f>
        <v>2002380.8845281017</v>
      </c>
      <c r="H8" s="4">
        <f ca="1">'Debt worksheet'!H8</f>
        <v>2198359.1571915764</v>
      </c>
      <c r="I8" s="4">
        <f ca="1">'Debt worksheet'!I8</f>
        <v>2381396.7185778241</v>
      </c>
      <c r="J8" s="4">
        <f ca="1">'Debt worksheet'!J8</f>
        <v>2545362.8841983406</v>
      </c>
      <c r="K8" s="4">
        <f ca="1">'Debt worksheet'!K8</f>
        <v>2703538.28543169</v>
      </c>
      <c r="L8" s="4">
        <f ca="1">'Debt worksheet'!L8</f>
        <v>2874164.1857494772</v>
      </c>
      <c r="M8" s="4">
        <f ca="1">'Debt worksheet'!M8</f>
        <v>3056814.0616028896</v>
      </c>
      <c r="N8" s="4">
        <f ca="1">'Debt worksheet'!N8</f>
        <v>3250924.8055395144</v>
      </c>
      <c r="O8" s="4">
        <f ca="1">'Debt worksheet'!O8</f>
        <v>3455781.7214228837</v>
      </c>
      <c r="P8" s="4">
        <f ca="1">'Debt worksheet'!P8</f>
        <v>3670502.2688206481</v>
      </c>
      <c r="Q8" s="4">
        <f ca="1">'Debt worksheet'!Q8</f>
        <v>3894018.4650836824</v>
      </c>
      <c r="R8" s="4">
        <f ca="1">'Debt worksheet'!R8</f>
        <v>4125057.8474228568</v>
      </c>
      <c r="S8" s="4">
        <f ca="1">'Debt worksheet'!S8</f>
        <v>4362122.8906707754</v>
      </c>
      <c r="T8" s="4">
        <f ca="1">'Debt worksheet'!T8</f>
        <v>4612235.0844458761</v>
      </c>
      <c r="U8" s="4">
        <f ca="1">'Debt worksheet'!U8</f>
        <v>4874704.3660218455</v>
      </c>
      <c r="V8" s="4">
        <f ca="1">'Debt worksheet'!V8</f>
        <v>5148678.5477407854</v>
      </c>
      <c r="W8" s="4">
        <f ca="1">'Debt worksheet'!W8</f>
        <v>5433126.945286016</v>
      </c>
      <c r="X8" s="4">
        <f ca="1">'Debt worksheet'!X8</f>
        <v>5726822.7256784802</v>
      </c>
      <c r="Y8" s="4">
        <f ca="1">'Debt worksheet'!Y8</f>
        <v>6028323.886884626</v>
      </c>
      <c r="Z8" s="4">
        <f ca="1">'Debt worksheet'!Z8</f>
        <v>6348040.1457856577</v>
      </c>
      <c r="AA8" s="4">
        <f ca="1">'Debt worksheet'!AA8</f>
        <v>6685743.7287868066</v>
      </c>
      <c r="AB8" s="4">
        <f ca="1">'Debt worksheet'!AB8</f>
        <v>7041087.4099356197</v>
      </c>
      <c r="AC8" s="4">
        <f ca="1">'Debt worksheet'!AC8</f>
        <v>7413591.9042961178</v>
      </c>
      <c r="AD8" s="4">
        <f ca="1">'Debt worksheet'!AD8</f>
        <v>7802632.2894087993</v>
      </c>
      <c r="AE8" s="4">
        <f ca="1">'Debt worksheet'!AE8</f>
        <v>8207423.3902288554</v>
      </c>
      <c r="AF8" s="4">
        <f ca="1">'Debt worksheet'!AF8</f>
        <v>8627004.05899591</v>
      </c>
    </row>
    <row r="9" spans="1:32" x14ac:dyDescent="0.35">
      <c r="A9" t="s">
        <v>22</v>
      </c>
      <c r="C9" s="4">
        <f ca="1">C5-C6-C7-C8</f>
        <v>1376666.7711943015</v>
      </c>
      <c r="D9" s="4">
        <f t="shared" ref="D9:AF9" ca="1" si="2">D5-D6-D7-D8</f>
        <v>3644938.3095377563</v>
      </c>
      <c r="E9" s="4">
        <f t="shared" ca="1" si="2"/>
        <v>7419156.5425043935</v>
      </c>
      <c r="F9" s="4">
        <f t="shared" ca="1" si="2"/>
        <v>9707701.8716768175</v>
      </c>
      <c r="G9" s="4">
        <f t="shared" ca="1" si="2"/>
        <v>11266153.02958109</v>
      </c>
      <c r="H9" s="4">
        <f t="shared" ca="1" si="2"/>
        <v>12420694.516377309</v>
      </c>
      <c r="I9" s="4">
        <f t="shared" ca="1" si="2"/>
        <v>13367071.483828751</v>
      </c>
      <c r="J9" s="4">
        <f t="shared" ca="1" si="2"/>
        <v>14507063.420742456</v>
      </c>
      <c r="K9" s="4">
        <f t="shared" ca="1" si="2"/>
        <v>15286651.784121178</v>
      </c>
      <c r="L9" s="4">
        <f t="shared" ca="1" si="2"/>
        <v>15564713.605642462</v>
      </c>
      <c r="M9" s="4">
        <f t="shared" ca="1" si="2"/>
        <v>15875243.106010001</v>
      </c>
      <c r="N9" s="4">
        <f t="shared" ca="1" si="2"/>
        <v>16222791.683805082</v>
      </c>
      <c r="O9" s="4">
        <f t="shared" ca="1" si="2"/>
        <v>16612360.213664781</v>
      </c>
      <c r="P9" s="4">
        <f t="shared" ca="1" si="2"/>
        <v>17049435.448898409</v>
      </c>
      <c r="Q9" s="4">
        <f t="shared" ca="1" si="2"/>
        <v>17540029.059019111</v>
      </c>
      <c r="R9" s="4">
        <f t="shared" ca="1" si="2"/>
        <v>18090719.480458487</v>
      </c>
      <c r="S9" s="4">
        <f t="shared" ca="1" si="2"/>
        <v>18708696.770293429</v>
      </c>
      <c r="T9" s="4">
        <f t="shared" ca="1" si="2"/>
        <v>19151344.519992851</v>
      </c>
      <c r="U9" s="4">
        <f t="shared" ca="1" si="2"/>
        <v>19639801.898916479</v>
      </c>
      <c r="V9" s="4">
        <f t="shared" ca="1" si="2"/>
        <v>20179536.041609257</v>
      </c>
      <c r="W9" s="4">
        <f t="shared" ca="1" si="2"/>
        <v>20776508.566046927</v>
      </c>
      <c r="X9" s="4">
        <f t="shared" ca="1" si="2"/>
        <v>21437213.007995058</v>
      </c>
      <c r="Y9" s="4">
        <f t="shared" ca="1" si="2"/>
        <v>22168714.800218858</v>
      </c>
      <c r="Z9" s="4">
        <f t="shared" ca="1" si="2"/>
        <v>22633340.515646137</v>
      </c>
      <c r="AA9" s="4">
        <f t="shared" ca="1" si="2"/>
        <v>23135995.874567274</v>
      </c>
      <c r="AB9" s="4">
        <f t="shared" ca="1" si="2"/>
        <v>23681102.499935526</v>
      </c>
      <c r="AC9" s="4">
        <f t="shared" ca="1" si="2"/>
        <v>24273474.482364181</v>
      </c>
      <c r="AD9" s="4">
        <f t="shared" ca="1" si="2"/>
        <v>24918347.182009939</v>
      </c>
      <c r="AE9" s="4">
        <f t="shared" ca="1" si="2"/>
        <v>25621407.909440864</v>
      </c>
      <c r="AF9" s="4">
        <f t="shared" ca="1" si="2"/>
        <v>26388828.599092811</v>
      </c>
    </row>
    <row r="12" spans="1:32" x14ac:dyDescent="0.35">
      <c r="A12" t="s">
        <v>80</v>
      </c>
      <c r="C12" s="2">
        <f>Assumptions!$C$25*Assumptions!D9*Assumptions!D13</f>
        <v>1819160</v>
      </c>
      <c r="D12" s="2">
        <f>Assumptions!$C$25*Assumptions!E9*Assumptions!E13</f>
        <v>1859181.52</v>
      </c>
      <c r="E12" s="2">
        <f>Assumptions!$C$25*Assumptions!F9*Assumptions!F13</f>
        <v>1900083.5134400001</v>
      </c>
      <c r="F12" s="2">
        <f>Assumptions!$C$25*Assumptions!G9*Assumptions!G13</f>
        <v>1941885.35073568</v>
      </c>
      <c r="G12" s="2">
        <f>Assumptions!$C$25*Assumptions!H9*Assumptions!H13</f>
        <v>1984606.8284518651</v>
      </c>
      <c r="H12" s="2">
        <f>Assumptions!$C$25*Assumptions!I9*Assumptions!I13</f>
        <v>2028268.1786778059</v>
      </c>
      <c r="I12" s="2">
        <f>Assumptions!$C$25*Assumptions!J9*Assumptions!J13</f>
        <v>2072890.0786087178</v>
      </c>
      <c r="J12" s="2">
        <f>Assumptions!$C$25*Assumptions!K9*Assumptions!K13</f>
        <v>2118493.6603381098</v>
      </c>
      <c r="K12" s="2">
        <f>Assumptions!$C$25*Assumptions!L9*Assumptions!L13</f>
        <v>2165100.5208655479</v>
      </c>
      <c r="L12" s="2">
        <f>Assumptions!$C$25*Assumptions!M9*Assumptions!M13</f>
        <v>2212732.73232459</v>
      </c>
      <c r="M12" s="2">
        <f>Assumptions!$C$25*Assumptions!N9*Assumptions!N13</f>
        <v>2261412.8524357313</v>
      </c>
      <c r="N12" s="2">
        <f>Assumptions!$C$25*Assumptions!O9*Assumptions!O13</f>
        <v>2311163.9351893174</v>
      </c>
      <c r="O12" s="2">
        <f>Assumptions!$C$25*Assumptions!P9*Assumptions!P13</f>
        <v>2362009.5417634826</v>
      </c>
      <c r="P12" s="2">
        <f>Assumptions!$C$25*Assumptions!Q9*Assumptions!Q13</f>
        <v>2413973.7516822787</v>
      </c>
      <c r="Q12" s="2">
        <f>Assumptions!$C$25*Assumptions!R9*Assumptions!R13</f>
        <v>2467081.1742192893</v>
      </c>
      <c r="R12" s="2">
        <f>Assumptions!$C$25*Assumptions!S9*Assumptions!S13</f>
        <v>2521356.9600521135</v>
      </c>
      <c r="S12" s="2">
        <f>Assumptions!$C$25*Assumptions!T9*Assumptions!T13</f>
        <v>2576826.8131732601</v>
      </c>
      <c r="T12" s="2">
        <f>Assumptions!$C$25*Assumptions!U9*Assumptions!U13</f>
        <v>2633517.0030630715</v>
      </c>
      <c r="U12" s="2">
        <f>Assumptions!$C$25*Assumptions!V9*Assumptions!V13</f>
        <v>2691454.3771304595</v>
      </c>
      <c r="V12" s="2">
        <f>Assumptions!$C$25*Assumptions!W9*Assumptions!W13</f>
        <v>2750666.3734273296</v>
      </c>
      <c r="W12" s="2">
        <f>Assumptions!$C$25*Assumptions!X9*Assumptions!X13</f>
        <v>2811181.0336427307</v>
      </c>
      <c r="X12" s="2">
        <f>Assumptions!$C$25*Assumptions!Y9*Assumptions!Y13</f>
        <v>2873027.0163828707</v>
      </c>
      <c r="Y12" s="2">
        <f>Assumptions!$C$25*Assumptions!Z9*Assumptions!Z13</f>
        <v>2936233.610743294</v>
      </c>
      <c r="Z12" s="2">
        <f>Assumptions!$C$25*Assumptions!AA9*Assumptions!AA13</f>
        <v>3000830.7501796465</v>
      </c>
      <c r="AA12" s="2">
        <f>Assumptions!$C$25*Assumptions!AB9*Assumptions!AB13</f>
        <v>3066849.0266835988</v>
      </c>
      <c r="AB12" s="2">
        <f>Assumptions!$C$25*Assumptions!AC9*Assumptions!AC13</f>
        <v>3134319.7052706382</v>
      </c>
      <c r="AC12" s="2">
        <f>Assumptions!$C$25*Assumptions!AD9*Assumptions!AD13</f>
        <v>3203274.7387865921</v>
      </c>
      <c r="AD12" s="2">
        <f>Assumptions!$C$25*Assumptions!AE9*Assumptions!AE13</f>
        <v>3273746.7830398972</v>
      </c>
      <c r="AE12" s="2">
        <f>Assumptions!$C$25*Assumptions!AF9*Assumptions!AF13</f>
        <v>3345769.2122667753</v>
      </c>
      <c r="AF12" s="2">
        <f>Assumptions!$C$25*Assumptions!AG9*Assumptions!AG13</f>
        <v>3419376.1349366438</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457351.94512183004</v>
      </c>
      <c r="D14" s="5">
        <f>Assumptions!E122*Assumptions!E9</f>
        <v>934827.37582902052</v>
      </c>
      <c r="E14" s="5">
        <f>Assumptions!F122*Assumptions!F9</f>
        <v>1433090.3671458885</v>
      </c>
      <c r="F14" s="5">
        <f>Assumptions!G122*Assumptions!G9</f>
        <v>1952824.4736307974</v>
      </c>
      <c r="G14" s="5">
        <f>Assumptions!H122*Assumptions!H9</f>
        <v>2494733.2650633436</v>
      </c>
      <c r="H14" s="5">
        <f>Assumptions!I122*Assumptions!I9</f>
        <v>3059540.8762736851</v>
      </c>
      <c r="I14" s="5">
        <f>Assumptions!J122*Assumptions!J9</f>
        <v>3647992.5714769908</v>
      </c>
      <c r="J14" s="5">
        <f>Assumptions!K122*Assumptions!K9</f>
        <v>4260855.3234851258</v>
      </c>
      <c r="K14" s="5">
        <f>Assumptions!L122*Assumptions!L9</f>
        <v>4898918.4081770228</v>
      </c>
      <c r="L14" s="5">
        <f>Assumptions!M122*Assumptions!M9</f>
        <v>5562994.0146187972</v>
      </c>
      <c r="M14" s="5">
        <f>Assumptions!N122*Assumptions!N9</f>
        <v>6253917.8712344533</v>
      </c>
      <c r="N14" s="5">
        <f>Assumptions!O122*Assumptions!O9</f>
        <v>6972549.8884381223</v>
      </c>
      <c r="O14" s="5">
        <f>Assumptions!P122*Assumptions!P9</f>
        <v>7719774.818149073</v>
      </c>
      <c r="P14" s="5">
        <f>Assumptions!Q122*Assumptions!Q9</f>
        <v>8496502.9306213018</v>
      </c>
      <c r="Q14" s="5">
        <f>Assumptions!R122*Assumptions!R9</f>
        <v>9303670.7090303265</v>
      </c>
      <c r="R14" s="5">
        <f>Assumptions!S122*Assumptions!S9</f>
        <v>10142241.562270928</v>
      </c>
      <c r="S14" s="5">
        <f>Assumptions!T122*Assumptions!T9</f>
        <v>11013206.556430945</v>
      </c>
      <c r="T14" s="5">
        <f>Assumptions!U122*Assumptions!U9</f>
        <v>11917585.165417859</v>
      </c>
      <c r="U14" s="5">
        <f>Assumptions!V122*Assumptions!V9</f>
        <v>12856426.041226886</v>
      </c>
      <c r="V14" s="5">
        <f>Assumptions!W122*Assumptions!W9</f>
        <v>13830807.804351451</v>
      </c>
      <c r="W14" s="5">
        <f>Assumptions!X122*Assumptions!X9</f>
        <v>14841839.854849542</v>
      </c>
      <c r="X14" s="5">
        <f>Assumptions!Y122*Assumptions!Y9</f>
        <v>15890663.204592241</v>
      </c>
      <c r="Y14" s="5">
        <f>Assumptions!Z122*Assumptions!Z9</f>
        <v>16978451.33123387</v>
      </c>
      <c r="Z14" s="5">
        <f>Assumptions!AA122*Assumptions!AA9</f>
        <v>18106411.054456715</v>
      </c>
      <c r="AA14" s="5">
        <f>Assumptions!AB122*Assumptions!AB9</f>
        <v>19275783.43505704</v>
      </c>
      <c r="AB14" s="5">
        <f>Assumptions!AC122*Assumptions!AC9</f>
        <v>20487844.697453428</v>
      </c>
      <c r="AC14" s="5">
        <f>Assumptions!AD122*Assumptions!AD9</f>
        <v>21743907.176212687</v>
      </c>
      <c r="AD14" s="5">
        <f>Assumptions!AE122*Assumptions!AE9</f>
        <v>23045320.287203789</v>
      </c>
      <c r="AE14" s="5">
        <f>Assumptions!AF122*Assumptions!AF9</f>
        <v>24393471.524005212</v>
      </c>
      <c r="AF14" s="5">
        <f>Assumptions!AG122*Assumptions!AG9</f>
        <v>25789787.480206884</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2276511.9451218299</v>
      </c>
      <c r="D27" s="2">
        <f t="shared" ref="D27:AF27" si="8">D12+D13+D14+D19+D20+D22+D24+D25</f>
        <v>2794008.8958290205</v>
      </c>
      <c r="E27" s="2">
        <f t="shared" si="8"/>
        <v>3333173.8805858884</v>
      </c>
      <c r="F27" s="2">
        <f t="shared" si="8"/>
        <v>3894709.8243664773</v>
      </c>
      <c r="G27" s="2">
        <f t="shared" si="8"/>
        <v>4479340.0935152089</v>
      </c>
      <c r="H27" s="2">
        <f t="shared" si="8"/>
        <v>5087809.0549514908</v>
      </c>
      <c r="I27" s="2">
        <f t="shared" si="8"/>
        <v>5720882.6500857081</v>
      </c>
      <c r="J27" s="2">
        <f t="shared" si="8"/>
        <v>6379348.9838232361</v>
      </c>
      <c r="K27" s="2">
        <f t="shared" si="8"/>
        <v>7064018.9290425703</v>
      </c>
      <c r="L27" s="2">
        <f t="shared" si="8"/>
        <v>7775726.7469433872</v>
      </c>
      <c r="M27" s="2">
        <f t="shared" si="8"/>
        <v>8515330.7236701846</v>
      </c>
      <c r="N27" s="2">
        <f t="shared" si="8"/>
        <v>9283713.8236274403</v>
      </c>
      <c r="O27" s="2">
        <f t="shared" si="8"/>
        <v>10081784.359912556</v>
      </c>
      <c r="P27" s="2">
        <f t="shared" si="8"/>
        <v>10910476.682303581</v>
      </c>
      <c r="Q27" s="2">
        <f t="shared" si="8"/>
        <v>11770751.883249616</v>
      </c>
      <c r="R27" s="2">
        <f t="shared" si="8"/>
        <v>12663598.522323042</v>
      </c>
      <c r="S27" s="2">
        <f t="shared" si="8"/>
        <v>13590033.369604206</v>
      </c>
      <c r="T27" s="2">
        <f t="shared" si="8"/>
        <v>14551102.168480931</v>
      </c>
      <c r="U27" s="2">
        <f t="shared" si="8"/>
        <v>15547880.418357346</v>
      </c>
      <c r="V27" s="2">
        <f t="shared" si="8"/>
        <v>16581474.17777878</v>
      </c>
      <c r="W27" s="2">
        <f t="shared" si="8"/>
        <v>17653020.888492271</v>
      </c>
      <c r="X27" s="2">
        <f t="shared" si="8"/>
        <v>18763690.220975112</v>
      </c>
      <c r="Y27" s="2">
        <f t="shared" si="8"/>
        <v>19914684.941977166</v>
      </c>
      <c r="Z27" s="2">
        <f t="shared" si="8"/>
        <v>21107241.804636359</v>
      </c>
      <c r="AA27" s="2">
        <f t="shared" si="8"/>
        <v>22342632.461740639</v>
      </c>
      <c r="AB27" s="2">
        <f t="shared" si="8"/>
        <v>23622164.402724065</v>
      </c>
      <c r="AC27" s="2">
        <f t="shared" si="8"/>
        <v>24947181.91499928</v>
      </c>
      <c r="AD27" s="2">
        <f t="shared" si="8"/>
        <v>26319067.070243686</v>
      </c>
      <c r="AE27" s="2">
        <f t="shared" si="8"/>
        <v>27739240.736271989</v>
      </c>
      <c r="AF27" s="2">
        <f t="shared" si="8"/>
        <v>29209163.61514353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3W2DU3RAJ5R2-1900874439-857</_dlc_DocId>
    <_dlc_DocIdUrl xmlns="f54e2983-00ce-40fc-8108-18f351fc47bf">
      <Url>https://dia.cohesion.net.nz/Sites/LGV/TWRP/CAE/_layouts/15/DocIdRedir.aspx?ID=3W2DU3RAJ5R2-1900874439-857</Url>
      <Description>3W2DU3RAJ5R2-1900874439-857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3.xml><?xml version="1.0" encoding="utf-8"?>
<ds:datastoreItem xmlns:ds="http://schemas.openxmlformats.org/officeDocument/2006/customXml" ds:itemID="{C04163F6-E9FE-4B69-9C99-38A581AD43EA}"/>
</file>

<file path=customXml/itemProps4.xml><?xml version="1.0" encoding="utf-8"?>
<ds:datastoreItem xmlns:ds="http://schemas.openxmlformats.org/officeDocument/2006/customXml" ds:itemID="{9AA12E7A-59A9-4353-832B-414A546D75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2021-06-28T22:03:45Z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f96f48de-bd80-4458-bcab-f2266a4bda3b</vt:lpwstr>
  </property>
</Properties>
</file>