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6" documentId="8_{8D967003-355D-484D-AEA0-BE55EF4A93C0}" xr6:coauthVersionLast="47" xr6:coauthVersionMax="47" xr10:uidLastSave="{FD815047-8556-471F-BE9B-F74C4D149651}"/>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<sst xmlns="http://schemas.openxmlformats.org/spreadsheetml/2006/main" count="276" uniqueCount="204">
  <si>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</si>
  <si>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</si>
  <si>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</si>
  <si>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</si>
  <si>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</si>
  <si>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</si>
  <si>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</si>
  <si>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</si>
  <si>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</si>
  <si>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</si>
  <si>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</si>
  <si>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</si>
  <si>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</si>
  <si>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</si>
  <si>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</si>
  <si>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</si>
  <si>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</si>
  <si>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</si>
  <si>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</si>
  <si>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</si>
  <si>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</si>
  <si>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</si>
  <si>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</si>
  <si>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</si>
  <si>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</si>
  <si>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</si>
  <si>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</si>
  <si>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</si>
  <si>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</si>
  <si>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</si>
  <si>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</si>
  <si>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</si>
  <si>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</si>
  <si>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</si>
  <si>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</si>
  <si>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</si>
  <si>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</si>
  <si>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</si>
  <si>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</si>
  <si>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</si>
  <si>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</si>
  <si>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</si>
  <si>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</si>
  <si>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</si>
  <si>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</si>
  <si>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</si>
  <si>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</si>
  <si>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</si>
  <si>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</si>
  <si>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</si>
  <si>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</si>
  <si>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</si>
  <si>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</si>
  <si>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</si>
  <si>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</si>
  <si>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</si>
  <si>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</si>
  <si>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</si>
  <si>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</si>
  <si>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</si>
  <si>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</si>
  <si>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</si>
  <si>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</si>
  <si>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</si>
  <si>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</si>
  <si>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</si>
  <si>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</si>
  <si>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</si>
  <si>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</si>
  <si>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</si>
  <si>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</si>
  <si>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</si>
  <si>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</si>
  <si>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</si>
  <si>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</si>
  <si>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</si>
  <si>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</si>
  <si>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</si>
  <si>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</si>
  <si>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</si>
  <si>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</si>
  <si>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</si>
  <si>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</si>
  <si>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</si>
  <si>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</si>
  <si>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</si>
  <si>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</si>
  <si>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</si>
  <si>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</si>
  <si>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</si>
  <si>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</si>
  <si>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</si>
  <si>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</si>
  <si>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</si>
  <si>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</si>
  <si>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</si>
  <si>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</si>
  <si>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</si>
  <si>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</si>
  <si>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</si>
  <si>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</si>
  <si>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</si>
  <si>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</si>
  <si>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</si>
  <si>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</si>
  <si>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</si>
  <si>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</si>
  <si>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</si>
  <si>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</si>
  <si>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</si>
  <si>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</si>
  <si>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</si>
  <si>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</si>
  <si>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</si>
  <si>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</si>
  <si>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</si>
  <si>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</si>
  <si>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</si>
  <si>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</si>
  <si>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</si>
  <si>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</si>
  <si>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</si>
  <si>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</si>
  <si>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</si>
  <si>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</si>
  <si>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</si>
  <si>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</si>
  <si>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</si>
  <si>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</si>
  <si>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</si>
  <si>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</si>
  <si>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</si>
  <si>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</si>
  <si>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</si>
  <si>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</si>
  <si>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</si>
  <si>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</si>
  <si>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</si>
  <si>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</si>
  <si>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</si>
  <si>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</si>
  <si>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</si>
  <si>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</si>
  <si>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</si>
  <si>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</si>
  <si>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</si>
  <si>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</si>
  <si>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</si>
  <si>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</si>
  <si>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</si>
  <si>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</si>
  <si>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</si>
  <si>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</si>
  <si>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</si>
  <si>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</si>
  <si>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</si>
  <si>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</si>
  <si>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</si>
  <si>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</si>
  <si>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</si>
  <si>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</si>
  <si>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</si>
  <si>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</si>
  <si>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</si>
  <si>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</si>
  <si>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</si>
  <si>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</si>
  <si>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</si>
  <si>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</si>
  <si>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</si>
  <si>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</si>
  <si>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</si>
  <si>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</si>
  <si>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</si>
  <si>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</si>
  <si>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Tables G2, G3, G4</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</si>
  <si>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</si>
  <si>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</si>
  <si>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</si>
  <si>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</si>
  <si>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</si>
  <si>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</si>
  <si>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</si>
  <si>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</si>
  <si>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</si>
  <si>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</si>
  <si>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</si>
  <si>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</si>
  <si>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</si>
  <si>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</si>
  <si>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</si>
  <si>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</si>
  <si>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</si>
  <si>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</si>
  <si>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</si>
  <si>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</si>
  <si>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</si>
  <si>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Southland Stand-alone Council</t>
  </si>
  <si>
    <t>RFI Table F10; Lines F10.62 + F10.70 - E10.61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</si>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</sst>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313829500</v>
      </c>
      <c r="C6" s="12">
        <f ca="1">B6+Depreciation!C18+'Cash Flow'!C13</f>
        <v>316788308.71652943</v>
      </c>
      <c r="D6" s="1">
        <f ca="1">C6+Depreciation!D18</f>
        <v>351660701.8911857</v>
      </c>
      <c r="E6" s="1">
        <f ca="1">D6+Depreciation!E18</f>
        <v>388360004.93617392</v>
      </c>
      <c r="F6" s="1">
        <f ca="1">E6+Depreciation!F18</f>
        <v>426967430.7525844</v>
      </c>
      <c r="G6" s="1">
        <f ca="1">F6+Depreciation!G18</f>
        <v>467567519.11147016</v>
      </c>
      <c r="H6" s="1">
        <f ca="1">G6+Depreciation!H18</f>
        <v>510248266.41151357</v>
      </c>
      <c r="I6" s="1">
        <f ca="1">H6+Depreciation!I18</f>
        <v>555101260.33446932</v>
      </c>
      <c r="J6" s="1">
        <f ca="1">I6+Depreciation!J18</f>
        <v>602221819.57896841</v>
      </c>
      <c r="K6" s="1">
        <f ca="1">J6+Depreciation!K18</f>
        <v>651709138.85981262</v>
      </c>
      <c r="L6" s="1">
        <f ca="1">K6+Depreciation!L18</f>
        <v>703666439.36666167</v>
      </c>
      <c r="M6" s="1">
        <f ca="1">L6+Depreciation!M18</f>
        <v>758201124.88303614</v>
      </c>
      <c r="N6" s="1">
        <f ca="1">M6+Depreciation!N18</f>
        <v>815424943.77382684</v>
      </c>
      <c r="O6" s="1">
        <f ca="1">N6+Depreciation!O18</f>
        <v>875454157.05702758</v>
      </c>
      <c r="P6" s="1">
        <f ca="1">O6+Depreciation!P18</f>
        <v>938409712.78320837</v>
      </c>
      <c r="Q6" s="1">
        <f ca="1">P6+Depreciation!Q18</f>
        <v>1004417426.9543179</v>
      </c>
      <c r="R6" s="1">
        <f ca="1">Q6+Depreciation!R18</f>
        <v>1073608171.2217681</v>
      </c>
      <c r="S6" s="1">
        <f ca="1">R6+Depreciation!S18</f>
        <v>1146118067.6124136</v>
      </c>
      <c r="T6" s="1">
        <f ca="1">S6+Depreciation!T18</f>
        <v>1222088690.540009</v>
      </c>
      <c r="U6" s="1">
        <f ca="1">T6+Depreciation!U18</f>
        <v>1301667276.369015</v>
      </c>
      <c r="V6" s="1">
        <f ca="1">U6+Depreciation!V18</f>
        <v>1385006940.8072441</v>
      </c>
      <c r="W6" s="1">
        <f ca="1">V6+Depreciation!W18</f>
        <v>1472266904.4137974</v>
      </c>
      <c r="X6" s="1">
        <f ca="1">W6+Depreciation!X18</f>
        <v>1563612726.5190632</v>
      </c>
      <c r="Y6" s="1">
        <f ca="1">X6+Depreciation!Y18</f>
        <v>1659216547.8642259</v>
      </c>
      <c r="Z6" s="1">
        <f ca="1">Y6+Depreciation!Z18</f>
        <v>1759257342.2788031</v>
      </c>
      <c r="AA6" s="1">
        <f ca="1">Z6+Depreciation!AA18</f>
        <v>1863921177.7261801</v>
      </c>
      <c r="AB6" s="1">
        <f ca="1">AA6+Depreciation!AB18</f>
        <v>1973401487.0589752</v>
      </c>
      <c r="AC6" s="1">
        <f ca="1">AB6+Depreciation!AC18</f>
        <v>2087899348.8383572</v>
      </c>
      <c r="AD6" s="1">
        <f ca="1">AC6+Depreciation!AD18</f>
        <v>2207623778.5841508</v>
      </c>
      <c r="AE6" s="1">
        <f ca="1">AD6+Depreciation!AE18</f>
        <v>2332792030.8357444</v>
      </c>
      <c r="AF6" s="1"/>
      <c r="AG6" s="1"/>
      <c r="AH6" s="1"/>
      <c r="AI6" s="1"/>
      <c r="AJ6" s="1"/>
      <c r="AK6" s="1"/>
      <c r="AL6" s="1"/>
      <c r="AM6" s="1"/>
      <c r="AN6" s="1"/>
      <c r="AO6" s="1"/>
      <c r="AP6" s="1"/>
    </row>
    <row r="7" spans="1:42" x14ac:dyDescent="0.35">
      <c r="A7" t="s">
        <v>12</v>
      </c>
      <c r="B7" s="1">
        <f>Depreciation!C12</f>
        <v>162222232.36961266</v>
      </c>
      <c r="C7" s="1">
        <f>Depreciation!D12</f>
        <v>168388501.16026896</v>
      </c>
      <c r="D7" s="1">
        <f>Depreciation!E12</f>
        <v>175463083.84096915</v>
      </c>
      <c r="E7" s="1">
        <f>Depreciation!F12</f>
        <v>183497798.24143443</v>
      </c>
      <c r="F7" s="1">
        <f>Depreciation!G12</f>
        <v>192546848.41906473</v>
      </c>
      <c r="G7" s="1">
        <f>Depreciation!H12</f>
        <v>202666924.31605253</v>
      </c>
      <c r="H7" s="1">
        <f>Depreciation!I12</f>
        <v>213917305.35105482</v>
      </c>
      <c r="I7" s="1">
        <f>Depreciation!J12</f>
        <v>226359968.09518602</v>
      </c>
      <c r="J7" s="1">
        <f>Depreciation!K12</f>
        <v>240059698.18765053</v>
      </c>
      <c r="K7" s="1">
        <f>Depreciation!L12</f>
        <v>255084206.65209171</v>
      </c>
      <c r="L7" s="1">
        <f>Depreciation!M12</f>
        <v>271504250.78070134</v>
      </c>
      <c r="M7" s="1">
        <f>Depreciation!N12</f>
        <v>289393759.75931859</v>
      </c>
      <c r="N7" s="1">
        <f>Depreciation!O12</f>
        <v>308829965.21315634</v>
      </c>
      <c r="O7" s="1">
        <f>Depreciation!P12</f>
        <v>329893536.8594346</v>
      </c>
      <c r="P7" s="1">
        <f>Depreciation!Q12</f>
        <v>352668723.46008474</v>
      </c>
      <c r="Q7" s="1">
        <f>Depreciation!R12</f>
        <v>377243499.2748208</v>
      </c>
      <c r="R7" s="1">
        <f>Depreciation!S12</f>
        <v>403709716.2222653</v>
      </c>
      <c r="S7" s="1">
        <f>Depreciation!T12</f>
        <v>432163261.96447724</v>
      </c>
      <c r="T7" s="1">
        <f>Depreciation!U12</f>
        <v>462704224.1381675</v>
      </c>
      <c r="U7" s="1">
        <f>Depreciation!V12</f>
        <v>495437060.96411073</v>
      </c>
      <c r="V7" s="1">
        <f>Depreciation!W12</f>
        <v>530470778.47478527</v>
      </c>
      <c r="W7" s="1">
        <f>Depreciation!X12</f>
        <v>567919114.60910416</v>
      </c>
      <c r="X7" s="1">
        <f>Depreciation!Y12</f>
        <v>607900730.43224967</v>
      </c>
      <c r="Y7" s="1">
        <f>Depreciation!Z12</f>
        <v>650539408.74810505</v>
      </c>
      <c r="Z7" s="1">
        <f>Depreciation!AA12</f>
        <v>695964260.38160098</v>
      </c>
      <c r="AA7" s="1">
        <f>Depreciation!AB12</f>
        <v>744309938.41847098</v>
      </c>
      <c r="AB7" s="1">
        <f>Depreciation!AC12</f>
        <v>795716860.70045829</v>
      </c>
      <c r="AC7" s="1">
        <f>Depreciation!AD12</f>
        <v>850331440.88494074</v>
      </c>
      <c r="AD7" s="1">
        <f>Depreciation!AE12</f>
        <v>908306328.38926113</v>
      </c>
      <c r="AE7" s="1">
        <f>Depreciation!AF12</f>
        <v>969800657.55178022</v>
      </c>
      <c r="AF7" s="1"/>
      <c r="AG7" s="1"/>
      <c r="AH7" s="1"/>
      <c r="AI7" s="1"/>
      <c r="AJ7" s="1"/>
      <c r="AK7" s="1"/>
      <c r="AL7" s="1"/>
      <c r="AM7" s="1"/>
      <c r="AN7" s="1"/>
      <c r="AO7" s="1"/>
      <c r="AP7" s="1"/>
    </row>
    <row r="8" spans="1:42" x14ac:dyDescent="0.35">
      <c r="A8" t="s">
        <v>190</v>
      </c>
      <c r="B8" s="1">
        <f t="shared" ref="B8:AE8" si="1">B6-B7</f>
        <v>151607267.63038734</v>
      </c>
      <c r="C8" s="1">
        <f t="shared" ca="1" si="1"/>
        <v>148399807.55626047</v>
      </c>
      <c r="D8" s="1">
        <f ca="1">D6-D7</f>
        <v>176197618.05021656</v>
      </c>
      <c r="E8" s="1">
        <f t="shared" ca="1" si="1"/>
        <v>204862206.69473949</v>
      </c>
      <c r="F8" s="1">
        <f t="shared" ca="1" si="1"/>
        <v>234420582.33351967</v>
      </c>
      <c r="G8" s="1">
        <f t="shared" ca="1" si="1"/>
        <v>264900594.79541764</v>
      </c>
      <c r="H8" s="1">
        <f t="shared" ca="1" si="1"/>
        <v>296330961.06045878</v>
      </c>
      <c r="I8" s="1">
        <f t="shared" ca="1" si="1"/>
        <v>328741292.23928332</v>
      </c>
      <c r="J8" s="1">
        <f t="shared" ca="1" si="1"/>
        <v>362162121.39131784</v>
      </c>
      <c r="K8" s="1">
        <f t="shared" ca="1" si="1"/>
        <v>396624932.20772088</v>
      </c>
      <c r="L8" s="1">
        <f t="shared" ca="1" si="1"/>
        <v>432162188.58596033</v>
      </c>
      <c r="M8" s="1">
        <f t="shared" ca="1" si="1"/>
        <v>468807365.12371755</v>
      </c>
      <c r="N8" s="1">
        <f t="shared" ca="1" si="1"/>
        <v>506594978.5606705</v>
      </c>
      <c r="O8" s="1">
        <f t="shared" ca="1" si="1"/>
        <v>545560620.19759297</v>
      </c>
      <c r="P8" s="1">
        <f t="shared" ca="1" si="1"/>
        <v>585740989.32312369</v>
      </c>
      <c r="Q8" s="1">
        <f t="shared" ca="1" si="1"/>
        <v>627173927.67949712</v>
      </c>
      <c r="R8" s="1">
        <f t="shared" ca="1" si="1"/>
        <v>669898454.9995029</v>
      </c>
      <c r="S8" s="1">
        <f t="shared" ca="1" si="1"/>
        <v>713954805.64793634</v>
      </c>
      <c r="T8" s="1">
        <f t="shared" ca="1" si="1"/>
        <v>759384466.40184152</v>
      </c>
      <c r="U8" s="1">
        <f t="shared" ca="1" si="1"/>
        <v>806230215.40490425</v>
      </c>
      <c r="V8" s="1">
        <f t="shared" ca="1" si="1"/>
        <v>854536162.33245873</v>
      </c>
      <c r="W8" s="1">
        <f t="shared" ca="1" si="1"/>
        <v>904347789.80469322</v>
      </c>
      <c r="X8" s="1">
        <f t="shared" ca="1" si="1"/>
        <v>955711996.08681357</v>
      </c>
      <c r="Y8" s="1">
        <f t="shared" ca="1" si="1"/>
        <v>1008677139.1161208</v>
      </c>
      <c r="Z8" s="1">
        <f t="shared" ca="1" si="1"/>
        <v>1063293081.8972021</v>
      </c>
      <c r="AA8" s="1">
        <f t="shared" ca="1" si="1"/>
        <v>1119611239.3077092</v>
      </c>
      <c r="AB8" s="1">
        <f t="shared" ca="1" si="1"/>
        <v>1177684626.3585169</v>
      </c>
      <c r="AC8" s="1">
        <f t="shared" ca="1" si="1"/>
        <v>1237567907.9534163</v>
      </c>
      <c r="AD8" s="1">
        <f t="shared" ca="1" si="1"/>
        <v>1299317450.1948895</v>
      </c>
      <c r="AE8" s="1">
        <f t="shared" ca="1" si="1"/>
        <v>1362991373.2839642</v>
      </c>
      <c r="AF8" s="1"/>
      <c r="AG8" s="1"/>
      <c r="AH8" s="1"/>
      <c r="AI8" s="1"/>
      <c r="AJ8" s="1"/>
      <c r="AK8" s="1"/>
      <c r="AL8" s="1"/>
      <c r="AM8" s="1"/>
      <c r="AN8" s="1"/>
      <c r="AO8" s="1"/>
      <c r="AP8" s="1"/>
    </row>
    <row r="10" spans="1:42" x14ac:dyDescent="0.35">
      <c r="A10" t="s">
        <v>17</v>
      </c>
      <c r="B10" s="1">
        <f>B8-B11</f>
        <v>131417267.63038734</v>
      </c>
      <c r="C10" s="1">
        <f ca="1">C8-C11</f>
        <v>98045121.903177217</v>
      </c>
      <c r="D10" s="1">
        <f ca="1">D8-D11</f>
        <v>98942543.59192279</v>
      </c>
      <c r="E10" s="1">
        <f t="shared" ref="E10:AE10" ca="1" si="2">E8-E11</f>
        <v>107751788.26985896</v>
      </c>
      <c r="F10" s="1">
        <f t="shared" ca="1" si="2"/>
        <v>121112253.3979388</v>
      </c>
      <c r="G10" s="1">
        <f ca="1">G8-G11</f>
        <v>137969769.35583395</v>
      </c>
      <c r="H10" s="1">
        <f t="shared" ca="1" si="2"/>
        <v>157944400.28586614</v>
      </c>
      <c r="I10" s="1">
        <f t="shared" ca="1" si="2"/>
        <v>179129993.41519338</v>
      </c>
      <c r="J10" s="1">
        <f t="shared" ca="1" si="2"/>
        <v>201763120.55304849</v>
      </c>
      <c r="K10" s="1">
        <f t="shared" ca="1" si="2"/>
        <v>226111713.28156209</v>
      </c>
      <c r="L10" s="1">
        <f t="shared" ca="1" si="2"/>
        <v>251799517.26397192</v>
      </c>
      <c r="M10" s="1">
        <f t="shared" ca="1" si="2"/>
        <v>278311506.64109105</v>
      </c>
      <c r="N10" s="1">
        <f t="shared" ca="1" si="2"/>
        <v>305376563.56757712</v>
      </c>
      <c r="O10" s="1">
        <f t="shared" ca="1" si="2"/>
        <v>333063986.1365751</v>
      </c>
      <c r="P10" s="1">
        <f t="shared" ca="1" si="2"/>
        <v>361452033.37945664</v>
      </c>
      <c r="Q10" s="1">
        <f t="shared" ca="1" si="2"/>
        <v>390628760.29031849</v>
      </c>
      <c r="R10" s="1">
        <f t="shared" ca="1" si="2"/>
        <v>420692917.2634235</v>
      </c>
      <c r="S10" s="1">
        <f t="shared" ca="1" si="2"/>
        <v>451247410.18655217</v>
      </c>
      <c r="T10" s="1">
        <f t="shared" ca="1" si="2"/>
        <v>482342389.6295051</v>
      </c>
      <c r="U10" s="1">
        <f t="shared" ca="1" si="2"/>
        <v>514034783.04827255</v>
      </c>
      <c r="V10" s="1">
        <f t="shared" ca="1" si="2"/>
        <v>546388927.6428318</v>
      </c>
      <c r="W10" s="1">
        <f t="shared" ca="1" si="2"/>
        <v>579477250.91598737</v>
      </c>
      <c r="X10" s="1">
        <f t="shared" ca="1" si="2"/>
        <v>613381002.10657787</v>
      </c>
      <c r="Y10" s="1">
        <f t="shared" ca="1" si="2"/>
        <v>648191037.86555958</v>
      </c>
      <c r="Z10" s="1">
        <f t="shared" ca="1" si="2"/>
        <v>684008665.7500689</v>
      </c>
      <c r="AA10" s="1">
        <f t="shared" ca="1" si="2"/>
        <v>720946549.32918859</v>
      </c>
      <c r="AB10" s="1">
        <f t="shared" ca="1" si="2"/>
        <v>759129678.92649066</v>
      </c>
      <c r="AC10" s="1">
        <f t="shared" ca="1" si="2"/>
        <v>798696412.2692039</v>
      </c>
      <c r="AD10" s="1">
        <f t="shared" ca="1" si="2"/>
        <v>839799589.57281017</v>
      </c>
      <c r="AE10" s="1">
        <f t="shared" ca="1" si="2"/>
        <v>881683443.51216877</v>
      </c>
      <c r="AF10" s="1"/>
      <c r="AG10" s="1"/>
      <c r="AH10" s="1"/>
      <c r="AI10" s="1"/>
      <c r="AJ10" s="1"/>
      <c r="AK10" s="1"/>
      <c r="AL10" s="1"/>
      <c r="AM10" s="1"/>
      <c r="AN10" s="1"/>
      <c r="AO10" s="1"/>
    </row>
    <row r="11" spans="1:42" x14ac:dyDescent="0.35">
      <c r="A11" t="s">
        <v>9</v>
      </c>
      <c r="B11" s="1">
        <f>Assumptions!$C$20</f>
        <v>20190000</v>
      </c>
      <c r="C11" s="1">
        <f ca="1">'Debt worksheet'!D5</f>
        <v>50354685.65308325</v>
      </c>
      <c r="D11" s="1">
        <f ca="1">'Debt worksheet'!E5</f>
        <v>77255074.458293766</v>
      </c>
      <c r="E11" s="1">
        <f ca="1">'Debt worksheet'!F5</f>
        <v>97110418.424880534</v>
      </c>
      <c r="F11" s="1">
        <f ca="1">'Debt worksheet'!G5</f>
        <v>113308328.93558086</v>
      </c>
      <c r="G11" s="1">
        <f ca="1">'Debt worksheet'!H5</f>
        <v>126930825.43958369</v>
      </c>
      <c r="H11" s="1">
        <f ca="1">'Debt worksheet'!I5</f>
        <v>138386560.77459264</v>
      </c>
      <c r="I11" s="1">
        <f ca="1">'Debt worksheet'!J5</f>
        <v>149611298.82408994</v>
      </c>
      <c r="J11" s="1">
        <f ca="1">'Debt worksheet'!K5</f>
        <v>160399000.83826935</v>
      </c>
      <c r="K11" s="1">
        <f ca="1">'Debt worksheet'!L5</f>
        <v>170513218.92615879</v>
      </c>
      <c r="L11" s="1">
        <f ca="1">'Debt worksheet'!M5</f>
        <v>180362671.3219884</v>
      </c>
      <c r="M11" s="1">
        <f ca="1">'Debt worksheet'!N5</f>
        <v>190495858.4826265</v>
      </c>
      <c r="N11" s="1">
        <f ca="1">'Debt worksheet'!O5</f>
        <v>201218414.99309337</v>
      </c>
      <c r="O11" s="1">
        <f ca="1">'Debt worksheet'!P5</f>
        <v>212496634.06101784</v>
      </c>
      <c r="P11" s="1">
        <f ca="1">'Debt worksheet'!Q5</f>
        <v>224288955.94366705</v>
      </c>
      <c r="Q11" s="1">
        <f ca="1">'Debt worksheet'!R5</f>
        <v>236545167.38917863</v>
      </c>
      <c r="R11" s="1">
        <f ca="1">'Debt worksheet'!S5</f>
        <v>249205537.73607939</v>
      </c>
      <c r="S11" s="1">
        <f ca="1">'Debt worksheet'!T5</f>
        <v>262707395.46138421</v>
      </c>
      <c r="T11" s="1">
        <f ca="1">'Debt worksheet'!U5</f>
        <v>277042076.77233642</v>
      </c>
      <c r="U11" s="1">
        <f ca="1">'Debt worksheet'!V5</f>
        <v>292195432.3566317</v>
      </c>
      <c r="V11" s="1">
        <f ca="1">'Debt worksheet'!W5</f>
        <v>308147234.68962693</v>
      </c>
      <c r="W11" s="1">
        <f ca="1">'Debt worksheet'!X5</f>
        <v>324870538.88870585</v>
      </c>
      <c r="X11" s="1">
        <f ca="1">'Debt worksheet'!Y5</f>
        <v>342330993.9802357</v>
      </c>
      <c r="Y11" s="1">
        <f ca="1">'Debt worksheet'!Z5</f>
        <v>360486101.25056124</v>
      </c>
      <c r="Z11" s="1">
        <f ca="1">'Debt worksheet'!AA5</f>
        <v>379284416.14713329</v>
      </c>
      <c r="AA11" s="1">
        <f ca="1">'Debt worksheet'!AB5</f>
        <v>398664689.97852069</v>
      </c>
      <c r="AB11" s="1">
        <f ca="1">'Debt worksheet'!AC5</f>
        <v>418554947.43202627</v>
      </c>
      <c r="AC11" s="1">
        <f ca="1">'Debt worksheet'!AD5</f>
        <v>438871495.68421245</v>
      </c>
      <c r="AD11" s="1">
        <f ca="1">'Debt worksheet'!AE5</f>
        <v>459517860.62207937</v>
      </c>
      <c r="AE11" s="1">
        <f ca="1">'Debt worksheet'!AF5</f>
        <v>481307929.77179539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-2348673.6530832495</v>
      </c>
      <c r="D5" s="4">
        <f ca="1">'Profit and Loss'!D9</f>
        <v>1805735.5787894875</v>
      </c>
      <c r="E5" s="4">
        <f ca="1">'Profit and Loss'!E9</f>
        <v>9769376.3977012243</v>
      </c>
      <c r="F5" s="4">
        <f ca="1">'Profit and Loss'!F9</f>
        <v>14374800.905244889</v>
      </c>
      <c r="G5" s="4">
        <f ca="1">'Profit and Loss'!G9</f>
        <v>17928541.677252647</v>
      </c>
      <c r="H5" s="4">
        <f ca="1">'Profit and Loss'!H9</f>
        <v>21104936.068046678</v>
      </c>
      <c r="I5" s="4">
        <f ca="1">'Profit and Loss'!I9</f>
        <v>22377874.838456087</v>
      </c>
      <c r="J5" s="4">
        <f ca="1">'Profit and Loss'!J9</f>
        <v>23890194.486188505</v>
      </c>
      <c r="K5" s="4">
        <f ca="1">'Profit and Loss'!K9</f>
        <v>25673371.10049025</v>
      </c>
      <c r="L5" s="4">
        <f ca="1">'Profit and Loss'!L9</f>
        <v>27083339.646578234</v>
      </c>
      <c r="M5" s="4">
        <f ca="1">'Profit and Loss'!M9</f>
        <v>27981454.227126792</v>
      </c>
      <c r="N5" s="4">
        <f ca="1">'Profit and Loss'!N9</f>
        <v>28611753.401706483</v>
      </c>
      <c r="O5" s="4">
        <f ca="1">'Profit and Loss'!O9</f>
        <v>29314788.761438452</v>
      </c>
      <c r="P5" s="4">
        <f ca="1">'Profit and Loss'!P9</f>
        <v>30099662.197253317</v>
      </c>
      <c r="Q5" s="4">
        <f ca="1">'Profit and Loss'!Q9</f>
        <v>30976316.124947816</v>
      </c>
      <c r="R5" s="4">
        <f ca="1">'Profit and Loss'!R9</f>
        <v>31955598.105813358</v>
      </c>
      <c r="S5" s="4">
        <f ca="1">'Profit and Loss'!S9</f>
        <v>32541821.717896175</v>
      </c>
      <c r="T5" s="4">
        <f ca="1">'Profit and Loss'!T9</f>
        <v>33182395.874431193</v>
      </c>
      <c r="U5" s="4">
        <f ca="1">'Profit and Loss'!U9</f>
        <v>33884268.071020409</v>
      </c>
      <c r="V5" s="4">
        <f ca="1">'Profit and Loss'!V9</f>
        <v>34655025.279290542</v>
      </c>
      <c r="W5" s="4">
        <f ca="1">'Profit and Loss'!W9</f>
        <v>35502941.896800011</v>
      </c>
      <c r="X5" s="4">
        <f ca="1">'Profit and Loss'!X9</f>
        <v>36437030.879417181</v>
      </c>
      <c r="Y5" s="4">
        <f ca="1">'Profit and Loss'!Y9</f>
        <v>37467098.251691803</v>
      </c>
      <c r="Z5" s="4">
        <f ca="1">'Profit and Loss'!Z9</f>
        <v>38603801.202149823</v>
      </c>
      <c r="AA5" s="4">
        <f ca="1">'Profit and Loss'!AA9</f>
        <v>39858709.982493594</v>
      </c>
      <c r="AB5" s="4">
        <f ca="1">'Profit and Loss'!AB9</f>
        <v>41244373.84241958</v>
      </c>
      <c r="AC5" s="4">
        <f ca="1">'Profit and Loss'!AC9</f>
        <v>42774391.245208621</v>
      </c>
      <c r="AD5" s="4">
        <f ca="1">'Profit and Loss'!AD9</f>
        <v>44463484.623444527</v>
      </c>
      <c r="AE5" s="4">
        <f ca="1">'Profit and Loss'!AE9</f>
        <v>45403295.597557381</v>
      </c>
      <c r="AF5" s="4">
        <f ca="1">'Profit and Loss'!AF9</f>
        <v>45444810.285891965</v>
      </c>
      <c r="AG5" s="4"/>
      <c r="AH5" s="4"/>
      <c r="AI5" s="4"/>
      <c r="AJ5" s="4"/>
      <c r="AK5" s="4"/>
      <c r="AL5" s="4"/>
      <c r="AM5" s="4"/>
      <c r="AN5" s="4"/>
      <c r="AO5" s="4"/>
      <c r="AP5" s="4"/>
    </row>
    <row r="6" spans="1:42" x14ac:dyDescent="0.35">
      <c r="A6" t="s">
        <v>21</v>
      </c>
      <c r="C6" s="4">
        <f>Depreciation!C8+Depreciation!C9</f>
        <v>5307482.3696126668</v>
      </c>
      <c r="D6" s="4">
        <f>Depreciation!D8+Depreciation!D9</f>
        <v>6166268.7906562723</v>
      </c>
      <c r="E6" s="4">
        <f>Depreciation!E8+Depreciation!E9</f>
        <v>7074582.6807001838</v>
      </c>
      <c r="F6" s="4">
        <f>Depreciation!F8+Depreciation!F9</f>
        <v>8034714.4004652752</v>
      </c>
      <c r="G6" s="4">
        <f>Depreciation!G8+Depreciation!G9</f>
        <v>9049050.177630296</v>
      </c>
      <c r="H6" s="4">
        <f>Depreciation!H8+Depreciation!H9</f>
        <v>10120075.8969878</v>
      </c>
      <c r="I6" s="4">
        <f>Depreciation!I8+Depreciation!I9</f>
        <v>11250381.035002289</v>
      </c>
      <c r="J6" s="4">
        <f>Depreciation!J8+Depreciation!J9</f>
        <v>12442662.744131194</v>
      </c>
      <c r="K6" s="4">
        <f>Depreciation!K8+Depreciation!K9</f>
        <v>13699730.092464507</v>
      </c>
      <c r="L6" s="4">
        <f>Depreciation!L8+Depreciation!L9</f>
        <v>15024508.464441158</v>
      </c>
      <c r="M6" s="4">
        <f>Depreciation!M8+Depreciation!M9</f>
        <v>16420044.128609631</v>
      </c>
      <c r="N6" s="4">
        <f>Depreciation!N8+Depreciation!N9</f>
        <v>17889508.978617303</v>
      </c>
      <c r="O6" s="4">
        <f>Depreciation!O8+Depreciation!O9</f>
        <v>19436205.453837767</v>
      </c>
      <c r="P6" s="4">
        <f>Depreciation!P8+Depreciation!P9</f>
        <v>21063571.646278232</v>
      </c>
      <c r="Q6" s="4">
        <f>Depreciation!Q8+Depreciation!Q9</f>
        <v>22775186.600650158</v>
      </c>
      <c r="R6" s="4">
        <f>Depreciation!R8+Depreciation!R9</f>
        <v>24574775.814736109</v>
      </c>
      <c r="S6" s="4">
        <f>Depreciation!S8+Depreciation!S9</f>
        <v>26466216.947444491</v>
      </c>
      <c r="T6" s="4">
        <f>Depreciation!T8+Depreciation!T9</f>
        <v>28453545.742211912</v>
      </c>
      <c r="U6" s="4">
        <f>Depreciation!U8+Depreciation!U9</f>
        <v>30540962.173690263</v>
      </c>
      <c r="V6" s="4">
        <f>Depreciation!V8+Depreciation!V9</f>
        <v>32732836.825943217</v>
      </c>
      <c r="W6" s="4">
        <f>Depreciation!W8+Depreciation!W9</f>
        <v>35033717.510674499</v>
      </c>
      <c r="X6" s="4">
        <f>Depreciation!X8+Depreciation!X9</f>
        <v>37448336.134318799</v>
      </c>
      <c r="Y6" s="4">
        <f>Depreciation!Y8+Depreciation!Y9</f>
        <v>39981615.823145419</v>
      </c>
      <c r="Z6" s="4">
        <f>Depreciation!Z8+Depreciation!Z9</f>
        <v>42638678.315855399</v>
      </c>
      <c r="AA6" s="4">
        <f>Depreciation!AA8+Depreciation!AA9</f>
        <v>45424851.633495927</v>
      </c>
      <c r="AB6" s="4">
        <f>Depreciation!AB8+Depreciation!AB9</f>
        <v>48345678.036869988</v>
      </c>
      <c r="AC6" s="4">
        <f>Depreciation!AC8+Depreciation!AC9</f>
        <v>51406922.281987295</v>
      </c>
      <c r="AD6" s="4">
        <f>Depreciation!AD8+Depreciation!AD9</f>
        <v>54614580.184482381</v>
      </c>
      <c r="AE6" s="4">
        <f>Depreciation!AE8+Depreciation!AE9</f>
        <v>57974887.504320368</v>
      </c>
      <c r="AF6" s="4">
        <f>Depreciation!AF8+Depreciation!AF9</f>
        <v>61494329.162519082</v>
      </c>
      <c r="AG6" s="4"/>
      <c r="AH6" s="4"/>
      <c r="AI6" s="4"/>
      <c r="AJ6" s="4"/>
      <c r="AK6" s="4"/>
      <c r="AL6" s="4"/>
      <c r="AM6" s="4"/>
      <c r="AN6" s="4"/>
      <c r="AO6" s="4"/>
      <c r="AP6" s="4"/>
    </row>
    <row r="7" spans="1:42" x14ac:dyDescent="0.35">
      <c r="A7" t="s">
        <v>23</v>
      </c>
      <c r="C7" s="4">
        <f ca="1">C6+C5</f>
        <v>2958808.7165294173</v>
      </c>
      <c r="D7" s="4">
        <f ca="1">D6+D5</f>
        <v>7972004.3694457598</v>
      </c>
      <c r="E7" s="4">
        <f t="shared" ref="E7:AF7" ca="1" si="1">E6+E5</f>
        <v>16843959.078401409</v>
      </c>
      <c r="F7" s="4">
        <f t="shared" ca="1" si="1"/>
        <v>22409515.305710163</v>
      </c>
      <c r="G7" s="4">
        <f ca="1">G6+G5</f>
        <v>26977591.854882941</v>
      </c>
      <c r="H7" s="4">
        <f t="shared" ca="1" si="1"/>
        <v>31225011.965034477</v>
      </c>
      <c r="I7" s="4">
        <f t="shared" ca="1" si="1"/>
        <v>33628255.873458378</v>
      </c>
      <c r="J7" s="4">
        <f t="shared" ca="1" si="1"/>
        <v>36332857.230319701</v>
      </c>
      <c r="K7" s="4">
        <f t="shared" ca="1" si="1"/>
        <v>39373101.192954756</v>
      </c>
      <c r="L7" s="4">
        <f t="shared" ca="1" si="1"/>
        <v>42107848.111019388</v>
      </c>
      <c r="M7" s="4">
        <f t="shared" ca="1" si="1"/>
        <v>44401498.35573642</v>
      </c>
      <c r="N7" s="4">
        <f t="shared" ca="1" si="1"/>
        <v>46501262.380323783</v>
      </c>
      <c r="O7" s="4">
        <f t="shared" ca="1" si="1"/>
        <v>48750994.215276219</v>
      </c>
      <c r="P7" s="4">
        <f t="shared" ca="1" si="1"/>
        <v>51163233.843531549</v>
      </c>
      <c r="Q7" s="4">
        <f t="shared" ca="1" si="1"/>
        <v>53751502.725597978</v>
      </c>
      <c r="R7" s="4">
        <f t="shared" ca="1" si="1"/>
        <v>56530373.920549467</v>
      </c>
      <c r="S7" s="4">
        <f t="shared" ca="1" si="1"/>
        <v>59008038.665340662</v>
      </c>
      <c r="T7" s="4">
        <f t="shared" ca="1" si="1"/>
        <v>61635941.616643101</v>
      </c>
      <c r="U7" s="4">
        <f t="shared" ca="1" si="1"/>
        <v>64425230.244710669</v>
      </c>
      <c r="V7" s="4">
        <f t="shared" ca="1" si="1"/>
        <v>67387862.105233759</v>
      </c>
      <c r="W7" s="4">
        <f t="shared" ca="1" si="1"/>
        <v>70536659.407474518</v>
      </c>
      <c r="X7" s="4">
        <f t="shared" ca="1" si="1"/>
        <v>73885367.01373598</v>
      </c>
      <c r="Y7" s="4">
        <f t="shared" ca="1" si="1"/>
        <v>77448714.074837223</v>
      </c>
      <c r="Z7" s="4">
        <f t="shared" ca="1" si="1"/>
        <v>81242479.518005222</v>
      </c>
      <c r="AA7" s="4">
        <f t="shared" ca="1" si="1"/>
        <v>85283561.615989521</v>
      </c>
      <c r="AB7" s="4">
        <f t="shared" ca="1" si="1"/>
        <v>89590051.879289567</v>
      </c>
      <c r="AC7" s="4">
        <f t="shared" ca="1" si="1"/>
        <v>94181313.527195916</v>
      </c>
      <c r="AD7" s="4">
        <f t="shared" ca="1" si="1"/>
        <v>99078064.807926908</v>
      </c>
      <c r="AE7" s="4">
        <f t="shared" ca="1" si="1"/>
        <v>103378183.10187775</v>
      </c>
      <c r="AF7" s="4">
        <f t="shared" ca="1" si="1"/>
        <v>106939139.44841105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33123494.369612668</v>
      </c>
      <c r="D10" s="9">
        <f>Investment!D25</f>
        <v>34872393.174656272</v>
      </c>
      <c r="E10" s="9">
        <f>Investment!E25</f>
        <v>36699303.044988185</v>
      </c>
      <c r="F10" s="9">
        <f>Investment!F25</f>
        <v>38607425.816410489</v>
      </c>
      <c r="G10" s="9">
        <f>Investment!G25</f>
        <v>40600088.358885758</v>
      </c>
      <c r="H10" s="9">
        <f>Investment!H25</f>
        <v>42680747.300043434</v>
      </c>
      <c r="I10" s="9">
        <f>Investment!I25</f>
        <v>44852993.922955699</v>
      </c>
      <c r="J10" s="9">
        <f>Investment!J25</f>
        <v>47120559.244499117</v>
      </c>
      <c r="K10" s="9">
        <f>Investment!K25</f>
        <v>49487319.280844197</v>
      </c>
      <c r="L10" s="9">
        <f>Investment!L25</f>
        <v>51957300.506849006</v>
      </c>
      <c r="M10" s="9">
        <f>Investment!M25</f>
        <v>54534685.516374528</v>
      </c>
      <c r="N10" s="9">
        <f>Investment!N25</f>
        <v>57223818.890790671</v>
      </c>
      <c r="O10" s="9">
        <f>Investment!O25</f>
        <v>60029213.283200696</v>
      </c>
      <c r="P10" s="9">
        <f>Investment!P25</f>
        <v>62955555.726180762</v>
      </c>
      <c r="Q10" s="9">
        <f>Investment!Q25</f>
        <v>66007714.171109572</v>
      </c>
      <c r="R10" s="9">
        <f>Investment!R25</f>
        <v>69190744.267450228</v>
      </c>
      <c r="S10" s="9">
        <f>Investment!S25</f>
        <v>72509896.390645474</v>
      </c>
      <c r="T10" s="9">
        <f>Investment!T25</f>
        <v>75970622.927595317</v>
      </c>
      <c r="U10" s="9">
        <f>Investment!U25</f>
        <v>79578585.829005927</v>
      </c>
      <c r="V10" s="9">
        <f>Investment!V25</f>
        <v>83339664.438228995</v>
      </c>
      <c r="W10" s="9">
        <f>Investment!W25</f>
        <v>87259963.60655342</v>
      </c>
      <c r="X10" s="9">
        <f>Investment!X25</f>
        <v>91345822.105265841</v>
      </c>
      <c r="Y10" s="9">
        <f>Investment!Y25</f>
        <v>95603821.345162749</v>
      </c>
      <c r="Z10" s="9">
        <f>Investment!Z25</f>
        <v>100040794.41457729</v>
      </c>
      <c r="AA10" s="9">
        <f>Investment!AA25</f>
        <v>104663835.44737694</v>
      </c>
      <c r="AB10" s="9">
        <f>Investment!AB25</f>
        <v>109480309.33279517</v>
      </c>
      <c r="AC10" s="9">
        <f>Investment!AC25</f>
        <v>114497861.77938209</v>
      </c>
      <c r="AD10" s="9">
        <f>Investment!AD25</f>
        <v>119724429.7457938</v>
      </c>
      <c r="AE10" s="9">
        <f>Investment!AE25</f>
        <v>125168252.25159377</v>
      </c>
      <c r="AF10" s="9">
        <f>Investment!AF25</f>
        <v>130837881.58170521</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-30164685.65308325</v>
      </c>
      <c r="D12" s="1">
        <f t="shared" ref="D12:AF12" ca="1" si="2">D7-D9-D10</f>
        <v>-26900388.805210512</v>
      </c>
      <c r="E12" s="1">
        <f ca="1">E7-E9-E10</f>
        <v>-19855343.966586776</v>
      </c>
      <c r="F12" s="1">
        <f t="shared" ca="1" si="2"/>
        <v>-16197910.510700326</v>
      </c>
      <c r="G12" s="1">
        <f ca="1">G7-G9-G10</f>
        <v>-13622496.504002817</v>
      </c>
      <c r="H12" s="1">
        <f t="shared" ca="1" si="2"/>
        <v>-11455735.335008956</v>
      </c>
      <c r="I12" s="1">
        <f t="shared" ca="1" si="2"/>
        <v>-11224738.049497321</v>
      </c>
      <c r="J12" s="1">
        <f t="shared" ca="1" si="2"/>
        <v>-10787702.014179416</v>
      </c>
      <c r="K12" s="1">
        <f t="shared" ca="1" si="2"/>
        <v>-10114218.08788944</v>
      </c>
      <c r="L12" s="1">
        <f t="shared" ca="1" si="2"/>
        <v>-9849452.395829618</v>
      </c>
      <c r="M12" s="1">
        <f t="shared" ca="1" si="2"/>
        <v>-10133187.160638109</v>
      </c>
      <c r="N12" s="1">
        <f t="shared" ca="1" si="2"/>
        <v>-10722556.510466889</v>
      </c>
      <c r="O12" s="1">
        <f t="shared" ca="1" si="2"/>
        <v>-11278219.067924477</v>
      </c>
      <c r="P12" s="1">
        <f t="shared" ca="1" si="2"/>
        <v>-11792321.882649213</v>
      </c>
      <c r="Q12" s="1">
        <f t="shared" ca="1" si="2"/>
        <v>-12256211.445511594</v>
      </c>
      <c r="R12" s="1">
        <f t="shared" ca="1" si="2"/>
        <v>-12660370.346900761</v>
      </c>
      <c r="S12" s="1">
        <f t="shared" ca="1" si="2"/>
        <v>-13501857.725304812</v>
      </c>
      <c r="T12" s="1">
        <f t="shared" ca="1" si="2"/>
        <v>-14334681.310952216</v>
      </c>
      <c r="U12" s="1">
        <f t="shared" ca="1" si="2"/>
        <v>-15153355.584295258</v>
      </c>
      <c r="V12" s="1">
        <f t="shared" ca="1" si="2"/>
        <v>-15951802.332995236</v>
      </c>
      <c r="W12" s="1">
        <f t="shared" ca="1" si="2"/>
        <v>-16723304.199078903</v>
      </c>
      <c r="X12" s="1">
        <f t="shared" ca="1" si="2"/>
        <v>-17460455.091529861</v>
      </c>
      <c r="Y12" s="1">
        <f t="shared" ca="1" si="2"/>
        <v>-18155107.270325527</v>
      </c>
      <c r="Z12" s="1">
        <f t="shared" ca="1" si="2"/>
        <v>-18798314.896572068</v>
      </c>
      <c r="AA12" s="1">
        <f t="shared" ca="1" si="2"/>
        <v>-19380273.831387416</v>
      </c>
      <c r="AB12" s="1">
        <f t="shared" ca="1" si="2"/>
        <v>-19890257.453505605</v>
      </c>
      <c r="AC12" s="1">
        <f t="shared" ca="1" si="2"/>
        <v>-20316548.252186179</v>
      </c>
      <c r="AD12" s="1">
        <f t="shared" ca="1" si="2"/>
        <v>-20646364.937866896</v>
      </c>
      <c r="AE12" s="1">
        <f t="shared" ca="1" si="2"/>
        <v>-21790069.14971602</v>
      </c>
      <c r="AF12" s="1">
        <f t="shared" ca="1" si="2"/>
        <v>-23898742.133294165</v>
      </c>
      <c r="AG12" s="1"/>
      <c r="AH12" s="1"/>
      <c r="AI12" s="1"/>
      <c r="AJ12" s="1"/>
      <c r="AK12" s="1"/>
      <c r="AL12" s="1"/>
      <c r="AM12" s="1"/>
      <c r="AN12" s="1"/>
      <c r="AO12" s="1"/>
      <c r="AP12" s="1"/>
    </row>
    <row r="13" spans="1:42" x14ac:dyDescent="0.35">
      <c r="A13" t="s">
        <v>19</v>
      </c>
      <c r="C13" s="1">
        <f ca="1">C12</f>
        <v>-30164685.65308325</v>
      </c>
      <c r="D13" s="1">
        <f ca="1">D12</f>
        <v>-26900388.805210512</v>
      </c>
      <c r="E13" s="1">
        <f ca="1">E12</f>
        <v>-19855343.966586776</v>
      </c>
      <c r="F13" s="1">
        <f t="shared" ref="F13:AF13" ca="1" si="3">F12</f>
        <v>-16197910.510700326</v>
      </c>
      <c r="G13" s="1">
        <f ca="1">G12</f>
        <v>-13622496.504002817</v>
      </c>
      <c r="H13" s="1">
        <f t="shared" ca="1" si="3"/>
        <v>-11455735.335008956</v>
      </c>
      <c r="I13" s="1">
        <f t="shared" ca="1" si="3"/>
        <v>-11224738.049497321</v>
      </c>
      <c r="J13" s="1">
        <f t="shared" ca="1" si="3"/>
        <v>-10787702.014179416</v>
      </c>
      <c r="K13" s="1">
        <f t="shared" ca="1" si="3"/>
        <v>-10114218.08788944</v>
      </c>
      <c r="L13" s="1">
        <f t="shared" ca="1" si="3"/>
        <v>-9849452.395829618</v>
      </c>
      <c r="M13" s="1">
        <f t="shared" ca="1" si="3"/>
        <v>-10133187.160638109</v>
      </c>
      <c r="N13" s="1">
        <f t="shared" ca="1" si="3"/>
        <v>-10722556.510466889</v>
      </c>
      <c r="O13" s="1">
        <f t="shared" ca="1" si="3"/>
        <v>-11278219.067924477</v>
      </c>
      <c r="P13" s="1">
        <f t="shared" ca="1" si="3"/>
        <v>-11792321.882649213</v>
      </c>
      <c r="Q13" s="1">
        <f t="shared" ca="1" si="3"/>
        <v>-12256211.445511594</v>
      </c>
      <c r="R13" s="1">
        <f t="shared" ca="1" si="3"/>
        <v>-12660370.346900761</v>
      </c>
      <c r="S13" s="1">
        <f t="shared" ca="1" si="3"/>
        <v>-13501857.725304812</v>
      </c>
      <c r="T13" s="1">
        <f t="shared" ca="1" si="3"/>
        <v>-14334681.310952216</v>
      </c>
      <c r="U13" s="1">
        <f t="shared" ca="1" si="3"/>
        <v>-15153355.584295258</v>
      </c>
      <c r="V13" s="1">
        <f t="shared" ca="1" si="3"/>
        <v>-15951802.332995236</v>
      </c>
      <c r="W13" s="1">
        <f t="shared" ca="1" si="3"/>
        <v>-16723304.199078903</v>
      </c>
      <c r="X13" s="1">
        <f t="shared" ca="1" si="3"/>
        <v>-17460455.091529861</v>
      </c>
      <c r="Y13" s="1">
        <f t="shared" ca="1" si="3"/>
        <v>-18155107.270325527</v>
      </c>
      <c r="Z13" s="1">
        <f t="shared" ca="1" si="3"/>
        <v>-18798314.896572068</v>
      </c>
      <c r="AA13" s="1">
        <f t="shared" ca="1" si="3"/>
        <v>-19380273.831387416</v>
      </c>
      <c r="AB13" s="1">
        <f t="shared" ca="1" si="3"/>
        <v>-19890257.453505605</v>
      </c>
      <c r="AC13" s="1">
        <f t="shared" ca="1" si="3"/>
        <v>-20316548.252186179</v>
      </c>
      <c r="AD13" s="1">
        <f t="shared" ca="1" si="3"/>
        <v>-20646364.937866896</v>
      </c>
      <c r="AE13" s="1">
        <f t="shared" ca="1" si="3"/>
        <v>-21790069.14971602</v>
      </c>
      <c r="AF13" s="1">
        <f t="shared" ca="1" si="3"/>
        <v>-23898742.133294165</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313829500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156914750</v>
      </c>
      <c r="D7" s="9">
        <f>C12</f>
        <v>162222232.36961266</v>
      </c>
      <c r="E7" s="9">
        <f>D12</f>
        <v>168388501.16026896</v>
      </c>
      <c r="F7" s="9">
        <f t="shared" ref="F7:H7" si="1">E12</f>
        <v>175463083.84096915</v>
      </c>
      <c r="G7" s="9">
        <f t="shared" si="1"/>
        <v>183497798.24143443</v>
      </c>
      <c r="H7" s="9">
        <f t="shared" si="1"/>
        <v>192546848.41906473</v>
      </c>
      <c r="I7" s="9">
        <f t="shared" ref="I7" si="2">H12</f>
        <v>202666924.31605253</v>
      </c>
      <c r="J7" s="9">
        <f t="shared" ref="J7" si="3">I12</f>
        <v>213917305.35105482</v>
      </c>
      <c r="K7" s="9">
        <f t="shared" ref="K7" si="4">J12</f>
        <v>226359968.09518602</v>
      </c>
      <c r="L7" s="9">
        <f t="shared" ref="L7" si="5">K12</f>
        <v>240059698.18765053</v>
      </c>
      <c r="M7" s="9">
        <f t="shared" ref="M7" si="6">L12</f>
        <v>255084206.65209171</v>
      </c>
      <c r="N7" s="9">
        <f t="shared" ref="N7" si="7">M12</f>
        <v>271504250.78070134</v>
      </c>
      <c r="O7" s="9">
        <f t="shared" ref="O7" si="8">N12</f>
        <v>289393759.75931859</v>
      </c>
      <c r="P7" s="9">
        <f t="shared" ref="P7" si="9">O12</f>
        <v>308829965.21315634</v>
      </c>
      <c r="Q7" s="9">
        <f t="shared" ref="Q7" si="10">P12</f>
        <v>329893536.8594346</v>
      </c>
      <c r="R7" s="9">
        <f t="shared" ref="R7" si="11">Q12</f>
        <v>352668723.46008474</v>
      </c>
      <c r="S7" s="9">
        <f t="shared" ref="S7" si="12">R12</f>
        <v>377243499.2748208</v>
      </c>
      <c r="T7" s="9">
        <f t="shared" ref="T7" si="13">S12</f>
        <v>403709716.2222653</v>
      </c>
      <c r="U7" s="9">
        <f t="shared" ref="U7" si="14">T12</f>
        <v>432163261.96447724</v>
      </c>
      <c r="V7" s="9">
        <f t="shared" ref="V7" si="15">U12</f>
        <v>462704224.1381675</v>
      </c>
      <c r="W7" s="9">
        <f t="shared" ref="W7" si="16">V12</f>
        <v>495437060.96411073</v>
      </c>
      <c r="X7" s="9">
        <f t="shared" ref="X7" si="17">W12</f>
        <v>530470778.47478527</v>
      </c>
      <c r="Y7" s="9">
        <f t="shared" ref="Y7" si="18">X12</f>
        <v>567919114.60910416</v>
      </c>
      <c r="Z7" s="9">
        <f t="shared" ref="Z7" si="19">Y12</f>
        <v>607900730.43224967</v>
      </c>
      <c r="AA7" s="9">
        <f t="shared" ref="AA7" si="20">Z12</f>
        <v>650539408.74810505</v>
      </c>
      <c r="AB7" s="9">
        <f t="shared" ref="AB7" si="21">AA12</f>
        <v>695964260.38160098</v>
      </c>
      <c r="AC7" s="9">
        <f t="shared" ref="AC7" si="22">AB12</f>
        <v>744309938.41847098</v>
      </c>
      <c r="AD7" s="9">
        <f t="shared" ref="AD7" si="23">AC12</f>
        <v>795716860.70045829</v>
      </c>
      <c r="AE7" s="9">
        <f t="shared" ref="AE7" si="24">AD12</f>
        <v>850331440.88494074</v>
      </c>
      <c r="AF7" s="9">
        <f t="shared" ref="AF7" si="25">AE12</f>
        <v>908306328.38926113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4639898.0816126671</v>
      </c>
      <c r="D8" s="9">
        <f>Assumptions!E111*Assumptions!E11</f>
        <v>4788374.8202242721</v>
      </c>
      <c r="E8" s="9">
        <f>Assumptions!F111*Assumptions!F11</f>
        <v>4941602.8144714478</v>
      </c>
      <c r="F8" s="9">
        <f>Assumptions!G111*Assumptions!G11</f>
        <v>5099734.1045345347</v>
      </c>
      <c r="G8" s="9">
        <f>Assumptions!H111*Assumptions!H11</f>
        <v>5262925.5958796404</v>
      </c>
      <c r="H8" s="9">
        <f>Assumptions!I111*Assumptions!I11</f>
        <v>5431339.214947788</v>
      </c>
      <c r="I8" s="9">
        <f>Assumptions!J111*Assumptions!J11</f>
        <v>5605142.0698261168</v>
      </c>
      <c r="J8" s="9">
        <f>Assumptions!K111*Assumptions!K11</f>
        <v>5784506.6160605531</v>
      </c>
      <c r="K8" s="9">
        <f>Assumptions!L111*Assumptions!L11</f>
        <v>5969610.8277744912</v>
      </c>
      <c r="L8" s="9">
        <f>Assumptions!M111*Assumptions!M11</f>
        <v>6160638.3742632745</v>
      </c>
      <c r="M8" s="9">
        <f>Assumptions!N111*Assumptions!N11</f>
        <v>6357778.8022396984</v>
      </c>
      <c r="N8" s="9">
        <f>Assumptions!O111*Assumptions!O11</f>
        <v>6561227.7239113692</v>
      </c>
      <c r="O8" s="9">
        <f>Assumptions!P111*Assumptions!P11</f>
        <v>6771187.0110765342</v>
      </c>
      <c r="P8" s="9">
        <f>Assumptions!Q111*Assumptions!Q11</f>
        <v>6987864.9954309817</v>
      </c>
      <c r="Q8" s="9">
        <f>Assumptions!R111*Assumptions!R11</f>
        <v>7211476.6752847722</v>
      </c>
      <c r="R8" s="9">
        <f>Assumptions!S111*Assumptions!S11</f>
        <v>7442243.9288938865</v>
      </c>
      <c r="S8" s="9">
        <f>Assumptions!T111*Assumptions!T11</f>
        <v>7680395.7346184915</v>
      </c>
      <c r="T8" s="9">
        <f>Assumptions!U111*Assumptions!U11</f>
        <v>7926168.3981262818</v>
      </c>
      <c r="U8" s="9">
        <f>Assumptions!V111*Assumptions!V11</f>
        <v>8179805.7868663222</v>
      </c>
      <c r="V8" s="9">
        <f>Assumptions!W111*Assumptions!W11</f>
        <v>8441559.5720460452</v>
      </c>
      <c r="W8" s="9">
        <f>Assumptions!X111*Assumptions!X11</f>
        <v>8711689.4783515204</v>
      </c>
      <c r="X8" s="9">
        <f>Assumptions!Y111*Assumptions!Y11</f>
        <v>8990463.5416587666</v>
      </c>
      <c r="Y8" s="9">
        <f>Assumptions!Z111*Assumptions!Z11</f>
        <v>9278158.3749918472</v>
      </c>
      <c r="Z8" s="9">
        <f>Assumptions!AA111*Assumptions!AA11</f>
        <v>9575059.4429915864</v>
      </c>
      <c r="AA8" s="9">
        <f>Assumptions!AB111*Assumptions!AB11</f>
        <v>9881461.3451673202</v>
      </c>
      <c r="AB8" s="9">
        <f>Assumptions!AC111*Assumptions!AC11</f>
        <v>10197668.108212672</v>
      </c>
      <c r="AC8" s="9">
        <f>Assumptions!AD111*Assumptions!AD11</f>
        <v>10523993.487675477</v>
      </c>
      <c r="AD8" s="9">
        <f>Assumptions!AE111*Assumptions!AE11</f>
        <v>10860761.279281093</v>
      </c>
      <c r="AE8" s="9">
        <f>Assumptions!AF111*Assumptions!AF11</f>
        <v>11208305.640218088</v>
      </c>
      <c r="AF8" s="9">
        <f>Assumptions!AG111*Assumptions!AG11</f>
        <v>11566971.420705065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667584.28800000006</v>
      </c>
      <c r="D9" s="9">
        <f>Assumptions!E120*Assumptions!E11</f>
        <v>1377893.970432</v>
      </c>
      <c r="E9" s="9">
        <f>Assumptions!F120*Assumptions!F11</f>
        <v>2132979.866228736</v>
      </c>
      <c r="F9" s="9">
        <f>Assumptions!G120*Assumptions!G11</f>
        <v>2934980.2959307404</v>
      </c>
      <c r="G9" s="9">
        <f>Assumptions!H120*Assumptions!H11</f>
        <v>3786124.5817506555</v>
      </c>
      <c r="H9" s="9">
        <f>Assumptions!I120*Assumptions!I11</f>
        <v>4688736.6820400115</v>
      </c>
      <c r="I9" s="9">
        <f>Assumptions!J120*Assumptions!J11</f>
        <v>5645238.9651761726</v>
      </c>
      <c r="J9" s="9">
        <f>Assumptions!K120*Assumptions!K11</f>
        <v>6658156.1280706413</v>
      </c>
      <c r="K9" s="9">
        <f>Assumptions!L120*Assumptions!L11</f>
        <v>7730119.2646900155</v>
      </c>
      <c r="L9" s="9">
        <f>Assumptions!M120*Assumptions!M11</f>
        <v>8863870.0901778825</v>
      </c>
      <c r="M9" s="9">
        <f>Assumptions!N120*Assumptions!N11</f>
        <v>10062265.326369932</v>
      </c>
      <c r="N9" s="9">
        <f>Assumptions!O120*Assumptions!O11</f>
        <v>11328281.254705932</v>
      </c>
      <c r="O9" s="9">
        <f>Assumptions!P120*Assumptions!P11</f>
        <v>12665018.442761233</v>
      </c>
      <c r="P9" s="9">
        <f>Assumptions!Q120*Assumptions!Q11</f>
        <v>14075706.650847251</v>
      </c>
      <c r="Q9" s="9">
        <f>Assumptions!R120*Assumptions!R11</f>
        <v>15563709.925365387</v>
      </c>
      <c r="R9" s="9">
        <f>Assumptions!S120*Assumptions!S11</f>
        <v>17132531.885842223</v>
      </c>
      <c r="S9" s="9">
        <f>Assumptions!T120*Assumptions!T11</f>
        <v>18785821.212825999</v>
      </c>
      <c r="T9" s="9">
        <f>Assumptions!U120*Assumptions!U11</f>
        <v>20527377.34408563</v>
      </c>
      <c r="U9" s="9">
        <f>Assumptions!V120*Assumptions!V11</f>
        <v>22361156.386823941</v>
      </c>
      <c r="V9" s="9">
        <f>Assumptions!W120*Assumptions!W11</f>
        <v>24291277.253897171</v>
      </c>
      <c r="W9" s="9">
        <f>Assumptions!X120*Assumptions!X11</f>
        <v>26322028.032322977</v>
      </c>
      <c r="X9" s="9">
        <f>Assumptions!Y120*Assumptions!Y11</f>
        <v>28457872.592660036</v>
      </c>
      <c r="Y9" s="9">
        <f>Assumptions!Z120*Assumptions!Z11</f>
        <v>30703457.44815357</v>
      </c>
      <c r="Z9" s="9">
        <f>Assumptions!AA120*Assumptions!AA11</f>
        <v>33063618.872863811</v>
      </c>
      <c r="AA9" s="9">
        <f>Assumptions!AB120*Assumptions!AB11</f>
        <v>35543390.288328603</v>
      </c>
      <c r="AB9" s="9">
        <f>Assumptions!AC120*Assumptions!AC11</f>
        <v>38148009.928657316</v>
      </c>
      <c r="AC9" s="9">
        <f>Assumptions!AD120*Assumptions!AD11</f>
        <v>40882928.794311821</v>
      </c>
      <c r="AD9" s="9">
        <f>Assumptions!AE120*Assumptions!AE11</f>
        <v>43753818.905201286</v>
      </c>
      <c r="AE9" s="9">
        <f>Assumptions!AF120*Assumptions!AF11</f>
        <v>46766581.864102282</v>
      </c>
      <c r="AF9" s="9">
        <f>Assumptions!AG120*Assumptions!AG11</f>
        <v>49927357.741814017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5307482.3696126668</v>
      </c>
      <c r="D10" s="9">
        <f>SUM($C$8:D9)</f>
        <v>11473751.16026894</v>
      </c>
      <c r="E10" s="9">
        <f>SUM($C$8:E9)</f>
        <v>18548333.840969123</v>
      </c>
      <c r="F10" s="9">
        <f>SUM($C$8:F9)</f>
        <v>26583048.241434395</v>
      </c>
      <c r="G10" s="9">
        <f>SUM($C$8:G9)</f>
        <v>35632098.419064693</v>
      </c>
      <c r="H10" s="9">
        <f>SUM($C$8:H9)</f>
        <v>45752174.316052489</v>
      </c>
      <c r="I10" s="9">
        <f>SUM($C$8:I9)</f>
        <v>57002555.351054788</v>
      </c>
      <c r="J10" s="9">
        <f>SUM($C$8:J9)</f>
        <v>69445218.09518598</v>
      </c>
      <c r="K10" s="9">
        <f>SUM($C$8:K9)</f>
        <v>83144948.187650487</v>
      </c>
      <c r="L10" s="9">
        <f>SUM($C$8:L9)</f>
        <v>98169456.652091622</v>
      </c>
      <c r="M10" s="9">
        <f>SUM($C$8:M9)</f>
        <v>114589500.78070126</v>
      </c>
      <c r="N10" s="9">
        <f>SUM($C$8:N9)</f>
        <v>132479009.75931855</v>
      </c>
      <c r="O10" s="9">
        <f>SUM($C$8:O9)</f>
        <v>151915215.21315631</v>
      </c>
      <c r="P10" s="9">
        <f>SUM($C$8:P9)</f>
        <v>172978786.85943457</v>
      </c>
      <c r="Q10" s="9">
        <f>SUM($C$8:Q9)</f>
        <v>195753973.46008474</v>
      </c>
      <c r="R10" s="9">
        <f>SUM($C$8:R9)</f>
        <v>220328749.27482086</v>
      </c>
      <c r="S10" s="9">
        <f>SUM($C$8:S9)</f>
        <v>246794966.22226536</v>
      </c>
      <c r="T10" s="9">
        <f>SUM($C$8:T9)</f>
        <v>275248511.9644773</v>
      </c>
      <c r="U10" s="9">
        <f>SUM($C$8:U9)</f>
        <v>305789474.13816756</v>
      </c>
      <c r="V10" s="9">
        <f>SUM($C$8:V9)</f>
        <v>338522310.96411079</v>
      </c>
      <c r="W10" s="9">
        <f>SUM($C$8:W9)</f>
        <v>373556028.47478533</v>
      </c>
      <c r="X10" s="9">
        <f>SUM($C$8:X9)</f>
        <v>411004364.6091041</v>
      </c>
      <c r="Y10" s="9">
        <f>SUM($C$8:Y9)</f>
        <v>450985980.43224949</v>
      </c>
      <c r="Z10" s="9">
        <f>SUM($C$8:Z9)</f>
        <v>493624658.74810487</v>
      </c>
      <c r="AA10" s="9">
        <f>SUM($C$8:AA9)</f>
        <v>539049510.38160074</v>
      </c>
      <c r="AB10" s="9">
        <f>SUM($C$8:AB9)</f>
        <v>587395188.41847074</v>
      </c>
      <c r="AC10" s="9">
        <f>SUM($C$8:AC9)</f>
        <v>638802110.70045805</v>
      </c>
      <c r="AD10" s="9">
        <f>SUM($C$8:AD9)</f>
        <v>693416690.88494051</v>
      </c>
      <c r="AE10" s="9">
        <f>SUM($C$8:AE9)</f>
        <v>751391578.38926077</v>
      </c>
      <c r="AF10" s="9">
        <f>SUM($C$8:AF9)</f>
        <v>812885907.55177987</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162222232.36961266</v>
      </c>
      <c r="D12" s="9">
        <f>D7+D8+D9</f>
        <v>168388501.16026896</v>
      </c>
      <c r="E12" s="9">
        <f>E7+E8+E9</f>
        <v>175463083.84096915</v>
      </c>
      <c r="F12" s="9">
        <f t="shared" ref="F12:H12" si="26">F7+F8+F9</f>
        <v>183497798.24143443</v>
      </c>
      <c r="G12" s="9">
        <f t="shared" si="26"/>
        <v>192546848.41906473</v>
      </c>
      <c r="H12" s="9">
        <f t="shared" si="26"/>
        <v>202666924.31605253</v>
      </c>
      <c r="I12" s="9">
        <f t="shared" ref="I12:AF12" si="27">I7+I8+I9</f>
        <v>213917305.35105482</v>
      </c>
      <c r="J12" s="9">
        <f t="shared" si="27"/>
        <v>226359968.09518602</v>
      </c>
      <c r="K12" s="9">
        <f t="shared" si="27"/>
        <v>240059698.18765053</v>
      </c>
      <c r="L12" s="9">
        <f t="shared" si="27"/>
        <v>255084206.65209171</v>
      </c>
      <c r="M12" s="9">
        <f t="shared" si="27"/>
        <v>271504250.78070134</v>
      </c>
      <c r="N12" s="9">
        <f t="shared" si="27"/>
        <v>289393759.75931859</v>
      </c>
      <c r="O12" s="9">
        <f t="shared" si="27"/>
        <v>308829965.21315634</v>
      </c>
      <c r="P12" s="9">
        <f t="shared" si="27"/>
        <v>329893536.8594346</v>
      </c>
      <c r="Q12" s="9">
        <f t="shared" si="27"/>
        <v>352668723.46008474</v>
      </c>
      <c r="R12" s="9">
        <f t="shared" si="27"/>
        <v>377243499.2748208</v>
      </c>
      <c r="S12" s="9">
        <f t="shared" si="27"/>
        <v>403709716.2222653</v>
      </c>
      <c r="T12" s="9">
        <f t="shared" si="27"/>
        <v>432163261.96447724</v>
      </c>
      <c r="U12" s="9">
        <f t="shared" si="27"/>
        <v>462704224.1381675</v>
      </c>
      <c r="V12" s="9">
        <f t="shared" si="27"/>
        <v>495437060.96411073</v>
      </c>
      <c r="W12" s="9">
        <f t="shared" si="27"/>
        <v>530470778.47478527</v>
      </c>
      <c r="X12" s="9">
        <f t="shared" si="27"/>
        <v>567919114.60910416</v>
      </c>
      <c r="Y12" s="9">
        <f t="shared" si="27"/>
        <v>607900730.43224967</v>
      </c>
      <c r="Z12" s="9">
        <f t="shared" si="27"/>
        <v>650539408.74810505</v>
      </c>
      <c r="AA12" s="9">
        <f t="shared" si="27"/>
        <v>695964260.38160098</v>
      </c>
      <c r="AB12" s="9">
        <f t="shared" si="27"/>
        <v>744309938.41847098</v>
      </c>
      <c r="AC12" s="9">
        <f t="shared" si="27"/>
        <v>795716860.70045829</v>
      </c>
      <c r="AD12" s="9">
        <f t="shared" si="27"/>
        <v>850331440.88494074</v>
      </c>
      <c r="AE12" s="9">
        <f t="shared" si="27"/>
        <v>908306328.38926113</v>
      </c>
      <c r="AF12" s="9">
        <f t="shared" si="27"/>
        <v>969800657.55178022</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33123494.369612668</v>
      </c>
      <c r="D18" s="9">
        <f>Investment!D25</f>
        <v>34872393.174656272</v>
      </c>
      <c r="E18" s="9">
        <f>Investment!E25</f>
        <v>36699303.044988185</v>
      </c>
      <c r="F18" s="9">
        <f>Investment!F25</f>
        <v>38607425.816410489</v>
      </c>
      <c r="G18" s="9">
        <f>Investment!G25</f>
        <v>40600088.358885758</v>
      </c>
      <c r="H18" s="9">
        <f>Investment!H25</f>
        <v>42680747.300043434</v>
      </c>
      <c r="I18" s="9">
        <f>Investment!I25</f>
        <v>44852993.922955699</v>
      </c>
      <c r="J18" s="9">
        <f>Investment!J25</f>
        <v>47120559.244499117</v>
      </c>
      <c r="K18" s="9">
        <f>Investment!K25</f>
        <v>49487319.280844197</v>
      </c>
      <c r="L18" s="9">
        <f>Investment!L25</f>
        <v>51957300.506849006</v>
      </c>
      <c r="M18" s="9">
        <f>Investment!M25</f>
        <v>54534685.516374528</v>
      </c>
      <c r="N18" s="9">
        <f>Investment!N25</f>
        <v>57223818.890790671</v>
      </c>
      <c r="O18" s="9">
        <f>Investment!O25</f>
        <v>60029213.283200696</v>
      </c>
      <c r="P18" s="9">
        <f>Investment!P25</f>
        <v>62955555.726180762</v>
      </c>
      <c r="Q18" s="9">
        <f>Investment!Q25</f>
        <v>66007714.171109572</v>
      </c>
      <c r="R18" s="9">
        <f>Investment!R25</f>
        <v>69190744.267450228</v>
      </c>
      <c r="S18" s="9">
        <f>Investment!S25</f>
        <v>72509896.390645474</v>
      </c>
      <c r="T18" s="9">
        <f>Investment!T25</f>
        <v>75970622.927595317</v>
      </c>
      <c r="U18" s="9">
        <f>Investment!U25</f>
        <v>79578585.829005927</v>
      </c>
      <c r="V18" s="9">
        <f>Investment!V25</f>
        <v>83339664.438228995</v>
      </c>
      <c r="W18" s="9">
        <f>Investment!W25</f>
        <v>87259963.60655342</v>
      </c>
      <c r="X18" s="9">
        <f>Investment!X25</f>
        <v>91345822.105265841</v>
      </c>
      <c r="Y18" s="9">
        <f>Investment!Y25</f>
        <v>95603821.345162749</v>
      </c>
      <c r="Z18" s="9">
        <f>Investment!Z25</f>
        <v>100040794.41457729</v>
      </c>
      <c r="AA18" s="9">
        <f>Investment!AA25</f>
        <v>104663835.44737694</v>
      </c>
      <c r="AB18" s="9">
        <f>Investment!AB25</f>
        <v>109480309.33279517</v>
      </c>
      <c r="AC18" s="9">
        <f>Investment!AC25</f>
        <v>114497861.77938209</v>
      </c>
      <c r="AD18" s="9">
        <f>Investment!AD25</f>
        <v>119724429.7457938</v>
      </c>
      <c r="AE18" s="9">
        <f>Investment!AE25</f>
        <v>125168252.25159377</v>
      </c>
      <c r="AF18" s="9">
        <f>Investment!AF25</f>
        <v>130837881.58170521</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190038244.36961266</v>
      </c>
      <c r="D19" s="9">
        <f>D18+C20</f>
        <v>219603155.17465627</v>
      </c>
      <c r="E19" s="9">
        <f>E18+D20</f>
        <v>250136189.42898816</v>
      </c>
      <c r="F19" s="9">
        <f t="shared" ref="F19:AF19" si="28">F18+E20</f>
        <v>281669032.56469846</v>
      </c>
      <c r="G19" s="9">
        <f t="shared" si="28"/>
        <v>314234406.52311897</v>
      </c>
      <c r="H19" s="9">
        <f t="shared" si="28"/>
        <v>347866103.64553213</v>
      </c>
      <c r="I19" s="9">
        <f t="shared" si="28"/>
        <v>382599021.67150003</v>
      </c>
      <c r="J19" s="9">
        <f t="shared" si="28"/>
        <v>418469199.88099682</v>
      </c>
      <c r="K19" s="9">
        <f t="shared" si="28"/>
        <v>455513856.41770983</v>
      </c>
      <c r="L19" s="9">
        <f t="shared" si="28"/>
        <v>493771426.83209431</v>
      </c>
      <c r="M19" s="9">
        <f t="shared" si="28"/>
        <v>533281603.88402766</v>
      </c>
      <c r="N19" s="9">
        <f t="shared" si="28"/>
        <v>574085378.64620864</v>
      </c>
      <c r="O19" s="9">
        <f t="shared" si="28"/>
        <v>616225082.95079207</v>
      </c>
      <c r="P19" s="9">
        <f t="shared" si="28"/>
        <v>659744433.22313511</v>
      </c>
      <c r="Q19" s="9">
        <f t="shared" si="28"/>
        <v>704688575.74796653</v>
      </c>
      <c r="R19" s="9">
        <f t="shared" si="28"/>
        <v>751104133.41476667</v>
      </c>
      <c r="S19" s="9">
        <f t="shared" si="28"/>
        <v>799039253.99067605</v>
      </c>
      <c r="T19" s="9">
        <f t="shared" si="28"/>
        <v>848543659.97082686</v>
      </c>
      <c r="U19" s="9">
        <f t="shared" si="28"/>
        <v>899668700.057621</v>
      </c>
      <c r="V19" s="9">
        <f t="shared" si="28"/>
        <v>952467402.32215977</v>
      </c>
      <c r="W19" s="9">
        <f t="shared" si="28"/>
        <v>1006994529.10277</v>
      </c>
      <c r="X19" s="9">
        <f t="shared" si="28"/>
        <v>1063306633.6973614</v>
      </c>
      <c r="Y19" s="9">
        <f t="shared" si="28"/>
        <v>1121462118.9082053</v>
      </c>
      <c r="Z19" s="9">
        <f t="shared" si="28"/>
        <v>1181521297.4996371</v>
      </c>
      <c r="AA19" s="9">
        <f t="shared" si="28"/>
        <v>1243546454.6311588</v>
      </c>
      <c r="AB19" s="9">
        <f t="shared" si="28"/>
        <v>1307601912.3304579</v>
      </c>
      <c r="AC19" s="9">
        <f t="shared" si="28"/>
        <v>1373754096.0729699</v>
      </c>
      <c r="AD19" s="9">
        <f t="shared" si="28"/>
        <v>1442071603.5367765</v>
      </c>
      <c r="AE19" s="9">
        <f t="shared" si="28"/>
        <v>1512625275.603888</v>
      </c>
      <c r="AF19" s="9">
        <f t="shared" si="28"/>
        <v>1585488269.681273</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184730762</v>
      </c>
      <c r="D20" s="9">
        <f>D19-D8-D9</f>
        <v>213436886.38399997</v>
      </c>
      <c r="E20" s="9">
        <f t="shared" ref="E20:AF20" si="29">E19-E8-E9</f>
        <v>243061606.74828798</v>
      </c>
      <c r="F20" s="9">
        <f t="shared" si="29"/>
        <v>273634318.16423321</v>
      </c>
      <c r="G20" s="9">
        <f t="shared" si="29"/>
        <v>305185356.34548873</v>
      </c>
      <c r="H20" s="9">
        <f t="shared" si="29"/>
        <v>337746027.74854434</v>
      </c>
      <c r="I20" s="9">
        <f t="shared" si="29"/>
        <v>371348640.63649774</v>
      </c>
      <c r="J20" s="9">
        <f t="shared" si="29"/>
        <v>406026537.13686562</v>
      </c>
      <c r="K20" s="9">
        <f t="shared" si="29"/>
        <v>441814126.32524532</v>
      </c>
      <c r="L20" s="9">
        <f t="shared" si="29"/>
        <v>478746918.36765313</v>
      </c>
      <c r="M20" s="9">
        <f t="shared" si="29"/>
        <v>516861559.755418</v>
      </c>
      <c r="N20" s="9">
        <f t="shared" si="29"/>
        <v>556195869.66759133</v>
      </c>
      <c r="O20" s="9">
        <f t="shared" si="29"/>
        <v>596788877.49695432</v>
      </c>
      <c r="P20" s="9">
        <f t="shared" si="29"/>
        <v>638680861.57685697</v>
      </c>
      <c r="Q20" s="9">
        <f t="shared" si="29"/>
        <v>681913389.14731646</v>
      </c>
      <c r="R20" s="9">
        <f t="shared" si="29"/>
        <v>726529357.60003054</v>
      </c>
      <c r="S20" s="9">
        <f t="shared" si="29"/>
        <v>772573037.04323149</v>
      </c>
      <c r="T20" s="9">
        <f t="shared" si="29"/>
        <v>820090114.22861505</v>
      </c>
      <c r="U20" s="9">
        <f t="shared" si="29"/>
        <v>869127737.8839308</v>
      </c>
      <c r="V20" s="9">
        <f t="shared" si="29"/>
        <v>919734565.49621654</v>
      </c>
      <c r="W20" s="9">
        <f t="shared" si="29"/>
        <v>971960811.59209549</v>
      </c>
      <c r="X20" s="9">
        <f t="shared" si="29"/>
        <v>1025858297.5630425</v>
      </c>
      <c r="Y20" s="9">
        <f t="shared" si="29"/>
        <v>1081480503.0850599</v>
      </c>
      <c r="Z20" s="9">
        <f t="shared" si="29"/>
        <v>1138882619.1837819</v>
      </c>
      <c r="AA20" s="9">
        <f t="shared" si="29"/>
        <v>1198121602.9976628</v>
      </c>
      <c r="AB20" s="9">
        <f t="shared" si="29"/>
        <v>1259256234.2935879</v>
      </c>
      <c r="AC20" s="9">
        <f t="shared" si="29"/>
        <v>1322347173.7909827</v>
      </c>
      <c r="AD20" s="9">
        <f t="shared" si="29"/>
        <v>1387457023.3522942</v>
      </c>
      <c r="AE20" s="9">
        <f t="shared" si="29"/>
        <v>1454650388.0995677</v>
      </c>
      <c r="AF20" s="9">
        <f t="shared" si="29"/>
        <v>1523993940.518754</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20190000</v>
      </c>
      <c r="D22" s="9">
        <f ca="1">'Balance Sheet'!C11</f>
        <v>50354685.65308325</v>
      </c>
      <c r="E22" s="9">
        <f ca="1">'Balance Sheet'!D11</f>
        <v>77255074.458293766</v>
      </c>
      <c r="F22" s="9">
        <f ca="1">'Balance Sheet'!E11</f>
        <v>97110418.424880534</v>
      </c>
      <c r="G22" s="9">
        <f ca="1">'Balance Sheet'!F11</f>
        <v>113308328.93558086</v>
      </c>
      <c r="H22" s="9">
        <f ca="1">'Balance Sheet'!G11</f>
        <v>126930825.43958369</v>
      </c>
      <c r="I22" s="9">
        <f ca="1">'Balance Sheet'!H11</f>
        <v>138386560.77459264</v>
      </c>
      <c r="J22" s="9">
        <f ca="1">'Balance Sheet'!I11</f>
        <v>149611298.82408994</v>
      </c>
      <c r="K22" s="9">
        <f ca="1">'Balance Sheet'!J11</f>
        <v>160399000.83826935</v>
      </c>
      <c r="L22" s="9">
        <f ca="1">'Balance Sheet'!K11</f>
        <v>170513218.92615879</v>
      </c>
      <c r="M22" s="9">
        <f ca="1">'Balance Sheet'!L11</f>
        <v>180362671.3219884</v>
      </c>
      <c r="N22" s="9">
        <f ca="1">'Balance Sheet'!M11</f>
        <v>190495858.4826265</v>
      </c>
      <c r="O22" s="9">
        <f ca="1">'Balance Sheet'!N11</f>
        <v>201218414.99309337</v>
      </c>
      <c r="P22" s="9">
        <f ca="1">'Balance Sheet'!O11</f>
        <v>212496634.06101784</v>
      </c>
      <c r="Q22" s="9">
        <f ca="1">'Balance Sheet'!P11</f>
        <v>224288955.94366705</v>
      </c>
      <c r="R22" s="9">
        <f ca="1">'Balance Sheet'!Q11</f>
        <v>236545167.38917863</v>
      </c>
      <c r="S22" s="9">
        <f ca="1">'Balance Sheet'!R11</f>
        <v>249205537.73607939</v>
      </c>
      <c r="T22" s="9">
        <f ca="1">'Balance Sheet'!S11</f>
        <v>262707395.46138421</v>
      </c>
      <c r="U22" s="9">
        <f ca="1">'Balance Sheet'!T11</f>
        <v>277042076.77233642</v>
      </c>
      <c r="V22" s="9">
        <f ca="1">'Balance Sheet'!U11</f>
        <v>292195432.3566317</v>
      </c>
      <c r="W22" s="9">
        <f ca="1">'Balance Sheet'!V11</f>
        <v>308147234.68962693</v>
      </c>
      <c r="X22" s="9">
        <f ca="1">'Balance Sheet'!W11</f>
        <v>324870538.88870585</v>
      </c>
      <c r="Y22" s="9">
        <f ca="1">'Balance Sheet'!X11</f>
        <v>342330993.9802357</v>
      </c>
      <c r="Z22" s="9">
        <f ca="1">'Balance Sheet'!Y11</f>
        <v>360486101.25056124</v>
      </c>
      <c r="AA22" s="9">
        <f ca="1">'Balance Sheet'!Z11</f>
        <v>379284416.14713329</v>
      </c>
      <c r="AB22" s="9">
        <f ca="1">'Balance Sheet'!AA11</f>
        <v>398664689.97852069</v>
      </c>
      <c r="AC22" s="9">
        <f ca="1">'Balance Sheet'!AB11</f>
        <v>418554947.43202627</v>
      </c>
      <c r="AD22" s="9">
        <f ca="1">'Balance Sheet'!AC11</f>
        <v>438871495.68421245</v>
      </c>
      <c r="AE22" s="9">
        <f ca="1">'Balance Sheet'!AD11</f>
        <v>459517860.62207937</v>
      </c>
      <c r="AF22" s="9">
        <f ca="1">'Balance Sheet'!AE11</f>
        <v>481307929.77179539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164540762</v>
      </c>
      <c r="D23" s="9">
        <f t="shared" ref="D23:AF23" ca="1" si="30">D20-D22</f>
        <v>163082200.73091674</v>
      </c>
      <c r="E23" s="9">
        <f t="shared" ca="1" si="30"/>
        <v>165806532.28999421</v>
      </c>
      <c r="F23" s="9">
        <f t="shared" ca="1" si="30"/>
        <v>176523899.73935267</v>
      </c>
      <c r="G23" s="9">
        <f t="shared" ca="1" si="30"/>
        <v>191877027.40990788</v>
      </c>
      <c r="H23" s="9">
        <f t="shared" ca="1" si="30"/>
        <v>210815202.30896065</v>
      </c>
      <c r="I23" s="9">
        <f t="shared" ca="1" si="30"/>
        <v>232962079.8619051</v>
      </c>
      <c r="J23" s="9">
        <f ca="1">J20-J22</f>
        <v>256415238.31277567</v>
      </c>
      <c r="K23" s="9">
        <f t="shared" ca="1" si="30"/>
        <v>281415125.48697597</v>
      </c>
      <c r="L23" s="9">
        <f t="shared" ca="1" si="30"/>
        <v>308233699.44149435</v>
      </c>
      <c r="M23" s="9">
        <f t="shared" ca="1" si="30"/>
        <v>336498888.4334296</v>
      </c>
      <c r="N23" s="9">
        <f t="shared" ca="1" si="30"/>
        <v>365700011.18496484</v>
      </c>
      <c r="O23" s="9">
        <f t="shared" ca="1" si="30"/>
        <v>395570462.50386095</v>
      </c>
      <c r="P23" s="9">
        <f t="shared" ca="1" si="30"/>
        <v>426184227.5158391</v>
      </c>
      <c r="Q23" s="9">
        <f t="shared" ca="1" si="30"/>
        <v>457624433.2036494</v>
      </c>
      <c r="R23" s="9">
        <f t="shared" ca="1" si="30"/>
        <v>489984190.21085191</v>
      </c>
      <c r="S23" s="9">
        <f t="shared" ca="1" si="30"/>
        <v>523367499.30715209</v>
      </c>
      <c r="T23" s="9">
        <f t="shared" ca="1" si="30"/>
        <v>557382718.76723087</v>
      </c>
      <c r="U23" s="9">
        <f t="shared" ca="1" si="30"/>
        <v>592085661.11159444</v>
      </c>
      <c r="V23" s="9">
        <f t="shared" ca="1" si="30"/>
        <v>627539133.13958478</v>
      </c>
      <c r="W23" s="9">
        <f t="shared" ca="1" si="30"/>
        <v>663813576.90246856</v>
      </c>
      <c r="X23" s="9">
        <f t="shared" ca="1" si="30"/>
        <v>700987758.67433667</v>
      </c>
      <c r="Y23" s="9">
        <f t="shared" ca="1" si="30"/>
        <v>739149509.10482419</v>
      </c>
      <c r="Z23" s="9">
        <f t="shared" ca="1" si="30"/>
        <v>778396517.93322062</v>
      </c>
      <c r="AA23" s="9">
        <f t="shared" ca="1" si="30"/>
        <v>818837186.85052943</v>
      </c>
      <c r="AB23" s="9">
        <f t="shared" ca="1" si="30"/>
        <v>860591544.31506729</v>
      </c>
      <c r="AC23" s="9">
        <f t="shared" ca="1" si="30"/>
        <v>903792226.35895646</v>
      </c>
      <c r="AD23" s="9">
        <f t="shared" ca="1" si="30"/>
        <v>948585527.66808176</v>
      </c>
      <c r="AE23" s="9">
        <f t="shared" ca="1" si="30"/>
        <v>995132527.47748828</v>
      </c>
      <c r="AF23" s="9">
        <f t="shared" ca="1" si="30"/>
        <v>1042686010.7469586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20190000</v>
      </c>
      <c r="D5" s="1">
        <f ca="1">C5+C6</f>
        <v>50354685.65308325</v>
      </c>
      <c r="E5" s="1">
        <f t="shared" ref="E5:AF5" ca="1" si="1">D5+D6</f>
        <v>77255074.458293766</v>
      </c>
      <c r="F5" s="1">
        <f t="shared" ca="1" si="1"/>
        <v>97110418.424880534</v>
      </c>
      <c r="G5" s="1">
        <f t="shared" ca="1" si="1"/>
        <v>113308328.93558086</v>
      </c>
      <c r="H5" s="1">
        <f t="shared" ca="1" si="1"/>
        <v>126930825.43958369</v>
      </c>
      <c r="I5" s="1">
        <f t="shared" ca="1" si="1"/>
        <v>138386560.77459264</v>
      </c>
      <c r="J5" s="1">
        <f t="shared" ca="1" si="1"/>
        <v>149611298.82408994</v>
      </c>
      <c r="K5" s="1">
        <f t="shared" ca="1" si="1"/>
        <v>160399000.83826935</v>
      </c>
      <c r="L5" s="1">
        <f t="shared" ca="1" si="1"/>
        <v>170513218.92615879</v>
      </c>
      <c r="M5" s="1">
        <f t="shared" ca="1" si="1"/>
        <v>180362671.3219884</v>
      </c>
      <c r="N5" s="1">
        <f t="shared" ca="1" si="1"/>
        <v>190495858.4826265</v>
      </c>
      <c r="O5" s="1">
        <f t="shared" ca="1" si="1"/>
        <v>201218414.99309337</v>
      </c>
      <c r="P5" s="1">
        <f t="shared" ca="1" si="1"/>
        <v>212496634.06101784</v>
      </c>
      <c r="Q5" s="1">
        <f t="shared" ca="1" si="1"/>
        <v>224288955.94366705</v>
      </c>
      <c r="R5" s="1">
        <f t="shared" ca="1" si="1"/>
        <v>236545167.38917863</v>
      </c>
      <c r="S5" s="1">
        <f t="shared" ca="1" si="1"/>
        <v>249205537.73607939</v>
      </c>
      <c r="T5" s="1">
        <f t="shared" ca="1" si="1"/>
        <v>262707395.46138421</v>
      </c>
      <c r="U5" s="1">
        <f t="shared" ca="1" si="1"/>
        <v>277042076.77233642</v>
      </c>
      <c r="V5" s="1">
        <f t="shared" ca="1" si="1"/>
        <v>292195432.3566317</v>
      </c>
      <c r="W5" s="1">
        <f t="shared" ca="1" si="1"/>
        <v>308147234.68962693</v>
      </c>
      <c r="X5" s="1">
        <f t="shared" ca="1" si="1"/>
        <v>324870538.88870585</v>
      </c>
      <c r="Y5" s="1">
        <f t="shared" ca="1" si="1"/>
        <v>342330993.9802357</v>
      </c>
      <c r="Z5" s="1">
        <f t="shared" ca="1" si="1"/>
        <v>360486101.25056124</v>
      </c>
      <c r="AA5" s="1">
        <f t="shared" ca="1" si="1"/>
        <v>379284416.14713329</v>
      </c>
      <c r="AB5" s="1">
        <f t="shared" ca="1" si="1"/>
        <v>398664689.97852069</v>
      </c>
      <c r="AC5" s="1">
        <f t="shared" ca="1" si="1"/>
        <v>418554947.43202627</v>
      </c>
      <c r="AD5" s="1">
        <f t="shared" ca="1" si="1"/>
        <v>438871495.68421245</v>
      </c>
      <c r="AE5" s="1">
        <f t="shared" ca="1" si="1"/>
        <v>459517860.62207937</v>
      </c>
      <c r="AF5" s="1">
        <f t="shared" ca="1" si="1"/>
        <v>481307929.77179539</v>
      </c>
      <c r="AG5" s="1"/>
      <c r="AH5" s="1"/>
      <c r="AI5" s="1"/>
      <c r="AJ5" s="1"/>
      <c r="AK5" s="1"/>
      <c r="AL5" s="1"/>
      <c r="AM5" s="1"/>
      <c r="AN5" s="1"/>
      <c r="AO5" s="1"/>
      <c r="AP5" s="1"/>
    </row>
    <row r="6" spans="1:42" x14ac:dyDescent="0.35">
      <c r="A6" s="63" t="s">
        <v>3</v>
      </c>
      <c r="C6" s="1">
        <f ca="1">-'Cash Flow'!C13</f>
        <v>30164685.65308325</v>
      </c>
      <c r="D6" s="1">
        <f ca="1">-'Cash Flow'!D13</f>
        <v>26900388.805210512</v>
      </c>
      <c r="E6" s="1">
        <f ca="1">-'Cash Flow'!E13</f>
        <v>19855343.966586776</v>
      </c>
      <c r="F6" s="1">
        <f ca="1">-'Cash Flow'!F13</f>
        <v>16197910.510700326</v>
      </c>
      <c r="G6" s="1">
        <f ca="1">-'Cash Flow'!G13</f>
        <v>13622496.504002817</v>
      </c>
      <c r="H6" s="1">
        <f ca="1">-'Cash Flow'!H13</f>
        <v>11455735.335008956</v>
      </c>
      <c r="I6" s="1">
        <f ca="1">-'Cash Flow'!I13</f>
        <v>11224738.049497321</v>
      </c>
      <c r="J6" s="1">
        <f ca="1">-'Cash Flow'!J13</f>
        <v>10787702.014179416</v>
      </c>
      <c r="K6" s="1">
        <f ca="1">-'Cash Flow'!K13</f>
        <v>10114218.08788944</v>
      </c>
      <c r="L6" s="1">
        <f ca="1">-'Cash Flow'!L13</f>
        <v>9849452.395829618</v>
      </c>
      <c r="M6" s="1">
        <f ca="1">-'Cash Flow'!M13</f>
        <v>10133187.160638109</v>
      </c>
      <c r="N6" s="1">
        <f ca="1">-'Cash Flow'!N13</f>
        <v>10722556.510466889</v>
      </c>
      <c r="O6" s="1">
        <f ca="1">-'Cash Flow'!O13</f>
        <v>11278219.067924477</v>
      </c>
      <c r="P6" s="1">
        <f ca="1">-'Cash Flow'!P13</f>
        <v>11792321.882649213</v>
      </c>
      <c r="Q6" s="1">
        <f ca="1">-'Cash Flow'!Q13</f>
        <v>12256211.445511594</v>
      </c>
      <c r="R6" s="1">
        <f ca="1">-'Cash Flow'!R13</f>
        <v>12660370.346900761</v>
      </c>
      <c r="S6" s="1">
        <f ca="1">-'Cash Flow'!S13</f>
        <v>13501857.725304812</v>
      </c>
      <c r="T6" s="1">
        <f ca="1">-'Cash Flow'!T13</f>
        <v>14334681.310952216</v>
      </c>
      <c r="U6" s="1">
        <f ca="1">-'Cash Flow'!U13</f>
        <v>15153355.584295258</v>
      </c>
      <c r="V6" s="1">
        <f ca="1">-'Cash Flow'!V13</f>
        <v>15951802.332995236</v>
      </c>
      <c r="W6" s="1">
        <f ca="1">-'Cash Flow'!W13</f>
        <v>16723304.199078903</v>
      </c>
      <c r="X6" s="1">
        <f ca="1">-'Cash Flow'!X13</f>
        <v>17460455.091529861</v>
      </c>
      <c r="Y6" s="1">
        <f ca="1">-'Cash Flow'!Y13</f>
        <v>18155107.270325527</v>
      </c>
      <c r="Z6" s="1">
        <f ca="1">-'Cash Flow'!Z13</f>
        <v>18798314.896572068</v>
      </c>
      <c r="AA6" s="1">
        <f ca="1">-'Cash Flow'!AA13</f>
        <v>19380273.831387416</v>
      </c>
      <c r="AB6" s="1">
        <f ca="1">-'Cash Flow'!AB13</f>
        <v>19890257.453505605</v>
      </c>
      <c r="AC6" s="1">
        <f ca="1">-'Cash Flow'!AC13</f>
        <v>20316548.252186179</v>
      </c>
      <c r="AD6" s="1">
        <f ca="1">-'Cash Flow'!AD13</f>
        <v>20646364.937866896</v>
      </c>
      <c r="AE6" s="1">
        <f ca="1">-'Cash Flow'!AE13</f>
        <v>21790069.14971602</v>
      </c>
      <c r="AF6" s="1">
        <f ca="1">-'Cash Flow'!AF13</f>
        <v>23898742.133294165</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1762413.9978579138</v>
      </c>
      <c r="D8" s="1">
        <f ca="1">IF(SUM(D5:D6)&gt;0,Assumptions!$C$26*SUM(D5:D6),Assumptions!$C$27*(SUM(D5:D6)))</f>
        <v>2703927.6060402822</v>
      </c>
      <c r="E8" s="1">
        <f ca="1">IF(SUM(E5:E6)&gt;0,Assumptions!$C$26*SUM(E5:E6),Assumptions!$C$27*(SUM(E5:E6)))</f>
        <v>3398864.6448708191</v>
      </c>
      <c r="F8" s="1">
        <f ca="1">IF(SUM(F5:F6)&gt;0,Assumptions!$C$26*SUM(F5:F6),Assumptions!$C$27*(SUM(F5:F6)))</f>
        <v>3965791.5127453306</v>
      </c>
      <c r="G8" s="1">
        <f ca="1">IF(SUM(G5:G6)&gt;0,Assumptions!$C$26*SUM(G5:G6),Assumptions!$C$27*(SUM(G5:G6)))</f>
        <v>4442578.8903854294</v>
      </c>
      <c r="H8" s="1">
        <f ca="1">IF(SUM(H5:H6)&gt;0,Assumptions!$C$26*SUM(H5:H6),Assumptions!$C$27*(SUM(H5:H6)))</f>
        <v>4843529.627110743</v>
      </c>
      <c r="I8" s="1">
        <f ca="1">IF(SUM(I5:I6)&gt;0,Assumptions!$C$26*SUM(I5:I6),Assumptions!$C$27*(SUM(I5:I6)))</f>
        <v>5236395.4588431483</v>
      </c>
      <c r="J8" s="1">
        <f ca="1">IF(SUM(J5:J6)&gt;0,Assumptions!$C$26*SUM(J5:J6),Assumptions!$C$27*(SUM(J5:J6)))</f>
        <v>5613965.0293394281</v>
      </c>
      <c r="K8" s="1">
        <f ca="1">IF(SUM(K5:K6)&gt;0,Assumptions!$C$26*SUM(K5:K6),Assumptions!$C$27*(SUM(K5:K6)))</f>
        <v>5967962.6624155585</v>
      </c>
      <c r="L8" s="1">
        <f ca="1">IF(SUM(L5:L6)&gt;0,Assumptions!$C$26*SUM(L5:L6),Assumptions!$C$27*(SUM(L5:L6)))</f>
        <v>6312693.4962695949</v>
      </c>
      <c r="M8" s="1">
        <f ca="1">IF(SUM(M5:M6)&gt;0,Assumptions!$C$26*SUM(M5:M6),Assumptions!$C$27*(SUM(M5:M6)))</f>
        <v>6667355.0468919277</v>
      </c>
      <c r="N8" s="1">
        <f ca="1">IF(SUM(N5:N6)&gt;0,Assumptions!$C$26*SUM(N5:N6),Assumptions!$C$27*(SUM(N5:N6)))</f>
        <v>7042644.5247582691</v>
      </c>
      <c r="O8" s="1">
        <f ca="1">IF(SUM(O5:O6)&gt;0,Assumptions!$C$26*SUM(O5:O6),Assumptions!$C$27*(SUM(O5:O6)))</f>
        <v>7437382.1921356255</v>
      </c>
      <c r="P8" s="1">
        <f ca="1">IF(SUM(P5:P6)&gt;0,Assumptions!$C$26*SUM(P5:P6),Assumptions!$C$27*(SUM(P5:P6)))</f>
        <v>7850113.4580283472</v>
      </c>
      <c r="Q8" s="1">
        <f ca="1">IF(SUM(Q5:Q6)&gt;0,Assumptions!$C$26*SUM(Q5:Q6),Assumptions!$C$27*(SUM(Q5:Q6)))</f>
        <v>8279080.8586212527</v>
      </c>
      <c r="R8" s="1">
        <f ca="1">IF(SUM(R5:R6)&gt;0,Assumptions!$C$26*SUM(R5:R6),Assumptions!$C$27*(SUM(R5:R6)))</f>
        <v>8722193.8207627796</v>
      </c>
      <c r="S8" s="1">
        <f ca="1">IF(SUM(S5:S6)&gt;0,Assumptions!$C$26*SUM(S5:S6),Assumptions!$C$27*(SUM(S5:S6)))</f>
        <v>9194758.8411484472</v>
      </c>
      <c r="T8" s="1">
        <f ca="1">IF(SUM(T5:T6)&gt;0,Assumptions!$C$26*SUM(T5:T6),Assumptions!$C$27*(SUM(T5:T6)))</f>
        <v>9696472.6870317757</v>
      </c>
      <c r="U8" s="1">
        <f ca="1">IF(SUM(U5:U6)&gt;0,Assumptions!$C$26*SUM(U5:U6),Assumptions!$C$27*(SUM(U5:U6)))</f>
        <v>10226840.13248211</v>
      </c>
      <c r="V8" s="1">
        <f ca="1">IF(SUM(V5:V6)&gt;0,Assumptions!$C$26*SUM(V5:V6),Assumptions!$C$27*(SUM(V5:V6)))</f>
        <v>10785153.214136943</v>
      </c>
      <c r="W8" s="1">
        <f ca="1">IF(SUM(W5:W6)&gt;0,Assumptions!$C$26*SUM(W5:W6),Assumptions!$C$27*(SUM(W5:W6)))</f>
        <v>11370468.861104706</v>
      </c>
      <c r="X8" s="1">
        <f ca="1">IF(SUM(X5:X6)&gt;0,Assumptions!$C$26*SUM(X5:X6),Assumptions!$C$27*(SUM(X5:X6)))</f>
        <v>11981584.78930825</v>
      </c>
      <c r="Y8" s="1">
        <f ca="1">IF(SUM(Y5:Y6)&gt;0,Assumptions!$C$26*SUM(Y5:Y6),Assumptions!$C$27*(SUM(Y5:Y6)))</f>
        <v>12617013.543769645</v>
      </c>
      <c r="Z8" s="1">
        <f ca="1">IF(SUM(Z5:Z6)&gt;0,Assumptions!$C$26*SUM(Z5:Z6),Assumptions!$C$27*(SUM(Z5:Z6)))</f>
        <v>13274954.565149667</v>
      </c>
      <c r="AA8" s="1">
        <f ca="1">IF(SUM(AA5:AA6)&gt;0,Assumptions!$C$26*SUM(AA5:AA6),Assumptions!$C$27*(SUM(AA5:AA6)))</f>
        <v>13953264.149248226</v>
      </c>
      <c r="AB8" s="1">
        <f ca="1">IF(SUM(AB5:AB6)&gt;0,Assumptions!$C$26*SUM(AB5:AB6),Assumptions!$C$27*(SUM(AB5:AB6)))</f>
        <v>14649423.160120921</v>
      </c>
      <c r="AC8" s="1">
        <f ca="1">IF(SUM(AC5:AC6)&gt;0,Assumptions!$C$26*SUM(AC5:AC6),Assumptions!$C$27*(SUM(AC5:AC6)))</f>
        <v>15360502.348947437</v>
      </c>
      <c r="AD8" s="1">
        <f ca="1">IF(SUM(AD5:AD6)&gt;0,Assumptions!$C$26*SUM(AD5:AD6),Assumptions!$C$27*(SUM(AD5:AD6)))</f>
        <v>16083125.121772779</v>
      </c>
      <c r="AE8" s="1">
        <f ca="1">IF(SUM(AE5:AE6)&gt;0,Assumptions!$C$26*SUM(AE5:AE6),Assumptions!$C$27*(SUM(AE5:AE6)))</f>
        <v>16845777.542012841</v>
      </c>
      <c r="AF8" s="1">
        <f ca="1">IF(SUM(AF5:AF6)&gt;0,Assumptions!$C$26*SUM(AF5:AF6),Assumptions!$C$27*(SUM(AF5:AF6)))</f>
        <v>17682233.516678136</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68"/>
  <sheetViews>
    <sheetView topLeftCell="A6" zoomScaleNormal="100" workbookViewId="0">
      <selection sqref="A1:XFD1048576"/>
    </sheetView>
  </sheetViews>
  <sheetFormatPr defaultRowHeight="15.5" x14ac:dyDescent="0.35"/>
  <cols>
    <col min="1" max="1" width="107.9140625" style="63" customWidth="1"/>
    <col min="2" max="2" width="18.1640625" style="63" bestFit="1" customWidth="1"/>
    <col min="3" max="3" width="49.41406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90"/>
    </row>
    <row r="7" spans="1:3" ht="18.5" x14ac:dyDescent="0.45">
      <c r="A7" s="90" t="s">
        <v>96</v>
      </c>
      <c r="B7" s="181">
        <f>Assumptions!C24</f>
        <v>8764000</v>
      </c>
      <c r="C7" s="180" t="str">
        <f>Assumptions!B24</f>
        <v>RFI Table F10; Lines F10.62 + F10.70 - E10.61</v>
      </c>
    </row>
    <row r="8" spans="1:3" ht="34" x14ac:dyDescent="0.45">
      <c r="A8" s="90" t="s">
        <v>173</v>
      </c>
      <c r="B8" s="182">
        <f>Assumptions!$C$133</f>
        <v>0.7</v>
      </c>
      <c r="C8" s="180" t="s">
        <v>199</v>
      </c>
    </row>
    <row r="9" spans="1:3" ht="18.5" x14ac:dyDescent="0.45">
      <c r="A9" s="90"/>
      <c r="B9" s="183"/>
      <c r="C9" s="180"/>
    </row>
    <row r="10" spans="1:3" ht="68" x14ac:dyDescent="0.45">
      <c r="A10" s="94" t="s">
        <v>102</v>
      </c>
      <c r="B10" s="184">
        <f>Assumptions!C135</f>
        <v>4278.333333333333</v>
      </c>
      <c r="C10" s="180" t="s">
        <v>200</v>
      </c>
    </row>
    <row r="11" spans="1:3" ht="18.5" x14ac:dyDescent="0.45">
      <c r="A11" s="94"/>
      <c r="B11" s="185"/>
      <c r="C11" s="180"/>
    </row>
    <row r="12" spans="1:3" ht="18.5" x14ac:dyDescent="0.45">
      <c r="A12" s="94" t="s">
        <v>183</v>
      </c>
      <c r="B12" s="181">
        <f>(B7*B8)/B10</f>
        <v>1433.9228671601093</v>
      </c>
      <c r="C12" s="180"/>
    </row>
    <row r="13" spans="1:3" ht="18.5" x14ac:dyDescent="0.45">
      <c r="A13" s="96"/>
      <c r="B13" s="186"/>
      <c r="C13" s="180"/>
    </row>
    <row r="14" spans="1:3" ht="18.5" x14ac:dyDescent="0.45">
      <c r="A14" s="94" t="s">
        <v>103</v>
      </c>
      <c r="B14" s="103">
        <v>1</v>
      </c>
      <c r="C14" s="180"/>
    </row>
    <row r="15" spans="1:3" ht="18.5" x14ac:dyDescent="0.45">
      <c r="A15" s="96"/>
      <c r="B15" s="99"/>
      <c r="C15" s="180"/>
    </row>
    <row r="16" spans="1:3" ht="18.5" x14ac:dyDescent="0.45">
      <c r="A16" s="96" t="s">
        <v>178</v>
      </c>
      <c r="B16" s="187">
        <f>B12/B14</f>
        <v>1433.9228671601093</v>
      </c>
      <c r="C16" s="180"/>
    </row>
    <row r="17" spans="1:3" ht="18.5" x14ac:dyDescent="0.45">
      <c r="A17" s="94"/>
      <c r="B17" s="188"/>
      <c r="C17" s="180"/>
    </row>
    <row r="18" spans="1:3" ht="18.5" x14ac:dyDescent="0.45">
      <c r="A18" s="102" t="s">
        <v>177</v>
      </c>
      <c r="B18" s="188"/>
      <c r="C18" s="180"/>
    </row>
    <row r="19" spans="1:3" ht="18.5" x14ac:dyDescent="0.45">
      <c r="A19" s="94"/>
      <c r="B19" s="188"/>
      <c r="C19" s="180"/>
    </row>
    <row r="20" spans="1:3" ht="34" x14ac:dyDescent="0.45">
      <c r="A20" s="94" t="s">
        <v>65</v>
      </c>
      <c r="B20" s="181">
        <f>'Profit and Loss'!L5</f>
        <v>69436026.417164505</v>
      </c>
      <c r="C20" s="180" t="s">
        <v>201</v>
      </c>
    </row>
    <row r="21" spans="1:3" ht="34" x14ac:dyDescent="0.45">
      <c r="A21" s="94" t="str">
        <f>A8</f>
        <v>Assumed revenue from households</v>
      </c>
      <c r="B21" s="182">
        <f>B8</f>
        <v>0.7</v>
      </c>
      <c r="C21" s="180" t="s">
        <v>199</v>
      </c>
    </row>
    <row r="22" spans="1:3" ht="18.5" x14ac:dyDescent="0.45">
      <c r="A22" s="94"/>
      <c r="B22" s="185"/>
      <c r="C22" s="180"/>
    </row>
    <row r="23" spans="1:3" ht="34" x14ac:dyDescent="0.45">
      <c r="A23" s="94" t="s">
        <v>101</v>
      </c>
      <c r="B23" s="184">
        <f>Assumptions!M135</f>
        <v>4763.3226586559385</v>
      </c>
      <c r="C23" s="180" t="s">
        <v>202</v>
      </c>
    </row>
    <row r="24" spans="1:3" ht="18.5" x14ac:dyDescent="0.45">
      <c r="A24" s="94"/>
      <c r="B24" s="185"/>
      <c r="C24" s="180"/>
    </row>
    <row r="25" spans="1:3" ht="18.5" x14ac:dyDescent="0.45">
      <c r="A25" s="94" t="s">
        <v>182</v>
      </c>
      <c r="B25" s="181">
        <f>(B20*B21)/B23</f>
        <v>10204.057540315784</v>
      </c>
      <c r="C25" s="180"/>
    </row>
    <row r="26" spans="1:3" ht="18.5" x14ac:dyDescent="0.45">
      <c r="A26" s="94"/>
      <c r="B26" s="181"/>
      <c r="C26" s="180"/>
    </row>
    <row r="27" spans="1:3" ht="34" x14ac:dyDescent="0.45">
      <c r="A27" s="94" t="s">
        <v>103</v>
      </c>
      <c r="B27" s="103">
        <f>1.022^11</f>
        <v>1.2704566586717592</v>
      </c>
      <c r="C27" s="180" t="s">
        <v>203</v>
      </c>
    </row>
    <row r="28" spans="1:3" ht="18.5" x14ac:dyDescent="0.45">
      <c r="A28" s="96"/>
      <c r="B28" s="186"/>
      <c r="C28" s="180"/>
    </row>
    <row r="29" spans="1:3" ht="18.5" x14ac:dyDescent="0.45">
      <c r="A29" s="96" t="s">
        <v>179</v>
      </c>
      <c r="B29" s="181">
        <f>B25/B27</f>
        <v>8031.8029510616698</v>
      </c>
      <c r="C29" s="180"/>
    </row>
    <row r="30" spans="1:3" ht="18.5" x14ac:dyDescent="0.45">
      <c r="A30" s="96"/>
      <c r="B30" s="186"/>
      <c r="C30" s="180"/>
    </row>
    <row r="31" spans="1:3" ht="18.5" x14ac:dyDescent="0.45">
      <c r="A31" s="102" t="s">
        <v>185</v>
      </c>
      <c r="B31" s="189"/>
      <c r="C31" s="180"/>
    </row>
    <row r="32" spans="1:3" ht="18.5" x14ac:dyDescent="0.45">
      <c r="A32" s="94"/>
      <c r="B32" s="181"/>
      <c r="C32" s="180"/>
    </row>
    <row r="33" spans="1:3" ht="34" x14ac:dyDescent="0.45">
      <c r="A33" s="94" t="s">
        <v>66</v>
      </c>
      <c r="B33" s="181">
        <f>'Profit and Loss'!AF5</f>
        <v>192222411.86261576</v>
      </c>
      <c r="C33" s="180" t="s">
        <v>201</v>
      </c>
    </row>
    <row r="34" spans="1:3" ht="34" x14ac:dyDescent="0.45">
      <c r="A34" s="94" t="str">
        <f>A21</f>
        <v>Assumed revenue from households</v>
      </c>
      <c r="B34" s="182">
        <f>B21</f>
        <v>0.7</v>
      </c>
      <c r="C34" s="180" t="s">
        <v>199</v>
      </c>
    </row>
    <row r="35" spans="1:3" ht="18.5" x14ac:dyDescent="0.45">
      <c r="A35" s="94"/>
      <c r="B35" s="185"/>
      <c r="C35" s="180"/>
    </row>
    <row r="36" spans="1:3" ht="34" x14ac:dyDescent="0.45">
      <c r="A36" s="94" t="s">
        <v>100</v>
      </c>
      <c r="B36" s="184">
        <f>Assumptions!AG135</f>
        <v>5904.4678997677511</v>
      </c>
      <c r="C36" s="180" t="s">
        <v>202</v>
      </c>
    </row>
    <row r="37" spans="1:3" ht="18.5" x14ac:dyDescent="0.45">
      <c r="A37" s="94"/>
      <c r="B37" s="185"/>
      <c r="C37" s="180"/>
    </row>
    <row r="38" spans="1:3" ht="18.5" x14ac:dyDescent="0.45">
      <c r="A38" s="94" t="s">
        <v>181</v>
      </c>
      <c r="B38" s="181">
        <f>(B33*B34)/B36</f>
        <v>22788.79157072286</v>
      </c>
      <c r="C38" s="180"/>
    </row>
    <row r="39" spans="1:3" ht="18.5" x14ac:dyDescent="0.45">
      <c r="A39" s="94"/>
      <c r="B39" s="185"/>
      <c r="C39" s="180"/>
    </row>
    <row r="40" spans="1:3" ht="34" x14ac:dyDescent="0.45">
      <c r="A40" s="94" t="s">
        <v>103</v>
      </c>
      <c r="B40" s="103">
        <f>1.022^31</f>
        <v>1.9632597808456462</v>
      </c>
      <c r="C40" s="180" t="s">
        <v>203</v>
      </c>
    </row>
    <row r="41" spans="1:3" ht="18.5" x14ac:dyDescent="0.45">
      <c r="A41" s="96"/>
      <c r="B41" s="186"/>
    </row>
    <row r="42" spans="1:3" ht="18.5" x14ac:dyDescent="0.45">
      <c r="A42" s="96" t="s">
        <v>180</v>
      </c>
      <c r="B42" s="181">
        <f>B38/B40</f>
        <v>11607.629205803276</v>
      </c>
    </row>
    <row r="43" spans="1:3" x14ac:dyDescent="0.35">
      <c r="B43" s="190"/>
    </row>
    <row r="44" spans="1:3" x14ac:dyDescent="0.35">
      <c r="B44" s="190"/>
    </row>
    <row r="45" spans="1:3" x14ac:dyDescent="0.35">
      <c r="B45" s="190"/>
    </row>
    <row r="46" spans="1:3" x14ac:dyDescent="0.35">
      <c r="B46" s="190"/>
    </row>
    <row r="47" spans="1:3" x14ac:dyDescent="0.35">
      <c r="B47" s="190"/>
    </row>
    <row r="48" spans="1:3" x14ac:dyDescent="0.35">
      <c r="B48" s="190"/>
    </row>
    <row r="49" spans="2:2" x14ac:dyDescent="0.35">
      <c r="B49" s="190"/>
    </row>
    <row r="50" spans="2:2" x14ac:dyDescent="0.35">
      <c r="B50" s="190"/>
    </row>
    <row r="51" spans="2:2" x14ac:dyDescent="0.35">
      <c r="B51" s="190"/>
    </row>
    <row r="52" spans="2:2" x14ac:dyDescent="0.35">
      <c r="B52" s="190"/>
    </row>
    <row r="53" spans="2:2" x14ac:dyDescent="0.35">
      <c r="B53" s="190"/>
    </row>
    <row r="54" spans="2:2" x14ac:dyDescent="0.35">
      <c r="B54" s="190"/>
    </row>
    <row r="55" spans="2:2" x14ac:dyDescent="0.35">
      <c r="B55" s="190"/>
    </row>
    <row r="56" spans="2:2" x14ac:dyDescent="0.35">
      <c r="B56" s="190"/>
    </row>
    <row r="57" spans="2:2" x14ac:dyDescent="0.35">
      <c r="B57" s="190"/>
    </row>
    <row r="58" spans="2:2" x14ac:dyDescent="0.35">
      <c r="B58" s="190"/>
    </row>
    <row r="59" spans="2:2" x14ac:dyDescent="0.35">
      <c r="B59" s="190"/>
    </row>
    <row r="60" spans="2:2" x14ac:dyDescent="0.35">
      <c r="B60" s="190"/>
    </row>
    <row r="61" spans="2:2" x14ac:dyDescent="0.35">
      <c r="B61" s="190"/>
    </row>
    <row r="62" spans="2:2" x14ac:dyDescent="0.35">
      <c r="B62" s="190"/>
    </row>
    <row r="63" spans="2:2" x14ac:dyDescent="0.35">
      <c r="B63" s="190"/>
    </row>
    <row r="64" spans="2:2" x14ac:dyDescent="0.35">
      <c r="B64" s="190"/>
    </row>
    <row r="65" spans="2:2" x14ac:dyDescent="0.35">
      <c r="B65" s="190"/>
    </row>
    <row r="66" spans="2:2" x14ac:dyDescent="0.35">
      <c r="B66" s="190"/>
    </row>
    <row r="67" spans="2:2" x14ac:dyDescent="0.35">
      <c r="B67" s="190"/>
    </row>
    <row r="68" spans="2:2" x14ac:dyDescent="0.35">
      <c r="B68" s="1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1.0796054985407588E-2</v>
      </c>
      <c r="D13" s="128">
        <f t="shared" ref="D13:AG13" si="3">(1+$C$13)^D8</f>
        <v>1.0107960549854076</v>
      </c>
      <c r="E13" s="128">
        <f t="shared" si="3"/>
        <v>1.0217086647740632</v>
      </c>
      <c r="F13" s="128">
        <f t="shared" si="3"/>
        <v>1.0327390876980314</v>
      </c>
      <c r="G13" s="128">
        <f t="shared" si="3"/>
        <v>1.0438885956743991</v>
      </c>
      <c r="H13" s="128">
        <f t="shared" si="3"/>
        <v>1.0551584743519398</v>
      </c>
      <c r="I13" s="128">
        <f t="shared" si="3"/>
        <v>1.0665500232593621</v>
      </c>
      <c r="J13" s="128">
        <f t="shared" si="3"/>
        <v>1.078064555955158</v>
      </c>
      <c r="K13" s="128">
        <f t="shared" si="3"/>
        <v>1.0897034001790691</v>
      </c>
      <c r="L13" s="128">
        <f t="shared" si="3"/>
        <v>1.101467898005188</v>
      </c>
      <c r="M13" s="128">
        <f t="shared" si="3"/>
        <v>1.1133594059967133</v>
      </c>
      <c r="N13" s="128">
        <f t="shared" si="3"/>
        <v>1.1253792953623747</v>
      </c>
      <c r="O13" s="128">
        <f t="shared" si="3"/>
        <v>1.1375289521145462</v>
      </c>
      <c r="P13" s="128">
        <f t="shared" si="3"/>
        <v>1.1498097772290679</v>
      </c>
      <c r="Q13" s="128">
        <f t="shared" si="3"/>
        <v>1.162223186806792</v>
      </c>
      <c r="R13" s="128">
        <f t="shared" si="3"/>
        <v>1.174770612236874</v>
      </c>
      <c r="S13" s="128">
        <f t="shared" si="3"/>
        <v>1.1874535003618243</v>
      </c>
      <c r="T13" s="128">
        <f t="shared" si="3"/>
        <v>1.2002733136443453</v>
      </c>
      <c r="U13" s="128">
        <f t="shared" si="3"/>
        <v>1.2132315303359671</v>
      </c>
      <c r="V13" s="128">
        <f t="shared" si="3"/>
        <v>1.2263296446475043</v>
      </c>
      <c r="W13" s="128">
        <f t="shared" si="3"/>
        <v>1.2395691669213542</v>
      </c>
      <c r="X13" s="128">
        <f t="shared" si="3"/>
        <v>1.2529516238056531</v>
      </c>
      <c r="Y13" s="128">
        <f t="shared" si="3"/>
        <v>1.2664785584303146</v>
      </c>
      <c r="Z13" s="128">
        <f t="shared" si="3"/>
        <v>1.2801515305849682</v>
      </c>
      <c r="AA13" s="128">
        <f t="shared" si="3"/>
        <v>1.2939721168988174</v>
      </c>
      <c r="AB13" s="128">
        <f t="shared" si="3"/>
        <v>1.3079419110224413</v>
      </c>
      <c r="AC13" s="128">
        <f t="shared" si="3"/>
        <v>1.3220625238115586</v>
      </c>
      <c r="AD13" s="128">
        <f t="shared" si="3"/>
        <v>1.3363355835127753</v>
      </c>
      <c r="AE13" s="128">
        <f t="shared" si="3"/>
        <v>1.3507627359513359</v>
      </c>
      <c r="AF13" s="128">
        <f t="shared" si="3"/>
        <v>1.365345644720906</v>
      </c>
      <c r="AG13" s="128">
        <f t="shared" si="3"/>
        <v>1.3800859913753996</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313829500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156914750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20190000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8764000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7921561.3099999996</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270075999.99999994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357583000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797681.32504091365</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1493682.7767826938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1145682.0509118037</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2174256.636659632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3830428.3555359626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3002342.4960977975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4496025.2728804909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140</v>
      </c>
      <c r="B77" s="179" t="s">
        <v>175</v>
      </c>
      <c r="C77" s="87">
        <v>5430000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3028120347.5267763</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3289617665.7244067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3033550347.5267763</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3295047665.7244067</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50">
        <v>10683</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12420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11551.5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262610.94641620363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285248.46692848607</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808605000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808605000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808605000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808605000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26953500</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4496025.2728804909</v>
      </c>
      <c r="E111" s="149">
        <f t="shared" si="9"/>
        <v>4496025.2728804909</v>
      </c>
      <c r="F111" s="149">
        <f t="shared" si="9"/>
        <v>4496025.2728804909</v>
      </c>
      <c r="G111" s="149">
        <f t="shared" si="9"/>
        <v>4496025.2728804909</v>
      </c>
      <c r="H111" s="149">
        <f t="shared" si="9"/>
        <v>4496025.2728804909</v>
      </c>
      <c r="I111" s="149">
        <f t="shared" si="9"/>
        <v>4496025.2728804909</v>
      </c>
      <c r="J111" s="149">
        <f t="shared" si="9"/>
        <v>4496025.2728804909</v>
      </c>
      <c r="K111" s="149">
        <f t="shared" si="9"/>
        <v>4496025.2728804909</v>
      </c>
      <c r="L111" s="149">
        <f t="shared" si="9"/>
        <v>4496025.2728804909</v>
      </c>
      <c r="M111" s="149">
        <f t="shared" si="9"/>
        <v>4496025.2728804909</v>
      </c>
      <c r="N111" s="149">
        <f t="shared" si="9"/>
        <v>4496025.2728804909</v>
      </c>
      <c r="O111" s="149">
        <f t="shared" si="9"/>
        <v>4496025.2728804909</v>
      </c>
      <c r="P111" s="149">
        <f t="shared" si="9"/>
        <v>4496025.2728804909</v>
      </c>
      <c r="Q111" s="149">
        <f t="shared" si="9"/>
        <v>4496025.2728804909</v>
      </c>
      <c r="R111" s="149">
        <f t="shared" si="9"/>
        <v>4496025.2728804909</v>
      </c>
      <c r="S111" s="149">
        <f t="shared" si="9"/>
        <v>4496025.2728804909</v>
      </c>
      <c r="T111" s="149">
        <f t="shared" si="9"/>
        <v>4496025.2728804909</v>
      </c>
      <c r="U111" s="149">
        <f t="shared" si="9"/>
        <v>4496025.2728804909</v>
      </c>
      <c r="V111" s="149">
        <f t="shared" si="9"/>
        <v>4496025.2728804909</v>
      </c>
      <c r="W111" s="149">
        <f t="shared" si="9"/>
        <v>4496025.2728804909</v>
      </c>
      <c r="X111" s="149">
        <f t="shared" si="9"/>
        <v>4496025.2728804909</v>
      </c>
      <c r="Y111" s="149">
        <f t="shared" si="9"/>
        <v>4496025.2728804909</v>
      </c>
      <c r="Z111" s="149">
        <f t="shared" si="9"/>
        <v>4496025.2728804909</v>
      </c>
      <c r="AA111" s="149">
        <f t="shared" si="9"/>
        <v>4496025.2728804909</v>
      </c>
      <c r="AB111" s="149">
        <f t="shared" si="9"/>
        <v>4496025.2728804909</v>
      </c>
      <c r="AC111" s="149">
        <f t="shared" si="9"/>
        <v>4496025.2728804909</v>
      </c>
      <c r="AD111" s="149">
        <f t="shared" si="9"/>
        <v>4496025.2728804909</v>
      </c>
      <c r="AE111" s="149">
        <f t="shared" si="9"/>
        <v>4496025.2728804909</v>
      </c>
      <c r="AF111" s="149">
        <f t="shared" si="9"/>
        <v>4496025.2728804909</v>
      </c>
      <c r="AG111" s="149">
        <f t="shared" si="9"/>
        <v>4496025.2728804909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808605000</v>
      </c>
      <c r="D113" s="149">
        <f t="shared" ref="D113:AG113" si="10">$C$102</f>
        <v>26953500</v>
      </c>
      <c r="E113" s="149">
        <f t="shared" si="10"/>
        <v>26953500</v>
      </c>
      <c r="F113" s="149">
        <f t="shared" si="10"/>
        <v>26953500</v>
      </c>
      <c r="G113" s="149">
        <f t="shared" si="10"/>
        <v>26953500</v>
      </c>
      <c r="H113" s="149">
        <f t="shared" si="10"/>
        <v>26953500</v>
      </c>
      <c r="I113" s="149">
        <f t="shared" si="10"/>
        <v>26953500</v>
      </c>
      <c r="J113" s="149">
        <f t="shared" si="10"/>
        <v>26953500</v>
      </c>
      <c r="K113" s="149">
        <f t="shared" si="10"/>
        <v>26953500</v>
      </c>
      <c r="L113" s="149">
        <f t="shared" si="10"/>
        <v>26953500</v>
      </c>
      <c r="M113" s="149">
        <f t="shared" si="10"/>
        <v>26953500</v>
      </c>
      <c r="N113" s="149">
        <f t="shared" si="10"/>
        <v>26953500</v>
      </c>
      <c r="O113" s="149">
        <f t="shared" si="10"/>
        <v>26953500</v>
      </c>
      <c r="P113" s="149">
        <f t="shared" si="10"/>
        <v>26953500</v>
      </c>
      <c r="Q113" s="149">
        <f t="shared" si="10"/>
        <v>26953500</v>
      </c>
      <c r="R113" s="149">
        <f t="shared" si="10"/>
        <v>26953500</v>
      </c>
      <c r="S113" s="149">
        <f t="shared" si="10"/>
        <v>26953500</v>
      </c>
      <c r="T113" s="149">
        <f t="shared" si="10"/>
        <v>26953500</v>
      </c>
      <c r="U113" s="149">
        <f t="shared" si="10"/>
        <v>26953500</v>
      </c>
      <c r="V113" s="149">
        <f t="shared" si="10"/>
        <v>26953500</v>
      </c>
      <c r="W113" s="149">
        <f t="shared" si="10"/>
        <v>26953500</v>
      </c>
      <c r="X113" s="149">
        <f t="shared" si="10"/>
        <v>26953500</v>
      </c>
      <c r="Y113" s="149">
        <f t="shared" si="10"/>
        <v>26953500</v>
      </c>
      <c r="Z113" s="149">
        <f t="shared" si="10"/>
        <v>26953500</v>
      </c>
      <c r="AA113" s="149">
        <f t="shared" si="10"/>
        <v>26953500</v>
      </c>
      <c r="AB113" s="149">
        <f t="shared" si="10"/>
        <v>26953500</v>
      </c>
      <c r="AC113" s="149">
        <f t="shared" si="10"/>
        <v>26953500</v>
      </c>
      <c r="AD113" s="149">
        <f t="shared" si="10"/>
        <v>26953500</v>
      </c>
      <c r="AE113" s="149">
        <f t="shared" si="10"/>
        <v>26953500</v>
      </c>
      <c r="AF113" s="149">
        <f t="shared" si="10"/>
        <v>26953500</v>
      </c>
      <c r="AG113" s="149">
        <f t="shared" si="10"/>
        <v>26953500</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26953500</v>
      </c>
      <c r="E118" s="149">
        <f t="shared" ref="E118:AG118" si="13">E113+E115+E116</f>
        <v>26953500</v>
      </c>
      <c r="F118" s="149">
        <f>F113+F115+F116</f>
        <v>26953500</v>
      </c>
      <c r="G118" s="149">
        <f t="shared" si="13"/>
        <v>26953500</v>
      </c>
      <c r="H118" s="149">
        <f t="shared" si="13"/>
        <v>26953500</v>
      </c>
      <c r="I118" s="149">
        <f t="shared" si="13"/>
        <v>26953500</v>
      </c>
      <c r="J118" s="149">
        <f t="shared" si="13"/>
        <v>26953500</v>
      </c>
      <c r="K118" s="149">
        <f t="shared" si="13"/>
        <v>26953500</v>
      </c>
      <c r="L118" s="149">
        <f t="shared" si="13"/>
        <v>26953500</v>
      </c>
      <c r="M118" s="149">
        <f t="shared" si="13"/>
        <v>26953500</v>
      </c>
      <c r="N118" s="149">
        <f t="shared" si="13"/>
        <v>26953500</v>
      </c>
      <c r="O118" s="149">
        <f t="shared" si="13"/>
        <v>26953500</v>
      </c>
      <c r="P118" s="149">
        <f t="shared" si="13"/>
        <v>26953500</v>
      </c>
      <c r="Q118" s="149">
        <f t="shared" si="13"/>
        <v>26953500</v>
      </c>
      <c r="R118" s="149">
        <f t="shared" si="13"/>
        <v>26953500</v>
      </c>
      <c r="S118" s="149">
        <f t="shared" si="13"/>
        <v>26953500</v>
      </c>
      <c r="T118" s="149">
        <f t="shared" si="13"/>
        <v>26953500</v>
      </c>
      <c r="U118" s="149">
        <f t="shared" si="13"/>
        <v>26953500</v>
      </c>
      <c r="V118" s="149">
        <f t="shared" si="13"/>
        <v>26953500</v>
      </c>
      <c r="W118" s="149">
        <f t="shared" si="13"/>
        <v>26953500</v>
      </c>
      <c r="X118" s="149">
        <f t="shared" si="13"/>
        <v>26953500</v>
      </c>
      <c r="Y118" s="149">
        <f t="shared" si="13"/>
        <v>26953500</v>
      </c>
      <c r="Z118" s="149">
        <f t="shared" si="13"/>
        <v>26953500</v>
      </c>
      <c r="AA118" s="149">
        <f t="shared" si="13"/>
        <v>26953500</v>
      </c>
      <c r="AB118" s="149">
        <f t="shared" si="13"/>
        <v>26953500</v>
      </c>
      <c r="AC118" s="149">
        <f t="shared" si="13"/>
        <v>26953500</v>
      </c>
      <c r="AD118" s="149">
        <f t="shared" si="13"/>
        <v>26953500</v>
      </c>
      <c r="AE118" s="149">
        <f t="shared" si="13"/>
        <v>26953500</v>
      </c>
      <c r="AF118" s="149">
        <f t="shared" si="13"/>
        <v>26953500</v>
      </c>
      <c r="AG118" s="149">
        <f t="shared" si="13"/>
        <v>26953500</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646884</v>
      </c>
      <c r="E120" s="149">
        <f>(SUM($D$118:E118)*$C$104/$C$106)+(SUM($D$118:E118)*$C$105/$C$107)</f>
        <v>1293768</v>
      </c>
      <c r="F120" s="149">
        <f>(SUM($D$118:F118)*$C$104/$C$106)+(SUM($D$118:F118)*$C$105/$C$107)</f>
        <v>1940652</v>
      </c>
      <c r="G120" s="149">
        <f>(SUM($D$118:G118)*$C$104/$C$106)+(SUM($D$118:G118)*$C$105/$C$107)</f>
        <v>2587536</v>
      </c>
      <c r="H120" s="149">
        <f>(SUM($D$118:H118)*$C$104/$C$106)+(SUM($D$118:H118)*$C$105/$C$107)</f>
        <v>3234420</v>
      </c>
      <c r="I120" s="149">
        <f>(SUM($D$118:I118)*$C$104/$C$106)+(SUM($D$118:I118)*$C$105/$C$107)</f>
        <v>3881304</v>
      </c>
      <c r="J120" s="149">
        <f>(SUM($D$118:J118)*$C$104/$C$106)+(SUM($D$118:J118)*$C$105/$C$107)</f>
        <v>4528188</v>
      </c>
      <c r="K120" s="149">
        <f>(SUM($D$118:K118)*$C$104/$C$106)+(SUM($D$118:K118)*$C$105/$C$107)</f>
        <v>5175072</v>
      </c>
      <c r="L120" s="149">
        <f>(SUM($D$118:L118)*$C$104/$C$106)+(SUM($D$118:L118)*$C$105/$C$107)</f>
        <v>5821956</v>
      </c>
      <c r="M120" s="149">
        <f>(SUM($D$118:M118)*$C$104/$C$106)+(SUM($D$118:M118)*$C$105/$C$107)</f>
        <v>6468840</v>
      </c>
      <c r="N120" s="149">
        <f>(SUM($D$118:N118)*$C$104/$C$106)+(SUM($D$118:N118)*$C$105/$C$107)</f>
        <v>7115724</v>
      </c>
      <c r="O120" s="149">
        <f>(SUM($D$118:O118)*$C$104/$C$106)+(SUM($D$118:O118)*$C$105/$C$107)</f>
        <v>7762608</v>
      </c>
      <c r="P120" s="149">
        <f>(SUM($D$118:P118)*$C$104/$C$106)+(SUM($D$118:P118)*$C$105/$C$107)</f>
        <v>8409492</v>
      </c>
      <c r="Q120" s="149">
        <f>(SUM($D$118:Q118)*$C$104/$C$106)+(SUM($D$118:Q118)*$C$105/$C$107)</f>
        <v>9056376</v>
      </c>
      <c r="R120" s="149">
        <f>(SUM($D$118:R118)*$C$104/$C$106)+(SUM($D$118:R118)*$C$105/$C$107)</f>
        <v>9703260</v>
      </c>
      <c r="S120" s="149">
        <f>(SUM($D$118:S118)*$C$104/$C$106)+(SUM($D$118:S118)*$C$105/$C$107)</f>
        <v>10350144</v>
      </c>
      <c r="T120" s="149">
        <f>(SUM($D$118:T118)*$C$104/$C$106)+(SUM($D$118:T118)*$C$105/$C$107)</f>
        <v>10997028</v>
      </c>
      <c r="U120" s="149">
        <f>(SUM($D$118:U118)*$C$104/$C$106)+(SUM($D$118:U118)*$C$105/$C$107)</f>
        <v>11643912</v>
      </c>
      <c r="V120" s="149">
        <f>(SUM($D$118:V118)*$C$104/$C$106)+(SUM($D$118:V118)*$C$105/$C$107)</f>
        <v>12290796</v>
      </c>
      <c r="W120" s="149">
        <f>(SUM($D$118:W118)*$C$104/$C$106)+(SUM($D$118:W118)*$C$105/$C$107)</f>
        <v>12937680</v>
      </c>
      <c r="X120" s="149">
        <f>(SUM($D$118:X118)*$C$104/$C$106)+(SUM($D$118:X118)*$C$105/$C$107)</f>
        <v>13584564</v>
      </c>
      <c r="Y120" s="149">
        <f>(SUM($D$118:Y118)*$C$104/$C$106)+(SUM($D$118:Y118)*$C$105/$C$107)</f>
        <v>14231448</v>
      </c>
      <c r="Z120" s="149">
        <f>(SUM($D$118:Z118)*$C$104/$C$106)+(SUM($D$118:Z118)*$C$105/$C$107)</f>
        <v>14878332</v>
      </c>
      <c r="AA120" s="149">
        <f>(SUM($D$118:AA118)*$C$104/$C$106)+(SUM($D$118:AA118)*$C$105/$C$107)</f>
        <v>15525216</v>
      </c>
      <c r="AB120" s="149">
        <f>(SUM($D$118:AB118)*$C$104/$C$106)+(SUM($D$118:AB118)*$C$105/$C$107)</f>
        <v>16172100</v>
      </c>
      <c r="AC120" s="149">
        <f>(SUM($D$118:AC118)*$C$104/$C$106)+(SUM($D$118:AC118)*$C$105/$C$107)</f>
        <v>16818984</v>
      </c>
      <c r="AD120" s="149">
        <f>(SUM($D$118:AD118)*$C$104/$C$106)+(SUM($D$118:AD118)*$C$105/$C$107)</f>
        <v>17465868</v>
      </c>
      <c r="AE120" s="149">
        <f>(SUM($D$118:AE118)*$C$104/$C$106)+(SUM($D$118:AE118)*$C$105/$C$107)</f>
        <v>18112752</v>
      </c>
      <c r="AF120" s="149">
        <f>(SUM($D$118:AF118)*$C$104/$C$106)+(SUM($D$118:AF118)*$C$105/$C$107)</f>
        <v>18759636</v>
      </c>
      <c r="AG120" s="149">
        <f>(SUM($D$118:AG118)*$C$104/$C$106)+(SUM($D$118:AG118)*$C$105/$C$107)</f>
        <v>19406520</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808605</v>
      </c>
      <c r="E122" s="72">
        <f>(SUM($D$118:E118)*$C$109)</f>
        <v>1617210</v>
      </c>
      <c r="F122" s="72">
        <f>(SUM($D$118:F118)*$C$109)</f>
        <v>2425815</v>
      </c>
      <c r="G122" s="72">
        <f>(SUM($D$118:G118)*$C$109)</f>
        <v>3234420</v>
      </c>
      <c r="H122" s="72">
        <f>(SUM($D$118:H118)*$C$109)</f>
        <v>4043025</v>
      </c>
      <c r="I122" s="72">
        <f>(SUM($D$118:I118)*$C$109)</f>
        <v>4851630</v>
      </c>
      <c r="J122" s="72">
        <f>(SUM($D$118:J118)*$C$109)</f>
        <v>5660235</v>
      </c>
      <c r="K122" s="72">
        <f>(SUM($D$118:K118)*$C$109)</f>
        <v>6468840</v>
      </c>
      <c r="L122" s="72">
        <f>(SUM($D$118:L118)*$C$109)</f>
        <v>7277445</v>
      </c>
      <c r="M122" s="72">
        <f>(SUM($D$118:M118)*$C$109)</f>
        <v>8086050</v>
      </c>
      <c r="N122" s="72">
        <f>(SUM($D$118:N118)*$C$109)</f>
        <v>8894655</v>
      </c>
      <c r="O122" s="72">
        <f>(SUM($D$118:O118)*$C$109)</f>
        <v>9703260</v>
      </c>
      <c r="P122" s="72">
        <f>(SUM($D$118:P118)*$C$109)</f>
        <v>10511865</v>
      </c>
      <c r="Q122" s="72">
        <f>(SUM($D$118:Q118)*$C$109)</f>
        <v>11320470</v>
      </c>
      <c r="R122" s="72">
        <f>(SUM($D$118:R118)*$C$109)</f>
        <v>12129075</v>
      </c>
      <c r="S122" s="72">
        <f>(SUM($D$118:S118)*$C$109)</f>
        <v>12937680</v>
      </c>
      <c r="T122" s="72">
        <f>(SUM($D$118:T118)*$C$109)</f>
        <v>13746285</v>
      </c>
      <c r="U122" s="72">
        <f>(SUM($D$118:U118)*$C$109)</f>
        <v>14554890</v>
      </c>
      <c r="V122" s="72">
        <f>(SUM($D$118:V118)*$C$109)</f>
        <v>15363495</v>
      </c>
      <c r="W122" s="72">
        <f>(SUM($D$118:W118)*$C$109)</f>
        <v>16172100</v>
      </c>
      <c r="X122" s="72">
        <f>(SUM($D$118:X118)*$C$109)</f>
        <v>16980705</v>
      </c>
      <c r="Y122" s="72">
        <f>(SUM($D$118:Y118)*$C$109)</f>
        <v>17789310</v>
      </c>
      <c r="Z122" s="72">
        <f>(SUM($D$118:Z118)*$C$109)</f>
        <v>18597915</v>
      </c>
      <c r="AA122" s="72">
        <f>(SUM($D$118:AA118)*$C$109)</f>
        <v>19406520</v>
      </c>
      <c r="AB122" s="72">
        <f>(SUM($D$118:AB118)*$C$109)</f>
        <v>20215125</v>
      </c>
      <c r="AC122" s="72">
        <f>(SUM($D$118:AC118)*$C$109)</f>
        <v>21023730</v>
      </c>
      <c r="AD122" s="72">
        <f>(SUM($D$118:AD118)*$C$109)</f>
        <v>21832335</v>
      </c>
      <c r="AE122" s="72">
        <f>(SUM($D$118:AE118)*$C$109)</f>
        <v>22640940</v>
      </c>
      <c r="AF122" s="72">
        <f>(SUM($D$118:AF118)*$C$109)</f>
        <v>23449545</v>
      </c>
      <c r="AG122" s="72">
        <f>(SUM($D$118:AG118)*$C$109)</f>
        <v>24258150</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196</v>
      </c>
      <c r="C126" s="126">
        <v>10683</v>
      </c>
      <c r="D126" s="140"/>
    </row>
    <row r="127" spans="1:33" x14ac:dyDescent="0.35">
      <c r="A127" s="77" t="s">
        <v>150</v>
      </c>
      <c r="B127" s="77" t="s">
        <v>133</v>
      </c>
      <c r="C127" s="126">
        <v>12420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11551.5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4278.333333333333</v>
      </c>
      <c r="D135" s="157">
        <f t="shared" ref="D135:AG135" si="14">$C$135*D13</f>
        <v>4324.5224552459022</v>
      </c>
      <c r="E135" s="157">
        <f t="shared" si="14"/>
        <v>4371.2102374583665</v>
      </c>
      <c r="F135" s="157">
        <f t="shared" si="14"/>
        <v>4418.4020635347442</v>
      </c>
      <c r="G135" s="157">
        <f t="shared" si="14"/>
        <v>4466.1033751603036</v>
      </c>
      <c r="H135" s="157">
        <f t="shared" si="14"/>
        <v>4514.3196727690483</v>
      </c>
      <c r="I135" s="157">
        <f t="shared" si="14"/>
        <v>4563.0565161779705</v>
      </c>
      <c r="J135" s="157">
        <f t="shared" si="14"/>
        <v>4612.3195252281512</v>
      </c>
      <c r="K135" s="157">
        <f t="shared" si="14"/>
        <v>4662.1143804327839</v>
      </c>
      <c r="L135" s="157">
        <f t="shared" si="14"/>
        <v>4712.4468236321954</v>
      </c>
      <c r="M135" s="157">
        <f t="shared" si="14"/>
        <v>4763.3226586559385</v>
      </c>
      <c r="N135" s="157">
        <f t="shared" si="14"/>
        <v>4814.7477519920258</v>
      </c>
      <c r="O135" s="157">
        <f t="shared" si="14"/>
        <v>4866.7280334633997</v>
      </c>
      <c r="P135" s="157">
        <f t="shared" si="14"/>
        <v>4919.2694969116947</v>
      </c>
      <c r="Q135" s="157">
        <f t="shared" si="14"/>
        <v>4972.3782008883918</v>
      </c>
      <c r="R135" s="157">
        <f t="shared" si="14"/>
        <v>5026.0602693534256</v>
      </c>
      <c r="S135" s="157">
        <f t="shared" si="14"/>
        <v>5080.3218923813383</v>
      </c>
      <c r="T135" s="157">
        <f t="shared" si="14"/>
        <v>5135.1693268750569</v>
      </c>
      <c r="U135" s="157">
        <f t="shared" si="14"/>
        <v>5190.6088972873786</v>
      </c>
      <c r="V135" s="157">
        <f t="shared" si="14"/>
        <v>5246.6469963502386</v>
      </c>
      <c r="W135" s="157">
        <f t="shared" si="14"/>
        <v>5303.2900858118601</v>
      </c>
      <c r="X135" s="157">
        <f t="shared" si="14"/>
        <v>5360.5446971818519</v>
      </c>
      <c r="Y135" s="157">
        <f t="shared" si="14"/>
        <v>5418.4174324843625</v>
      </c>
      <c r="Z135" s="157">
        <f t="shared" si="14"/>
        <v>5476.9149650193549</v>
      </c>
      <c r="AA135" s="157">
        <f t="shared" si="14"/>
        <v>5536.0440401321066</v>
      </c>
      <c r="AB135" s="157">
        <f t="shared" si="14"/>
        <v>5595.8114759910113</v>
      </c>
      <c r="AC135" s="157">
        <f t="shared" si="14"/>
        <v>5656.2241643737843</v>
      </c>
      <c r="AD135" s="157">
        <f t="shared" si="14"/>
        <v>5717.2890714621562</v>
      </c>
      <c r="AE135" s="157">
        <f t="shared" si="14"/>
        <v>5779.0132386451314</v>
      </c>
      <c r="AF135" s="157">
        <f t="shared" si="14"/>
        <v>5841.4037833309421</v>
      </c>
      <c r="AG135" s="157">
        <f t="shared" si="14"/>
        <v>5904.4678997677511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0.55000000000000004</v>
      </c>
      <c r="F4" s="65">
        <v>0.5</v>
      </c>
      <c r="G4" s="65">
        <v>0.5</v>
      </c>
      <c r="H4" s="65">
        <v>0.22</v>
      </c>
      <c r="I4" s="65">
        <v>0.15</v>
      </c>
      <c r="J4" s="65">
        <v>0.12</v>
      </c>
      <c r="K4" s="65">
        <v>7.0000000000000007E-2</v>
      </c>
      <c r="L4" s="65">
        <v>7.0000000000000007E-2</v>
      </c>
      <c r="M4" s="65">
        <v>7.0000000000000007E-2</v>
      </c>
      <c r="N4" s="65">
        <v>0.06</v>
      </c>
      <c r="O4" s="65">
        <v>0.05</v>
      </c>
      <c r="P4" s="65">
        <v>4.4999999999999998E-2</v>
      </c>
      <c r="Q4" s="65">
        <v>4.4999999999999998E-2</v>
      </c>
      <c r="R4" s="65">
        <v>4.4999999999999998E-2</v>
      </c>
      <c r="S4" s="65">
        <v>4.4999999999999998E-2</v>
      </c>
      <c r="T4" s="65">
        <v>4.4999999999999998E-2</v>
      </c>
      <c r="U4" s="65">
        <v>0.04</v>
      </c>
      <c r="V4" s="65">
        <v>0.04</v>
      </c>
      <c r="W4" s="65">
        <v>0.04</v>
      </c>
      <c r="X4" s="65">
        <v>0.04</v>
      </c>
      <c r="Y4" s="65">
        <v>0.04</v>
      </c>
      <c r="Z4" s="65">
        <v>0.04</v>
      </c>
      <c r="AA4" s="65">
        <v>0.04</v>
      </c>
      <c r="AB4" s="65">
        <v>0.04</v>
      </c>
      <c r="AC4" s="65">
        <v>0.04</v>
      </c>
      <c r="AD4" s="65">
        <v>0.04</v>
      </c>
      <c r="AE4" s="65">
        <v>0.04</v>
      </c>
      <c r="AF4" s="65">
        <v>0.04</v>
      </c>
      <c r="AG4" s="65">
        <v>3.5000000000000003E-2</v>
      </c>
      <c r="AH4" s="65">
        <v>0.03</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2.5042050509878528</v>
      </c>
      <c r="C6" s="25"/>
      <c r="D6" s="25"/>
      <c r="E6" s="27">
        <f>'Debt worksheet'!C5/'Profit and Loss'!C5</f>
        <v>1.4704109006750399</v>
      </c>
      <c r="F6" s="28">
        <f ca="1">'Debt worksheet'!D5/'Profit and Loss'!D5</f>
        <v>2.4187305305319375</v>
      </c>
      <c r="G6" s="28">
        <f ca="1">'Debt worksheet'!E5/'Profit and Loss'!E5</f>
        <v>2.4474837415950379</v>
      </c>
      <c r="H6" s="28">
        <f ca="1">'Debt worksheet'!F5/'Profit and Loss'!F5</f>
        <v>2.4947972493126778</v>
      </c>
      <c r="I6" s="28">
        <f ca="1">'Debt worksheet'!G5/'Profit and Loss'!G5</f>
        <v>2.5042050509878528</v>
      </c>
      <c r="J6" s="28">
        <f ca="1">'Debt worksheet'!H5/'Profit and Loss'!H5</f>
        <v>2.47795603078016</v>
      </c>
      <c r="K6" s="28">
        <f ca="1">'Debt worksheet'!I5/'Profit and Loss'!I5</f>
        <v>2.4978887493742543</v>
      </c>
      <c r="L6" s="28">
        <f ca="1">'Debt worksheet'!J5/'Profit and Loss'!J5</f>
        <v>2.4968718491310793</v>
      </c>
      <c r="M6" s="28">
        <f ca="1">'Debt worksheet'!K5/'Profit and Loss'!K5</f>
        <v>2.4750626839541607</v>
      </c>
      <c r="N6" s="28">
        <f ca="1">'Debt worksheet'!L5/'Profit and Loss'!L5</f>
        <v>2.4556880300398083</v>
      </c>
      <c r="O6" s="28">
        <f ca="1">'Debt worksheet'!M5/'Profit and Loss'!M5</f>
        <v>2.4474225764872259</v>
      </c>
      <c r="P6" s="28">
        <f ca="1">'Debt worksheet'!N5/'Profit and Loss'!N5</f>
        <v>2.4471918211288699</v>
      </c>
      <c r="Q6" s="28">
        <f ca="1">'Debt worksheet'!O5/'Profit and Loss'!O5</f>
        <v>2.4472051013133691</v>
      </c>
      <c r="R6" s="28">
        <f ca="1">'Debt worksheet'!P5/'Profit and Loss'!P5</f>
        <v>2.4466670435657845</v>
      </c>
      <c r="S6" s="28">
        <f ca="1">'Debt worksheet'!Q5/'Profit and Loss'!Q5</f>
        <v>2.4448424490525871</v>
      </c>
      <c r="T6" s="28">
        <f ca="1">'Debt worksheet'!R5/'Profit and Loss'!R5</f>
        <v>2.441053170996919</v>
      </c>
      <c r="U6" s="28">
        <f ca="1">'Debt worksheet'!S5/'Profit and Loss'!S5</f>
        <v>2.4463802993131614</v>
      </c>
      <c r="V6" s="28">
        <f ca="1">'Debt worksheet'!T5/'Profit and Loss'!T5</f>
        <v>2.4532494102965736</v>
      </c>
      <c r="W6" s="28">
        <f ca="1">'Debt worksheet'!U5/'Profit and Loss'!U5</f>
        <v>2.4610376679342014</v>
      </c>
      <c r="X6" s="28">
        <f ca="1">'Debt worksheet'!V5/'Profit and Loss'!V5</f>
        <v>2.4691590852431822</v>
      </c>
      <c r="Y6" s="28">
        <f ca="1">'Debt worksheet'!W5/'Profit and Loss'!W5</f>
        <v>2.4770629666469515</v>
      </c>
      <c r="Z6" s="28">
        <f ca="1">'Debt worksheet'!X5/'Profit and Loss'!X5</f>
        <v>2.484232407597958</v>
      </c>
      <c r="AA6" s="28">
        <f ca="1">'Debt worksheet'!Y5/'Profit and Loss'!Y5</f>
        <v>2.4901828494877871</v>
      </c>
      <c r="AB6" s="28">
        <f ca="1">'Debt worksheet'!Z5/'Profit and Loss'!Z5</f>
        <v>2.4944606879499718</v>
      </c>
      <c r="AC6" s="28">
        <f ca="1">'Debt worksheet'!AA5/'Profit and Loss'!AA5</f>
        <v>2.496641932723072</v>
      </c>
      <c r="AD6" s="28">
        <f ca="1">'Debt worksheet'!AB5/'Profit and Loss'!AB5</f>
        <v>2.4963309173019237</v>
      </c>
      <c r="AE6" s="28">
        <f ca="1">'Debt worksheet'!AC5/'Profit and Loss'!AC5</f>
        <v>2.493159056663333</v>
      </c>
      <c r="AF6" s="28">
        <f ca="1">'Debt worksheet'!AD5/'Profit and Loss'!AD5</f>
        <v>2.486783651408988</v>
      </c>
      <c r="AG6" s="28">
        <f ca="1">'Debt worksheet'!AE5/'Profit and Loss'!AE5</f>
        <v>2.4888523731323549</v>
      </c>
      <c r="AH6" s="28">
        <f ca="1">'Debt worksheet'!AF5/'Profit and Loss'!AF5</f>
        <v>2.5039116152376311</v>
      </c>
      <c r="AI6" s="31"/>
    </row>
    <row r="7" spans="1:35" ht="21" x14ac:dyDescent="0.5">
      <c r="A7" s="19" t="s">
        <v>38</v>
      </c>
      <c r="B7" s="26">
        <f ca="1">MIN('Price and Financial ratios'!E7:AH7)</f>
        <v>0.14654822766366604</v>
      </c>
      <c r="C7" s="26"/>
      <c r="D7" s="26"/>
      <c r="E7" s="56">
        <f ca="1">'Cash Flow'!C7/'Debt worksheet'!C5</f>
        <v>0.14654822766366604</v>
      </c>
      <c r="F7" s="32">
        <f ca="1">'Cash Flow'!D7/'Debt worksheet'!D5</f>
        <v>0.15831703179260398</v>
      </c>
      <c r="G7" s="32">
        <f ca="1">'Cash Flow'!E7/'Debt worksheet'!E5</f>
        <v>0.21803045555919615</v>
      </c>
      <c r="H7" s="32">
        <f ca="1">'Cash Flow'!F7/'Debt worksheet'!F5</f>
        <v>0.23076324527470732</v>
      </c>
      <c r="I7" s="32">
        <f ca="1">'Cash Flow'!G7/'Debt worksheet'!G5</f>
        <v>0.23809010430486977</v>
      </c>
      <c r="J7" s="32">
        <f ca="1">'Cash Flow'!H7/'Debt worksheet'!H5</f>
        <v>0.24600022773740571</v>
      </c>
      <c r="K7" s="32">
        <f ca="1">'Cash Flow'!I7/'Debt worksheet'!I5</f>
        <v>0.2430023239628947</v>
      </c>
      <c r="L7" s="32">
        <f ca="1">'Cash Flow'!J7/'Debt worksheet'!J5</f>
        <v>0.24284835113315317</v>
      </c>
      <c r="M7" s="17">
        <f ca="1">'Cash Flow'!K7/'Debt worksheet'!K5</f>
        <v>0.24546974100327928</v>
      </c>
      <c r="N7" s="17">
        <f ca="1">'Cash Flow'!L7/'Debt worksheet'!L5</f>
        <v>0.24694770514686198</v>
      </c>
      <c r="O7" s="17">
        <f ca="1">'Cash Flow'!M7/'Debt worksheet'!M5</f>
        <v>0.24617897944342176</v>
      </c>
      <c r="P7" s="17">
        <f ca="1">'Cash Flow'!N7/'Debt worksheet'!N5</f>
        <v>0.24410642179165679</v>
      </c>
      <c r="Q7" s="17">
        <f ca="1">'Cash Flow'!O7/'Debt worksheet'!O5</f>
        <v>0.2422789893109413</v>
      </c>
      <c r="R7" s="17">
        <f ca="1">'Cash Flow'!P7/'Debt worksheet'!P5</f>
        <v>0.24077197302259462</v>
      </c>
      <c r="S7" s="17">
        <f ca="1">'Cash Flow'!Q7/'Debt worksheet'!Q5</f>
        <v>0.23965291781508105</v>
      </c>
      <c r="T7" s="17">
        <f ca="1">'Cash Flow'!R7/'Debt worksheet'!R5</f>
        <v>0.23898342352326407</v>
      </c>
      <c r="U7" s="17">
        <f ca="1">'Cash Flow'!S7/'Debt worksheet'!S5</f>
        <v>0.23678462044384022</v>
      </c>
      <c r="V7" s="17">
        <f ca="1">'Cash Flow'!T7/'Debt worksheet'!T5</f>
        <v>0.23461822042883093</v>
      </c>
      <c r="W7" s="17">
        <f ca="1">'Cash Flow'!U7/'Debt worksheet'!U5</f>
        <v>0.23254673439967422</v>
      </c>
      <c r="X7" s="17">
        <f ca="1">'Cash Flow'!V7/'Debt worksheet'!V5</f>
        <v>0.23062599425916153</v>
      </c>
      <c r="Y7" s="17">
        <f ca="1">'Cash Flow'!W7/'Debt worksheet'!W5</f>
        <v>0.22890570307574132</v>
      </c>
      <c r="Z7" s="17">
        <f ca="1">'Cash Flow'!X7/'Debt worksheet'!X5</f>
        <v>0.2274301857794733</v>
      </c>
      <c r="AA7" s="17">
        <f ca="1">'Cash Flow'!Y7/'Debt worksheet'!Y5</f>
        <v>0.22623926970313615</v>
      </c>
      <c r="AB7" s="17">
        <f ca="1">'Cash Flow'!Z7/'Debt worksheet'!Z5</f>
        <v>0.22536924235405245</v>
      </c>
      <c r="AC7" s="17">
        <f ca="1">'Cash Flow'!AA7/'Debt worksheet'!AA5</f>
        <v>0.22485385105542019</v>
      </c>
      <c r="AD7" s="17">
        <f ca="1">'Cash Flow'!AB7/'Debt worksheet'!AB5</f>
        <v>0.22472532464341527</v>
      </c>
      <c r="AE7" s="17">
        <f ca="1">'Cash Flow'!AC7/'Debt worksheet'!AC5</f>
        <v>0.22501541101121747</v>
      </c>
      <c r="AF7" s="17">
        <f ca="1">'Cash Flow'!AD7/'Debt worksheet'!AD5</f>
        <v>0.22575643618290028</v>
      </c>
      <c r="AG7" s="17">
        <f ca="1">'Cash Flow'!AE7/'Debt worksheet'!AE5</f>
        <v>0.22497097928234594</v>
      </c>
      <c r="AH7" s="17">
        <f ca="1">'Cash Flow'!AF7/'Debt worksheet'!AF5</f>
        <v>0.22218445372199574</v>
      </c>
      <c r="AI7" s="29"/>
    </row>
    <row r="8" spans="1:35" ht="21" x14ac:dyDescent="0.5">
      <c r="A8" s="19" t="s">
        <v>33</v>
      </c>
      <c r="B8" s="26">
        <f ca="1">MAX('Price and Financial ratios'!E8:AH8)</f>
        <v>0.48335486503643488</v>
      </c>
      <c r="C8" s="26"/>
      <c r="D8" s="176"/>
      <c r="E8" s="17">
        <f>'Balance Sheet'!B11/'Balance Sheet'!B8</f>
        <v>0.13317303527441995</v>
      </c>
      <c r="F8" s="17">
        <f ca="1">'Balance Sheet'!C11/'Balance Sheet'!C8</f>
        <v>0.33931772879148159</v>
      </c>
      <c r="G8" s="17">
        <f ca="1">'Balance Sheet'!D11/'Balance Sheet'!D8</f>
        <v>0.4384569741247919</v>
      </c>
      <c r="H8" s="17">
        <f ca="1">'Balance Sheet'!E11/'Balance Sheet'!E8</f>
        <v>0.47402798198685109</v>
      </c>
      <c r="I8" s="17">
        <f ca="1">'Balance Sheet'!F11/'Balance Sheet'!F8</f>
        <v>0.48335486503643488</v>
      </c>
      <c r="J8" s="17">
        <f ca="1">'Balance Sheet'!G11/'Balance Sheet'!G8</f>
        <v>0.47916398805224347</v>
      </c>
      <c r="K8" s="17">
        <f ca="1">'Balance Sheet'!H11/'Balance Sheet'!H8</f>
        <v>0.46700000661206098</v>
      </c>
      <c r="L8" s="17">
        <f ca="1">'Balance Sheet'!I11/'Balance Sheet'!I8</f>
        <v>0.45510345781323774</v>
      </c>
      <c r="M8" s="17">
        <f ca="1">'Balance Sheet'!J11/'Balance Sheet'!J8</f>
        <v>0.44289281336784941</v>
      </c>
      <c r="N8" s="17">
        <f ca="1">'Balance Sheet'!K11/'Balance Sheet'!K8</f>
        <v>0.42991048993575975</v>
      </c>
      <c r="O8" s="17">
        <f ca="1">'Balance Sheet'!L11/'Balance Sheet'!L8</f>
        <v>0.41734949536454624</v>
      </c>
      <c r="P8" s="17">
        <f ca="1">'Balance Sheet'!M11/'Balance Sheet'!M8</f>
        <v>0.40634143713240284</v>
      </c>
      <c r="Q8" s="17">
        <f ca="1">'Balance Sheet'!N11/'Balance Sheet'!N8</f>
        <v>0.39719780793088771</v>
      </c>
      <c r="R8" s="17">
        <f ca="1">'Balance Sheet'!O11/'Balance Sheet'!O8</f>
        <v>0.38950141596373855</v>
      </c>
      <c r="S8" s="17">
        <f ca="1">'Balance Sheet'!P11/'Balance Sheet'!P8</f>
        <v>0.38291490613087037</v>
      </c>
      <c r="T8" s="17">
        <f ca="1">'Balance Sheet'!Q11/'Balance Sheet'!Q8</f>
        <v>0.37716039674094937</v>
      </c>
      <c r="U8" s="17">
        <f ca="1">'Balance Sheet'!R11/'Balance Sheet'!R8</f>
        <v>0.37200494474384826</v>
      </c>
      <c r="V8" s="17">
        <f ca="1">'Balance Sheet'!S11/'Balance Sheet'!S8</f>
        <v>0.36796081962494676</v>
      </c>
      <c r="W8" s="17">
        <f ca="1">'Balance Sheet'!T11/'Balance Sheet'!T8</f>
        <v>0.3648245243743698</v>
      </c>
      <c r="X8" s="17">
        <f ca="1">'Balance Sheet'!U11/'Balance Sheet'!U8</f>
        <v>0.3624218328382614</v>
      </c>
      <c r="Y8" s="17">
        <f ca="1">'Balance Sheet'!V11/'Balance Sheet'!V8</f>
        <v>0.3606017489634824</v>
      </c>
      <c r="Z8" s="17">
        <f ca="1">'Balance Sheet'!W11/'Balance Sheet'!W8</f>
        <v>0.35923186029886384</v>
      </c>
      <c r="AA8" s="17">
        <f ca="1">'Balance Sheet'!X11/'Balance Sheet'!X8</f>
        <v>0.35819472328684626</v>
      </c>
      <c r="AB8" s="17">
        <f ca="1">'Balance Sheet'!Y11/'Balance Sheet'!Y8</f>
        <v>0.3573850216992589</v>
      </c>
      <c r="AC8" s="17">
        <f ca="1">'Balance Sheet'!Z11/'Balance Sheet'!Z8</f>
        <v>0.35670731109280557</v>
      </c>
      <c r="AD8" s="17">
        <f ca="1">'Balance Sheet'!AA11/'Balance Sheet'!AA8</f>
        <v>0.35607421217477914</v>
      </c>
      <c r="AE8" s="17">
        <f ca="1">'Balance Sheet'!AB11/'Balance Sheet'!AB8</f>
        <v>0.35540495143103579</v>
      </c>
      <c r="AF8" s="17">
        <f ca="1">'Balance Sheet'!AC11/'Balance Sheet'!AC8</f>
        <v>0.35462417283426528</v>
      </c>
      <c r="AG8" s="17">
        <f ca="1">'Balance Sheet'!AD11/'Balance Sheet'!AD8</f>
        <v>0.35366096295647731</v>
      </c>
      <c r="AH8" s="17">
        <f ca="1">'Balance Sheet'!AE11/'Balance Sheet'!AE8</f>
        <v>0.35312617468160618</v>
      </c>
      <c r="AI8" s="29"/>
    </row>
    <row r="9" spans="1:35" ht="21.5" thickBot="1" x14ac:dyDescent="0.55000000000000004">
      <c r="A9" s="20" t="s">
        <v>32</v>
      </c>
      <c r="B9" s="21">
        <f ca="1">MIN('Price and Financial ratios'!E9:AH9)</f>
        <v>2.6788386384388878</v>
      </c>
      <c r="C9" s="21"/>
      <c r="D9" s="177"/>
      <c r="E9" s="21">
        <f ca="1">('Cash Flow'!C7+'Profit and Loss'!C8)/('Profit and Loss'!C8)</f>
        <v>2.6788386384388878</v>
      </c>
      <c r="F9" s="21">
        <f ca="1">('Cash Flow'!D7+'Profit and Loss'!D8)/('Profit and Loss'!D8)</f>
        <v>3.9483054027175739</v>
      </c>
      <c r="G9" s="21">
        <f ca="1">('Cash Flow'!E7+'Profit and Loss'!E8)/('Profit and Loss'!E8)</f>
        <v>5.9557604783763312</v>
      </c>
      <c r="H9" s="21">
        <f ca="1">('Cash Flow'!F7+'Profit and Loss'!F8)/('Profit and Loss'!F8)</f>
        <v>6.6507043382613711</v>
      </c>
      <c r="I9" s="21">
        <f ca="1">('Cash Flow'!G7+'Profit and Loss'!G8)/('Profit and Loss'!G8)</f>
        <v>7.0725071001592097</v>
      </c>
      <c r="J9" s="21">
        <f ca="1">('Cash Flow'!H7+'Profit and Loss'!H8)/('Profit and Loss'!H8)</f>
        <v>7.4467473865047431</v>
      </c>
      <c r="K9" s="21">
        <f ca="1">('Cash Flow'!I7+'Profit and Loss'!I8)/('Profit and Loss'!I8)</f>
        <v>7.4220237256274197</v>
      </c>
      <c r="L9" s="21">
        <f ca="1">('Cash Flow'!J7+'Profit and Loss'!J8)/('Profit and Loss'!J8)</f>
        <v>7.4718709575921309</v>
      </c>
      <c r="M9" s="21">
        <f ca="1">('Cash Flow'!K7+'Profit and Loss'!K8)/('Profit and Loss'!K8)</f>
        <v>7.597410778206565</v>
      </c>
      <c r="N9" s="21">
        <f ca="1">('Cash Flow'!L7+'Profit and Loss'!L8)/('Profit and Loss'!L8)</f>
        <v>7.6703457305352281</v>
      </c>
      <c r="O9" s="21">
        <f ca="1">('Cash Flow'!M7+'Profit and Loss'!M8)/('Profit and Loss'!M8)</f>
        <v>7.6595371093121463</v>
      </c>
      <c r="P9" s="21">
        <f ca="1">('Cash Flow'!N7+'Profit and Loss'!N8)/('Profit and Loss'!N8)</f>
        <v>7.6028126532369447</v>
      </c>
      <c r="Q9" s="21">
        <f ca="1">('Cash Flow'!O7+'Profit and Loss'!O8)/('Profit and Loss'!O8)</f>
        <v>7.5548593518329721</v>
      </c>
      <c r="R9" s="21">
        <f ca="1">('Cash Flow'!P7+'Profit and Loss'!P8)/('Profit and Loss'!P8)</f>
        <v>7.5175152075294749</v>
      </c>
      <c r="S9" s="21">
        <f ca="1">('Cash Flow'!Q7+'Profit and Loss'!Q8)/('Profit and Loss'!Q8)</f>
        <v>7.492448092184647</v>
      </c>
      <c r="T9" s="21">
        <f ca="1">('Cash Flow'!R7+'Profit and Loss'!R8)/('Profit and Loss'!R8)</f>
        <v>7.4812104709232123</v>
      </c>
      <c r="U9" s="21">
        <f ca="1">('Cash Flow'!S7+'Profit and Loss'!S8)/('Profit and Loss'!S8)</f>
        <v>7.4175732811248389</v>
      </c>
      <c r="V9" s="21">
        <f ca="1">('Cash Flow'!T7+'Profit and Loss'!T8)/('Profit and Loss'!T8)</f>
        <v>7.3565322778742042</v>
      </c>
      <c r="W9" s="21">
        <f ca="1">('Cash Flow'!U7+'Profit and Loss'!U8)/('Profit and Loss'!U8)</f>
        <v>7.2996223085648566</v>
      </c>
      <c r="X9" s="21">
        <f ca="1">('Cash Flow'!V7+'Profit and Loss'!V8)/('Profit and Loss'!V8)</f>
        <v>7.2482062857394753</v>
      </c>
      <c r="Y9" s="21">
        <f ca="1">('Cash Flow'!W7+'Profit and Loss'!W8)/('Profit and Loss'!W8)</f>
        <v>7.2034961151656045</v>
      </c>
      <c r="Z9" s="21">
        <f ca="1">('Cash Flow'!X7+'Profit and Loss'!X8)/('Profit and Loss'!X8)</f>
        <v>7.1665771526040096</v>
      </c>
      <c r="AA9" s="21">
        <f ca="1">('Cash Flow'!Y7+'Profit and Loss'!Y8)/('Profit and Loss'!Y8)</f>
        <v>7.1384347259484278</v>
      </c>
      <c r="AB9" s="21">
        <f ca="1">('Cash Flow'!Z7+'Profit and Loss'!Z8)/('Profit and Loss'!Z8)</f>
        <v>7.1199817384903614</v>
      </c>
      <c r="AC9" s="21">
        <f ca="1">('Cash Flow'!AA7+'Profit and Loss'!AA8)/('Profit and Loss'!AA8)</f>
        <v>7.1120867994593535</v>
      </c>
      <c r="AD9" s="21">
        <f ca="1">('Cash Flow'!AB7+'Profit and Loss'!AB8)/('Profit and Loss'!AB8)</f>
        <v>7.1156027032637139</v>
      </c>
      <c r="AE9" s="21">
        <f ca="1">('Cash Flow'!AC7+'Profit and Loss'!AC8)/('Profit and Loss'!AC8)</f>
        <v>7.1313954054145627</v>
      </c>
      <c r="AF9" s="21">
        <f ca="1">('Cash Flow'!AD7+'Profit and Loss'!AD8)/('Profit and Loss'!AD8)</f>
        <v>7.1603739358962297</v>
      </c>
      <c r="AG9" s="21">
        <f ca="1">('Cash Flow'!AE7+'Profit and Loss'!AE8)/('Profit and Loss'!AE8)</f>
        <v>7.1367415569899224</v>
      </c>
      <c r="AH9" s="21">
        <f ca="1">('Cash Flow'!AF7+'Profit and Loss'!AF8)/('Profit and Loss'!AF8)</f>
        <v>7.0478298370816406</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4496025.2728804909</v>
      </c>
      <c r="D5" s="1">
        <f>Assumptions!E111</f>
        <v>4496025.2728804909</v>
      </c>
      <c r="E5" s="1">
        <f>Assumptions!F111</f>
        <v>4496025.2728804909</v>
      </c>
      <c r="F5" s="1">
        <f>Assumptions!G111</f>
        <v>4496025.2728804909</v>
      </c>
      <c r="G5" s="1">
        <f>Assumptions!H111</f>
        <v>4496025.2728804909</v>
      </c>
      <c r="H5" s="1">
        <f>Assumptions!I111</f>
        <v>4496025.2728804909</v>
      </c>
      <c r="I5" s="1">
        <f>Assumptions!J111</f>
        <v>4496025.2728804909</v>
      </c>
      <c r="J5" s="1">
        <f>Assumptions!K111</f>
        <v>4496025.2728804909</v>
      </c>
      <c r="K5" s="1">
        <f>Assumptions!L111</f>
        <v>4496025.2728804909</v>
      </c>
      <c r="L5" s="1">
        <f>Assumptions!M111</f>
        <v>4496025.2728804909</v>
      </c>
      <c r="M5" s="1">
        <f>Assumptions!N111</f>
        <v>4496025.2728804909</v>
      </c>
      <c r="N5" s="1">
        <f>Assumptions!O111</f>
        <v>4496025.2728804909</v>
      </c>
      <c r="O5" s="1">
        <f>Assumptions!P111</f>
        <v>4496025.2728804909</v>
      </c>
      <c r="P5" s="1">
        <f>Assumptions!Q111</f>
        <v>4496025.2728804909</v>
      </c>
      <c r="Q5" s="1">
        <f>Assumptions!R111</f>
        <v>4496025.2728804909</v>
      </c>
      <c r="R5" s="1">
        <f>Assumptions!S111</f>
        <v>4496025.2728804909</v>
      </c>
      <c r="S5" s="1">
        <f>Assumptions!T111</f>
        <v>4496025.2728804909</v>
      </c>
      <c r="T5" s="1">
        <f>Assumptions!U111</f>
        <v>4496025.2728804909</v>
      </c>
      <c r="U5" s="1">
        <f>Assumptions!V111</f>
        <v>4496025.2728804909</v>
      </c>
      <c r="V5" s="1">
        <f>Assumptions!W111</f>
        <v>4496025.2728804909</v>
      </c>
      <c r="W5" s="1">
        <f>Assumptions!X111</f>
        <v>4496025.2728804909</v>
      </c>
      <c r="X5" s="1">
        <f>Assumptions!Y111</f>
        <v>4496025.2728804909</v>
      </c>
      <c r="Y5" s="1">
        <f>Assumptions!Z111</f>
        <v>4496025.2728804909</v>
      </c>
      <c r="Z5" s="1">
        <f>Assumptions!AA111</f>
        <v>4496025.2728804909</v>
      </c>
      <c r="AA5" s="1">
        <f>Assumptions!AB111</f>
        <v>4496025.2728804909</v>
      </c>
      <c r="AB5" s="1">
        <f>Assumptions!AC111</f>
        <v>4496025.2728804909</v>
      </c>
      <c r="AC5" s="1">
        <f>Assumptions!AD111</f>
        <v>4496025.2728804909</v>
      </c>
      <c r="AD5" s="1">
        <f>Assumptions!AE111</f>
        <v>4496025.2728804909</v>
      </c>
      <c r="AE5" s="1">
        <f>Assumptions!AF111</f>
        <v>4496025.2728804909</v>
      </c>
      <c r="AF5" s="1">
        <f>Assumptions!AG111</f>
        <v>4496025.2728804909</v>
      </c>
    </row>
    <row r="6" spans="1:32" x14ac:dyDescent="0.35">
      <c r="A6" t="s">
        <v>68</v>
      </c>
      <c r="C6" s="1">
        <f>Assumptions!D113</f>
        <v>26953500</v>
      </c>
      <c r="D6" s="1">
        <f>Assumptions!E113</f>
        <v>26953500</v>
      </c>
      <c r="E6" s="1">
        <f>Assumptions!F113</f>
        <v>26953500</v>
      </c>
      <c r="F6" s="1">
        <f>Assumptions!G113</f>
        <v>26953500</v>
      </c>
      <c r="G6" s="1">
        <f>Assumptions!H113</f>
        <v>26953500</v>
      </c>
      <c r="H6" s="1">
        <f>Assumptions!I113</f>
        <v>26953500</v>
      </c>
      <c r="I6" s="1">
        <f>Assumptions!J113</f>
        <v>26953500</v>
      </c>
      <c r="J6" s="1">
        <f>Assumptions!K113</f>
        <v>26953500</v>
      </c>
      <c r="K6" s="1">
        <f>Assumptions!L113</f>
        <v>26953500</v>
      </c>
      <c r="L6" s="1">
        <f>Assumptions!M113</f>
        <v>26953500</v>
      </c>
      <c r="M6" s="1">
        <f>Assumptions!N113</f>
        <v>26953500</v>
      </c>
      <c r="N6" s="1">
        <f>Assumptions!O113</f>
        <v>26953500</v>
      </c>
      <c r="O6" s="1">
        <f>Assumptions!P113</f>
        <v>26953500</v>
      </c>
      <c r="P6" s="1">
        <f>Assumptions!Q113</f>
        <v>26953500</v>
      </c>
      <c r="Q6" s="1">
        <f>Assumptions!R113</f>
        <v>26953500</v>
      </c>
      <c r="R6" s="1">
        <f>Assumptions!S113</f>
        <v>26953500</v>
      </c>
      <c r="S6" s="1">
        <f>Assumptions!T113</f>
        <v>26953500</v>
      </c>
      <c r="T6" s="1">
        <f>Assumptions!U113</f>
        <v>26953500</v>
      </c>
      <c r="U6" s="1">
        <f>Assumptions!V113</f>
        <v>26953500</v>
      </c>
      <c r="V6" s="1">
        <f>Assumptions!W113</f>
        <v>26953500</v>
      </c>
      <c r="W6" s="1">
        <f>Assumptions!X113</f>
        <v>26953500</v>
      </c>
      <c r="X6" s="1">
        <f>Assumptions!Y113</f>
        <v>26953500</v>
      </c>
      <c r="Y6" s="1">
        <f>Assumptions!Z113</f>
        <v>26953500</v>
      </c>
      <c r="Z6" s="1">
        <f>Assumptions!AA113</f>
        <v>26953500</v>
      </c>
      <c r="AA6" s="1">
        <f>Assumptions!AB113</f>
        <v>26953500</v>
      </c>
      <c r="AB6" s="1">
        <f>Assumptions!AC113</f>
        <v>26953500</v>
      </c>
      <c r="AC6" s="1">
        <f>Assumptions!AD113</f>
        <v>26953500</v>
      </c>
      <c r="AD6" s="1">
        <f>Assumptions!AE113</f>
        <v>26953500</v>
      </c>
      <c r="AE6" s="1">
        <f>Assumptions!AF113</f>
        <v>26953500</v>
      </c>
      <c r="AF6" s="1">
        <f>Assumptions!AG113</f>
        <v>26953500</v>
      </c>
    </row>
    <row r="7" spans="1:32" x14ac:dyDescent="0.35">
      <c r="A7" t="s">
        <v>73</v>
      </c>
      <c r="C7" s="1">
        <f>Assumptions!D120</f>
        <v>646884</v>
      </c>
      <c r="D7" s="1">
        <f>Assumptions!E120</f>
        <v>1293768</v>
      </c>
      <c r="E7" s="1">
        <f>Assumptions!F120</f>
        <v>1940652</v>
      </c>
      <c r="F7" s="1">
        <f>Assumptions!G120</f>
        <v>2587536</v>
      </c>
      <c r="G7" s="1">
        <f>Assumptions!H120</f>
        <v>3234420</v>
      </c>
      <c r="H7" s="1">
        <f>Assumptions!I120</f>
        <v>3881304</v>
      </c>
      <c r="I7" s="1">
        <f>Assumptions!J120</f>
        <v>4528188</v>
      </c>
      <c r="J7" s="1">
        <f>Assumptions!K120</f>
        <v>5175072</v>
      </c>
      <c r="K7" s="1">
        <f>Assumptions!L120</f>
        <v>5821956</v>
      </c>
      <c r="L7" s="1">
        <f>Assumptions!M120</f>
        <v>6468840</v>
      </c>
      <c r="M7" s="1">
        <f>Assumptions!N120</f>
        <v>7115724</v>
      </c>
      <c r="N7" s="1">
        <f>Assumptions!O120</f>
        <v>7762608</v>
      </c>
      <c r="O7" s="1">
        <f>Assumptions!P120</f>
        <v>8409492</v>
      </c>
      <c r="P7" s="1">
        <f>Assumptions!Q120</f>
        <v>9056376</v>
      </c>
      <c r="Q7" s="1">
        <f>Assumptions!R120</f>
        <v>9703260</v>
      </c>
      <c r="R7" s="1">
        <f>Assumptions!S120</f>
        <v>10350144</v>
      </c>
      <c r="S7" s="1">
        <f>Assumptions!T120</f>
        <v>10997028</v>
      </c>
      <c r="T7" s="1">
        <f>Assumptions!U120</f>
        <v>11643912</v>
      </c>
      <c r="U7" s="1">
        <f>Assumptions!V120</f>
        <v>12290796</v>
      </c>
      <c r="V7" s="1">
        <f>Assumptions!W120</f>
        <v>12937680</v>
      </c>
      <c r="W7" s="1">
        <f>Assumptions!X120</f>
        <v>13584564</v>
      </c>
      <c r="X7" s="1">
        <f>Assumptions!Y120</f>
        <v>14231448</v>
      </c>
      <c r="Y7" s="1">
        <f>Assumptions!Z120</f>
        <v>14878332</v>
      </c>
      <c r="Z7" s="1">
        <f>Assumptions!AA120</f>
        <v>15525216</v>
      </c>
      <c r="AA7" s="1">
        <f>Assumptions!AB120</f>
        <v>16172100</v>
      </c>
      <c r="AB7" s="1">
        <f>Assumptions!AC120</f>
        <v>16818984</v>
      </c>
      <c r="AC7" s="1">
        <f>Assumptions!AD120</f>
        <v>17465868</v>
      </c>
      <c r="AD7" s="1">
        <f>Assumptions!AE120</f>
        <v>18112752</v>
      </c>
      <c r="AE7" s="1">
        <f>Assumptions!AF120</f>
        <v>18759636</v>
      </c>
      <c r="AF7" s="1">
        <f>Assumptions!AG120</f>
        <v>19406520</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4639898.0816126671</v>
      </c>
      <c r="D11" s="1">
        <f>D5*D$9</f>
        <v>4788374.8202242721</v>
      </c>
      <c r="E11" s="1">
        <f t="shared" ref="D11:AF13" si="1">E5*E$9</f>
        <v>4941602.8144714478</v>
      </c>
      <c r="F11" s="1">
        <f t="shared" si="1"/>
        <v>5099734.1045345347</v>
      </c>
      <c r="G11" s="1">
        <f t="shared" si="1"/>
        <v>5262925.5958796404</v>
      </c>
      <c r="H11" s="1">
        <f t="shared" si="1"/>
        <v>5431339.214947788</v>
      </c>
      <c r="I11" s="1">
        <f t="shared" si="1"/>
        <v>5605142.0698261168</v>
      </c>
      <c r="J11" s="1">
        <f t="shared" si="1"/>
        <v>5784506.6160605531</v>
      </c>
      <c r="K11" s="1">
        <f t="shared" si="1"/>
        <v>5969610.8277744912</v>
      </c>
      <c r="L11" s="1">
        <f t="shared" si="1"/>
        <v>6160638.3742632745</v>
      </c>
      <c r="M11" s="1">
        <f t="shared" si="1"/>
        <v>6357778.8022396984</v>
      </c>
      <c r="N11" s="1">
        <f t="shared" si="1"/>
        <v>6561227.7239113692</v>
      </c>
      <c r="O11" s="1">
        <f t="shared" si="1"/>
        <v>6771187.0110765342</v>
      </c>
      <c r="P11" s="1">
        <f t="shared" si="1"/>
        <v>6987864.9954309817</v>
      </c>
      <c r="Q11" s="1">
        <f t="shared" si="1"/>
        <v>7211476.6752847722</v>
      </c>
      <c r="R11" s="1">
        <f t="shared" si="1"/>
        <v>7442243.9288938865</v>
      </c>
      <c r="S11" s="1">
        <f t="shared" si="1"/>
        <v>7680395.7346184915</v>
      </c>
      <c r="T11" s="1">
        <f t="shared" si="1"/>
        <v>7926168.3981262818</v>
      </c>
      <c r="U11" s="1">
        <f t="shared" si="1"/>
        <v>8179805.7868663222</v>
      </c>
      <c r="V11" s="1">
        <f t="shared" si="1"/>
        <v>8441559.5720460452</v>
      </c>
      <c r="W11" s="1">
        <f t="shared" si="1"/>
        <v>8711689.4783515204</v>
      </c>
      <c r="X11" s="1">
        <f t="shared" si="1"/>
        <v>8990463.5416587666</v>
      </c>
      <c r="Y11" s="1">
        <f t="shared" si="1"/>
        <v>9278158.3749918472</v>
      </c>
      <c r="Z11" s="1">
        <f t="shared" si="1"/>
        <v>9575059.4429915864</v>
      </c>
      <c r="AA11" s="1">
        <f t="shared" si="1"/>
        <v>9881461.3451673202</v>
      </c>
      <c r="AB11" s="1">
        <f t="shared" si="1"/>
        <v>10197668.108212672</v>
      </c>
      <c r="AC11" s="1">
        <f t="shared" si="1"/>
        <v>10523993.487675477</v>
      </c>
      <c r="AD11" s="1">
        <f t="shared" si="1"/>
        <v>10860761.279281093</v>
      </c>
      <c r="AE11" s="1">
        <f t="shared" si="1"/>
        <v>11208305.640218088</v>
      </c>
      <c r="AF11" s="1">
        <f t="shared" si="1"/>
        <v>11566971.420705065</v>
      </c>
    </row>
    <row r="12" spans="1:32" x14ac:dyDescent="0.35">
      <c r="A12" t="s">
        <v>71</v>
      </c>
      <c r="C12" s="1">
        <f t="shared" ref="C12:R12" si="2">C6*C$9</f>
        <v>27816012</v>
      </c>
      <c r="D12" s="1">
        <f t="shared" si="2"/>
        <v>28706124.384</v>
      </c>
      <c r="E12" s="1">
        <f t="shared" si="2"/>
        <v>29624720.364287999</v>
      </c>
      <c r="F12" s="1">
        <f t="shared" si="2"/>
        <v>30572711.415945213</v>
      </c>
      <c r="G12" s="1">
        <f t="shared" si="2"/>
        <v>31551038.181255464</v>
      </c>
      <c r="H12" s="1">
        <f t="shared" si="2"/>
        <v>32560671.403055634</v>
      </c>
      <c r="I12" s="1">
        <f t="shared" si="2"/>
        <v>33602612.887953408</v>
      </c>
      <c r="J12" s="1">
        <f t="shared" si="2"/>
        <v>34677896.500367925</v>
      </c>
      <c r="K12" s="1">
        <f t="shared" si="2"/>
        <v>35787589.188379698</v>
      </c>
      <c r="L12" s="1">
        <f t="shared" si="2"/>
        <v>36932792.042407848</v>
      </c>
      <c r="M12" s="1">
        <f t="shared" si="2"/>
        <v>38114641.387764893</v>
      </c>
      <c r="N12" s="1">
        <f t="shared" si="2"/>
        <v>39334309.912173375</v>
      </c>
      <c r="O12" s="1">
        <f t="shared" si="2"/>
        <v>40593007.829362929</v>
      </c>
      <c r="P12" s="1">
        <f t="shared" si="2"/>
        <v>41891984.07990253</v>
      </c>
      <c r="Q12" s="1">
        <f t="shared" si="2"/>
        <v>43232527.570459411</v>
      </c>
      <c r="R12" s="1">
        <f t="shared" si="2"/>
        <v>44615968.452714115</v>
      </c>
      <c r="S12" s="1">
        <f t="shared" si="1"/>
        <v>46043679.443200976</v>
      </c>
      <c r="T12" s="1">
        <f t="shared" si="1"/>
        <v>47517077.185383402</v>
      </c>
      <c r="U12" s="1">
        <f t="shared" si="1"/>
        <v>49037623.65531566</v>
      </c>
      <c r="V12" s="1">
        <f t="shared" si="1"/>
        <v>50606827.61228577</v>
      </c>
      <c r="W12" s="1">
        <f t="shared" si="1"/>
        <v>52226246.095878921</v>
      </c>
      <c r="X12" s="1">
        <f t="shared" si="1"/>
        <v>53897485.970947042</v>
      </c>
      <c r="Y12" s="1">
        <f t="shared" si="1"/>
        <v>55622205.522017337</v>
      </c>
      <c r="Z12" s="1">
        <f t="shared" si="1"/>
        <v>57402116.098721892</v>
      </c>
      <c r="AA12" s="1">
        <f t="shared" si="1"/>
        <v>59238983.81388101</v>
      </c>
      <c r="AB12" s="1">
        <f t="shared" si="1"/>
        <v>61134631.295925193</v>
      </c>
      <c r="AC12" s="1">
        <f t="shared" si="1"/>
        <v>63090939.497394793</v>
      </c>
      <c r="AD12" s="1">
        <f t="shared" si="1"/>
        <v>65109849.561311431</v>
      </c>
      <c r="AE12" s="1">
        <f t="shared" si="1"/>
        <v>67193364.7472734</v>
      </c>
      <c r="AF12" s="1">
        <f t="shared" si="1"/>
        <v>69343552.41918613</v>
      </c>
    </row>
    <row r="13" spans="1:32" x14ac:dyDescent="0.35">
      <c r="A13" t="s">
        <v>74</v>
      </c>
      <c r="C13" s="1">
        <f>C7*C$9</f>
        <v>667584.28800000006</v>
      </c>
      <c r="D13" s="1">
        <f t="shared" si="1"/>
        <v>1377893.970432</v>
      </c>
      <c r="E13" s="1">
        <f t="shared" si="1"/>
        <v>2132979.866228736</v>
      </c>
      <c r="F13" s="1">
        <f t="shared" si="1"/>
        <v>2934980.2959307404</v>
      </c>
      <c r="G13" s="1">
        <f t="shared" si="1"/>
        <v>3786124.5817506555</v>
      </c>
      <c r="H13" s="1">
        <f t="shared" si="1"/>
        <v>4688736.6820400115</v>
      </c>
      <c r="I13" s="1">
        <f t="shared" si="1"/>
        <v>5645238.9651761726</v>
      </c>
      <c r="J13" s="1">
        <f t="shared" si="1"/>
        <v>6658156.1280706413</v>
      </c>
      <c r="K13" s="1">
        <f t="shared" si="1"/>
        <v>7730119.2646900155</v>
      </c>
      <c r="L13" s="1">
        <f t="shared" si="1"/>
        <v>8863870.0901778825</v>
      </c>
      <c r="M13" s="1">
        <f t="shared" si="1"/>
        <v>10062265.326369932</v>
      </c>
      <c r="N13" s="1">
        <f t="shared" si="1"/>
        <v>11328281.254705932</v>
      </c>
      <c r="O13" s="1">
        <f t="shared" si="1"/>
        <v>12665018.442761233</v>
      </c>
      <c r="P13" s="1">
        <f t="shared" si="1"/>
        <v>14075706.650847251</v>
      </c>
      <c r="Q13" s="1">
        <f t="shared" si="1"/>
        <v>15563709.925365387</v>
      </c>
      <c r="R13" s="1">
        <f t="shared" si="1"/>
        <v>17132531.885842223</v>
      </c>
      <c r="S13" s="1">
        <f t="shared" si="1"/>
        <v>18785821.212825999</v>
      </c>
      <c r="T13" s="1">
        <f t="shared" si="1"/>
        <v>20527377.34408563</v>
      </c>
      <c r="U13" s="1">
        <f t="shared" si="1"/>
        <v>22361156.386823941</v>
      </c>
      <c r="V13" s="1">
        <f t="shared" si="1"/>
        <v>24291277.253897171</v>
      </c>
      <c r="W13" s="1">
        <f t="shared" si="1"/>
        <v>26322028.032322977</v>
      </c>
      <c r="X13" s="1">
        <f t="shared" si="1"/>
        <v>28457872.592660036</v>
      </c>
      <c r="Y13" s="1">
        <f t="shared" si="1"/>
        <v>30703457.44815357</v>
      </c>
      <c r="Z13" s="1">
        <f t="shared" si="1"/>
        <v>33063618.872863811</v>
      </c>
      <c r="AA13" s="1">
        <f t="shared" si="1"/>
        <v>35543390.288328603</v>
      </c>
      <c r="AB13" s="1">
        <f t="shared" si="1"/>
        <v>38148009.928657316</v>
      </c>
      <c r="AC13" s="1">
        <f t="shared" si="1"/>
        <v>40882928.794311821</v>
      </c>
      <c r="AD13" s="1">
        <f t="shared" si="1"/>
        <v>43753818.905201286</v>
      </c>
      <c r="AE13" s="1">
        <f t="shared" si="1"/>
        <v>46766581.864102282</v>
      </c>
      <c r="AF13" s="1">
        <f t="shared" si="1"/>
        <v>49927357.741814017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33123494.369612668</v>
      </c>
      <c r="D25" s="40">
        <f>SUM(D11:D13,D18:D23)</f>
        <v>34872393.174656272</v>
      </c>
      <c r="E25" s="40">
        <f t="shared" ref="E25:AF25" si="7">SUM(E11:E13,E18:E23)</f>
        <v>36699303.044988185</v>
      </c>
      <c r="F25" s="40">
        <f t="shared" si="7"/>
        <v>38607425.816410489</v>
      </c>
      <c r="G25" s="40">
        <f t="shared" si="7"/>
        <v>40600088.358885758</v>
      </c>
      <c r="H25" s="40">
        <f t="shared" si="7"/>
        <v>42680747.300043434</v>
      </c>
      <c r="I25" s="40">
        <f t="shared" si="7"/>
        <v>44852993.922955699</v>
      </c>
      <c r="J25" s="40">
        <f t="shared" si="7"/>
        <v>47120559.244499117</v>
      </c>
      <c r="K25" s="40">
        <f t="shared" si="7"/>
        <v>49487319.280844197</v>
      </c>
      <c r="L25" s="40">
        <f t="shared" si="7"/>
        <v>51957300.506849006</v>
      </c>
      <c r="M25" s="40">
        <f t="shared" si="7"/>
        <v>54534685.516374528</v>
      </c>
      <c r="N25" s="40">
        <f t="shared" si="7"/>
        <v>57223818.890790671</v>
      </c>
      <c r="O25" s="40">
        <f t="shared" si="7"/>
        <v>60029213.283200696</v>
      </c>
      <c r="P25" s="40">
        <f t="shared" si="7"/>
        <v>62955555.726180762</v>
      </c>
      <c r="Q25" s="40">
        <f t="shared" si="7"/>
        <v>66007714.171109572</v>
      </c>
      <c r="R25" s="40">
        <f t="shared" si="7"/>
        <v>69190744.267450228</v>
      </c>
      <c r="S25" s="40">
        <f t="shared" si="7"/>
        <v>72509896.390645474</v>
      </c>
      <c r="T25" s="40">
        <f t="shared" si="7"/>
        <v>75970622.927595317</v>
      </c>
      <c r="U25" s="40">
        <f t="shared" si="7"/>
        <v>79578585.829005927</v>
      </c>
      <c r="V25" s="40">
        <f t="shared" si="7"/>
        <v>83339664.438228995</v>
      </c>
      <c r="W25" s="40">
        <f t="shared" si="7"/>
        <v>87259963.60655342</v>
      </c>
      <c r="X25" s="40">
        <f t="shared" si="7"/>
        <v>91345822.105265841</v>
      </c>
      <c r="Y25" s="40">
        <f t="shared" si="7"/>
        <v>95603821.345162749</v>
      </c>
      <c r="Z25" s="40">
        <f t="shared" si="7"/>
        <v>100040794.41457729</v>
      </c>
      <c r="AA25" s="40">
        <f t="shared" si="7"/>
        <v>104663835.44737694</v>
      </c>
      <c r="AB25" s="40">
        <f t="shared" si="7"/>
        <v>109480309.33279517</v>
      </c>
      <c r="AC25" s="40">
        <f t="shared" si="7"/>
        <v>114497861.77938209</v>
      </c>
      <c r="AD25" s="40">
        <f t="shared" si="7"/>
        <v>119724429.7457938</v>
      </c>
      <c r="AE25" s="40">
        <f t="shared" si="7"/>
        <v>125168252.25159377</v>
      </c>
      <c r="AF25" s="40">
        <f t="shared" si="7"/>
        <v>130837881.58170521</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13730855.770132774</v>
      </c>
      <c r="D5" s="59">
        <f>C5*('Price and Financial ratios'!F4+1)*(1+Assumptions!$C$13)</f>
        <v>20818642.266035743</v>
      </c>
      <c r="E5" s="59">
        <f>D5*('Price and Financial ratios'!G4+1)*(1+Assumptions!$C$13)</f>
        <v>31565102.208992094</v>
      </c>
      <c r="F5" s="59">
        <f>E5*('Price and Financial ratios'!H4+1)*(1+Assumptions!$C$13)</f>
        <v>38925174.561433665</v>
      </c>
      <c r="G5" s="59">
        <f>F5*('Price and Financial ratios'!I4+1)*(1+Assumptions!$C$13)</f>
        <v>45247224.81926281</v>
      </c>
      <c r="H5" s="59">
        <f>G5*('Price and Financial ratios'!J4+1)*(1+Assumptions!$C$13)</f>
        <v>51224002.307910509</v>
      </c>
      <c r="I5" s="59">
        <f>H5*('Price and Financial ratios'!K4+1)*(1+Assumptions!$C$13)</f>
        <v>55401410.815137319</v>
      </c>
      <c r="J5" s="59">
        <f>I5*('Price and Financial ratios'!L4+1)*(1+Assumptions!$C$13)</f>
        <v>59919494.417046368</v>
      </c>
      <c r="K5" s="59">
        <f>J5*('Price and Financial ratios'!M4+1)*(1+Assumptions!$C$13)</f>
        <v>64806035.773613572</v>
      </c>
      <c r="L5" s="59">
        <f>K5*('Price and Financial ratios'!N4+1)*(1+Assumptions!$C$13)</f>
        <v>69436026.417164505</v>
      </c>
      <c r="M5" s="59">
        <f>L5*('Price and Financial ratios'!O4+1)*(1+Assumptions!$C$13)</f>
        <v>73694944.655149043</v>
      </c>
      <c r="N5" s="59">
        <f>M5*('Price and Financial ratios'!P4+1)*(1+Assumptions!$C$13)</f>
        <v>77842634.499633253</v>
      </c>
      <c r="O5" s="59">
        <f>N5*('Price and Financial ratios'!Q4+1)*(1+Assumptions!$C$13)</f>
        <v>82223764.115685776</v>
      </c>
      <c r="P5" s="59">
        <f>O5*('Price and Financial ratios'!R4+1)*(1+Assumptions!$C$13)</f>
        <v>86851471.931924254</v>
      </c>
      <c r="Q5" s="59">
        <f>P5*('Price and Financial ratios'!S4+1)*(1+Assumptions!$C$13)</f>
        <v>91739635.832395807</v>
      </c>
      <c r="R5" s="59">
        <f>Q5*('Price and Financial ratios'!T4+1)*(1+Assumptions!$C$13)</f>
        <v>96902914.774516881</v>
      </c>
      <c r="S5" s="59">
        <f>R5*('Price and Financial ratios'!U4+1)*(1+Assumptions!$C$13)</f>
        <v>101867047.32949559</v>
      </c>
      <c r="T5" s="59">
        <f>S5*('Price and Financial ratios'!V4+1)*(1+Assumptions!$C$13)</f>
        <v>107085481.95661259</v>
      </c>
      <c r="U5" s="59">
        <f>T5*('Price and Financial ratios'!W4+1)*(1+Assumptions!$C$13)</f>
        <v>112571246.01627326</v>
      </c>
      <c r="V5" s="59">
        <f>U5*('Price and Financial ratios'!X4+1)*(1+Assumptions!$C$13)</f>
        <v>118338034.23316242</v>
      </c>
      <c r="W5" s="59">
        <f>V5*('Price and Financial ratios'!Y4+1)*(1+Assumptions!$C$13)</f>
        <v>124400242.88391304</v>
      </c>
      <c r="X5" s="59">
        <f>W5*('Price and Financial ratios'!Z4+1)*(1+Assumptions!$C$13)</f>
        <v>130773005.73613727</v>
      </c>
      <c r="Y5" s="59">
        <f>X5*('Price and Financial ratios'!AA4+1)*(1+Assumptions!$C$13)</f>
        <v>137472231.82853851</v>
      </c>
      <c r="Z5" s="59">
        <f>Y5*('Price and Financial ratios'!AB4+1)*(1+Assumptions!$C$13)</f>
        <v>144514645.18641916</v>
      </c>
      <c r="AA5" s="59">
        <f>Z5*('Price and Financial ratios'!AC4+1)*(1+Assumptions!$C$13)</f>
        <v>151917826.57173035</v>
      </c>
      <c r="AB5" s="59">
        <f>AA5*('Price and Financial ratios'!AD4+1)*(1+Assumptions!$C$13)</f>
        <v>159700257.37188888</v>
      </c>
      <c r="AC5" s="59">
        <f>AB5*('Price and Financial ratios'!AE4+1)*(1+Assumptions!$C$13)</f>
        <v>167881365.73692593</v>
      </c>
      <c r="AD5" s="59">
        <f>AC5*('Price and Financial ratios'!AF4+1)*(1+Assumptions!$C$13)</f>
        <v>176481575.080145</v>
      </c>
      <c r="AE5" s="59">
        <f>AD5*('Price and Financial ratios'!AG4+1)*(1+Assumptions!$C$13)</f>
        <v>184630420.66402331</v>
      </c>
      <c r="AF5" s="59">
        <f>AE5*('Price and Financial ratios'!AH4+1)*(1+Assumptions!$C$13)</f>
        <v>192222411.86261576</v>
      </c>
    </row>
    <row r="6" spans="1:32" s="11" customFormat="1" x14ac:dyDescent="0.35">
      <c r="A6" s="11" t="s">
        <v>20</v>
      </c>
      <c r="C6" s="59">
        <f>C27</f>
        <v>9009633.0557454433</v>
      </c>
      <c r="D6" s="59">
        <f t="shared" ref="D6:AF6" si="1">D27</f>
        <v>10142710.290549701</v>
      </c>
      <c r="E6" s="59">
        <f>E27</f>
        <v>11322278.485719869</v>
      </c>
      <c r="F6" s="59">
        <f t="shared" si="1"/>
        <v>12549867.742978169</v>
      </c>
      <c r="G6" s="59">
        <f t="shared" si="1"/>
        <v>13827054.073994435</v>
      </c>
      <c r="H6" s="59">
        <f t="shared" si="1"/>
        <v>15155460.715765292</v>
      </c>
      <c r="I6" s="59">
        <f t="shared" si="1"/>
        <v>16536759.482835792</v>
      </c>
      <c r="J6" s="59">
        <f t="shared" si="1"/>
        <v>17972672.157387242</v>
      </c>
      <c r="K6" s="59">
        <f t="shared" si="1"/>
        <v>19464971.918243259</v>
      </c>
      <c r="L6" s="59">
        <f t="shared" si="1"/>
        <v>21015484.809875518</v>
      </c>
      <c r="M6" s="59">
        <f t="shared" si="1"/>
        <v>22626091.252520695</v>
      </c>
      <c r="N6" s="59">
        <f t="shared" si="1"/>
        <v>24298727.594551198</v>
      </c>
      <c r="O6" s="59">
        <f t="shared" si="1"/>
        <v>26035387.708273929</v>
      </c>
      <c r="P6" s="59">
        <f t="shared" si="1"/>
        <v>27838124.630364362</v>
      </c>
      <c r="Q6" s="59">
        <f t="shared" si="1"/>
        <v>29709052.248176575</v>
      </c>
      <c r="R6" s="59">
        <f t="shared" si="1"/>
        <v>31650347.033204637</v>
      </c>
      <c r="S6" s="59">
        <f t="shared" si="1"/>
        <v>33664249.823006481</v>
      </c>
      <c r="T6" s="59">
        <f t="shared" si="1"/>
        <v>35753067.652937703</v>
      </c>
      <c r="U6" s="59">
        <f t="shared" si="1"/>
        <v>37919175.63908048</v>
      </c>
      <c r="V6" s="59">
        <f t="shared" si="1"/>
        <v>40165018.913791716</v>
      </c>
      <c r="W6" s="59">
        <f t="shared" si="1"/>
        <v>42493114.615333825</v>
      </c>
      <c r="X6" s="59">
        <f t="shared" si="1"/>
        <v>44906053.933093034</v>
      </c>
      <c r="Y6" s="59">
        <f t="shared" si="1"/>
        <v>47406504.209931642</v>
      </c>
      <c r="Z6" s="59">
        <f t="shared" si="1"/>
        <v>49997211.10326428</v>
      </c>
      <c r="AA6" s="59">
        <f t="shared" si="1"/>
        <v>52681000.806492589</v>
      </c>
      <c r="AB6" s="59">
        <f t="shared" si="1"/>
        <v>55460782.332478389</v>
      </c>
      <c r="AC6" s="59">
        <f t="shared" si="1"/>
        <v>58339549.860782579</v>
      </c>
      <c r="AD6" s="59">
        <f t="shared" si="1"/>
        <v>61320385.150445312</v>
      </c>
      <c r="AE6" s="59">
        <f t="shared" si="1"/>
        <v>64406460.02013272</v>
      </c>
      <c r="AF6" s="59">
        <f t="shared" si="1"/>
        <v>67601038.897526577</v>
      </c>
    </row>
    <row r="7" spans="1:32" x14ac:dyDescent="0.35">
      <c r="A7" t="s">
        <v>21</v>
      </c>
      <c r="C7" s="4">
        <f>Depreciation!C8+Depreciation!C9</f>
        <v>5307482.3696126668</v>
      </c>
      <c r="D7" s="4">
        <f>Depreciation!D8+Depreciation!D9</f>
        <v>6166268.7906562723</v>
      </c>
      <c r="E7" s="4">
        <f>Depreciation!E8+Depreciation!E9</f>
        <v>7074582.6807001838</v>
      </c>
      <c r="F7" s="4">
        <f>Depreciation!F8+Depreciation!F9</f>
        <v>8034714.4004652752</v>
      </c>
      <c r="G7" s="4">
        <f>Depreciation!G8+Depreciation!G9</f>
        <v>9049050.177630296</v>
      </c>
      <c r="H7" s="4">
        <f>Depreciation!H8+Depreciation!H9</f>
        <v>10120075.8969878</v>
      </c>
      <c r="I7" s="4">
        <f>Depreciation!I8+Depreciation!I9</f>
        <v>11250381.035002289</v>
      </c>
      <c r="J7" s="4">
        <f>Depreciation!J8+Depreciation!J9</f>
        <v>12442662.744131194</v>
      </c>
      <c r="K7" s="4">
        <f>Depreciation!K8+Depreciation!K9</f>
        <v>13699730.092464507</v>
      </c>
      <c r="L7" s="4">
        <f>Depreciation!L8+Depreciation!L9</f>
        <v>15024508.464441158</v>
      </c>
      <c r="M7" s="4">
        <f>Depreciation!M8+Depreciation!M9</f>
        <v>16420044.128609631</v>
      </c>
      <c r="N7" s="4">
        <f>Depreciation!N8+Depreciation!N9</f>
        <v>17889508.978617303</v>
      </c>
      <c r="O7" s="4">
        <f>Depreciation!O8+Depreciation!O9</f>
        <v>19436205.453837767</v>
      </c>
      <c r="P7" s="4">
        <f>Depreciation!P8+Depreciation!P9</f>
        <v>21063571.646278232</v>
      </c>
      <c r="Q7" s="4">
        <f>Depreciation!Q8+Depreciation!Q9</f>
        <v>22775186.600650158</v>
      </c>
      <c r="R7" s="4">
        <f>Depreciation!R8+Depreciation!R9</f>
        <v>24574775.814736109</v>
      </c>
      <c r="S7" s="4">
        <f>Depreciation!S8+Depreciation!S9</f>
        <v>26466216.947444491</v>
      </c>
      <c r="T7" s="4">
        <f>Depreciation!T8+Depreciation!T9</f>
        <v>28453545.742211912</v>
      </c>
      <c r="U7" s="4">
        <f>Depreciation!U8+Depreciation!U9</f>
        <v>30540962.173690263</v>
      </c>
      <c r="V7" s="4">
        <f>Depreciation!V8+Depreciation!V9</f>
        <v>32732836.825943217</v>
      </c>
      <c r="W7" s="4">
        <f>Depreciation!W8+Depreciation!W9</f>
        <v>35033717.510674499</v>
      </c>
      <c r="X7" s="4">
        <f>Depreciation!X8+Depreciation!X9</f>
        <v>37448336.134318799</v>
      </c>
      <c r="Y7" s="4">
        <f>Depreciation!Y8+Depreciation!Y9</f>
        <v>39981615.823145419</v>
      </c>
      <c r="Z7" s="4">
        <f>Depreciation!Z8+Depreciation!Z9</f>
        <v>42638678.315855399</v>
      </c>
      <c r="AA7" s="4">
        <f>Depreciation!AA8+Depreciation!AA9</f>
        <v>45424851.633495927</v>
      </c>
      <c r="AB7" s="4">
        <f>Depreciation!AB8+Depreciation!AB9</f>
        <v>48345678.036869988</v>
      </c>
      <c r="AC7" s="4">
        <f>Depreciation!AC8+Depreciation!AC9</f>
        <v>51406922.281987295</v>
      </c>
      <c r="AD7" s="4">
        <f>Depreciation!AD8+Depreciation!AD9</f>
        <v>54614580.184482381</v>
      </c>
      <c r="AE7" s="4">
        <f>Depreciation!AE8+Depreciation!AE9</f>
        <v>57974887.504320368</v>
      </c>
      <c r="AF7" s="4">
        <f>Depreciation!AF8+Depreciation!AF9</f>
        <v>61494329.162519082</v>
      </c>
    </row>
    <row r="8" spans="1:32" x14ac:dyDescent="0.35">
      <c r="A8" t="s">
        <v>6</v>
      </c>
      <c r="C8" s="4">
        <f ca="1">'Debt worksheet'!C8</f>
        <v>1762413.9978579138</v>
      </c>
      <c r="D8" s="4">
        <f ca="1">'Debt worksheet'!D8</f>
        <v>2703927.6060402822</v>
      </c>
      <c r="E8" s="4">
        <f ca="1">'Debt worksheet'!E8</f>
        <v>3398864.6448708191</v>
      </c>
      <c r="F8" s="4">
        <f ca="1">'Debt worksheet'!F8</f>
        <v>3965791.5127453306</v>
      </c>
      <c r="G8" s="4">
        <f ca="1">'Debt worksheet'!G8</f>
        <v>4442578.8903854294</v>
      </c>
      <c r="H8" s="4">
        <f ca="1">'Debt worksheet'!H8</f>
        <v>4843529.627110743</v>
      </c>
      <c r="I8" s="4">
        <f ca="1">'Debt worksheet'!I8</f>
        <v>5236395.4588431483</v>
      </c>
      <c r="J8" s="4">
        <f ca="1">'Debt worksheet'!J8</f>
        <v>5613965.0293394281</v>
      </c>
      <c r="K8" s="4">
        <f ca="1">'Debt worksheet'!K8</f>
        <v>5967962.6624155585</v>
      </c>
      <c r="L8" s="4">
        <f ca="1">'Debt worksheet'!L8</f>
        <v>6312693.4962695949</v>
      </c>
      <c r="M8" s="4">
        <f ca="1">'Debt worksheet'!M8</f>
        <v>6667355.0468919277</v>
      </c>
      <c r="N8" s="4">
        <f ca="1">'Debt worksheet'!N8</f>
        <v>7042644.5247582691</v>
      </c>
      <c r="O8" s="4">
        <f ca="1">'Debt worksheet'!O8</f>
        <v>7437382.1921356255</v>
      </c>
      <c r="P8" s="4">
        <f ca="1">'Debt worksheet'!P8</f>
        <v>7850113.4580283472</v>
      </c>
      <c r="Q8" s="4">
        <f ca="1">'Debt worksheet'!Q8</f>
        <v>8279080.8586212527</v>
      </c>
      <c r="R8" s="4">
        <f ca="1">'Debt worksheet'!R8</f>
        <v>8722193.8207627796</v>
      </c>
      <c r="S8" s="4">
        <f ca="1">'Debt worksheet'!S8</f>
        <v>9194758.8411484472</v>
      </c>
      <c r="T8" s="4">
        <f ca="1">'Debt worksheet'!T8</f>
        <v>9696472.6870317757</v>
      </c>
      <c r="U8" s="4">
        <f ca="1">'Debt worksheet'!U8</f>
        <v>10226840.13248211</v>
      </c>
      <c r="V8" s="4">
        <f ca="1">'Debt worksheet'!V8</f>
        <v>10785153.214136943</v>
      </c>
      <c r="W8" s="4">
        <f ca="1">'Debt worksheet'!W8</f>
        <v>11370468.861104706</v>
      </c>
      <c r="X8" s="4">
        <f ca="1">'Debt worksheet'!X8</f>
        <v>11981584.78930825</v>
      </c>
      <c r="Y8" s="4">
        <f ca="1">'Debt worksheet'!Y8</f>
        <v>12617013.543769645</v>
      </c>
      <c r="Z8" s="4">
        <f ca="1">'Debt worksheet'!Z8</f>
        <v>13274954.565149667</v>
      </c>
      <c r="AA8" s="4">
        <f ca="1">'Debt worksheet'!AA8</f>
        <v>13953264.149248226</v>
      </c>
      <c r="AB8" s="4">
        <f ca="1">'Debt worksheet'!AB8</f>
        <v>14649423.160120921</v>
      </c>
      <c r="AC8" s="4">
        <f ca="1">'Debt worksheet'!AC8</f>
        <v>15360502.348947437</v>
      </c>
      <c r="AD8" s="4">
        <f ca="1">'Debt worksheet'!AD8</f>
        <v>16083125.121772779</v>
      </c>
      <c r="AE8" s="4">
        <f ca="1">'Debt worksheet'!AE8</f>
        <v>16845777.542012841</v>
      </c>
      <c r="AF8" s="4">
        <f ca="1">'Debt worksheet'!AF8</f>
        <v>17682233.516678136</v>
      </c>
    </row>
    <row r="9" spans="1:32" x14ac:dyDescent="0.35">
      <c r="A9" t="s">
        <v>22</v>
      </c>
      <c r="C9" s="4">
        <f ca="1">C5-C6-C7-C8</f>
        <v>-2348673.6530832495</v>
      </c>
      <c r="D9" s="4">
        <f t="shared" ref="D9:AF9" ca="1" si="2">D5-D6-D7-D8</f>
        <v>1805735.5787894875</v>
      </c>
      <c r="E9" s="4">
        <f t="shared" ca="1" si="2"/>
        <v>9769376.3977012243</v>
      </c>
      <c r="F9" s="4">
        <f t="shared" ca="1" si="2"/>
        <v>14374800.905244889</v>
      </c>
      <c r="G9" s="4">
        <f t="shared" ca="1" si="2"/>
        <v>17928541.677252647</v>
      </c>
      <c r="H9" s="4">
        <f t="shared" ca="1" si="2"/>
        <v>21104936.068046678</v>
      </c>
      <c r="I9" s="4">
        <f t="shared" ca="1" si="2"/>
        <v>22377874.838456087</v>
      </c>
      <c r="J9" s="4">
        <f t="shared" ca="1" si="2"/>
        <v>23890194.486188505</v>
      </c>
      <c r="K9" s="4">
        <f t="shared" ca="1" si="2"/>
        <v>25673371.10049025</v>
      </c>
      <c r="L9" s="4">
        <f t="shared" ca="1" si="2"/>
        <v>27083339.646578234</v>
      </c>
      <c r="M9" s="4">
        <f t="shared" ca="1" si="2"/>
        <v>27981454.227126792</v>
      </c>
      <c r="N9" s="4">
        <f t="shared" ca="1" si="2"/>
        <v>28611753.401706483</v>
      </c>
      <c r="O9" s="4">
        <f t="shared" ca="1" si="2"/>
        <v>29314788.761438452</v>
      </c>
      <c r="P9" s="4">
        <f t="shared" ca="1" si="2"/>
        <v>30099662.197253317</v>
      </c>
      <c r="Q9" s="4">
        <f t="shared" ca="1" si="2"/>
        <v>30976316.124947816</v>
      </c>
      <c r="R9" s="4">
        <f t="shared" ca="1" si="2"/>
        <v>31955598.105813358</v>
      </c>
      <c r="S9" s="4">
        <f t="shared" ca="1" si="2"/>
        <v>32541821.717896175</v>
      </c>
      <c r="T9" s="4">
        <f t="shared" ca="1" si="2"/>
        <v>33182395.874431193</v>
      </c>
      <c r="U9" s="4">
        <f t="shared" ca="1" si="2"/>
        <v>33884268.071020409</v>
      </c>
      <c r="V9" s="4">
        <f t="shared" ca="1" si="2"/>
        <v>34655025.279290542</v>
      </c>
      <c r="W9" s="4">
        <f t="shared" ca="1" si="2"/>
        <v>35502941.896800011</v>
      </c>
      <c r="X9" s="4">
        <f t="shared" ca="1" si="2"/>
        <v>36437030.879417181</v>
      </c>
      <c r="Y9" s="4">
        <f t="shared" ca="1" si="2"/>
        <v>37467098.251691803</v>
      </c>
      <c r="Z9" s="4">
        <f t="shared" ca="1" si="2"/>
        <v>38603801.202149823</v>
      </c>
      <c r="AA9" s="4">
        <f t="shared" ca="1" si="2"/>
        <v>39858709.982493594</v>
      </c>
      <c r="AB9" s="4">
        <f t="shared" ca="1" si="2"/>
        <v>41244373.84241958</v>
      </c>
      <c r="AC9" s="4">
        <f t="shared" ca="1" si="2"/>
        <v>42774391.245208621</v>
      </c>
      <c r="AD9" s="4">
        <f t="shared" ca="1" si="2"/>
        <v>44463484.623444527</v>
      </c>
      <c r="AE9" s="4">
        <f t="shared" ca="1" si="2"/>
        <v>45403295.597557381</v>
      </c>
      <c r="AF9" s="4">
        <f t="shared" ca="1" si="2"/>
        <v>45444810.285891965</v>
      </c>
    </row>
    <row r="12" spans="1:32" x14ac:dyDescent="0.35">
      <c r="A12" t="s">
        <v>79</v>
      </c>
      <c r="C12" s="2">
        <f>Assumptions!$C$25*Assumptions!D9*Assumptions!D13</f>
        <v>8183238.7457454437</v>
      </c>
      <c r="D12" s="2">
        <f>Assumptions!$C$25*Assumptions!E9*Assumptions!E13</f>
        <v>8453560.3209097013</v>
      </c>
      <c r="E12" s="2">
        <f>Assumptions!$C$25*Assumptions!F9*Assumptions!F13</f>
        <v>8732811.5822617486</v>
      </c>
      <c r="F12" s="2">
        <f>Assumptions!$C$25*Assumptions!G9*Assumptions!G13</f>
        <v>9021287.5091992375</v>
      </c>
      <c r="G12" s="2">
        <f>Assumptions!$C$25*Assumptions!H9*Assumptions!H13</f>
        <v>9319292.8253418505</v>
      </c>
      <c r="H12" s="2">
        <f>Assumptions!$C$25*Assumptions!I9*Assumptions!I13</f>
        <v>9627142.3204177618</v>
      </c>
      <c r="I12" s="2">
        <f>Assumptions!$C$25*Assumptions!J9*Assumptions!J13</f>
        <v>9945161.1827830859</v>
      </c>
      <c r="J12" s="2">
        <f>Assumptions!$C$25*Assumptions!K9*Assumptions!K13</f>
        <v>10273685.342925683</v>
      </c>
      <c r="K12" s="2">
        <f>Assumptions!$C$25*Assumptions!L9*Assumptions!L13</f>
        <v>10613061.828316079</v>
      </c>
      <c r="L12" s="2">
        <f>Assumptions!$C$25*Assumptions!M9*Assumptions!M13</f>
        <v>10963649.12998043</v>
      </c>
      <c r="M12" s="2">
        <f>Assumptions!$C$25*Assumptions!N9*Assumptions!N13</f>
        <v>11325817.581182642</v>
      </c>
      <c r="N12" s="2">
        <f>Assumptions!$C$25*Assumptions!O9*Assumptions!O13</f>
        <v>11699949.748615749</v>
      </c>
      <c r="O12" s="2">
        <f>Assumptions!$C$25*Assumptions!P9*Assumptions!P13</f>
        <v>12086440.836515732</v>
      </c>
      <c r="P12" s="2">
        <f>Assumptions!$C$25*Assumptions!Q9*Assumptions!Q13</f>
        <v>12485699.10412465</v>
      </c>
      <c r="Q12" s="2">
        <f>Assumptions!$C$25*Assumptions!R9*Assumptions!R13</f>
        <v>12898146.296944087</v>
      </c>
      <c r="R12" s="2">
        <f>Assumptions!$C$25*Assumptions!S9*Assumptions!S13</f>
        <v>13324218.092234394</v>
      </c>
      <c r="S12" s="2">
        <f>Assumptions!$C$25*Assumptions!T9*Assumptions!T13</f>
        <v>13764364.559230424</v>
      </c>
      <c r="T12" s="2">
        <f>Assumptions!$C$25*Assumptions!U9*Assumptions!U13</f>
        <v>14219050.634559797</v>
      </c>
      <c r="U12" s="2">
        <f>Assumptions!$C$25*Assumptions!V9*Assumptions!V13</f>
        <v>14688756.613365915</v>
      </c>
      <c r="V12" s="2">
        <f>Assumptions!$C$25*Assumptions!W9*Assumptions!W13</f>
        <v>15173978.656654568</v>
      </c>
      <c r="W12" s="2">
        <f>Assumptions!$C$25*Assumptions!X9*Assumptions!X13</f>
        <v>15675229.315399954</v>
      </c>
      <c r="X12" s="2">
        <f>Assumptions!$C$25*Assumptions!Y9*Assumptions!Y13</f>
        <v>16193038.071963839</v>
      </c>
      <c r="Y12" s="2">
        <f>Assumptions!$C$25*Assumptions!Z9*Assumptions!Z13</f>
        <v>16727951.89939969</v>
      </c>
      <c r="Z12" s="2">
        <f>Assumptions!$C$25*Assumptions!AA9*Assumptions!AA13</f>
        <v>17280535.839232642</v>
      </c>
      <c r="AA12" s="2">
        <f>Assumptions!$C$25*Assumptions!AB9*Assumptions!AB13</f>
        <v>17851373.598325573</v>
      </c>
      <c r="AB12" s="2">
        <f>Assumptions!$C$25*Assumptions!AC9*Assumptions!AC13</f>
        <v>18441068.165461831</v>
      </c>
      <c r="AC12" s="2">
        <f>Assumptions!$C$25*Assumptions!AD9*Assumptions!AD13</f>
        <v>19050242.448295854</v>
      </c>
      <c r="AD12" s="2">
        <f>Assumptions!$C$25*Assumptions!AE9*Assumptions!AE13</f>
        <v>19679539.931344569</v>
      </c>
      <c r="AE12" s="2">
        <f>Assumptions!$C$25*Assumptions!AF9*Assumptions!AF13</f>
        <v>20329625.355714571</v>
      </c>
      <c r="AF12" s="2">
        <f>Assumptions!$C$25*Assumptions!AG9*Assumptions!AG13</f>
        <v>21001185.421283122</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826394.31</v>
      </c>
      <c r="D14" s="5">
        <f>Assumptions!E122*Assumptions!E9</f>
        <v>1689149.96964</v>
      </c>
      <c r="E14" s="5">
        <f>Assumptions!F122*Assumptions!F9</f>
        <v>2589466.9034581198</v>
      </c>
      <c r="F14" s="5">
        <f>Assumptions!G122*Assumptions!G9</f>
        <v>3528580.2337789317</v>
      </c>
      <c r="G14" s="5">
        <f>Assumptions!H122*Assumptions!H9</f>
        <v>4507761.2486525849</v>
      </c>
      <c r="H14" s="5">
        <f>Assumptions!I122*Assumptions!I9</f>
        <v>5528318.39534753</v>
      </c>
      <c r="I14" s="5">
        <f>Assumptions!J122*Assumptions!J9</f>
        <v>6591598.3000527052</v>
      </c>
      <c r="J14" s="5">
        <f>Assumptions!K122*Assumptions!K9</f>
        <v>7698986.8144615609</v>
      </c>
      <c r="K14" s="5">
        <f>Assumptions!L122*Assumptions!L9</f>
        <v>8851910.0899271797</v>
      </c>
      <c r="L14" s="5">
        <f>Assumptions!M122*Assumptions!M9</f>
        <v>10051835.679895086</v>
      </c>
      <c r="M14" s="5">
        <f>Assumptions!N122*Assumptions!N9</f>
        <v>11300273.671338055</v>
      </c>
      <c r="N14" s="5">
        <f>Assumptions!O122*Assumptions!O9</f>
        <v>12598777.845935447</v>
      </c>
      <c r="O14" s="5">
        <f>Assumptions!P122*Assumptions!P9</f>
        <v>13948946.871758197</v>
      </c>
      <c r="P14" s="5">
        <f>Assumptions!Q122*Assumptions!Q9</f>
        <v>15352425.526239712</v>
      </c>
      <c r="Q14" s="5">
        <f>Assumptions!R122*Assumptions!R9</f>
        <v>16810905.951232485</v>
      </c>
      <c r="R14" s="5">
        <f>Assumptions!S122*Assumptions!S9</f>
        <v>18326128.940970242</v>
      </c>
      <c r="S14" s="5">
        <f>Assumptions!T122*Assumptions!T9</f>
        <v>19899885.26377606</v>
      </c>
      <c r="T14" s="5">
        <f>Assumptions!U122*Assumptions!U9</f>
        <v>21534017.018377904</v>
      </c>
      <c r="U14" s="5">
        <f>Assumptions!V122*Assumptions!V9</f>
        <v>23230419.025714565</v>
      </c>
      <c r="V14" s="5">
        <f>Assumptions!W122*Assumptions!W9</f>
        <v>24991040.257137146</v>
      </c>
      <c r="W14" s="5">
        <f>Assumptions!X122*Assumptions!X9</f>
        <v>26817885.299933869</v>
      </c>
      <c r="X14" s="5">
        <f>Assumptions!Y122*Assumptions!Y9</f>
        <v>28713015.861129194</v>
      </c>
      <c r="Y14" s="5">
        <f>Assumptions!Z122*Assumptions!Z9</f>
        <v>30678552.310531948</v>
      </c>
      <c r="Z14" s="5">
        <f>Assumptions!AA122*Assumptions!AA9</f>
        <v>32716675.264031637</v>
      </c>
      <c r="AA14" s="5">
        <f>Assumptions!AB122*Assumptions!AB9</f>
        <v>34829627.208167017</v>
      </c>
      <c r="AB14" s="5">
        <f>Assumptions!AC122*Assumptions!AC9</f>
        <v>37019714.167016558</v>
      </c>
      <c r="AC14" s="5">
        <f>Assumptions!AD122*Assumptions!AD9</f>
        <v>39289307.412486725</v>
      </c>
      <c r="AD14" s="5">
        <f>Assumptions!AE122*Assumptions!AE9</f>
        <v>41640845.219100744</v>
      </c>
      <c r="AE14" s="5">
        <f>Assumptions!AF122*Assumptions!AF9</f>
        <v>44076834.664418146</v>
      </c>
      <c r="AF14" s="5">
        <f>Assumptions!AG122*Assumptions!AG9</f>
        <v>46599853.476243451</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9009633.0557454433</v>
      </c>
      <c r="D27" s="2">
        <f t="shared" ref="D27:AF27" si="8">D12+D13+D14+D19+D20+D22+D24+D25</f>
        <v>10142710.290549701</v>
      </c>
      <c r="E27" s="2">
        <f t="shared" si="8"/>
        <v>11322278.485719869</v>
      </c>
      <c r="F27" s="2">
        <f t="shared" si="8"/>
        <v>12549867.742978169</v>
      </c>
      <c r="G27" s="2">
        <f t="shared" si="8"/>
        <v>13827054.073994435</v>
      </c>
      <c r="H27" s="2">
        <f t="shared" si="8"/>
        <v>15155460.715765292</v>
      </c>
      <c r="I27" s="2">
        <f t="shared" si="8"/>
        <v>16536759.482835792</v>
      </c>
      <c r="J27" s="2">
        <f t="shared" si="8"/>
        <v>17972672.157387242</v>
      </c>
      <c r="K27" s="2">
        <f t="shared" si="8"/>
        <v>19464971.918243259</v>
      </c>
      <c r="L27" s="2">
        <f t="shared" si="8"/>
        <v>21015484.809875518</v>
      </c>
      <c r="M27" s="2">
        <f t="shared" si="8"/>
        <v>22626091.252520695</v>
      </c>
      <c r="N27" s="2">
        <f t="shared" si="8"/>
        <v>24298727.594551198</v>
      </c>
      <c r="O27" s="2">
        <f t="shared" si="8"/>
        <v>26035387.708273929</v>
      </c>
      <c r="P27" s="2">
        <f t="shared" si="8"/>
        <v>27838124.630364362</v>
      </c>
      <c r="Q27" s="2">
        <f t="shared" si="8"/>
        <v>29709052.248176575</v>
      </c>
      <c r="R27" s="2">
        <f t="shared" si="8"/>
        <v>31650347.033204637</v>
      </c>
      <c r="S27" s="2">
        <f t="shared" si="8"/>
        <v>33664249.823006481</v>
      </c>
      <c r="T27" s="2">
        <f t="shared" si="8"/>
        <v>35753067.652937703</v>
      </c>
      <c r="U27" s="2">
        <f t="shared" si="8"/>
        <v>37919175.63908048</v>
      </c>
      <c r="V27" s="2">
        <f t="shared" si="8"/>
        <v>40165018.913791716</v>
      </c>
      <c r="W27" s="2">
        <f t="shared" si="8"/>
        <v>42493114.615333825</v>
      </c>
      <c r="X27" s="2">
        <f t="shared" si="8"/>
        <v>44906053.933093034</v>
      </c>
      <c r="Y27" s="2">
        <f t="shared" si="8"/>
        <v>47406504.209931642</v>
      </c>
      <c r="Z27" s="2">
        <f t="shared" si="8"/>
        <v>49997211.10326428</v>
      </c>
      <c r="AA27" s="2">
        <f t="shared" si="8"/>
        <v>52681000.806492589</v>
      </c>
      <c r="AB27" s="2">
        <f t="shared" si="8"/>
        <v>55460782.332478389</v>
      </c>
      <c r="AC27" s="2">
        <f t="shared" si="8"/>
        <v>58339549.860782579</v>
      </c>
      <c r="AD27" s="2">
        <f t="shared" si="8"/>
        <v>61320385.150445312</v>
      </c>
      <c r="AE27" s="2">
        <f t="shared" si="8"/>
        <v>64406460.02013272</v>
      </c>
      <c r="AF27" s="2">
        <f t="shared" si="8"/>
        <v>67601038.897526577</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3W2DU3RAJ5R2-1900874439-855</_dlc_DocId>
    <_dlc_DocIdUrl xmlns="f54e2983-00ce-40fc-8108-18f351fc47bf">
      <Url>https://dia.cohesion.net.nz/Sites/LGV/TWRP/CAE/_layouts/15/DocIdRedir.aspx?ID=3W2DU3RAJ5R2-1900874439-855</Url>
      <Description>3W2DU3RAJ5R2-1900874439-855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purl.org/dc/elements/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08a23fc5-e034-477c-ac83-93bc1440f322"/>
    <ds:schemaRef ds:uri="65b6d800-2dda-48d6-88d8-9e2b35e6f7ea"/>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EA6D6521-5CBF-428B-966D-7D4BB84FEF74}"/>
</file>

<file path=customXml/itemProps4.xml><?xml version="1.0" encoding="utf-8"?>
<ds:datastoreItem xmlns:ds="http://schemas.openxmlformats.org/officeDocument/2006/customXml" ds:itemID="{C8980A30-C460-4F3F-8F92-ED4EE91D69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2021-07-01T15:14:01Z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1b1d7525-3d36-41a0-8ede-39bed715229d</vt:lpwstr>
  </property>
</Properties>
</file>