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66925"/>
  <xr:revisionPtr revIDLastSave="3" documentId="8_{3A406843-98EB-45F4-96AD-BF9C500C60CA}" xr6:coauthVersionLast="45" xr6:coauthVersionMax="47" xr10:uidLastSave="{37D19AE9-E9CF-4873-9ADF-44F3802CEDC6}"/>
  <bookViews>
    <workbookView xWindow="-110" yWindow="-110" windowWidth="22780" windowHeight="1466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1</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"DtR_Solver"</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<sst xmlns="http://schemas.openxmlformats.org/spreadsheetml/2006/main" count="277" uniqueCount="205">
  <si>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</si>
  <si>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</si>
  <si>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</si>
  <si>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</si>
  <si>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</si>
  <si>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</si>
  <si>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</si>
  <si>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</si>
  <si>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</si>
  <si>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</si>
  <si>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</si>
  <si>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</si>
  <si>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</si>
  <si>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</si>
  <si>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</si>
  <si>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</si>
  <si>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</si>
  <si>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</si>
  <si>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</si>
  <si>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</si>
  <si>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</si>
  <si>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</si>
  <si>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</si>
  <si>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</si>
  <si>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</si>
  <si>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</si>
  <si>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</si>
  <si>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</si>
  <si>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</si>
  <si>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</si>
  <si>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</si>
  <si>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</si>
  <si>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</si>
  <si>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</si>
  <si>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</si>
  <si>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</si>
  <si>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</si>
  <si>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</si>
  <si>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</si>
  <si>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</si>
  <si>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</si>
  <si>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</si>
  <si>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</si>
  <si>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</si>
  <si>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</si>
  <si>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</si>
  <si>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</si>
  <si>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</si>
  <si>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</si>
  <si>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</si>
  <si>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</si>
  <si>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</si>
  <si>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</si>
  <si>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</si>
  <si>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</si>
  <si>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</si>
  <si>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</si>
  <si>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</si>
  <si>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</si>
  <si>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</si>
  <si>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</si>
  <si>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</si>
  <si>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</si>
  <si>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</si>
  <si>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</si>
  <si>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</si>
  <si>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</si>
  <si>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</si>
  <si>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</si>
  <si>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</si>
  <si>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</si>
  <si>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</si>
  <si>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</si>
  <si>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</si>
  <si>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</si>
  <si>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</si>
  <si>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</si>
  <si>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</si>
  <si>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</si>
  <si>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</si>
  <si>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</si>
  <si>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</si>
  <si>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</si>
  <si>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</si>
  <si>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</si>
  <si>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</si>
  <si>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</si>
  <si>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</si>
  <si>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</si>
  <si>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</si>
  <si>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</si>
  <si>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</si>
  <si>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</si>
  <si>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</si>
  <si>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</si>
  <si>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</si>
  <si>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</si>
  <si>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</si>
  <si>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</si>
  <si>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</si>
  <si>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</si>
  <si>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</si>
  <si>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</si>
  <si>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</si>
  <si>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</si>
  <si>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</si>
  <si>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</si>
  <si>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</si>
  <si>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</si>
  <si>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</si>
  <si>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</si>
  <si>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</si>
  <si>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</si>
  <si>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</si>
  <si>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</si>
  <si>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</si>
  <si>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</si>
  <si>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</si>
  <si>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</si>
  <si>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</si>
  <si>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</si>
  <si>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</si>
  <si>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</si>
  <si>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</si>
  <si>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</si>
  <si>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</si>
  <si>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</si>
  <si>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</si>
  <si>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</si>
  <si>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</si>
  <si>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</si>
  <si>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</si>
  <si>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</si>
  <si>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</si>
  <si>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</si>
  <si>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</si>
  <si>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</si>
  <si>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</si>
  <si>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</si>
  <si>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</si>
  <si>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</si>
  <si>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</si>
  <si>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</si>
  <si>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</si>
  <si>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</si>
  <si>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</si>
  <si>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</si>
  <si>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</si>
  <si>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</si>
  <si>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</si>
  <si>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</si>
  <si>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</si>
  <si>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</si>
  <si>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</si>
  <si>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</si>
  <si>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</si>
  <si>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</si>
  <si>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</si>
  <si>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</si>
  <si>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</si>
  <si>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</si>
  <si>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</si>
  <si>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</si>
  <si>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</si>
  <si>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</si>
  <si>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</si>
  <si>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</si>
  <si>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</si>
  <si>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</si>
  <si>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</si>
  <si>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</si>
  <si>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</si>
  <si>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</si>
  <si>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</si>
  <si>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</si>
  <si>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(adjusted for projected inflation in RFI Table G5)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</si>
  <si>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</si>
  <si>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</si>
  <si>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</si>
  <si>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</si>
  <si>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</si>
  <si>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</si>
  <si>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</si>
  <si>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</si>
  <si>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</si>
  <si>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</si>
  <si>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</si>
  <si>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</si>
  <si>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</si>
  <si>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</si>
  <si>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</si>
  <si>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</si>
  <si>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</si>
  <si>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</si>
  <si>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</si>
  <si>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</si>
  <si>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</si>
  <si>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South Taranaki Stand-alone Council</t>
  </si>
  <si>
    <t>RFI Table F10; Lines F10.62 - F10.61 + F10.70</t>
  </si>
  <si>
    <t>RFI Table F10; Lines F10.62 + F10.70</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</si>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</sst>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3">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8" fillId="0" borderId="0" xfId="0" applyFont="1" applyAlignment="1">
      <alignment horizontal="left" vertical="center" wrapText="1"/>
    </xf>
    <xf numFmtId="0" fontId="0" fillId="0" borderId="0" xfId="0" applyAlignment="1">
      <alignment horizontal="right"/>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197</v>
      </c>
      <c r="C2" s="171"/>
      <c r="D2" s="60"/>
      <c r="E2" s="14"/>
      <c r="F2" s="60"/>
    </row>
    <row r="3" spans="1:6" x14ac:dyDescent="0.35">
      <c r="C3" s="14"/>
      <c r="D3" s="14"/>
    </row>
    <row r="4" spans="1:6" x14ac:dyDescent="0.35">
      <c r="A4" s="14" t="s">
        <v>157</v>
      </c>
      <c r="B4" s="14"/>
      <c r="D4" s="14"/>
    </row>
    <row r="6" spans="1:6" ht="21" x14ac:dyDescent="0.5">
      <c r="A6" s="15" t="s">
        <v>166</v>
      </c>
    </row>
    <row r="7" spans="1:6" ht="241" customHeight="1" x14ac:dyDescent="0.35">
      <c r="A7" s="107">
        <v>1</v>
      </c>
      <c r="B7" s="104" t="s">
        <v>167</v>
      </c>
    </row>
    <row r="8" spans="1:6" ht="408" customHeight="1" x14ac:dyDescent="0.35">
      <c r="A8" s="107">
        <v>2</v>
      </c>
      <c r="B8" s="104" t="s">
        <v>188</v>
      </c>
    </row>
    <row r="9" spans="1:6" ht="195.5" customHeight="1" x14ac:dyDescent="0.35">
      <c r="A9" s="107">
        <f>A8+1</f>
        <v>3</v>
      </c>
      <c r="B9" s="105" t="s">
        <v>171</v>
      </c>
    </row>
    <row r="10" spans="1:6" ht="236" customHeight="1" x14ac:dyDescent="0.35">
      <c r="A10" s="107">
        <v>4</v>
      </c>
      <c r="B10" s="105" t="s">
        <v>172</v>
      </c>
    </row>
    <row r="11" spans="1:6" ht="21" x14ac:dyDescent="0.35">
      <c r="A11" s="107">
        <f>A10+1</f>
        <v>5</v>
      </c>
      <c r="B11" s="63" t="s">
        <v>186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163</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189</v>
      </c>
      <c r="B6" s="1">
        <f>Assumptions!C17</f>
        <v>508328816.34700078</v>
      </c>
      <c r="C6" s="12">
        <f ca="1">B6+Depreciation!C18+'Cash Flow'!C13</f>
        <v>524478254.66285837</v>
      </c>
      <c r="D6" s="1">
        <f ca="1">C6+Depreciation!D18</f>
        <v>566643083.18055272</v>
      </c>
      <c r="E6" s="1">
        <f ca="1">D6+Depreciation!E18</f>
        <v>610973808.27644408</v>
      </c>
      <c r="F6" s="1">
        <f ca="1">E6+Depreciation!F18</f>
        <v>657565870.54713488</v>
      </c>
      <c r="G6" s="1">
        <f ca="1">F6+Depreciation!G18</f>
        <v>706518600.90931404</v>
      </c>
      <c r="H6" s="1">
        <f ca="1">G6+Depreciation!H18</f>
        <v>757935371.84907174</v>
      </c>
      <c r="I6" s="1">
        <f ca="1">H6+Depreciation!I18</f>
        <v>811923754.36748207</v>
      </c>
      <c r="J6" s="1">
        <f ca="1">I6+Depreciation!J18</f>
        <v>868595680.83213651</v>
      </c>
      <c r="K6" s="1">
        <f ca="1">J6+Depreciation!K18</f>
        <v>928067613.95189583</v>
      </c>
      <c r="L6" s="1">
        <f ca="1">K6+Depreciation!L18</f>
        <v>990460722.09998691</v>
      </c>
      <c r="M6" s="1">
        <f ca="1">L6+Depreciation!M18</f>
        <v>1055901061.2187084</v>
      </c>
      <c r="N6" s="1">
        <f ca="1">M6+Depreciation!N18</f>
        <v>1124519763.547437</v>
      </c>
      <c r="O6" s="1">
        <f ca="1">N6+Depreciation!O18</f>
        <v>1196453233.4243555</v>
      </c>
      <c r="P6" s="1">
        <f ca="1">O6+Depreciation!P18</f>
        <v>1271843350.4213636</v>
      </c>
      <c r="Q6" s="1">
        <f ca="1">P6+Depreciation!Q18</f>
        <v>1350837680.0809929</v>
      </c>
      <c r="R6" s="1">
        <f ca="1">Q6+Depreciation!R18</f>
        <v>1433589692.5338464</v>
      </c>
      <c r="S6" s="1">
        <f ca="1">R6+Depreciation!S18</f>
        <v>1520258989.2851188</v>
      </c>
      <c r="T6" s="1">
        <f ca="1">S6+Depreciation!T18</f>
        <v>1611011538.4691572</v>
      </c>
      <c r="U6" s="1">
        <f ca="1">T6+Depreciation!U18</f>
        <v>1706019918.8817854</v>
      </c>
      <c r="V6" s="1">
        <f ca="1">U6+Depreciation!V18</f>
        <v>1805463573.1112688</v>
      </c>
      <c r="W6" s="1">
        <f ca="1">V6+Depreciation!W18</f>
        <v>1909529070.1003435</v>
      </c>
      <c r="X6" s="1">
        <f ca="1">W6+Depreciation!X18</f>
        <v>2018410377.4836922</v>
      </c>
      <c r="Y6" s="1">
        <f ca="1">X6+Depreciation!Y18</f>
        <v>2132309144.0576317</v>
      </c>
      <c r="Z6" s="1">
        <f ca="1">Y6+Depreciation!Z18</f>
        <v>2251434992.7515993</v>
      </c>
      <c r="AA6" s="1">
        <f ca="1">Z6+Depreciation!AA18</f>
        <v>2376005824.4843054</v>
      </c>
      <c r="AB6" s="1">
        <f ca="1">AA6+Depreciation!AB18</f>
        <v>2506248133.3011661</v>
      </c>
      <c r="AC6" s="1">
        <f ca="1">AB6+Depreciation!AC18</f>
        <v>2642397333.2038732</v>
      </c>
      <c r="AD6" s="1">
        <f ca="1">AC6+Depreciation!AD18</f>
        <v>2784698097.0976925</v>
      </c>
      <c r="AE6" s="1">
        <f ca="1">AD6+Depreciation!AE18</f>
        <v>2933404708.2973547</v>
      </c>
      <c r="AF6" s="1"/>
      <c r="AG6" s="1"/>
      <c r="AH6" s="1"/>
      <c r="AI6" s="1"/>
      <c r="AJ6" s="1"/>
      <c r="AK6" s="1"/>
      <c r="AL6" s="1"/>
      <c r="AM6" s="1"/>
      <c r="AN6" s="1"/>
      <c r="AO6" s="1"/>
      <c r="AP6" s="1"/>
    </row>
    <row r="7" spans="1:42" x14ac:dyDescent="0.35">
      <c r="A7" t="s">
        <v>12</v>
      </c>
      <c r="B7" s="1">
        <f>Depreciation!C12</f>
        <v>262306536.01601732</v>
      </c>
      <c r="C7" s="1">
        <f>Depreciation!D12</f>
        <v>271500512.4006874</v>
      </c>
      <c r="D7" s="1">
        <f>Depreciation!E12</f>
        <v>281805318.09529763</v>
      </c>
      <c r="E7" s="1">
        <f>Depreciation!F12</f>
        <v>293282631.54386634</v>
      </c>
      <c r="F7" s="1">
        <f>Depreciation!G12</f>
        <v>305996941.12161559</v>
      </c>
      <c r="G7" s="1">
        <f>Depreciation!H12</f>
        <v>320015661.81184155</v>
      </c>
      <c r="H7" s="1">
        <f>Depreciation!I12</f>
        <v>335409256.47273517</v>
      </c>
      <c r="I7" s="1">
        <f>Depreciation!J12</f>
        <v>352251361.86843234</v>
      </c>
      <c r="J7" s="1">
        <f>Depreciation!K12</f>
        <v>370618919.64502776</v>
      </c>
      <c r="K7" s="1">
        <f>Depreciation!L12</f>
        <v>390592312.43897367</v>
      </c>
      <c r="L7" s="1">
        <f>Depreciation!M12</f>
        <v>412255505.3122173</v>
      </c>
      <c r="M7" s="1">
        <f>Depreciation!N12</f>
        <v>435696192.71561277</v>
      </c>
      <c r="N7" s="1">
        <f>Depreciation!O12</f>
        <v>461005951.18958753</v>
      </c>
      <c r="O7" s="1">
        <f>Depreciation!P12</f>
        <v>488280398.01875758</v>
      </c>
      <c r="P7" s="1">
        <f>Depreciation!Q12</f>
        <v>517619356.0651781</v>
      </c>
      <c r="Q7" s="1">
        <f>Depreciation!R12</f>
        <v>549127025.01320004</v>
      </c>
      <c r="R7" s="1">
        <f>Depreciation!S12</f>
        <v>582912159.26748633</v>
      </c>
      <c r="S7" s="1">
        <f>Depreciation!T12</f>
        <v>619088252.7546351</v>
      </c>
      <c r="T7" s="1">
        <f>Depreciation!U12</f>
        <v>657773730.88807321</v>
      </c>
      <c r="U7" s="1">
        <f>Depreciation!V12</f>
        <v>699092149.96543229</v>
      </c>
      <c r="V7" s="1">
        <f>Depreciation!W12</f>
        <v>743172404.27751482</v>
      </c>
      <c r="W7" s="1">
        <f>Depreciation!X12</f>
        <v>790148941.2182076</v>
      </c>
      <c r="X7" s="1">
        <f>Depreciation!Y12</f>
        <v>840161984.69532633</v>
      </c>
      <c r="Y7" s="1">
        <f>Depreciation!Z12</f>
        <v>893357767.15337491</v>
      </c>
      <c r="Z7" s="1">
        <f>Depreciation!AA12</f>
        <v>949888770.53061223</v>
      </c>
      <c r="AA7" s="1">
        <f>Depreciation!AB12</f>
        <v>1009913976.4846294</v>
      </c>
      <c r="AB7" s="1">
        <f>Depreciation!AC12</f>
        <v>1073599126.232882</v>
      </c>
      <c r="AC7" s="1">
        <f>Depreciation!AD12</f>
        <v>1141116990.3673043</v>
      </c>
      <c r="AD7" s="1">
        <f>Depreciation!AE12</f>
        <v>1212647649.0152688</v>
      </c>
      <c r="AE7" s="1">
        <f>Depreciation!AF12</f>
        <v>1288378782.7327685</v>
      </c>
      <c r="AF7" s="1"/>
      <c r="AG7" s="1"/>
      <c r="AH7" s="1"/>
      <c r="AI7" s="1"/>
      <c r="AJ7" s="1"/>
      <c r="AK7" s="1"/>
      <c r="AL7" s="1"/>
      <c r="AM7" s="1"/>
      <c r="AN7" s="1"/>
      <c r="AO7" s="1"/>
      <c r="AP7" s="1"/>
    </row>
    <row r="8" spans="1:42" x14ac:dyDescent="0.35">
      <c r="A8" t="s">
        <v>190</v>
      </c>
      <c r="B8" s="1">
        <f t="shared" ref="B8:AE8" si="1">B6-B7</f>
        <v>246022280.33098346</v>
      </c>
      <c r="C8" s="1">
        <f t="shared" ca="1" si="1"/>
        <v>252977742.26217097</v>
      </c>
      <c r="D8" s="1">
        <f ca="1">D6-D7</f>
        <v>284837765.08525509</v>
      </c>
      <c r="E8" s="1">
        <f t="shared" ca="1" si="1"/>
        <v>317691176.73257774</v>
      </c>
      <c r="F8" s="1">
        <f t="shared" ca="1" si="1"/>
        <v>351568929.42551929</v>
      </c>
      <c r="G8" s="1">
        <f t="shared" ca="1" si="1"/>
        <v>386502939.09747249</v>
      </c>
      <c r="H8" s="1">
        <f t="shared" ca="1" si="1"/>
        <v>422526115.37633657</v>
      </c>
      <c r="I8" s="1">
        <f t="shared" ca="1" si="1"/>
        <v>459672392.49904972</v>
      </c>
      <c r="J8" s="1">
        <f t="shared" ca="1" si="1"/>
        <v>497976761.18710876</v>
      </c>
      <c r="K8" s="1">
        <f t="shared" ca="1" si="1"/>
        <v>537475301.51292217</v>
      </c>
      <c r="L8" s="1">
        <f t="shared" ca="1" si="1"/>
        <v>578205216.78776956</v>
      </c>
      <c r="M8" s="1">
        <f t="shared" ca="1" si="1"/>
        <v>620204868.50309563</v>
      </c>
      <c r="N8" s="1">
        <f t="shared" ca="1" si="1"/>
        <v>663513812.35784936</v>
      </c>
      <c r="O8" s="1">
        <f t="shared" ca="1" si="1"/>
        <v>708172835.40559793</v>
      </c>
      <c r="P8" s="1">
        <f t="shared" ca="1" si="1"/>
        <v>754223994.35618544</v>
      </c>
      <c r="Q8" s="1">
        <f t="shared" ca="1" si="1"/>
        <v>801710655.06779289</v>
      </c>
      <c r="R8" s="1">
        <f t="shared" ca="1" si="1"/>
        <v>850677533.26636004</v>
      </c>
      <c r="S8" s="1">
        <f t="shared" ca="1" si="1"/>
        <v>901170736.53048372</v>
      </c>
      <c r="T8" s="1">
        <f t="shared" ca="1" si="1"/>
        <v>953237807.58108401</v>
      </c>
      <c r="U8" s="1">
        <f t="shared" ca="1" si="1"/>
        <v>1006927768.9163531</v>
      </c>
      <c r="V8" s="1">
        <f t="shared" ca="1" si="1"/>
        <v>1062291168.8337539</v>
      </c>
      <c r="W8" s="1">
        <f t="shared" ca="1" si="1"/>
        <v>1119380128.8821359</v>
      </c>
      <c r="X8" s="1">
        <f t="shared" ca="1" si="1"/>
        <v>1178248392.7883658</v>
      </c>
      <c r="Y8" s="1">
        <f t="shared" ca="1" si="1"/>
        <v>1238951376.9042568</v>
      </c>
      <c r="Z8" s="1">
        <f t="shared" ca="1" si="1"/>
        <v>1301546222.2209871</v>
      </c>
      <c r="AA8" s="1">
        <f t="shared" ca="1" si="1"/>
        <v>1366091847.999676</v>
      </c>
      <c r="AB8" s="1">
        <f t="shared" ca="1" si="1"/>
        <v>1432649007.068284</v>
      </c>
      <c r="AC8" s="1">
        <f t="shared" ca="1" si="1"/>
        <v>1501280342.8365688</v>
      </c>
      <c r="AD8" s="1">
        <f t="shared" ca="1" si="1"/>
        <v>1572050448.0824237</v>
      </c>
      <c r="AE8" s="1">
        <f t="shared" ca="1" si="1"/>
        <v>1645025925.5645862</v>
      </c>
      <c r="AF8" s="1"/>
      <c r="AG8" s="1"/>
      <c r="AH8" s="1"/>
      <c r="AI8" s="1"/>
      <c r="AJ8" s="1"/>
      <c r="AK8" s="1"/>
      <c r="AL8" s="1"/>
      <c r="AM8" s="1"/>
      <c r="AN8" s="1"/>
      <c r="AO8" s="1"/>
      <c r="AP8" s="1"/>
    </row>
    <row r="10" spans="1:42" x14ac:dyDescent="0.35">
      <c r="A10" t="s">
        <v>17</v>
      </c>
      <c r="B10" s="1">
        <f>B8-B11</f>
        <v>170458280.33098346</v>
      </c>
      <c r="C10" s="1">
        <f ca="1">C8-C11</f>
        <v>153472552.60661215</v>
      </c>
      <c r="D10" s="1">
        <f ca="1">D8-D11</f>
        <v>166900950.12335646</v>
      </c>
      <c r="E10" s="1">
        <f t="shared" ref="E10:AE10" ca="1" si="2">E8-E11</f>
        <v>185800476.17334402</v>
      </c>
      <c r="F10" s="1">
        <f t="shared" ca="1" si="2"/>
        <v>207515061.83271119</v>
      </c>
      <c r="G10" s="1">
        <f ca="1">G8-G11</f>
        <v>232154718.51624069</v>
      </c>
      <c r="H10" s="1">
        <f t="shared" ca="1" si="2"/>
        <v>258455795.3751477</v>
      </c>
      <c r="I10" s="1">
        <f t="shared" ca="1" si="2"/>
        <v>285344096.068856</v>
      </c>
      <c r="J10" s="1">
        <f t="shared" ca="1" si="2"/>
        <v>312906955.79674596</v>
      </c>
      <c r="K10" s="1">
        <f t="shared" ca="1" si="2"/>
        <v>341243363.98384094</v>
      </c>
      <c r="L10" s="1">
        <f t="shared" ca="1" si="2"/>
        <v>370465083.24205011</v>
      </c>
      <c r="M10" s="1">
        <f t="shared" ca="1" si="2"/>
        <v>400697858.0120821</v>
      </c>
      <c r="N10" s="1">
        <f t="shared" ca="1" si="2"/>
        <v>432082719.37277246</v>
      </c>
      <c r="O10" s="1">
        <f t="shared" ca="1" si="2"/>
        <v>464777392.94573206</v>
      </c>
      <c r="P10" s="1">
        <f t="shared" ca="1" si="2"/>
        <v>498957817.29324573</v>
      </c>
      <c r="Q10" s="1">
        <f t="shared" ca="1" si="2"/>
        <v>534819780.70810652</v>
      </c>
      <c r="R10" s="1">
        <f t="shared" ca="1" si="2"/>
        <v>572580684.82748818</v>
      </c>
      <c r="S10" s="1">
        <f t="shared" ca="1" si="2"/>
        <v>612481444.07115138</v>
      </c>
      <c r="T10" s="1">
        <f t="shared" ca="1" si="2"/>
        <v>653473964.46866214</v>
      </c>
      <c r="U10" s="1">
        <f t="shared" ca="1" si="2"/>
        <v>695657309.21960664</v>
      </c>
      <c r="V10" s="1">
        <f t="shared" ca="1" si="2"/>
        <v>739141144.05158162</v>
      </c>
      <c r="W10" s="1">
        <f t="shared" ca="1" si="2"/>
        <v>784046638.77142167</v>
      </c>
      <c r="X10" s="1">
        <f t="shared" ca="1" si="2"/>
        <v>830507433.7711525</v>
      </c>
      <c r="Y10" s="1">
        <f t="shared" ca="1" si="2"/>
        <v>876984556.28545213</v>
      </c>
      <c r="Z10" s="1">
        <f t="shared" ca="1" si="2"/>
        <v>922019402.009691</v>
      </c>
      <c r="AA10" s="1">
        <f t="shared" ca="1" si="2"/>
        <v>965400162.09210372</v>
      </c>
      <c r="AB10" s="1">
        <f t="shared" ca="1" si="2"/>
        <v>1006900815.6314378</v>
      </c>
      <c r="AC10" s="1">
        <f t="shared" ca="1" si="2"/>
        <v>1046280366.5488226</v>
      </c>
      <c r="AD10" s="1">
        <f t="shared" ca="1" si="2"/>
        <v>1083282043.692435</v>
      </c>
      <c r="AE10" s="1">
        <f t="shared" ca="1" si="2"/>
        <v>1117632462.5133133</v>
      </c>
      <c r="AF10" s="1"/>
      <c r="AG10" s="1"/>
      <c r="AH10" s="1"/>
      <c r="AI10" s="1"/>
      <c r="AJ10" s="1"/>
      <c r="AK10" s="1"/>
      <c r="AL10" s="1"/>
      <c r="AM10" s="1"/>
      <c r="AN10" s="1"/>
      <c r="AO10" s="1"/>
    </row>
    <row r="11" spans="1:42" x14ac:dyDescent="0.35">
      <c r="A11" t="s">
        <v>9</v>
      </c>
      <c r="B11" s="1">
        <f>Assumptions!$C$20</f>
        <v>75564000</v>
      </c>
      <c r="C11" s="1">
        <f ca="1">'Debt worksheet'!D5</f>
        <v>99505189.655558825</v>
      </c>
      <c r="D11" s="1">
        <f ca="1">'Debt worksheet'!E5</f>
        <v>117936814.96189862</v>
      </c>
      <c r="E11" s="1">
        <f ca="1">'Debt worksheet'!F5</f>
        <v>131890700.55923373</v>
      </c>
      <c r="F11" s="1">
        <f ca="1">'Debt worksheet'!G5</f>
        <v>144053867.5928081</v>
      </c>
      <c r="G11" s="1">
        <f ca="1">'Debt worksheet'!H5</f>
        <v>154348220.5812318</v>
      </c>
      <c r="H11" s="1">
        <f ca="1">'Debt worksheet'!I5</f>
        <v>164070320.00118887</v>
      </c>
      <c r="I11" s="1">
        <f ca="1">'Debt worksheet'!J5</f>
        <v>174328296.43019375</v>
      </c>
      <c r="J11" s="1">
        <f ca="1">'Debt worksheet'!K5</f>
        <v>185069805.3903628</v>
      </c>
      <c r="K11" s="1">
        <f ca="1">'Debt worksheet'!L5</f>
        <v>196231937.52908126</v>
      </c>
      <c r="L11" s="1">
        <f ca="1">'Debt worksheet'!M5</f>
        <v>207740133.54571944</v>
      </c>
      <c r="M11" s="1">
        <f ca="1">'Debt worksheet'!N5</f>
        <v>219507010.49101356</v>
      </c>
      <c r="N11" s="1">
        <f ca="1">'Debt worksheet'!O5</f>
        <v>231431092.98507693</v>
      </c>
      <c r="O11" s="1">
        <f ca="1">'Debt worksheet'!P5</f>
        <v>243395442.45986587</v>
      </c>
      <c r="P11" s="1">
        <f ca="1">'Debt worksheet'!Q5</f>
        <v>255266177.0629397</v>
      </c>
      <c r="Q11" s="1">
        <f ca="1">'Debt worksheet'!R5</f>
        <v>266890874.35968637</v>
      </c>
      <c r="R11" s="1">
        <f ca="1">'Debt worksheet'!S5</f>
        <v>278096848.43887186</v>
      </c>
      <c r="S11" s="1">
        <f ca="1">'Debt worksheet'!T5</f>
        <v>288689292.45933235</v>
      </c>
      <c r="T11" s="1">
        <f ca="1">'Debt worksheet'!U5</f>
        <v>299763843.11242187</v>
      </c>
      <c r="U11" s="1">
        <f ca="1">'Debt worksheet'!V5</f>
        <v>311270459.69674653</v>
      </c>
      <c r="V11" s="1">
        <f ca="1">'Debt worksheet'!W5</f>
        <v>323150024.78217232</v>
      </c>
      <c r="W11" s="1">
        <f ca="1">'Debt worksheet'!X5</f>
        <v>335333490.11071426</v>
      </c>
      <c r="X11" s="1">
        <f ca="1">'Debt worksheet'!Y5</f>
        <v>347740959.0172134</v>
      </c>
      <c r="Y11" s="1">
        <f ca="1">'Debt worksheet'!Z5</f>
        <v>361966820.61880463</v>
      </c>
      <c r="Z11" s="1">
        <f ca="1">'Debt worksheet'!AA5</f>
        <v>379526820.21129614</v>
      </c>
      <c r="AA11" s="1">
        <f ca="1">'Debt worksheet'!AB5</f>
        <v>400691685.90757233</v>
      </c>
      <c r="AB11" s="1">
        <f ca="1">'Debt worksheet'!AC5</f>
        <v>425748191.43684632</v>
      </c>
      <c r="AC11" s="1">
        <f ca="1">'Debt worksheet'!AD5</f>
        <v>454999976.28774613</v>
      </c>
      <c r="AD11" s="1">
        <f ca="1">'Debt worksheet'!AE5</f>
        <v>488768404.3899886</v>
      </c>
      <c r="AE11" s="1">
        <f ca="1">'Debt worksheet'!AF5</f>
        <v>527393463.05127281</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164</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8007310.4733407144</v>
      </c>
      <c r="D5" s="4">
        <f ca="1">'Profit and Loss'!D9</f>
        <v>14539226.826684531</v>
      </c>
      <c r="E5" s="4">
        <f ca="1">'Profit and Loss'!E9</f>
        <v>20072033.803946011</v>
      </c>
      <c r="F5" s="4">
        <f ca="1">'Profit and Loss'!F9</f>
        <v>22951581.788547721</v>
      </c>
      <c r="G5" s="4">
        <f ca="1">'Profit and Loss'!G9</f>
        <v>25944067.796006292</v>
      </c>
      <c r="H5" s="4">
        <f ca="1">'Profit and Loss'!H9</f>
        <v>27675950.8295747</v>
      </c>
      <c r="I5" s="4">
        <f ca="1">'Profit and Loss'!I9</f>
        <v>28336811.428511895</v>
      </c>
      <c r="J5" s="4">
        <f ca="1">'Profit and Loss'!J9</f>
        <v>29088312.108788274</v>
      </c>
      <c r="K5" s="4">
        <f ca="1">'Profit and Loss'!K9</f>
        <v>29942243.204445489</v>
      </c>
      <c r="L5" s="4">
        <f ca="1">'Profit and Loss'!L9</f>
        <v>30911519.337506995</v>
      </c>
      <c r="M5" s="4">
        <f ca="1">'Profit and Loss'!M9</f>
        <v>32010269.300183736</v>
      </c>
      <c r="N5" s="4">
        <f ca="1">'Profit and Loss'!N9</f>
        <v>33253932.431269765</v>
      </c>
      <c r="O5" s="4">
        <f ca="1">'Profit and Loss'!O9</f>
        <v>34659361.928154841</v>
      </c>
      <c r="P5" s="4">
        <f ca="1">'Profit and Loss'!P9</f>
        <v>36244935.564764142</v>
      </c>
      <c r="Q5" s="4">
        <f ca="1">'Profit and Loss'!Q9</f>
        <v>38030674.316462122</v>
      </c>
      <c r="R5" s="4">
        <f ca="1">'Profit and Loss'!R9</f>
        <v>40038369.425646022</v>
      </c>
      <c r="S5" s="4">
        <f ca="1">'Profit and Loss'!S9</f>
        <v>42291718.47652559</v>
      </c>
      <c r="T5" s="4">
        <f ca="1">'Profit and Loss'!T9</f>
        <v>43501905.043800101</v>
      </c>
      <c r="U5" s="4">
        <f ca="1">'Profit and Loss'!U9</f>
        <v>44816285.694865458</v>
      </c>
      <c r="V5" s="4">
        <f ca="1">'Profit and Loss'!V9</f>
        <v>46245670.066698402</v>
      </c>
      <c r="W5" s="4">
        <f ca="1">'Profit and Loss'!W9</f>
        <v>47801777.348450243</v>
      </c>
      <c r="X5" s="4">
        <f ca="1">'Profit and Loss'!X9</f>
        <v>49497301.536156759</v>
      </c>
      <c r="Y5" s="4">
        <f ca="1">'Profit and Loss'!Y9</f>
        <v>49659861.495229699</v>
      </c>
      <c r="Z5" s="4">
        <f ca="1">'Profit and Loss'!Z9</f>
        <v>48370066.643427648</v>
      </c>
      <c r="AA5" s="4">
        <f ca="1">'Profit and Loss'!AA9</f>
        <v>46874962.659192443</v>
      </c>
      <c r="AB5" s="4">
        <f ca="1">'Profit and Loss'!AB9</f>
        <v>45160597.333569594</v>
      </c>
      <c r="AC5" s="4">
        <f ca="1">'Profit and Loss'!AC9</f>
        <v>43212265.303554758</v>
      </c>
      <c r="AD5" s="4">
        <f ca="1">'Profit and Loss'!AD9</f>
        <v>41014471.657154649</v>
      </c>
      <c r="AE5" s="4">
        <f ca="1">'Profit and Loss'!AE9</f>
        <v>38550893.890413642</v>
      </c>
      <c r="AF5" s="4">
        <f ca="1">'Profit and Loss'!AF9</f>
        <v>35804342.144898877</v>
      </c>
      <c r="AG5" s="4"/>
      <c r="AH5" s="4"/>
      <c r="AI5" s="4"/>
      <c r="AJ5" s="4"/>
      <c r="AK5" s="4"/>
      <c r="AL5" s="4"/>
      <c r="AM5" s="4"/>
      <c r="AN5" s="4"/>
      <c r="AO5" s="4"/>
      <c r="AP5" s="4"/>
    </row>
    <row r="6" spans="1:42" x14ac:dyDescent="0.35">
      <c r="A6" t="s">
        <v>21</v>
      </c>
      <c r="C6" s="4">
        <f>Depreciation!C8+Depreciation!C9</f>
        <v>8142127.8425169177</v>
      </c>
      <c r="D6" s="4">
        <f>Depreciation!D8+Depreciation!D9</f>
        <v>9193976.3846700415</v>
      </c>
      <c r="E6" s="4">
        <f>Depreciation!E8+Depreciation!E9</f>
        <v>10304805.694610231</v>
      </c>
      <c r="F6" s="4">
        <f>Depreciation!F8+Depreciation!F9</f>
        <v>11477313.448568687</v>
      </c>
      <c r="G6" s="4">
        <f>Depreciation!G8+Depreciation!G9</f>
        <v>12714309.577749208</v>
      </c>
      <c r="H6" s="4">
        <f>Depreciation!H8+Depreciation!H9</f>
        <v>14018720.690225942</v>
      </c>
      <c r="I6" s="4">
        <f>Depreciation!I8+Depreciation!I9</f>
        <v>15393594.660893572</v>
      </c>
      <c r="J6" s="4">
        <f>Depreciation!J8+Depreciation!J9</f>
        <v>16842105.395697143</v>
      </c>
      <c r="K6" s="4">
        <f>Depreciation!K8+Depreciation!K9</f>
        <v>18367557.776595388</v>
      </c>
      <c r="L6" s="4">
        <f>Depreciation!L8+Depreciation!L9</f>
        <v>19973392.793945923</v>
      </c>
      <c r="M6" s="4">
        <f>Depreciation!M8+Depreciation!M9</f>
        <v>21663192.87324366</v>
      </c>
      <c r="N6" s="4">
        <f>Depreciation!N8+Depreciation!N9</f>
        <v>23440687.403395452</v>
      </c>
      <c r="O6" s="4">
        <f>Depreciation!O8+Depreciation!O9</f>
        <v>25309758.473974764</v>
      </c>
      <c r="P6" s="4">
        <f>Depreciation!P8+Depreciation!P9</f>
        <v>27274446.829170063</v>
      </c>
      <c r="Q6" s="4">
        <f>Depreciation!Q8+Depreciation!Q9</f>
        <v>29338958.046420507</v>
      </c>
      <c r="R6" s="4">
        <f>Depreciation!R8+Depreciation!R9</f>
        <v>31507668.948021926</v>
      </c>
      <c r="S6" s="4">
        <f>Depreciation!S8+Depreciation!S9</f>
        <v>33785134.254286297</v>
      </c>
      <c r="T6" s="4">
        <f>Depreciation!T8+Depreciation!T9</f>
        <v>36176093.487148806</v>
      </c>
      <c r="U6" s="4">
        <f>Depreciation!U8+Depreciation!U9</f>
        <v>38685478.133438125</v>
      </c>
      <c r="V6" s="4">
        <f>Depreciation!V8+Depreciation!V9</f>
        <v>41318419.077359132</v>
      </c>
      <c r="W6" s="4">
        <f>Depreciation!W8+Depreciation!W9</f>
        <v>44080254.312082447</v>
      </c>
      <c r="X6" s="4">
        <f>Depreciation!X8+Depreciation!X9</f>
        <v>46976536.94069282</v>
      </c>
      <c r="Y6" s="4">
        <f>Depreciation!Y8+Depreciation!Y9</f>
        <v>50013043.477118671</v>
      </c>
      <c r="Z6" s="4">
        <f>Depreciation!Z8+Depreciation!Z9</f>
        <v>53195782.458048537</v>
      </c>
      <c r="AA6" s="4">
        <f>Depreciation!AA8+Depreciation!AA9</f>
        <v>56531003.377237357</v>
      </c>
      <c r="AB6" s="4">
        <f>Depreciation!AB8+Depreciation!AB9</f>
        <v>60025205.954017185</v>
      </c>
      <c r="AC6" s="4">
        <f>Depreciation!AC8+Depreciation!AC9</f>
        <v>63685149.748252638</v>
      </c>
      <c r="AD6" s="4">
        <f>Depreciation!AD8+Depreciation!AD9</f>
        <v>67517864.134422272</v>
      </c>
      <c r="AE6" s="4">
        <f>Depreciation!AE8+Depreciation!AE9</f>
        <v>71530658.647964522</v>
      </c>
      <c r="AF6" s="4">
        <f>Depreciation!AF8+Depreciation!AF9</f>
        <v>75731133.717499822</v>
      </c>
      <c r="AG6" s="4"/>
      <c r="AH6" s="4"/>
      <c r="AI6" s="4"/>
      <c r="AJ6" s="4"/>
      <c r="AK6" s="4"/>
      <c r="AL6" s="4"/>
      <c r="AM6" s="4"/>
      <c r="AN6" s="4"/>
      <c r="AO6" s="4"/>
      <c r="AP6" s="4"/>
    </row>
    <row r="7" spans="1:42" x14ac:dyDescent="0.35">
      <c r="A7" t="s">
        <v>23</v>
      </c>
      <c r="C7" s="4">
        <f ca="1">C6+C5</f>
        <v>16149438.315857632</v>
      </c>
      <c r="D7" s="4">
        <f ca="1">D6+D5</f>
        <v>23733203.211354572</v>
      </c>
      <c r="E7" s="4">
        <f t="shared" ref="E7:AF7" ca="1" si="1">E6+E5</f>
        <v>30376839.498556241</v>
      </c>
      <c r="F7" s="4">
        <f t="shared" ca="1" si="1"/>
        <v>34428895.237116411</v>
      </c>
      <c r="G7" s="4">
        <f ca="1">G6+G5</f>
        <v>38658377.3737555</v>
      </c>
      <c r="H7" s="4">
        <f t="shared" ca="1" si="1"/>
        <v>41694671.519800641</v>
      </c>
      <c r="I7" s="4">
        <f t="shared" ca="1" si="1"/>
        <v>43730406.08940547</v>
      </c>
      <c r="J7" s="4">
        <f t="shared" ca="1" si="1"/>
        <v>45930417.504485413</v>
      </c>
      <c r="K7" s="4">
        <f t="shared" ca="1" si="1"/>
        <v>48309800.98104088</v>
      </c>
      <c r="L7" s="4">
        <f t="shared" ca="1" si="1"/>
        <v>50884912.131452918</v>
      </c>
      <c r="M7" s="4">
        <f t="shared" ca="1" si="1"/>
        <v>53673462.173427396</v>
      </c>
      <c r="N7" s="4">
        <f t="shared" ca="1" si="1"/>
        <v>56694619.834665217</v>
      </c>
      <c r="O7" s="4">
        <f t="shared" ca="1" si="1"/>
        <v>59969120.402129605</v>
      </c>
      <c r="P7" s="4">
        <f t="shared" ca="1" si="1"/>
        <v>63519382.393934205</v>
      </c>
      <c r="Q7" s="4">
        <f t="shared" ca="1" si="1"/>
        <v>67369632.362882629</v>
      </c>
      <c r="R7" s="4">
        <f t="shared" ca="1" si="1"/>
        <v>71546038.373667955</v>
      </c>
      <c r="S7" s="4">
        <f t="shared" ca="1" si="1"/>
        <v>76076852.730811894</v>
      </c>
      <c r="T7" s="4">
        <f t="shared" ca="1" si="1"/>
        <v>79677998.530948907</v>
      </c>
      <c r="U7" s="4">
        <f t="shared" ca="1" si="1"/>
        <v>83501763.828303576</v>
      </c>
      <c r="V7" s="4">
        <f t="shared" ca="1" si="1"/>
        <v>87564089.144057542</v>
      </c>
      <c r="W7" s="4">
        <f t="shared" ca="1" si="1"/>
        <v>91882031.660532683</v>
      </c>
      <c r="X7" s="4">
        <f t="shared" ca="1" si="1"/>
        <v>96473838.476849586</v>
      </c>
      <c r="Y7" s="4">
        <f t="shared" ca="1" si="1"/>
        <v>99672904.972348362</v>
      </c>
      <c r="Z7" s="4">
        <f t="shared" ca="1" si="1"/>
        <v>101565849.10147619</v>
      </c>
      <c r="AA7" s="4">
        <f t="shared" ca="1" si="1"/>
        <v>103405966.03642979</v>
      </c>
      <c r="AB7" s="4">
        <f t="shared" ca="1" si="1"/>
        <v>105185803.28758678</v>
      </c>
      <c r="AC7" s="4">
        <f t="shared" ca="1" si="1"/>
        <v>106897415.0518074</v>
      </c>
      <c r="AD7" s="4">
        <f t="shared" ca="1" si="1"/>
        <v>108532335.79157692</v>
      </c>
      <c r="AE7" s="4">
        <f t="shared" ca="1" si="1"/>
        <v>110081552.53837816</v>
      </c>
      <c r="AF7" s="4">
        <f t="shared" ca="1" si="1"/>
        <v>111535475.8623987</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40090627.971416458</v>
      </c>
      <c r="D10" s="9">
        <f>Investment!D25</f>
        <v>42164828.517694369</v>
      </c>
      <c r="E10" s="9">
        <f>Investment!E25</f>
        <v>44330725.095891334</v>
      </c>
      <c r="F10" s="9">
        <f>Investment!F25</f>
        <v>46592062.270690784</v>
      </c>
      <c r="G10" s="9">
        <f>Investment!G25</f>
        <v>48952730.362179212</v>
      </c>
      <c r="H10" s="9">
        <f>Investment!H25</f>
        <v>51416770.939757705</v>
      </c>
      <c r="I10" s="9">
        <f>Investment!I25</f>
        <v>53988382.518410347</v>
      </c>
      <c r="J10" s="9">
        <f>Investment!J25</f>
        <v>56671926.464654453</v>
      </c>
      <c r="K10" s="9">
        <f>Investment!K25</f>
        <v>59471933.119759336</v>
      </c>
      <c r="L10" s="9">
        <f>Investment!L25</f>
        <v>62393108.148091123</v>
      </c>
      <c r="M10" s="9">
        <f>Investment!M25</f>
        <v>65440339.1187215</v>
      </c>
      <c r="N10" s="9">
        <f>Investment!N25</f>
        <v>68618702.328728586</v>
      </c>
      <c r="O10" s="9">
        <f>Investment!O25</f>
        <v>71933469.876918554</v>
      </c>
      <c r="P10" s="9">
        <f>Investment!P25</f>
        <v>75390116.997008055</v>
      </c>
      <c r="Q10" s="9">
        <f>Investment!Q25</f>
        <v>78994329.659629315</v>
      </c>
      <c r="R10" s="9">
        <f>Investment!R25</f>
        <v>82752012.452853411</v>
      </c>
      <c r="S10" s="9">
        <f>Investment!S25</f>
        <v>86669296.75127241</v>
      </c>
      <c r="T10" s="9">
        <f>Investment!T25</f>
        <v>90752549.18403846</v>
      </c>
      <c r="U10" s="9">
        <f>Investment!U25</f>
        <v>95008380.412628233</v>
      </c>
      <c r="V10" s="9">
        <f>Investment!V25</f>
        <v>99443654.229483336</v>
      </c>
      <c r="W10" s="9">
        <f>Investment!W25</f>
        <v>104065496.98907463</v>
      </c>
      <c r="X10" s="9">
        <f>Investment!X25</f>
        <v>108881307.38334875</v>
      </c>
      <c r="Y10" s="9">
        <f>Investment!Y25</f>
        <v>113898766.57393958</v>
      </c>
      <c r="Z10" s="9">
        <f>Investment!Z25</f>
        <v>119125848.69396771</v>
      </c>
      <c r="AA10" s="9">
        <f>Investment!AA25</f>
        <v>124570831.73270598</v>
      </c>
      <c r="AB10" s="9">
        <f>Investment!AB25</f>
        <v>130242308.81686077</v>
      </c>
      <c r="AC10" s="9">
        <f>Investment!AC25</f>
        <v>136149199.90270722</v>
      </c>
      <c r="AD10" s="9">
        <f>Investment!AD25</f>
        <v>142300763.89381939</v>
      </c>
      <c r="AE10" s="9">
        <f>Investment!AE25</f>
        <v>148706611.19966236</v>
      </c>
      <c r="AF10" s="9">
        <f>Investment!AF25</f>
        <v>155376716.75085199</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-23941189.655558825</v>
      </c>
      <c r="D12" s="1">
        <f t="shared" ref="D12:AF12" ca="1" si="2">D7-D9-D10</f>
        <v>-18431625.306339797</v>
      </c>
      <c r="E12" s="1">
        <f ca="1">E7-E9-E10</f>
        <v>-13953885.597335093</v>
      </c>
      <c r="F12" s="1">
        <f t="shared" ca="1" si="2"/>
        <v>-12163167.033574373</v>
      </c>
      <c r="G12" s="1">
        <f ca="1">G7-G9-G10</f>
        <v>-10294352.988423713</v>
      </c>
      <c r="H12" s="1">
        <f t="shared" ca="1" si="2"/>
        <v>-9722099.4199570641</v>
      </c>
      <c r="I12" s="1">
        <f t="shared" ca="1" si="2"/>
        <v>-10257976.429004878</v>
      </c>
      <c r="J12" s="1">
        <f t="shared" ca="1" si="2"/>
        <v>-10741508.96016904</v>
      </c>
      <c r="K12" s="1">
        <f t="shared" ca="1" si="2"/>
        <v>-11162132.138718456</v>
      </c>
      <c r="L12" s="1">
        <f t="shared" ca="1" si="2"/>
        <v>-11508196.016638204</v>
      </c>
      <c r="M12" s="1">
        <f t="shared" ca="1" si="2"/>
        <v>-11766876.945294105</v>
      </c>
      <c r="N12" s="1">
        <f t="shared" ca="1" si="2"/>
        <v>-11924082.49406337</v>
      </c>
      <c r="O12" s="1">
        <f t="shared" ca="1" si="2"/>
        <v>-11964349.474788949</v>
      </c>
      <c r="P12" s="1">
        <f t="shared" ca="1" si="2"/>
        <v>-11870734.60307385</v>
      </c>
      <c r="Q12" s="1">
        <f t="shared" ca="1" si="2"/>
        <v>-11624697.296746686</v>
      </c>
      <c r="R12" s="1">
        <f t="shared" ca="1" si="2"/>
        <v>-11205974.079185456</v>
      </c>
      <c r="S12" s="1">
        <f t="shared" ca="1" si="2"/>
        <v>-10592444.020460516</v>
      </c>
      <c r="T12" s="1">
        <f t="shared" ca="1" si="2"/>
        <v>-11074550.653089553</v>
      </c>
      <c r="U12" s="1">
        <f t="shared" ca="1" si="2"/>
        <v>-11506616.584324658</v>
      </c>
      <c r="V12" s="1">
        <f t="shared" ca="1" si="2"/>
        <v>-11879565.085425794</v>
      </c>
      <c r="W12" s="1">
        <f t="shared" ca="1" si="2"/>
        <v>-12183465.328541949</v>
      </c>
      <c r="X12" s="1">
        <f t="shared" ca="1" si="2"/>
        <v>-12407468.906499162</v>
      </c>
      <c r="Y12" s="1">
        <f t="shared" ca="1" si="2"/>
        <v>-14225861.601591215</v>
      </c>
      <c r="Z12" s="1">
        <f t="shared" ca="1" si="2"/>
        <v>-17559999.592491522</v>
      </c>
      <c r="AA12" s="1">
        <f t="shared" ca="1" si="2"/>
        <v>-21164865.696276188</v>
      </c>
      <c r="AB12" s="1">
        <f t="shared" ca="1" si="2"/>
        <v>-25056505.529273987</v>
      </c>
      <c r="AC12" s="1">
        <f t="shared" ca="1" si="2"/>
        <v>-29251784.850899816</v>
      </c>
      <c r="AD12" s="1">
        <f t="shared" ca="1" si="2"/>
        <v>-33768428.10224247</v>
      </c>
      <c r="AE12" s="1">
        <f t="shared" ca="1" si="2"/>
        <v>-38625058.661284193</v>
      </c>
      <c r="AF12" s="1">
        <f t="shared" ca="1" si="2"/>
        <v>-43841240.88845329</v>
      </c>
      <c r="AG12" s="1"/>
      <c r="AH12" s="1"/>
      <c r="AI12" s="1"/>
      <c r="AJ12" s="1"/>
      <c r="AK12" s="1"/>
      <c r="AL12" s="1"/>
      <c r="AM12" s="1"/>
      <c r="AN12" s="1"/>
      <c r="AO12" s="1"/>
      <c r="AP12" s="1"/>
    </row>
    <row r="13" spans="1:42" x14ac:dyDescent="0.35">
      <c r="A13" t="s">
        <v>19</v>
      </c>
      <c r="C13" s="1">
        <f ca="1">C12</f>
        <v>-23941189.655558825</v>
      </c>
      <c r="D13" s="1">
        <f ca="1">D12</f>
        <v>-18431625.306339797</v>
      </c>
      <c r="E13" s="1">
        <f ca="1">E12</f>
        <v>-13953885.597335093</v>
      </c>
      <c r="F13" s="1">
        <f t="shared" ref="F13:AF13" ca="1" si="3">F12</f>
        <v>-12163167.033574373</v>
      </c>
      <c r="G13" s="1">
        <f ca="1">G12</f>
        <v>-10294352.988423713</v>
      </c>
      <c r="H13" s="1">
        <f t="shared" ca="1" si="3"/>
        <v>-9722099.4199570641</v>
      </c>
      <c r="I13" s="1">
        <f t="shared" ca="1" si="3"/>
        <v>-10257976.429004878</v>
      </c>
      <c r="J13" s="1">
        <f t="shared" ca="1" si="3"/>
        <v>-10741508.96016904</v>
      </c>
      <c r="K13" s="1">
        <f t="shared" ca="1" si="3"/>
        <v>-11162132.138718456</v>
      </c>
      <c r="L13" s="1">
        <f t="shared" ca="1" si="3"/>
        <v>-11508196.016638204</v>
      </c>
      <c r="M13" s="1">
        <f t="shared" ca="1" si="3"/>
        <v>-11766876.945294105</v>
      </c>
      <c r="N13" s="1">
        <f t="shared" ca="1" si="3"/>
        <v>-11924082.49406337</v>
      </c>
      <c r="O13" s="1">
        <f t="shared" ca="1" si="3"/>
        <v>-11964349.474788949</v>
      </c>
      <c r="P13" s="1">
        <f t="shared" ca="1" si="3"/>
        <v>-11870734.60307385</v>
      </c>
      <c r="Q13" s="1">
        <f t="shared" ca="1" si="3"/>
        <v>-11624697.296746686</v>
      </c>
      <c r="R13" s="1">
        <f t="shared" ca="1" si="3"/>
        <v>-11205974.079185456</v>
      </c>
      <c r="S13" s="1">
        <f t="shared" ca="1" si="3"/>
        <v>-10592444.020460516</v>
      </c>
      <c r="T13" s="1">
        <f t="shared" ca="1" si="3"/>
        <v>-11074550.653089553</v>
      </c>
      <c r="U13" s="1">
        <f t="shared" ca="1" si="3"/>
        <v>-11506616.584324658</v>
      </c>
      <c r="V13" s="1">
        <f t="shared" ca="1" si="3"/>
        <v>-11879565.085425794</v>
      </c>
      <c r="W13" s="1">
        <f t="shared" ca="1" si="3"/>
        <v>-12183465.328541949</v>
      </c>
      <c r="X13" s="1">
        <f t="shared" ca="1" si="3"/>
        <v>-12407468.906499162</v>
      </c>
      <c r="Y13" s="1">
        <f t="shared" ca="1" si="3"/>
        <v>-14225861.601591215</v>
      </c>
      <c r="Z13" s="1">
        <f t="shared" ca="1" si="3"/>
        <v>-17559999.592491522</v>
      </c>
      <c r="AA13" s="1">
        <f t="shared" ca="1" si="3"/>
        <v>-21164865.696276188</v>
      </c>
      <c r="AB13" s="1">
        <f t="shared" ca="1" si="3"/>
        <v>-25056505.529273987</v>
      </c>
      <c r="AC13" s="1">
        <f t="shared" ca="1" si="3"/>
        <v>-29251784.850899816</v>
      </c>
      <c r="AD13" s="1">
        <f t="shared" ca="1" si="3"/>
        <v>-33768428.10224247</v>
      </c>
      <c r="AE13" s="1">
        <f t="shared" ca="1" si="3"/>
        <v>-38625058.661284193</v>
      </c>
      <c r="AF13" s="1">
        <f t="shared" ca="1" si="3"/>
        <v>-43841240.88845329</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138</v>
      </c>
      <c r="C6" s="9">
        <f>Assumptions!C17</f>
        <v>508328816.34700078</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254164408.17350039</v>
      </c>
      <c r="D7" s="9">
        <f>C12</f>
        <v>262306536.01601732</v>
      </c>
      <c r="E7" s="9">
        <f>D12</f>
        <v>271500512.4006874</v>
      </c>
      <c r="F7" s="9">
        <f t="shared" ref="F7:H7" si="1">E12</f>
        <v>281805318.09529763</v>
      </c>
      <c r="G7" s="9">
        <f t="shared" si="1"/>
        <v>293282631.54386634</v>
      </c>
      <c r="H7" s="9">
        <f t="shared" si="1"/>
        <v>305996941.12161559</v>
      </c>
      <c r="I7" s="9">
        <f t="shared" ref="I7" si="2">H12</f>
        <v>320015661.81184155</v>
      </c>
      <c r="J7" s="9">
        <f t="shared" ref="J7" si="3">I12</f>
        <v>335409256.47273517</v>
      </c>
      <c r="K7" s="9">
        <f t="shared" ref="K7" si="4">J12</f>
        <v>352251361.86843234</v>
      </c>
      <c r="L7" s="9">
        <f t="shared" ref="L7" si="5">K12</f>
        <v>370618919.64502776</v>
      </c>
      <c r="M7" s="9">
        <f t="shared" ref="M7" si="6">L12</f>
        <v>390592312.43897367</v>
      </c>
      <c r="N7" s="9">
        <f t="shared" ref="N7" si="7">M12</f>
        <v>412255505.3122173</v>
      </c>
      <c r="O7" s="9">
        <f t="shared" ref="O7" si="8">N12</f>
        <v>435696192.71561277</v>
      </c>
      <c r="P7" s="9">
        <f t="shared" ref="P7" si="9">O12</f>
        <v>461005951.18958753</v>
      </c>
      <c r="Q7" s="9">
        <f t="shared" ref="Q7" si="10">P12</f>
        <v>488280398.01875758</v>
      </c>
      <c r="R7" s="9">
        <f t="shared" ref="R7" si="11">Q12</f>
        <v>517619356.0651781</v>
      </c>
      <c r="S7" s="9">
        <f t="shared" ref="S7" si="12">R12</f>
        <v>549127025.01320004</v>
      </c>
      <c r="T7" s="9">
        <f t="shared" ref="T7" si="13">S12</f>
        <v>582912159.26748633</v>
      </c>
      <c r="U7" s="9">
        <f t="shared" ref="U7" si="14">T12</f>
        <v>619088252.7546351</v>
      </c>
      <c r="V7" s="9">
        <f t="shared" ref="V7" si="15">U12</f>
        <v>657773730.88807321</v>
      </c>
      <c r="W7" s="9">
        <f t="shared" ref="W7" si="16">V12</f>
        <v>699092149.96543229</v>
      </c>
      <c r="X7" s="9">
        <f t="shared" ref="X7" si="17">W12</f>
        <v>743172404.27751482</v>
      </c>
      <c r="Y7" s="9">
        <f t="shared" ref="Y7" si="18">X12</f>
        <v>790148941.2182076</v>
      </c>
      <c r="Z7" s="9">
        <f t="shared" ref="Z7" si="19">Y12</f>
        <v>840161984.69532633</v>
      </c>
      <c r="AA7" s="9">
        <f t="shared" ref="AA7" si="20">Z12</f>
        <v>893357767.15337491</v>
      </c>
      <c r="AB7" s="9">
        <f t="shared" ref="AB7" si="21">AA12</f>
        <v>949888770.53061223</v>
      </c>
      <c r="AC7" s="9">
        <f t="shared" ref="AC7" si="22">AB12</f>
        <v>1009913976.4846294</v>
      </c>
      <c r="AD7" s="9">
        <f t="shared" ref="AD7" si="23">AC12</f>
        <v>1073599126.232882</v>
      </c>
      <c r="AE7" s="9">
        <f t="shared" ref="AE7" si="24">AD12</f>
        <v>1141116990.3673043</v>
      </c>
      <c r="AF7" s="9">
        <f t="shared" ref="AF7" si="25">AE12</f>
        <v>1212647649.0152688</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139</v>
      </c>
      <c r="C8" s="9">
        <f>Assumptions!D111*Assumptions!D11</f>
        <v>7375363.8394233286</v>
      </c>
      <c r="D8" s="9">
        <f>Assumptions!E111*Assumptions!E11</f>
        <v>7611375.4822848747</v>
      </c>
      <c r="E8" s="9">
        <f>Assumptions!F111*Assumptions!F11</f>
        <v>7854939.4977179905</v>
      </c>
      <c r="F8" s="9">
        <f>Assumptions!G111*Assumptions!G11</f>
        <v>8106297.5616449658</v>
      </c>
      <c r="G8" s="9">
        <f>Assumptions!H111*Assumptions!H11</f>
        <v>8365699.0836176062</v>
      </c>
      <c r="H8" s="9">
        <f>Assumptions!I111*Assumptions!I11</f>
        <v>8633401.4542933684</v>
      </c>
      <c r="I8" s="9">
        <f>Assumptions!J111*Assumptions!J11</f>
        <v>8909670.3008307554</v>
      </c>
      <c r="J8" s="9">
        <f>Assumptions!K111*Assumptions!K11</f>
        <v>9194779.7504573409</v>
      </c>
      <c r="K8" s="9">
        <f>Assumptions!L111*Assumptions!L11</f>
        <v>9489012.7024719752</v>
      </c>
      <c r="L8" s="9">
        <f>Assumptions!M111*Assumptions!M11</f>
        <v>9792661.1089510787</v>
      </c>
      <c r="M8" s="9">
        <f>Assumptions!N111*Assumptions!N11</f>
        <v>10106026.264437512</v>
      </c>
      <c r="N8" s="9">
        <f>Assumptions!O111*Assumptions!O11</f>
        <v>10429419.104899513</v>
      </c>
      <c r="O8" s="9">
        <f>Assumptions!P111*Assumptions!P11</f>
        <v>10763160.516256299</v>
      </c>
      <c r="P8" s="9">
        <f>Assumptions!Q111*Assumptions!Q11</f>
        <v>11107581.652776498</v>
      </c>
      <c r="Q8" s="9">
        <f>Assumptions!R111*Assumptions!R11</f>
        <v>11463024.265665343</v>
      </c>
      <c r="R8" s="9">
        <f>Assumptions!S111*Assumptions!S11</f>
        <v>11829841.042166637</v>
      </c>
      <c r="S8" s="9">
        <f>Assumptions!T111*Assumptions!T11</f>
        <v>12208395.955515971</v>
      </c>
      <c r="T8" s="9">
        <f>Assumptions!U111*Assumptions!U11</f>
        <v>12599064.62609248</v>
      </c>
      <c r="U8" s="9">
        <f>Assumptions!V111*Assumptions!V11</f>
        <v>13002234.694127439</v>
      </c>
      <c r="V8" s="9">
        <f>Assumptions!W111*Assumptions!W11</f>
        <v>13418306.204339517</v>
      </c>
      <c r="W8" s="9">
        <f>Assumptions!X111*Assumptions!X11</f>
        <v>13847692.002878385</v>
      </c>
      <c r="X8" s="9">
        <f>Assumptions!Y111*Assumptions!Y11</f>
        <v>14290818.14697049</v>
      </c>
      <c r="Y8" s="9">
        <f>Assumptions!Z111*Assumptions!Z11</f>
        <v>14748124.327673543</v>
      </c>
      <c r="Z8" s="9">
        <f>Assumptions!AA111*Assumptions!AA11</f>
        <v>15220064.306159098</v>
      </c>
      <c r="AA8" s="9">
        <f>Assumptions!AB111*Assumptions!AB11</f>
        <v>15707106.363956193</v>
      </c>
      <c r="AB8" s="9">
        <f>Assumptions!AC111*Assumptions!AC11</f>
        <v>16209733.767602788</v>
      </c>
      <c r="AC8" s="9">
        <f>Assumptions!AD111*Assumptions!AD11</f>
        <v>16728445.248166077</v>
      </c>
      <c r="AD8" s="9">
        <f>Assumptions!AE111*Assumptions!AE11</f>
        <v>17263755.496107392</v>
      </c>
      <c r="AE8" s="9">
        <f>Assumptions!AF111*Assumptions!AF11</f>
        <v>17816195.671982829</v>
      </c>
      <c r="AF8" s="9">
        <f>Assumptions!AG111*Assumptions!AG11</f>
        <v>18386313.933486275</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766764.00309358898</v>
      </c>
      <c r="D9" s="9">
        <f>Assumptions!E120*Assumptions!E11</f>
        <v>1582600.9023851675</v>
      </c>
      <c r="E9" s="9">
        <f>Assumptions!F120*Assumptions!F11</f>
        <v>2449866.1968922392</v>
      </c>
      <c r="F9" s="9">
        <f>Assumptions!G120*Assumptions!G11</f>
        <v>3371015.8869237211</v>
      </c>
      <c r="G9" s="9">
        <f>Assumptions!H120*Assumptions!H11</f>
        <v>4348610.4941316005</v>
      </c>
      <c r="H9" s="9">
        <f>Assumptions!I120*Assumptions!I11</f>
        <v>5385319.2359325737</v>
      </c>
      <c r="I9" s="9">
        <f>Assumptions!J120*Assumptions!J11</f>
        <v>6483924.3600628171</v>
      </c>
      <c r="J9" s="9">
        <f>Assumptions!K120*Assumptions!K11</f>
        <v>7647325.645239803</v>
      </c>
      <c r="K9" s="9">
        <f>Assumptions!L120*Assumptions!L11</f>
        <v>8878545.0741234124</v>
      </c>
      <c r="L9" s="9">
        <f>Assumptions!M120*Assumptions!M11</f>
        <v>10180731.684994847</v>
      </c>
      <c r="M9" s="9">
        <f>Assumptions!N120*Assumptions!N11</f>
        <v>11557166.60880615</v>
      </c>
      <c r="N9" s="9">
        <f>Assumptions!O120*Assumptions!O11</f>
        <v>13011268.298495941</v>
      </c>
      <c r="O9" s="9">
        <f>Assumptions!P120*Assumptions!P11</f>
        <v>14546597.957718464</v>
      </c>
      <c r="P9" s="9">
        <f>Assumptions!Q120*Assumptions!Q11</f>
        <v>16166865.176393563</v>
      </c>
      <c r="Q9" s="9">
        <f>Assumptions!R120*Assumptions!R11</f>
        <v>17875933.780755166</v>
      </c>
      <c r="R9" s="9">
        <f>Assumptions!S120*Assumptions!S11</f>
        <v>19677827.905855291</v>
      </c>
      <c r="S9" s="9">
        <f>Assumptions!T120*Assumptions!T11</f>
        <v>21576738.298770327</v>
      </c>
      <c r="T9" s="9">
        <f>Assumptions!U120*Assumptions!U11</f>
        <v>23577028.861056324</v>
      </c>
      <c r="U9" s="9">
        <f>Assumptions!V120*Assumptions!V11</f>
        <v>25683243.439310689</v>
      </c>
      <c r="V9" s="9">
        <f>Assumptions!W120*Assumptions!W11</f>
        <v>27900112.873019617</v>
      </c>
      <c r="W9" s="9">
        <f>Assumptions!X120*Assumptions!X11</f>
        <v>30232562.309204061</v>
      </c>
      <c r="X9" s="9">
        <f>Assumptions!Y120*Assumptions!Y11</f>
        <v>32685718.793722328</v>
      </c>
      <c r="Y9" s="9">
        <f>Assumptions!Z120*Assumptions!Z11</f>
        <v>35264919.149445131</v>
      </c>
      <c r="Z9" s="9">
        <f>Assumptions!AA120*Assumptions!AA11</f>
        <v>37975718.151889443</v>
      </c>
      <c r="AA9" s="9">
        <f>Assumptions!AB120*Assumptions!AB11</f>
        <v>40823897.013281167</v>
      </c>
      <c r="AB9" s="9">
        <f>Assumptions!AC120*Assumptions!AC11</f>
        <v>43815472.186414398</v>
      </c>
      <c r="AC9" s="9">
        <f>Assumptions!AD120*Assumptions!AD11</f>
        <v>46956704.500086561</v>
      </c>
      <c r="AD9" s="9">
        <f>Assumptions!AE120*Assumptions!AE11</f>
        <v>50254108.638314873</v>
      </c>
      <c r="AE9" s="9">
        <f>Assumptions!AF120*Assumptions!AF11</f>
        <v>53714462.97598169</v>
      </c>
      <c r="AF9" s="9">
        <f>Assumptions!AG120*Assumptions!AG11</f>
        <v>57344819.784013547</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8142127.8425169177</v>
      </c>
      <c r="D10" s="9">
        <f>SUM($C$8:D9)</f>
        <v>17336104.227186959</v>
      </c>
      <c r="E10" s="9">
        <f>SUM($C$8:E9)</f>
        <v>27640909.92179719</v>
      </c>
      <c r="F10" s="9">
        <f>SUM($C$8:F9)</f>
        <v>39118223.37036588</v>
      </c>
      <c r="G10" s="9">
        <f>SUM($C$8:G9)</f>
        <v>51832532.948115081</v>
      </c>
      <c r="H10" s="9">
        <f>SUM($C$8:H9)</f>
        <v>65851253.638341025</v>
      </c>
      <c r="I10" s="9">
        <f>SUM($C$8:I9)</f>
        <v>81244848.299234599</v>
      </c>
      <c r="J10" s="9">
        <f>SUM($C$8:J9)</f>
        <v>98086953.694931731</v>
      </c>
      <c r="K10" s="9">
        <f>SUM($C$8:K9)</f>
        <v>116454511.47152711</v>
      </c>
      <c r="L10" s="9">
        <f>SUM($C$8:L9)</f>
        <v>136427904.26547301</v>
      </c>
      <c r="M10" s="9">
        <f>SUM($C$8:M9)</f>
        <v>158091097.1387167</v>
      </c>
      <c r="N10" s="9">
        <f>SUM($C$8:N9)</f>
        <v>181531784.54211217</v>
      </c>
      <c r="O10" s="9">
        <f>SUM($C$8:O9)</f>
        <v>206841543.01608691</v>
      </c>
      <c r="P10" s="9">
        <f>SUM($C$8:P9)</f>
        <v>234115989.84525698</v>
      </c>
      <c r="Q10" s="9">
        <f>SUM($C$8:Q9)</f>
        <v>263454947.8916775</v>
      </c>
      <c r="R10" s="9">
        <f>SUM($C$8:R9)</f>
        <v>294962616.83969945</v>
      </c>
      <c r="S10" s="9">
        <f>SUM($C$8:S9)</f>
        <v>328747751.09398574</v>
      </c>
      <c r="T10" s="9">
        <f>SUM($C$8:T9)</f>
        <v>364923844.58113456</v>
      </c>
      <c r="U10" s="9">
        <f>SUM($C$8:U9)</f>
        <v>403609322.71457267</v>
      </c>
      <c r="V10" s="9">
        <f>SUM($C$8:V9)</f>
        <v>444927741.79193181</v>
      </c>
      <c r="W10" s="9">
        <f>SUM($C$8:W9)</f>
        <v>489007996.10401428</v>
      </c>
      <c r="X10" s="9">
        <f>SUM($C$8:X9)</f>
        <v>535984533.044707</v>
      </c>
      <c r="Y10" s="9">
        <f>SUM($C$8:Y9)</f>
        <v>585997576.52182579</v>
      </c>
      <c r="Z10" s="9">
        <f>SUM($C$8:Z9)</f>
        <v>639193358.97987437</v>
      </c>
      <c r="AA10" s="9">
        <f>SUM($C$8:AA9)</f>
        <v>695724362.35711169</v>
      </c>
      <c r="AB10" s="9">
        <f>SUM($C$8:AB9)</f>
        <v>755749568.31112897</v>
      </c>
      <c r="AC10" s="9">
        <f>SUM($C$8:AC9)</f>
        <v>819434718.0593816</v>
      </c>
      <c r="AD10" s="9">
        <f>SUM($C$8:AD9)</f>
        <v>886952582.19380379</v>
      </c>
      <c r="AE10" s="9">
        <f>SUM($C$8:AE9)</f>
        <v>958483240.84176826</v>
      </c>
      <c r="AF10" s="9">
        <f>SUM($C$8:AF9)</f>
        <v>1034214374.5592682</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262306536.01601732</v>
      </c>
      <c r="D12" s="9">
        <f>D7+D8+D9</f>
        <v>271500512.4006874</v>
      </c>
      <c r="E12" s="9">
        <f>E7+E8+E9</f>
        <v>281805318.09529763</v>
      </c>
      <c r="F12" s="9">
        <f t="shared" ref="F12:H12" si="26">F7+F8+F9</f>
        <v>293282631.54386634</v>
      </c>
      <c r="G12" s="9">
        <f t="shared" si="26"/>
        <v>305996941.12161559</v>
      </c>
      <c r="H12" s="9">
        <f t="shared" si="26"/>
        <v>320015661.81184155</v>
      </c>
      <c r="I12" s="9">
        <f t="shared" ref="I12:AF12" si="27">I7+I8+I9</f>
        <v>335409256.47273517</v>
      </c>
      <c r="J12" s="9">
        <f t="shared" si="27"/>
        <v>352251361.86843234</v>
      </c>
      <c r="K12" s="9">
        <f t="shared" si="27"/>
        <v>370618919.64502776</v>
      </c>
      <c r="L12" s="9">
        <f t="shared" si="27"/>
        <v>390592312.43897367</v>
      </c>
      <c r="M12" s="9">
        <f t="shared" si="27"/>
        <v>412255505.3122173</v>
      </c>
      <c r="N12" s="9">
        <f t="shared" si="27"/>
        <v>435696192.71561277</v>
      </c>
      <c r="O12" s="9">
        <f t="shared" si="27"/>
        <v>461005951.18958753</v>
      </c>
      <c r="P12" s="9">
        <f t="shared" si="27"/>
        <v>488280398.01875758</v>
      </c>
      <c r="Q12" s="9">
        <f t="shared" si="27"/>
        <v>517619356.0651781</v>
      </c>
      <c r="R12" s="9">
        <f t="shared" si="27"/>
        <v>549127025.01320004</v>
      </c>
      <c r="S12" s="9">
        <f t="shared" si="27"/>
        <v>582912159.26748633</v>
      </c>
      <c r="T12" s="9">
        <f t="shared" si="27"/>
        <v>619088252.7546351</v>
      </c>
      <c r="U12" s="9">
        <f t="shared" si="27"/>
        <v>657773730.88807321</v>
      </c>
      <c r="V12" s="9">
        <f t="shared" si="27"/>
        <v>699092149.96543229</v>
      </c>
      <c r="W12" s="9">
        <f t="shared" si="27"/>
        <v>743172404.27751482</v>
      </c>
      <c r="X12" s="9">
        <f t="shared" si="27"/>
        <v>790148941.2182076</v>
      </c>
      <c r="Y12" s="9">
        <f t="shared" si="27"/>
        <v>840161984.69532633</v>
      </c>
      <c r="Z12" s="9">
        <f t="shared" si="27"/>
        <v>893357767.15337491</v>
      </c>
      <c r="AA12" s="9">
        <f t="shared" si="27"/>
        <v>949888770.53061223</v>
      </c>
      <c r="AB12" s="9">
        <f t="shared" si="27"/>
        <v>1009913976.4846294</v>
      </c>
      <c r="AC12" s="9">
        <f t="shared" si="27"/>
        <v>1073599126.232882</v>
      </c>
      <c r="AD12" s="9">
        <f t="shared" si="27"/>
        <v>1141116990.3673043</v>
      </c>
      <c r="AE12" s="9">
        <f t="shared" si="27"/>
        <v>1212647649.0152688</v>
      </c>
      <c r="AF12" s="9">
        <f t="shared" si="27"/>
        <v>1288378782.7327685</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40090627.971416458</v>
      </c>
      <c r="D18" s="9">
        <f>Investment!D25</f>
        <v>42164828.517694369</v>
      </c>
      <c r="E18" s="9">
        <f>Investment!E25</f>
        <v>44330725.095891334</v>
      </c>
      <c r="F18" s="9">
        <f>Investment!F25</f>
        <v>46592062.270690784</v>
      </c>
      <c r="G18" s="9">
        <f>Investment!G25</f>
        <v>48952730.362179212</v>
      </c>
      <c r="H18" s="9">
        <f>Investment!H25</f>
        <v>51416770.939757705</v>
      </c>
      <c r="I18" s="9">
        <f>Investment!I25</f>
        <v>53988382.518410347</v>
      </c>
      <c r="J18" s="9">
        <f>Investment!J25</f>
        <v>56671926.464654453</v>
      </c>
      <c r="K18" s="9">
        <f>Investment!K25</f>
        <v>59471933.119759336</v>
      </c>
      <c r="L18" s="9">
        <f>Investment!L25</f>
        <v>62393108.148091123</v>
      </c>
      <c r="M18" s="9">
        <f>Investment!M25</f>
        <v>65440339.1187215</v>
      </c>
      <c r="N18" s="9">
        <f>Investment!N25</f>
        <v>68618702.328728586</v>
      </c>
      <c r="O18" s="9">
        <f>Investment!O25</f>
        <v>71933469.876918554</v>
      </c>
      <c r="P18" s="9">
        <f>Investment!P25</f>
        <v>75390116.997008055</v>
      </c>
      <c r="Q18" s="9">
        <f>Investment!Q25</f>
        <v>78994329.659629315</v>
      </c>
      <c r="R18" s="9">
        <f>Investment!R25</f>
        <v>82752012.452853411</v>
      </c>
      <c r="S18" s="9">
        <f>Investment!S25</f>
        <v>86669296.75127241</v>
      </c>
      <c r="T18" s="9">
        <f>Investment!T25</f>
        <v>90752549.18403846</v>
      </c>
      <c r="U18" s="9">
        <f>Investment!U25</f>
        <v>95008380.412628233</v>
      </c>
      <c r="V18" s="9">
        <f>Investment!V25</f>
        <v>99443654.229483336</v>
      </c>
      <c r="W18" s="9">
        <f>Investment!W25</f>
        <v>104065496.98907463</v>
      </c>
      <c r="X18" s="9">
        <f>Investment!X25</f>
        <v>108881307.38334875</v>
      </c>
      <c r="Y18" s="9">
        <f>Investment!Y25</f>
        <v>113898766.57393958</v>
      </c>
      <c r="Z18" s="9">
        <f>Investment!Z25</f>
        <v>119125848.69396771</v>
      </c>
      <c r="AA18" s="9">
        <f>Investment!AA25</f>
        <v>124570831.73270598</v>
      </c>
      <c r="AB18" s="9">
        <f>Investment!AB25</f>
        <v>130242308.81686077</v>
      </c>
      <c r="AC18" s="9">
        <f>Investment!AC25</f>
        <v>136149199.90270722</v>
      </c>
      <c r="AD18" s="9">
        <f>Investment!AD25</f>
        <v>142300763.89381939</v>
      </c>
      <c r="AE18" s="9">
        <f>Investment!AE25</f>
        <v>148706611.19966236</v>
      </c>
      <c r="AF18" s="9">
        <f>Investment!AF25</f>
        <v>155376716.75085199</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294255036.14491683</v>
      </c>
      <c r="D19" s="9">
        <f>D18+C20</f>
        <v>328277736.82009423</v>
      </c>
      <c r="E19" s="9">
        <f>E18+D20</f>
        <v>363414485.53131551</v>
      </c>
      <c r="F19" s="9">
        <f t="shared" ref="F19:AF19" si="28">F18+E20</f>
        <v>399701742.10739607</v>
      </c>
      <c r="G19" s="9">
        <f t="shared" si="28"/>
        <v>437177159.02100658</v>
      </c>
      <c r="H19" s="9">
        <f t="shared" si="28"/>
        <v>475879620.38301504</v>
      </c>
      <c r="I19" s="9">
        <f t="shared" si="28"/>
        <v>515849282.2111994</v>
      </c>
      <c r="J19" s="9">
        <f t="shared" si="28"/>
        <v>557127614.01496029</v>
      </c>
      <c r="K19" s="9">
        <f t="shared" si="28"/>
        <v>599757441.73902249</v>
      </c>
      <c r="L19" s="9">
        <f t="shared" si="28"/>
        <v>643782992.11051822</v>
      </c>
      <c r="M19" s="9">
        <f t="shared" si="28"/>
        <v>689249938.43529379</v>
      </c>
      <c r="N19" s="9">
        <f t="shared" si="28"/>
        <v>736205447.89077866</v>
      </c>
      <c r="O19" s="9">
        <f t="shared" si="28"/>
        <v>784698230.3643018</v>
      </c>
      <c r="P19" s="9">
        <f t="shared" si="28"/>
        <v>834778588.88733506</v>
      </c>
      <c r="Q19" s="9">
        <f t="shared" si="28"/>
        <v>886498471.71779442</v>
      </c>
      <c r="R19" s="9">
        <f t="shared" si="28"/>
        <v>939911526.1242274</v>
      </c>
      <c r="S19" s="9">
        <f t="shared" si="28"/>
        <v>995073153.92747796</v>
      </c>
      <c r="T19" s="9">
        <f t="shared" si="28"/>
        <v>1052040568.8572302</v>
      </c>
      <c r="U19" s="9">
        <f t="shared" si="28"/>
        <v>1110872855.7827096</v>
      </c>
      <c r="V19" s="9">
        <f t="shared" si="28"/>
        <v>1171631031.8787549</v>
      </c>
      <c r="W19" s="9">
        <f t="shared" si="28"/>
        <v>1234378109.7904704</v>
      </c>
      <c r="X19" s="9">
        <f t="shared" si="28"/>
        <v>1299179162.8617365</v>
      </c>
      <c r="Y19" s="9">
        <f t="shared" si="28"/>
        <v>1366101392.4949832</v>
      </c>
      <c r="Z19" s="9">
        <f t="shared" si="28"/>
        <v>1435214197.7118325</v>
      </c>
      <c r="AA19" s="9">
        <f t="shared" si="28"/>
        <v>1506589246.9864902</v>
      </c>
      <c r="AB19" s="9">
        <f t="shared" si="28"/>
        <v>1580300552.4261136</v>
      </c>
      <c r="AC19" s="9">
        <f t="shared" si="28"/>
        <v>1656424546.3748035</v>
      </c>
      <c r="AD19" s="9">
        <f t="shared" si="28"/>
        <v>1735040160.5203702</v>
      </c>
      <c r="AE19" s="9">
        <f t="shared" si="28"/>
        <v>1816228907.5856104</v>
      </c>
      <c r="AF19" s="9">
        <f t="shared" si="28"/>
        <v>1900074965.688498</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286112908.30239987</v>
      </c>
      <c r="D20" s="9">
        <f>D19-D8-D9</f>
        <v>319083760.43542415</v>
      </c>
      <c r="E20" s="9">
        <f t="shared" ref="E20:AF20" si="29">E19-E8-E9</f>
        <v>353109679.83670527</v>
      </c>
      <c r="F20" s="9">
        <f t="shared" si="29"/>
        <v>388224428.65882736</v>
      </c>
      <c r="G20" s="9">
        <f t="shared" si="29"/>
        <v>424462849.44325733</v>
      </c>
      <c r="H20" s="9">
        <f t="shared" si="29"/>
        <v>461860899.69278908</v>
      </c>
      <c r="I20" s="9">
        <f t="shared" si="29"/>
        <v>500455687.55030578</v>
      </c>
      <c r="J20" s="9">
        <f t="shared" si="29"/>
        <v>540285508.61926317</v>
      </c>
      <c r="K20" s="9">
        <f t="shared" si="29"/>
        <v>581389883.96242714</v>
      </c>
      <c r="L20" s="9">
        <f t="shared" si="29"/>
        <v>623809599.31657231</v>
      </c>
      <c r="M20" s="9">
        <f t="shared" si="29"/>
        <v>667586745.5620501</v>
      </c>
      <c r="N20" s="9">
        <f t="shared" si="29"/>
        <v>712764760.48738325</v>
      </c>
      <c r="O20" s="9">
        <f t="shared" si="29"/>
        <v>759388471.89032698</v>
      </c>
      <c r="P20" s="9">
        <f t="shared" si="29"/>
        <v>807504142.05816507</v>
      </c>
      <c r="Q20" s="9">
        <f t="shared" si="29"/>
        <v>857159513.67137396</v>
      </c>
      <c r="R20" s="9">
        <f t="shared" si="29"/>
        <v>908403857.17620552</v>
      </c>
      <c r="S20" s="9">
        <f t="shared" si="29"/>
        <v>961288019.67319167</v>
      </c>
      <c r="T20" s="9">
        <f t="shared" si="29"/>
        <v>1015864475.3700814</v>
      </c>
      <c r="U20" s="9">
        <f t="shared" si="29"/>
        <v>1072187377.6492716</v>
      </c>
      <c r="V20" s="9">
        <f t="shared" si="29"/>
        <v>1130312612.8013957</v>
      </c>
      <c r="W20" s="9">
        <f t="shared" si="29"/>
        <v>1190297855.4783878</v>
      </c>
      <c r="X20" s="9">
        <f t="shared" si="29"/>
        <v>1252202625.9210436</v>
      </c>
      <c r="Y20" s="9">
        <f t="shared" si="29"/>
        <v>1316088349.0178647</v>
      </c>
      <c r="Z20" s="9">
        <f t="shared" si="29"/>
        <v>1382018415.2537842</v>
      </c>
      <c r="AA20" s="9">
        <f t="shared" si="29"/>
        <v>1450058243.6092529</v>
      </c>
      <c r="AB20" s="9">
        <f t="shared" si="29"/>
        <v>1520275346.4720964</v>
      </c>
      <c r="AC20" s="9">
        <f t="shared" si="29"/>
        <v>1592739396.6265509</v>
      </c>
      <c r="AD20" s="9">
        <f t="shared" si="29"/>
        <v>1667522296.3859479</v>
      </c>
      <c r="AE20" s="9">
        <f t="shared" si="29"/>
        <v>1744698248.9376459</v>
      </c>
      <c r="AF20" s="9">
        <f t="shared" si="29"/>
        <v>1824343831.9709983</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75564000</v>
      </c>
      <c r="D22" s="9">
        <f ca="1">'Balance Sheet'!C11</f>
        <v>99505189.655558825</v>
      </c>
      <c r="E22" s="9">
        <f ca="1">'Balance Sheet'!D11</f>
        <v>117936814.96189862</v>
      </c>
      <c r="F22" s="9">
        <f ca="1">'Balance Sheet'!E11</f>
        <v>131890700.55923373</v>
      </c>
      <c r="G22" s="9">
        <f ca="1">'Balance Sheet'!F11</f>
        <v>144053867.5928081</v>
      </c>
      <c r="H22" s="9">
        <f ca="1">'Balance Sheet'!G11</f>
        <v>154348220.5812318</v>
      </c>
      <c r="I22" s="9">
        <f ca="1">'Balance Sheet'!H11</f>
        <v>164070320.00118887</v>
      </c>
      <c r="J22" s="9">
        <f ca="1">'Balance Sheet'!I11</f>
        <v>174328296.43019375</v>
      </c>
      <c r="K22" s="9">
        <f ca="1">'Balance Sheet'!J11</f>
        <v>185069805.3903628</v>
      </c>
      <c r="L22" s="9">
        <f ca="1">'Balance Sheet'!K11</f>
        <v>196231937.52908126</v>
      </c>
      <c r="M22" s="9">
        <f ca="1">'Balance Sheet'!L11</f>
        <v>207740133.54571944</v>
      </c>
      <c r="N22" s="9">
        <f ca="1">'Balance Sheet'!M11</f>
        <v>219507010.49101356</v>
      </c>
      <c r="O22" s="9">
        <f ca="1">'Balance Sheet'!N11</f>
        <v>231431092.98507693</v>
      </c>
      <c r="P22" s="9">
        <f ca="1">'Balance Sheet'!O11</f>
        <v>243395442.45986587</v>
      </c>
      <c r="Q22" s="9">
        <f ca="1">'Balance Sheet'!P11</f>
        <v>255266177.0629397</v>
      </c>
      <c r="R22" s="9">
        <f ca="1">'Balance Sheet'!Q11</f>
        <v>266890874.35968637</v>
      </c>
      <c r="S22" s="9">
        <f ca="1">'Balance Sheet'!R11</f>
        <v>278096848.43887186</v>
      </c>
      <c r="T22" s="9">
        <f ca="1">'Balance Sheet'!S11</f>
        <v>288689292.45933235</v>
      </c>
      <c r="U22" s="9">
        <f ca="1">'Balance Sheet'!T11</f>
        <v>299763843.11242187</v>
      </c>
      <c r="V22" s="9">
        <f ca="1">'Balance Sheet'!U11</f>
        <v>311270459.69674653</v>
      </c>
      <c r="W22" s="9">
        <f ca="1">'Balance Sheet'!V11</f>
        <v>323150024.78217232</v>
      </c>
      <c r="X22" s="9">
        <f ca="1">'Balance Sheet'!W11</f>
        <v>335333490.11071426</v>
      </c>
      <c r="Y22" s="9">
        <f ca="1">'Balance Sheet'!X11</f>
        <v>347740959.0172134</v>
      </c>
      <c r="Z22" s="9">
        <f ca="1">'Balance Sheet'!Y11</f>
        <v>361966820.61880463</v>
      </c>
      <c r="AA22" s="9">
        <f ca="1">'Balance Sheet'!Z11</f>
        <v>379526820.21129614</v>
      </c>
      <c r="AB22" s="9">
        <f ca="1">'Balance Sheet'!AA11</f>
        <v>400691685.90757233</v>
      </c>
      <c r="AC22" s="9">
        <f ca="1">'Balance Sheet'!AB11</f>
        <v>425748191.43684632</v>
      </c>
      <c r="AD22" s="9">
        <f ca="1">'Balance Sheet'!AC11</f>
        <v>454999976.28774613</v>
      </c>
      <c r="AE22" s="9">
        <f ca="1">'Balance Sheet'!AD11</f>
        <v>488768404.3899886</v>
      </c>
      <c r="AF22" s="9">
        <f ca="1">'Balance Sheet'!AE11</f>
        <v>527393463.05127281</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210548908.30239987</v>
      </c>
      <c r="D23" s="9">
        <f t="shared" ref="D23:AF23" ca="1" si="30">D20-D22</f>
        <v>219578570.77986532</v>
      </c>
      <c r="E23" s="9">
        <f t="shared" ca="1" si="30"/>
        <v>235172864.87480664</v>
      </c>
      <c r="F23" s="9">
        <f t="shared" ca="1" si="30"/>
        <v>256333728.09959364</v>
      </c>
      <c r="G23" s="9">
        <f t="shared" ca="1" si="30"/>
        <v>280408981.8504492</v>
      </c>
      <c r="H23" s="9">
        <f t="shared" ca="1" si="30"/>
        <v>307512679.11155725</v>
      </c>
      <c r="I23" s="9">
        <f t="shared" ca="1" si="30"/>
        <v>336385367.54911691</v>
      </c>
      <c r="J23" s="9">
        <f ca="1">J20-J22</f>
        <v>365957212.18906939</v>
      </c>
      <c r="K23" s="9">
        <f t="shared" ca="1" si="30"/>
        <v>396320078.57206434</v>
      </c>
      <c r="L23" s="9">
        <f t="shared" ca="1" si="30"/>
        <v>427577661.78749108</v>
      </c>
      <c r="M23" s="9">
        <f t="shared" ca="1" si="30"/>
        <v>459846612.01633066</v>
      </c>
      <c r="N23" s="9">
        <f t="shared" ca="1" si="30"/>
        <v>493257749.99636972</v>
      </c>
      <c r="O23" s="9">
        <f t="shared" ca="1" si="30"/>
        <v>527957378.90525007</v>
      </c>
      <c r="P23" s="9">
        <f t="shared" ca="1" si="30"/>
        <v>564108699.59829926</v>
      </c>
      <c r="Q23" s="9">
        <f t="shared" ca="1" si="30"/>
        <v>601893336.6084342</v>
      </c>
      <c r="R23" s="9">
        <f t="shared" ca="1" si="30"/>
        <v>641512982.81651914</v>
      </c>
      <c r="S23" s="9">
        <f t="shared" ca="1" si="30"/>
        <v>683191171.23431981</v>
      </c>
      <c r="T23" s="9">
        <f t="shared" ca="1" si="30"/>
        <v>727175182.91074908</v>
      </c>
      <c r="U23" s="9">
        <f t="shared" ca="1" si="30"/>
        <v>772423534.53684974</v>
      </c>
      <c r="V23" s="9">
        <f t="shared" ca="1" si="30"/>
        <v>819042153.10464907</v>
      </c>
      <c r="W23" s="9">
        <f t="shared" ca="1" si="30"/>
        <v>867147830.69621551</v>
      </c>
      <c r="X23" s="9">
        <f t="shared" ca="1" si="30"/>
        <v>916869135.81032944</v>
      </c>
      <c r="Y23" s="9">
        <f t="shared" ca="1" si="30"/>
        <v>968347390.00065136</v>
      </c>
      <c r="Z23" s="9">
        <f t="shared" ca="1" si="30"/>
        <v>1020051594.6349795</v>
      </c>
      <c r="AA23" s="9">
        <f t="shared" ca="1" si="30"/>
        <v>1070531423.3979568</v>
      </c>
      <c r="AB23" s="9">
        <f t="shared" ca="1" si="30"/>
        <v>1119583660.5645242</v>
      </c>
      <c r="AC23" s="9">
        <f t="shared" ca="1" si="30"/>
        <v>1166991205.1897047</v>
      </c>
      <c r="AD23" s="9">
        <f t="shared" ca="1" si="30"/>
        <v>1212522320.0982018</v>
      </c>
      <c r="AE23" s="9">
        <f t="shared" ca="1" si="30"/>
        <v>1255929844.5476573</v>
      </c>
      <c r="AF23" s="9">
        <f t="shared" ca="1" si="30"/>
        <v>1296950368.9197254</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165</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75564000</v>
      </c>
      <c r="D5" s="1">
        <f ca="1">C5+C6</f>
        <v>99505189.655558825</v>
      </c>
      <c r="E5" s="1">
        <f t="shared" ref="E5:AF5" ca="1" si="1">D5+D6</f>
        <v>117936814.96189862</v>
      </c>
      <c r="F5" s="1">
        <f t="shared" ca="1" si="1"/>
        <v>131890700.55923373</v>
      </c>
      <c r="G5" s="1">
        <f t="shared" ca="1" si="1"/>
        <v>144053867.5928081</v>
      </c>
      <c r="H5" s="1">
        <f t="shared" ca="1" si="1"/>
        <v>154348220.5812318</v>
      </c>
      <c r="I5" s="1">
        <f t="shared" ca="1" si="1"/>
        <v>164070320.00118887</v>
      </c>
      <c r="J5" s="1">
        <f t="shared" ca="1" si="1"/>
        <v>174328296.43019375</v>
      </c>
      <c r="K5" s="1">
        <f t="shared" ca="1" si="1"/>
        <v>185069805.3903628</v>
      </c>
      <c r="L5" s="1">
        <f t="shared" ca="1" si="1"/>
        <v>196231937.52908126</v>
      </c>
      <c r="M5" s="1">
        <f t="shared" ca="1" si="1"/>
        <v>207740133.54571944</v>
      </c>
      <c r="N5" s="1">
        <f t="shared" ca="1" si="1"/>
        <v>219507010.49101356</v>
      </c>
      <c r="O5" s="1">
        <f t="shared" ca="1" si="1"/>
        <v>231431092.98507693</v>
      </c>
      <c r="P5" s="1">
        <f t="shared" ca="1" si="1"/>
        <v>243395442.45986587</v>
      </c>
      <c r="Q5" s="1">
        <f t="shared" ca="1" si="1"/>
        <v>255266177.0629397</v>
      </c>
      <c r="R5" s="1">
        <f t="shared" ca="1" si="1"/>
        <v>266890874.35968637</v>
      </c>
      <c r="S5" s="1">
        <f t="shared" ca="1" si="1"/>
        <v>278096848.43887186</v>
      </c>
      <c r="T5" s="1">
        <f t="shared" ca="1" si="1"/>
        <v>288689292.45933235</v>
      </c>
      <c r="U5" s="1">
        <f t="shared" ca="1" si="1"/>
        <v>299763843.11242187</v>
      </c>
      <c r="V5" s="1">
        <f t="shared" ca="1" si="1"/>
        <v>311270459.69674653</v>
      </c>
      <c r="W5" s="1">
        <f t="shared" ca="1" si="1"/>
        <v>323150024.78217232</v>
      </c>
      <c r="X5" s="1">
        <f t="shared" ca="1" si="1"/>
        <v>335333490.11071426</v>
      </c>
      <c r="Y5" s="1">
        <f t="shared" ca="1" si="1"/>
        <v>347740959.0172134</v>
      </c>
      <c r="Z5" s="1">
        <f t="shared" ca="1" si="1"/>
        <v>361966820.61880463</v>
      </c>
      <c r="AA5" s="1">
        <f t="shared" ca="1" si="1"/>
        <v>379526820.21129614</v>
      </c>
      <c r="AB5" s="1">
        <f t="shared" ca="1" si="1"/>
        <v>400691685.90757233</v>
      </c>
      <c r="AC5" s="1">
        <f t="shared" ca="1" si="1"/>
        <v>425748191.43684632</v>
      </c>
      <c r="AD5" s="1">
        <f t="shared" ca="1" si="1"/>
        <v>454999976.28774613</v>
      </c>
      <c r="AE5" s="1">
        <f t="shared" ca="1" si="1"/>
        <v>488768404.3899886</v>
      </c>
      <c r="AF5" s="1">
        <f t="shared" ca="1" si="1"/>
        <v>527393463.05127281</v>
      </c>
      <c r="AG5" s="1"/>
      <c r="AH5" s="1"/>
      <c r="AI5" s="1"/>
      <c r="AJ5" s="1"/>
      <c r="AK5" s="1"/>
      <c r="AL5" s="1"/>
      <c r="AM5" s="1"/>
      <c r="AN5" s="1"/>
      <c r="AO5" s="1"/>
      <c r="AP5" s="1"/>
    </row>
    <row r="6" spans="1:42" x14ac:dyDescent="0.35">
      <c r="A6" s="63" t="s">
        <v>3</v>
      </c>
      <c r="C6" s="1">
        <f ca="1">-'Cash Flow'!C13</f>
        <v>23941189.655558825</v>
      </c>
      <c r="D6" s="1">
        <f ca="1">-'Cash Flow'!D13</f>
        <v>18431625.306339797</v>
      </c>
      <c r="E6" s="1">
        <f ca="1">-'Cash Flow'!E13</f>
        <v>13953885.597335093</v>
      </c>
      <c r="F6" s="1">
        <f ca="1">-'Cash Flow'!F13</f>
        <v>12163167.033574373</v>
      </c>
      <c r="G6" s="1">
        <f ca="1">-'Cash Flow'!G13</f>
        <v>10294352.988423713</v>
      </c>
      <c r="H6" s="1">
        <f ca="1">-'Cash Flow'!H13</f>
        <v>9722099.4199570641</v>
      </c>
      <c r="I6" s="1">
        <f ca="1">-'Cash Flow'!I13</f>
        <v>10257976.429004878</v>
      </c>
      <c r="J6" s="1">
        <f ca="1">-'Cash Flow'!J13</f>
        <v>10741508.96016904</v>
      </c>
      <c r="K6" s="1">
        <f ca="1">-'Cash Flow'!K13</f>
        <v>11162132.138718456</v>
      </c>
      <c r="L6" s="1">
        <f ca="1">-'Cash Flow'!L13</f>
        <v>11508196.016638204</v>
      </c>
      <c r="M6" s="1">
        <f ca="1">-'Cash Flow'!M13</f>
        <v>11766876.945294105</v>
      </c>
      <c r="N6" s="1">
        <f ca="1">-'Cash Flow'!N13</f>
        <v>11924082.49406337</v>
      </c>
      <c r="O6" s="1">
        <f ca="1">-'Cash Flow'!O13</f>
        <v>11964349.474788949</v>
      </c>
      <c r="P6" s="1">
        <f ca="1">-'Cash Flow'!P13</f>
        <v>11870734.60307385</v>
      </c>
      <c r="Q6" s="1">
        <f ca="1">-'Cash Flow'!Q13</f>
        <v>11624697.296746686</v>
      </c>
      <c r="R6" s="1">
        <f ca="1">-'Cash Flow'!R13</f>
        <v>11205974.079185456</v>
      </c>
      <c r="S6" s="1">
        <f ca="1">-'Cash Flow'!S13</f>
        <v>10592444.020460516</v>
      </c>
      <c r="T6" s="1">
        <f ca="1">-'Cash Flow'!T13</f>
        <v>11074550.653089553</v>
      </c>
      <c r="U6" s="1">
        <f ca="1">-'Cash Flow'!U13</f>
        <v>11506616.584324658</v>
      </c>
      <c r="V6" s="1">
        <f ca="1">-'Cash Flow'!V13</f>
        <v>11879565.085425794</v>
      </c>
      <c r="W6" s="1">
        <f ca="1">-'Cash Flow'!W13</f>
        <v>12183465.328541949</v>
      </c>
      <c r="X6" s="1">
        <f ca="1">-'Cash Flow'!X13</f>
        <v>12407468.906499162</v>
      </c>
      <c r="Y6" s="1">
        <f ca="1">-'Cash Flow'!Y13</f>
        <v>14225861.601591215</v>
      </c>
      <c r="Z6" s="1">
        <f ca="1">-'Cash Flow'!Z13</f>
        <v>17559999.592491522</v>
      </c>
      <c r="AA6" s="1">
        <f ca="1">-'Cash Flow'!AA13</f>
        <v>21164865.696276188</v>
      </c>
      <c r="AB6" s="1">
        <f ca="1">-'Cash Flow'!AB13</f>
        <v>25056505.529273987</v>
      </c>
      <c r="AC6" s="1">
        <f ca="1">-'Cash Flow'!AC13</f>
        <v>29251784.850899816</v>
      </c>
      <c r="AD6" s="1">
        <f ca="1">-'Cash Flow'!AD13</f>
        <v>33768428.10224247</v>
      </c>
      <c r="AE6" s="1">
        <f ca="1">-'Cash Flow'!AE13</f>
        <v>38625058.661284193</v>
      </c>
      <c r="AF6" s="1">
        <f ca="1">-'Cash Flow'!AF13</f>
        <v>43841240.88845329</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3482681.6379445591</v>
      </c>
      <c r="D8" s="1">
        <f ca="1">IF(SUM(D5:D6)&gt;0,Assumptions!$C$26*SUM(D5:D6),Assumptions!$C$27*(SUM(D5:D6)))</f>
        <v>4127788.5236664522</v>
      </c>
      <c r="E8" s="1">
        <f ca="1">IF(SUM(E5:E6)&gt;0,Assumptions!$C$26*SUM(E5:E6),Assumptions!$C$27*(SUM(E5:E6)))</f>
        <v>4616174.5195731809</v>
      </c>
      <c r="F8" s="1">
        <f ca="1">IF(SUM(F5:F6)&gt;0,Assumptions!$C$26*SUM(F5:F6),Assumptions!$C$27*(SUM(F5:F6)))</f>
        <v>5041885.3657482835</v>
      </c>
      <c r="G8" s="1">
        <f ca="1">IF(SUM(G5:G6)&gt;0,Assumptions!$C$26*SUM(G5:G6),Assumptions!$C$27*(SUM(G5:G6)))</f>
        <v>5402187.7203431139</v>
      </c>
      <c r="H8" s="1">
        <f ca="1">IF(SUM(H5:H6)&gt;0,Assumptions!$C$26*SUM(H5:H6),Assumptions!$C$27*(SUM(H5:H6)))</f>
        <v>5742461.2000416107</v>
      </c>
      <c r="I8" s="1">
        <f ca="1">IF(SUM(I5:I6)&gt;0,Assumptions!$C$26*SUM(I5:I6),Assumptions!$C$27*(SUM(I5:I6)))</f>
        <v>6101490.3750567818</v>
      </c>
      <c r="J8" s="1">
        <f ca="1">IF(SUM(J5:J6)&gt;0,Assumptions!$C$26*SUM(J5:J6),Assumptions!$C$27*(SUM(J5:J6)))</f>
        <v>6477443.1886626985</v>
      </c>
      <c r="K8" s="1">
        <f ca="1">IF(SUM(K5:K6)&gt;0,Assumptions!$C$26*SUM(K5:K6),Assumptions!$C$27*(SUM(K5:K6)))</f>
        <v>6868117.8135178443</v>
      </c>
      <c r="L8" s="1">
        <f ca="1">IF(SUM(L5:L6)&gt;0,Assumptions!$C$26*SUM(L5:L6),Assumptions!$C$27*(SUM(L5:L6)))</f>
        <v>7270904.6741001811</v>
      </c>
      <c r="M8" s="1">
        <f ca="1">IF(SUM(M5:M6)&gt;0,Assumptions!$C$26*SUM(M5:M6),Assumptions!$C$27*(SUM(M5:M6)))</f>
        <v>7682745.3671854753</v>
      </c>
      <c r="N8" s="1">
        <f ca="1">IF(SUM(N5:N6)&gt;0,Assumptions!$C$26*SUM(N5:N6),Assumptions!$C$27*(SUM(N5:N6)))</f>
        <v>8100088.2544776937</v>
      </c>
      <c r="O8" s="1">
        <f ca="1">IF(SUM(O5:O6)&gt;0,Assumptions!$C$26*SUM(O5:O6),Assumptions!$C$27*(SUM(O5:O6)))</f>
        <v>8518840.4860953055</v>
      </c>
      <c r="P8" s="1">
        <f ca="1">IF(SUM(P5:P6)&gt;0,Assumptions!$C$26*SUM(P5:P6),Assumptions!$C$27*(SUM(P5:P6)))</f>
        <v>8934316.1972028911</v>
      </c>
      <c r="Q8" s="1">
        <f ca="1">IF(SUM(Q5:Q6)&gt;0,Assumptions!$C$26*SUM(Q5:Q6),Assumptions!$C$27*(SUM(Q5:Q6)))</f>
        <v>9341180.6025890242</v>
      </c>
      <c r="R8" s="1">
        <f ca="1">IF(SUM(R5:R6)&gt;0,Assumptions!$C$26*SUM(R5:R6),Assumptions!$C$27*(SUM(R5:R6)))</f>
        <v>9733389.6953605153</v>
      </c>
      <c r="S8" s="1">
        <f ca="1">IF(SUM(S5:S6)&gt;0,Assumptions!$C$26*SUM(S5:S6),Assumptions!$C$27*(SUM(S5:S6)))</f>
        <v>10104125.236076633</v>
      </c>
      <c r="T8" s="1">
        <f ca="1">IF(SUM(T5:T6)&gt;0,Assumptions!$C$26*SUM(T5:T6),Assumptions!$C$27*(SUM(T5:T6)))</f>
        <v>10491734.508934766</v>
      </c>
      <c r="U8" s="1">
        <f ca="1">IF(SUM(U5:U6)&gt;0,Assumptions!$C$26*SUM(U5:U6),Assumptions!$C$27*(SUM(U5:U6)))</f>
        <v>10894466.08938613</v>
      </c>
      <c r="V8" s="1">
        <f ca="1">IF(SUM(V5:V6)&gt;0,Assumptions!$C$26*SUM(V5:V6),Assumptions!$C$27*(SUM(V5:V6)))</f>
        <v>11310250.867376033</v>
      </c>
      <c r="W8" s="1">
        <f ca="1">IF(SUM(W5:W6)&gt;0,Assumptions!$C$26*SUM(W5:W6),Assumptions!$C$27*(SUM(W5:W6)))</f>
        <v>11736672.153875001</v>
      </c>
      <c r="X8" s="1">
        <f ca="1">IF(SUM(X5:X6)&gt;0,Assumptions!$C$26*SUM(X5:X6),Assumptions!$C$27*(SUM(X5:X6)))</f>
        <v>12170933.56560247</v>
      </c>
      <c r="Y8" s="1">
        <f ca="1">IF(SUM(Y5:Y6)&gt;0,Assumptions!$C$26*SUM(Y5:Y6),Assumptions!$C$27*(SUM(Y5:Y6)))</f>
        <v>12668838.721658163</v>
      </c>
      <c r="Z8" s="1">
        <f ca="1">IF(SUM(Z5:Z6)&gt;0,Assumptions!$C$26*SUM(Z5:Z6),Assumptions!$C$27*(SUM(Z5:Z6)))</f>
        <v>13283438.707395365</v>
      </c>
      <c r="AA8" s="1">
        <f ca="1">IF(SUM(AA5:AA6)&gt;0,Assumptions!$C$26*SUM(AA5:AA6),Assumptions!$C$27*(SUM(AA5:AA6)))</f>
        <v>14024209.006765032</v>
      </c>
      <c r="AB8" s="1">
        <f ca="1">IF(SUM(AB5:AB6)&gt;0,Assumptions!$C$26*SUM(AB5:AB6),Assumptions!$C$27*(SUM(AB5:AB6)))</f>
        <v>14901186.700289622</v>
      </c>
      <c r="AC8" s="1">
        <f ca="1">IF(SUM(AC5:AC6)&gt;0,Assumptions!$C$26*SUM(AC5:AC6),Assumptions!$C$27*(SUM(AC5:AC6)))</f>
        <v>15924999.170071116</v>
      </c>
      <c r="AD8" s="1">
        <f ca="1">IF(SUM(AD5:AD6)&gt;0,Assumptions!$C$26*SUM(AD5:AD6),Assumptions!$C$27*(SUM(AD5:AD6)))</f>
        <v>17106894.153649602</v>
      </c>
      <c r="AE8" s="1">
        <f ca="1">IF(SUM(AE5:AE6)&gt;0,Assumptions!$C$26*SUM(AE5:AE6),Assumptions!$C$27*(SUM(AE5:AE6)))</f>
        <v>18458771.206794549</v>
      </c>
      <c r="AF8" s="1">
        <f ca="1">IF(SUM(AF5:AF6)&gt;0,Assumptions!$C$26*SUM(AF5:AF6),Assumptions!$C$27*(SUM(AF5:AF6)))</f>
        <v>19993214.637890417</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3"/>
  <sheetViews>
    <sheetView zoomScaleNormal="100" workbookViewId="0">
      <selection sqref="A1:XFD1048576"/>
    </sheetView>
  </sheetViews>
  <sheetFormatPr defaultRowHeight="15.5" x14ac:dyDescent="0.35"/>
  <cols>
    <col min="1" max="1" width="107.9140625" style="63" customWidth="1"/>
    <col min="2" max="2" width="18.1640625" style="63" bestFit="1" customWidth="1"/>
    <col min="3" max="3" width="41.4140625" style="63" customWidth="1"/>
    <col min="4" max="16384" width="8.6640625" style="63"/>
  </cols>
  <sheetData>
    <row r="1" spans="1:3" ht="26" x14ac:dyDescent="0.6">
      <c r="A1" s="13" t="s">
        <v>184</v>
      </c>
    </row>
    <row r="2" spans="1:3" ht="26" x14ac:dyDescent="0.6">
      <c r="A2" s="13"/>
    </row>
    <row r="3" spans="1:3" ht="186" x14ac:dyDescent="0.35">
      <c r="A3" s="173" t="s">
        <v>187</v>
      </c>
    </row>
    <row r="4" spans="1:3" ht="26" x14ac:dyDescent="0.6">
      <c r="A4" s="13"/>
      <c r="B4" s="180"/>
    </row>
    <row r="5" spans="1:3" ht="18.5" x14ac:dyDescent="0.45">
      <c r="A5" s="89" t="s">
        <v>176</v>
      </c>
      <c r="B5" s="181"/>
    </row>
    <row r="6" spans="1:3" ht="18.5" x14ac:dyDescent="0.45">
      <c r="A6" s="90"/>
      <c r="B6" s="181"/>
    </row>
    <row r="7" spans="1:3" ht="18.5" x14ac:dyDescent="0.45">
      <c r="A7" s="90" t="s">
        <v>96</v>
      </c>
      <c r="B7" s="182">
        <f>Assumptions!C24</f>
        <v>20060000</v>
      </c>
      <c r="C7" s="179" t="s">
        <v>199</v>
      </c>
    </row>
    <row r="8" spans="1:3" ht="34" x14ac:dyDescent="0.45">
      <c r="A8" s="90" t="s">
        <v>173</v>
      </c>
      <c r="B8" s="183">
        <f>Assumptions!$C$133</f>
        <v>0.7</v>
      </c>
      <c r="C8" s="179" t="s">
        <v>200</v>
      </c>
    </row>
    <row r="9" spans="1:3" ht="18.5" x14ac:dyDescent="0.45">
      <c r="A9" s="90"/>
      <c r="B9" s="184"/>
      <c r="C9" s="179"/>
    </row>
    <row r="10" spans="1:3" ht="85" x14ac:dyDescent="0.45">
      <c r="A10" s="94" t="s">
        <v>102</v>
      </c>
      <c r="B10" s="185">
        <f>Assumptions!C135</f>
        <v>7314.2592592592591</v>
      </c>
      <c r="C10" s="179" t="s">
        <v>201</v>
      </c>
    </row>
    <row r="11" spans="1:3" ht="18.5" x14ac:dyDescent="0.45">
      <c r="A11" s="94"/>
      <c r="B11" s="186"/>
      <c r="C11" s="179"/>
    </row>
    <row r="12" spans="1:3" ht="18.5" x14ac:dyDescent="0.45">
      <c r="A12" s="94" t="s">
        <v>183</v>
      </c>
      <c r="B12" s="182">
        <f>(B7*B8)/B10</f>
        <v>1919.8116312631339</v>
      </c>
      <c r="C12" s="179"/>
    </row>
    <row r="13" spans="1:3" ht="18.5" x14ac:dyDescent="0.45">
      <c r="A13" s="96"/>
      <c r="B13" s="187"/>
      <c r="C13" s="179"/>
    </row>
    <row r="14" spans="1:3" ht="18.5" x14ac:dyDescent="0.45">
      <c r="A14" s="94" t="s">
        <v>103</v>
      </c>
      <c r="B14" s="103">
        <v>1</v>
      </c>
      <c r="C14" s="179"/>
    </row>
    <row r="15" spans="1:3" ht="18.5" x14ac:dyDescent="0.45">
      <c r="A15" s="96"/>
      <c r="B15" s="99"/>
      <c r="C15" s="179"/>
    </row>
    <row r="16" spans="1:3" ht="18.5" x14ac:dyDescent="0.45">
      <c r="A16" s="96" t="s">
        <v>178</v>
      </c>
      <c r="B16" s="188">
        <f>B12/B14</f>
        <v>1919.8116312631339</v>
      </c>
      <c r="C16" s="179"/>
    </row>
    <row r="17" spans="1:3" ht="18.5" x14ac:dyDescent="0.45">
      <c r="A17" s="94"/>
      <c r="B17" s="189"/>
      <c r="C17" s="179"/>
    </row>
    <row r="18" spans="1:3" ht="18.5" x14ac:dyDescent="0.45">
      <c r="A18" s="102" t="s">
        <v>177</v>
      </c>
      <c r="B18" s="189"/>
      <c r="C18" s="179"/>
    </row>
    <row r="19" spans="1:3" ht="18.5" x14ac:dyDescent="0.45">
      <c r="A19" s="94"/>
      <c r="B19" s="189"/>
      <c r="C19" s="179"/>
    </row>
    <row r="20" spans="1:3" ht="51" x14ac:dyDescent="0.45">
      <c r="A20" s="94" t="s">
        <v>65</v>
      </c>
      <c r="B20" s="182">
        <f>'Profit and Loss'!L5</f>
        <v>82847969.92750445</v>
      </c>
      <c r="C20" s="179" t="s">
        <v>202</v>
      </c>
    </row>
    <row r="21" spans="1:3" ht="34" x14ac:dyDescent="0.45">
      <c r="A21" s="94" t="str">
        <f>A8</f>
        <v>Assumed revenue from households</v>
      </c>
      <c r="B21" s="183">
        <f>B8</f>
        <v>0.7</v>
      </c>
      <c r="C21" s="179" t="s">
        <v>200</v>
      </c>
    </row>
    <row r="22" spans="1:3" ht="18.5" x14ac:dyDescent="0.45">
      <c r="A22" s="94"/>
      <c r="B22" s="186"/>
      <c r="C22" s="179"/>
    </row>
    <row r="23" spans="1:3" ht="34" x14ac:dyDescent="0.45">
      <c r="A23" s="94" t="s">
        <v>101</v>
      </c>
      <c r="B23" s="185">
        <f>Assumptions!M135</f>
        <v>8129.2185082017977</v>
      </c>
      <c r="C23" s="179" t="s">
        <v>203</v>
      </c>
    </row>
    <row r="24" spans="1:3" ht="18.5" x14ac:dyDescent="0.45">
      <c r="A24" s="94"/>
      <c r="B24" s="186"/>
      <c r="C24" s="179"/>
    </row>
    <row r="25" spans="1:3" ht="18.5" x14ac:dyDescent="0.45">
      <c r="A25" s="94" t="s">
        <v>182</v>
      </c>
      <c r="B25" s="182">
        <f>(B20*B21)/B23</f>
        <v>7133.9672922731452</v>
      </c>
      <c r="C25" s="179"/>
    </row>
    <row r="26" spans="1:3" ht="18.5" x14ac:dyDescent="0.45">
      <c r="A26" s="94"/>
      <c r="B26" s="182"/>
      <c r="C26" s="179"/>
    </row>
    <row r="27" spans="1:3" ht="34" x14ac:dyDescent="0.45">
      <c r="A27" s="94" t="s">
        <v>103</v>
      </c>
      <c r="B27" s="103">
        <f>1.022^11</f>
        <v>1.2704566586717592</v>
      </c>
      <c r="C27" s="179" t="s">
        <v>204</v>
      </c>
    </row>
    <row r="28" spans="1:3" ht="18.5" x14ac:dyDescent="0.45">
      <c r="A28" s="96"/>
      <c r="B28" s="187"/>
      <c r="C28" s="179"/>
    </row>
    <row r="29" spans="1:3" ht="18.5" x14ac:dyDescent="0.45">
      <c r="A29" s="96" t="s">
        <v>179</v>
      </c>
      <c r="B29" s="182">
        <f>B25/B27</f>
        <v>5615.277973930718</v>
      </c>
      <c r="C29" s="179"/>
    </row>
    <row r="30" spans="1:3" ht="18.5" x14ac:dyDescent="0.45">
      <c r="A30" s="96"/>
      <c r="B30" s="187"/>
      <c r="C30" s="179"/>
    </row>
    <row r="31" spans="1:3" ht="18.5" x14ac:dyDescent="0.45">
      <c r="A31" s="102" t="s">
        <v>185</v>
      </c>
      <c r="B31" s="190"/>
      <c r="C31" s="179"/>
    </row>
    <row r="32" spans="1:3" ht="18.5" x14ac:dyDescent="0.45">
      <c r="A32" s="94"/>
      <c r="B32" s="182"/>
      <c r="C32" s="179"/>
    </row>
    <row r="33" spans="1:3" ht="51" x14ac:dyDescent="0.45">
      <c r="A33" s="94" t="s">
        <v>66</v>
      </c>
      <c r="B33" s="182">
        <f>'Profit and Loss'!AF5</f>
        <v>210147414.24660653</v>
      </c>
      <c r="C33" s="179" t="s">
        <v>202</v>
      </c>
    </row>
    <row r="34" spans="1:3" ht="34" x14ac:dyDescent="0.45">
      <c r="A34" s="94" t="str">
        <f>A21</f>
        <v>Assumed revenue from households</v>
      </c>
      <c r="B34" s="183">
        <f>B21</f>
        <v>0.7</v>
      </c>
      <c r="C34" s="179" t="s">
        <v>200</v>
      </c>
    </row>
    <row r="35" spans="1:3" ht="18.5" x14ac:dyDescent="0.45">
      <c r="A35" s="94"/>
      <c r="B35" s="186"/>
      <c r="C35" s="179"/>
    </row>
    <row r="36" spans="1:3" ht="34" x14ac:dyDescent="0.45">
      <c r="A36" s="94" t="s">
        <v>100</v>
      </c>
      <c r="B36" s="185">
        <f>Assumptions!AG135</f>
        <v>10041.664137648177</v>
      </c>
      <c r="C36" s="179" t="s">
        <v>203</v>
      </c>
    </row>
    <row r="37" spans="1:3" ht="18.5" x14ac:dyDescent="0.45">
      <c r="A37" s="94"/>
      <c r="B37" s="186"/>
      <c r="C37" s="179"/>
    </row>
    <row r="38" spans="1:3" ht="18.5" x14ac:dyDescent="0.45">
      <c r="A38" s="94" t="s">
        <v>181</v>
      </c>
      <c r="B38" s="182">
        <f>(B33*B34)/B36</f>
        <v>14649.284018682296</v>
      </c>
      <c r="C38" s="179"/>
    </row>
    <row r="39" spans="1:3" ht="18.5" x14ac:dyDescent="0.45">
      <c r="A39" s="94"/>
      <c r="B39" s="186"/>
      <c r="C39" s="179"/>
    </row>
    <row r="40" spans="1:3" ht="34" x14ac:dyDescent="0.45">
      <c r="A40" s="94" t="s">
        <v>103</v>
      </c>
      <c r="B40" s="103">
        <f>1.022^31</f>
        <v>1.9632597808456462</v>
      </c>
      <c r="C40" s="179" t="s">
        <v>204</v>
      </c>
    </row>
    <row r="41" spans="1:3" ht="18.5" x14ac:dyDescent="0.45">
      <c r="A41" s="96"/>
      <c r="B41" s="187"/>
    </row>
    <row r="42" spans="1:3" ht="18.5" x14ac:dyDescent="0.45">
      <c r="A42" s="96" t="s">
        <v>180</v>
      </c>
      <c r="B42" s="182">
        <f>B38/B40</f>
        <v>7461.7145227578212</v>
      </c>
    </row>
    <row r="43" spans="1:3" x14ac:dyDescent="0.35">
      <c r="B43" s="18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160</v>
      </c>
    </row>
    <row r="2" spans="1:33" ht="26.5" thickBot="1" x14ac:dyDescent="0.4">
      <c r="A2" s="111"/>
      <c r="B2" s="111"/>
      <c r="D2" s="112"/>
    </row>
    <row r="3" spans="1:33" s="114" customFormat="1" ht="21.5" thickBot="1" x14ac:dyDescent="0.4">
      <c r="A3" s="84"/>
      <c r="B3" s="84"/>
      <c r="C3" s="113"/>
      <c r="D3" s="191" t="s">
        <v>27</v>
      </c>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row>
    <row r="4" spans="1:33" s="120" customFormat="1" ht="16" thickBot="1" x14ac:dyDescent="0.4">
      <c r="A4" s="115" t="s">
        <v>25</v>
      </c>
      <c r="B4" s="115" t="s">
        <v>195</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137</v>
      </c>
      <c r="C13" s="127">
        <v>1.0619897863394456E-2</v>
      </c>
      <c r="D13" s="128">
        <f t="shared" ref="D13:AG13" si="3">(1+$C$13)^D8</f>
        <v>1.0106198978633945</v>
      </c>
      <c r="E13" s="128">
        <f t="shared" si="3"/>
        <v>1.0213525779574177</v>
      </c>
      <c r="F13" s="128">
        <f t="shared" si="3"/>
        <v>1.0321992380178402</v>
      </c>
      <c r="G13" s="128">
        <f t="shared" si="3"/>
        <v>1.0431610885002631</v>
      </c>
      <c r="H13" s="128">
        <f t="shared" si="3"/>
        <v>1.0542393527152032</v>
      </c>
      <c r="I13" s="128">
        <f t="shared" si="3"/>
        <v>1.0654352669646097</v>
      </c>
      <c r="J13" s="128">
        <f t="shared" si="3"/>
        <v>1.0767500806798322</v>
      </c>
      <c r="K13" s="128">
        <f t="shared" si="3"/>
        <v>1.0881850565610538</v>
      </c>
      <c r="L13" s="128">
        <f t="shared" si="3"/>
        <v>1.0997414707182043</v>
      </c>
      <c r="M13" s="128">
        <f t="shared" si="3"/>
        <v>1.1114206128133708</v>
      </c>
      <c r="N13" s="128">
        <f t="shared" si="3"/>
        <v>1.1232237862047201</v>
      </c>
      <c r="O13" s="128">
        <f t="shared" si="3"/>
        <v>1.1351523080919492</v>
      </c>
      <c r="P13" s="128">
        <f t="shared" si="3"/>
        <v>1.1472075096632821</v>
      </c>
      <c r="Q13" s="128">
        <f t="shared" si="3"/>
        <v>1.1593907362440252</v>
      </c>
      <c r="R13" s="128">
        <f t="shared" si="3"/>
        <v>1.1717033474467025</v>
      </c>
      <c r="S13" s="128">
        <f t="shared" si="3"/>
        <v>1.1841467173227838</v>
      </c>
      <c r="T13" s="128">
        <f t="shared" si="3"/>
        <v>1.1967222345160256</v>
      </c>
      <c r="U13" s="128">
        <f t="shared" si="3"/>
        <v>1.2094313024174388</v>
      </c>
      <c r="V13" s="128">
        <f t="shared" si="3"/>
        <v>1.2222753393219041</v>
      </c>
      <c r="W13" s="128">
        <f t="shared" si="3"/>
        <v>1.2352557785864484</v>
      </c>
      <c r="X13" s="128">
        <f t="shared" si="3"/>
        <v>1.2483740687902043</v>
      </c>
      <c r="Y13" s="128">
        <f t="shared" si="3"/>
        <v>1.2616316738960662</v>
      </c>
      <c r="Z13" s="128">
        <f t="shared" si="3"/>
        <v>1.2750300734140658</v>
      </c>
      <c r="AA13" s="128">
        <f t="shared" si="3"/>
        <v>1.2885707625664797</v>
      </c>
      <c r="AB13" s="128">
        <f t="shared" si="3"/>
        <v>1.302255252454692</v>
      </c>
      <c r="AC13" s="128">
        <f t="shared" si="3"/>
        <v>1.3160850702278297</v>
      </c>
      <c r="AD13" s="128">
        <f t="shared" si="3"/>
        <v>1.3300617592531876</v>
      </c>
      <c r="AE13" s="128">
        <f t="shared" si="3"/>
        <v>1.344186879288463</v>
      </c>
      <c r="AF13" s="128">
        <f t="shared" si="3"/>
        <v>1.3584620066558213</v>
      </c>
      <c r="AG13" s="128">
        <f t="shared" si="3"/>
        <v>1.3728887344178078</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191</v>
      </c>
      <c r="B15" s="178" t="s">
        <v>192</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169</v>
      </c>
      <c r="C17" s="136">
        <f>AVERAGE(C49:C50)</f>
        <v>508328816.34700078</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254164408.17350039</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136</v>
      </c>
      <c r="C20" s="137">
        <v>75564000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158</v>
      </c>
      <c r="B22" s="178" t="s">
        <v>192</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198</v>
      </c>
      <c r="C24" s="136">
        <v>20060000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194</v>
      </c>
      <c r="C25" s="136">
        <v>9515642.6199999992</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159</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462117105.7700007</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554540526.92400086</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170</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170</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1364883.1634602344</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2316406.6359261479</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1840644.8996931911</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3720290.5261273324</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5940236.9760965891</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4830263.751111961</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7146670.3870381089</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140</v>
      </c>
      <c r="B77" s="70" t="s">
        <v>175</v>
      </c>
      <c r="C77" s="87">
        <v>26749058.493673611</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141</v>
      </c>
      <c r="B79" s="69" t="s">
        <v>154</v>
      </c>
      <c r="C79" s="87">
        <v>878324273.46225727</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142</v>
      </c>
      <c r="B80" s="69" t="s">
        <v>154</v>
      </c>
      <c r="C80" s="87">
        <v>925648547.27711296</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143</v>
      </c>
      <c r="B82" s="69" t="s">
        <v>86</v>
      </c>
      <c r="C82" s="87">
        <f>C79+$C$77</f>
        <v>905073331.95593083</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144</v>
      </c>
      <c r="B83" s="69" t="s">
        <v>86</v>
      </c>
      <c r="C83" s="87">
        <f>C80+$C$77</f>
        <v>952397605.77078652</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149</v>
      </c>
      <c r="B85" s="69" t="s">
        <v>196</v>
      </c>
      <c r="C85" s="150">
        <v>21832</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150</v>
      </c>
      <c r="B86" s="69" t="s">
        <v>133</v>
      </c>
      <c r="C86" s="150">
        <v>17665</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19748.5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145</v>
      </c>
      <c r="B89" s="69" t="s">
        <v>86</v>
      </c>
      <c r="C89" s="150">
        <f>C82/$C$87</f>
        <v>45829.978578420174</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145</v>
      </c>
      <c r="B90" s="69" t="s">
        <v>86</v>
      </c>
      <c r="C90" s="150">
        <f>C83/$C$87</f>
        <v>48226.326342293672</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146</v>
      </c>
      <c r="B92" s="69" t="s">
        <v>153</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147</v>
      </c>
      <c r="B94" s="69" t="s">
        <v>86</v>
      </c>
      <c r="C94" s="87">
        <f>IF(C89&lt;$C$92,C89*$C$87,$C$92*$C$87)</f>
        <v>905073331.95593083</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148</v>
      </c>
      <c r="B95" s="69" t="s">
        <v>86</v>
      </c>
      <c r="C95" s="87">
        <f>IF(C90&lt;$C$92,C90*$C$87,$C$92*$C$87)</f>
        <v>952397605.77078664</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152</v>
      </c>
      <c r="B96" s="69" t="s">
        <v>86</v>
      </c>
      <c r="C96" s="87">
        <f>AVERAGE(C94:C95)</f>
        <v>928735468.86335874</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928735468.86335874</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30957848.962111957</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168</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168</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7146670.3870381089</v>
      </c>
      <c r="E111" s="149">
        <f t="shared" si="9"/>
        <v>7146670.3870381089</v>
      </c>
      <c r="F111" s="149">
        <f t="shared" si="9"/>
        <v>7146670.3870381089</v>
      </c>
      <c r="G111" s="149">
        <f t="shared" si="9"/>
        <v>7146670.3870381089</v>
      </c>
      <c r="H111" s="149">
        <f t="shared" si="9"/>
        <v>7146670.3870381089</v>
      </c>
      <c r="I111" s="149">
        <f t="shared" si="9"/>
        <v>7146670.3870381089</v>
      </c>
      <c r="J111" s="149">
        <f t="shared" si="9"/>
        <v>7146670.3870381089</v>
      </c>
      <c r="K111" s="149">
        <f t="shared" si="9"/>
        <v>7146670.3870381089</v>
      </c>
      <c r="L111" s="149">
        <f t="shared" si="9"/>
        <v>7146670.3870381089</v>
      </c>
      <c r="M111" s="149">
        <f t="shared" si="9"/>
        <v>7146670.3870381089</v>
      </c>
      <c r="N111" s="149">
        <f t="shared" si="9"/>
        <v>7146670.3870381089</v>
      </c>
      <c r="O111" s="149">
        <f t="shared" si="9"/>
        <v>7146670.3870381089</v>
      </c>
      <c r="P111" s="149">
        <f t="shared" si="9"/>
        <v>7146670.3870381089</v>
      </c>
      <c r="Q111" s="149">
        <f t="shared" si="9"/>
        <v>7146670.3870381089</v>
      </c>
      <c r="R111" s="149">
        <f t="shared" si="9"/>
        <v>7146670.3870381089</v>
      </c>
      <c r="S111" s="149">
        <f t="shared" si="9"/>
        <v>7146670.3870381089</v>
      </c>
      <c r="T111" s="149">
        <f t="shared" si="9"/>
        <v>7146670.3870381089</v>
      </c>
      <c r="U111" s="149">
        <f t="shared" si="9"/>
        <v>7146670.3870381089</v>
      </c>
      <c r="V111" s="149">
        <f t="shared" si="9"/>
        <v>7146670.3870381089</v>
      </c>
      <c r="W111" s="149">
        <f t="shared" si="9"/>
        <v>7146670.3870381089</v>
      </c>
      <c r="X111" s="149">
        <f t="shared" si="9"/>
        <v>7146670.3870381089</v>
      </c>
      <c r="Y111" s="149">
        <f t="shared" si="9"/>
        <v>7146670.3870381089</v>
      </c>
      <c r="Z111" s="149">
        <f t="shared" si="9"/>
        <v>7146670.3870381089</v>
      </c>
      <c r="AA111" s="149">
        <f t="shared" si="9"/>
        <v>7146670.3870381089</v>
      </c>
      <c r="AB111" s="149">
        <f t="shared" si="9"/>
        <v>7146670.3870381089</v>
      </c>
      <c r="AC111" s="149">
        <f t="shared" si="9"/>
        <v>7146670.3870381089</v>
      </c>
      <c r="AD111" s="149">
        <f t="shared" si="9"/>
        <v>7146670.3870381089</v>
      </c>
      <c r="AE111" s="149">
        <f t="shared" si="9"/>
        <v>7146670.3870381089</v>
      </c>
      <c r="AF111" s="149">
        <f t="shared" si="9"/>
        <v>7146670.3870381089</v>
      </c>
      <c r="AG111" s="149">
        <f t="shared" si="9"/>
        <v>7146670.3870381089</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928735468.86335862</v>
      </c>
      <c r="D113" s="149">
        <f t="shared" ref="D113:AG113" si="10">$C$102</f>
        <v>30957848.962111957</v>
      </c>
      <c r="E113" s="149">
        <f t="shared" si="10"/>
        <v>30957848.962111957</v>
      </c>
      <c r="F113" s="149">
        <f t="shared" si="10"/>
        <v>30957848.962111957</v>
      </c>
      <c r="G113" s="149">
        <f t="shared" si="10"/>
        <v>30957848.962111957</v>
      </c>
      <c r="H113" s="149">
        <f t="shared" si="10"/>
        <v>30957848.962111957</v>
      </c>
      <c r="I113" s="149">
        <f t="shared" si="10"/>
        <v>30957848.962111957</v>
      </c>
      <c r="J113" s="149">
        <f t="shared" si="10"/>
        <v>30957848.962111957</v>
      </c>
      <c r="K113" s="149">
        <f t="shared" si="10"/>
        <v>30957848.962111957</v>
      </c>
      <c r="L113" s="149">
        <f t="shared" si="10"/>
        <v>30957848.962111957</v>
      </c>
      <c r="M113" s="149">
        <f t="shared" si="10"/>
        <v>30957848.962111957</v>
      </c>
      <c r="N113" s="149">
        <f t="shared" si="10"/>
        <v>30957848.962111957</v>
      </c>
      <c r="O113" s="149">
        <f t="shared" si="10"/>
        <v>30957848.962111957</v>
      </c>
      <c r="P113" s="149">
        <f t="shared" si="10"/>
        <v>30957848.962111957</v>
      </c>
      <c r="Q113" s="149">
        <f t="shared" si="10"/>
        <v>30957848.962111957</v>
      </c>
      <c r="R113" s="149">
        <f t="shared" si="10"/>
        <v>30957848.962111957</v>
      </c>
      <c r="S113" s="149">
        <f t="shared" si="10"/>
        <v>30957848.962111957</v>
      </c>
      <c r="T113" s="149">
        <f t="shared" si="10"/>
        <v>30957848.962111957</v>
      </c>
      <c r="U113" s="149">
        <f t="shared" si="10"/>
        <v>30957848.962111957</v>
      </c>
      <c r="V113" s="149">
        <f t="shared" si="10"/>
        <v>30957848.962111957</v>
      </c>
      <c r="W113" s="149">
        <f t="shared" si="10"/>
        <v>30957848.962111957</v>
      </c>
      <c r="X113" s="149">
        <f t="shared" si="10"/>
        <v>30957848.962111957</v>
      </c>
      <c r="Y113" s="149">
        <f t="shared" si="10"/>
        <v>30957848.962111957</v>
      </c>
      <c r="Z113" s="149">
        <f t="shared" si="10"/>
        <v>30957848.962111957</v>
      </c>
      <c r="AA113" s="149">
        <f t="shared" si="10"/>
        <v>30957848.962111957</v>
      </c>
      <c r="AB113" s="149">
        <f t="shared" si="10"/>
        <v>30957848.962111957</v>
      </c>
      <c r="AC113" s="149">
        <f t="shared" si="10"/>
        <v>30957848.962111957</v>
      </c>
      <c r="AD113" s="149">
        <f t="shared" si="10"/>
        <v>30957848.962111957</v>
      </c>
      <c r="AE113" s="149">
        <f t="shared" si="10"/>
        <v>30957848.962111957</v>
      </c>
      <c r="AF113" s="149">
        <f t="shared" si="10"/>
        <v>30957848.962111957</v>
      </c>
      <c r="AG113" s="149">
        <f t="shared" si="10"/>
        <v>30957848.962111957</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30957848.962111957</v>
      </c>
      <c r="E118" s="149">
        <f t="shared" ref="E118:AG118" si="13">E113+E115+E116</f>
        <v>30957848.962111957</v>
      </c>
      <c r="F118" s="149">
        <f>F113+F115+F116</f>
        <v>30957848.962111957</v>
      </c>
      <c r="G118" s="149">
        <f t="shared" si="13"/>
        <v>30957848.962111957</v>
      </c>
      <c r="H118" s="149">
        <f t="shared" si="13"/>
        <v>30957848.962111957</v>
      </c>
      <c r="I118" s="149">
        <f t="shared" si="13"/>
        <v>30957848.962111957</v>
      </c>
      <c r="J118" s="149">
        <f t="shared" si="13"/>
        <v>30957848.962111957</v>
      </c>
      <c r="K118" s="149">
        <f t="shared" si="13"/>
        <v>30957848.962111957</v>
      </c>
      <c r="L118" s="149">
        <f t="shared" si="13"/>
        <v>30957848.962111957</v>
      </c>
      <c r="M118" s="149">
        <f t="shared" si="13"/>
        <v>30957848.962111957</v>
      </c>
      <c r="N118" s="149">
        <f t="shared" si="13"/>
        <v>30957848.962111957</v>
      </c>
      <c r="O118" s="149">
        <f t="shared" si="13"/>
        <v>30957848.962111957</v>
      </c>
      <c r="P118" s="149">
        <f t="shared" si="13"/>
        <v>30957848.962111957</v>
      </c>
      <c r="Q118" s="149">
        <f t="shared" si="13"/>
        <v>30957848.962111957</v>
      </c>
      <c r="R118" s="149">
        <f t="shared" si="13"/>
        <v>30957848.962111957</v>
      </c>
      <c r="S118" s="149">
        <f t="shared" si="13"/>
        <v>30957848.962111957</v>
      </c>
      <c r="T118" s="149">
        <f t="shared" si="13"/>
        <v>30957848.962111957</v>
      </c>
      <c r="U118" s="149">
        <f t="shared" si="13"/>
        <v>30957848.962111957</v>
      </c>
      <c r="V118" s="149">
        <f t="shared" si="13"/>
        <v>30957848.962111957</v>
      </c>
      <c r="W118" s="149">
        <f t="shared" si="13"/>
        <v>30957848.962111957</v>
      </c>
      <c r="X118" s="149">
        <f t="shared" si="13"/>
        <v>30957848.962111957</v>
      </c>
      <c r="Y118" s="149">
        <f t="shared" si="13"/>
        <v>30957848.962111957</v>
      </c>
      <c r="Z118" s="149">
        <f t="shared" si="13"/>
        <v>30957848.962111957</v>
      </c>
      <c r="AA118" s="149">
        <f t="shared" si="13"/>
        <v>30957848.962111957</v>
      </c>
      <c r="AB118" s="149">
        <f t="shared" si="13"/>
        <v>30957848.962111957</v>
      </c>
      <c r="AC118" s="149">
        <f t="shared" si="13"/>
        <v>30957848.962111957</v>
      </c>
      <c r="AD118" s="149">
        <f t="shared" si="13"/>
        <v>30957848.962111957</v>
      </c>
      <c r="AE118" s="149">
        <f t="shared" si="13"/>
        <v>30957848.962111957</v>
      </c>
      <c r="AF118" s="149">
        <f t="shared" si="13"/>
        <v>30957848.962111957</v>
      </c>
      <c r="AG118" s="149">
        <f t="shared" si="13"/>
        <v>30957848.962111957</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742988.37509068695</v>
      </c>
      <c r="E120" s="149">
        <f>(SUM($D$118:E118)*$C$104/$C$106)+(SUM($D$118:E118)*$C$105/$C$107)</f>
        <v>1485976.7501813739</v>
      </c>
      <c r="F120" s="149">
        <f>(SUM($D$118:F118)*$C$104/$C$106)+(SUM($D$118:F118)*$C$105/$C$107)</f>
        <v>2228965.1252720607</v>
      </c>
      <c r="G120" s="149">
        <f>(SUM($D$118:G118)*$C$104/$C$106)+(SUM($D$118:G118)*$C$105/$C$107)</f>
        <v>2971953.5003627478</v>
      </c>
      <c r="H120" s="149">
        <f>(SUM($D$118:H118)*$C$104/$C$106)+(SUM($D$118:H118)*$C$105/$C$107)</f>
        <v>3714941.8754534344</v>
      </c>
      <c r="I120" s="149">
        <f>(SUM($D$118:I118)*$C$104/$C$106)+(SUM($D$118:I118)*$C$105/$C$107)</f>
        <v>4457930.2505441215</v>
      </c>
      <c r="J120" s="149">
        <f>(SUM($D$118:J118)*$C$104/$C$106)+(SUM($D$118:J118)*$C$105/$C$107)</f>
        <v>5200918.6256348081</v>
      </c>
      <c r="K120" s="149">
        <f>(SUM($D$118:K118)*$C$104/$C$106)+(SUM($D$118:K118)*$C$105/$C$107)</f>
        <v>5943907.0007254947</v>
      </c>
      <c r="L120" s="149">
        <f>(SUM($D$118:L118)*$C$104/$C$106)+(SUM($D$118:L118)*$C$105/$C$107)</f>
        <v>6686895.3758161813</v>
      </c>
      <c r="M120" s="149">
        <f>(SUM($D$118:M118)*$C$104/$C$106)+(SUM($D$118:M118)*$C$105/$C$107)</f>
        <v>7429883.7509068688</v>
      </c>
      <c r="N120" s="149">
        <f>(SUM($D$118:N118)*$C$104/$C$106)+(SUM($D$118:N118)*$C$105/$C$107)</f>
        <v>8172872.1259975564</v>
      </c>
      <c r="O120" s="149">
        <f>(SUM($D$118:O118)*$C$104/$C$106)+(SUM($D$118:O118)*$C$105/$C$107)</f>
        <v>8915860.501088243</v>
      </c>
      <c r="P120" s="149">
        <f>(SUM($D$118:P118)*$C$104/$C$106)+(SUM($D$118:P118)*$C$105/$C$107)</f>
        <v>9658848.8761789296</v>
      </c>
      <c r="Q120" s="149">
        <f>(SUM($D$118:Q118)*$C$104/$C$106)+(SUM($D$118:Q118)*$C$105/$C$107)</f>
        <v>10401837.251269616</v>
      </c>
      <c r="R120" s="149">
        <f>(SUM($D$118:R118)*$C$104/$C$106)+(SUM($D$118:R118)*$C$105/$C$107)</f>
        <v>11144825.626360303</v>
      </c>
      <c r="S120" s="149">
        <f>(SUM($D$118:S118)*$C$104/$C$106)+(SUM($D$118:S118)*$C$105/$C$107)</f>
        <v>11887814.001450989</v>
      </c>
      <c r="T120" s="149">
        <f>(SUM($D$118:T118)*$C$104/$C$106)+(SUM($D$118:T118)*$C$105/$C$107)</f>
        <v>12630802.376541676</v>
      </c>
      <c r="U120" s="149">
        <f>(SUM($D$118:U118)*$C$104/$C$106)+(SUM($D$118:U118)*$C$105/$C$107)</f>
        <v>13373790.751632363</v>
      </c>
      <c r="V120" s="149">
        <f>(SUM($D$118:V118)*$C$104/$C$106)+(SUM($D$118:V118)*$C$105/$C$107)</f>
        <v>14116779.126723051</v>
      </c>
      <c r="W120" s="149">
        <f>(SUM($D$118:W118)*$C$104/$C$106)+(SUM($D$118:W118)*$C$105/$C$107)</f>
        <v>14859767.501813738</v>
      </c>
      <c r="X120" s="149">
        <f>(SUM($D$118:X118)*$C$104/$C$106)+(SUM($D$118:X118)*$C$105/$C$107)</f>
        <v>15602755.876904426</v>
      </c>
      <c r="Y120" s="149">
        <f>(SUM($D$118:Y118)*$C$104/$C$106)+(SUM($D$118:Y118)*$C$105/$C$107)</f>
        <v>16345744.251995113</v>
      </c>
      <c r="Z120" s="149">
        <f>(SUM($D$118:Z118)*$C$104/$C$106)+(SUM($D$118:Z118)*$C$105/$C$107)</f>
        <v>17088732.627085797</v>
      </c>
      <c r="AA120" s="149">
        <f>(SUM($D$118:AA118)*$C$104/$C$106)+(SUM($D$118:AA118)*$C$105/$C$107)</f>
        <v>17831721.002176486</v>
      </c>
      <c r="AB120" s="149">
        <f>(SUM($D$118:AB118)*$C$104/$C$106)+(SUM($D$118:AB118)*$C$105/$C$107)</f>
        <v>18574709.377267174</v>
      </c>
      <c r="AC120" s="149">
        <f>(SUM($D$118:AC118)*$C$104/$C$106)+(SUM($D$118:AC118)*$C$105/$C$107)</f>
        <v>19317697.752357859</v>
      </c>
      <c r="AD120" s="149">
        <f>(SUM($D$118:AD118)*$C$104/$C$106)+(SUM($D$118:AD118)*$C$105/$C$107)</f>
        <v>20060686.127448544</v>
      </c>
      <c r="AE120" s="149">
        <f>(SUM($D$118:AE118)*$C$104/$C$106)+(SUM($D$118:AE118)*$C$105/$C$107)</f>
        <v>20803674.502539232</v>
      </c>
      <c r="AF120" s="149">
        <f>(SUM($D$118:AF118)*$C$104/$C$106)+(SUM($D$118:AF118)*$C$105/$C$107)</f>
        <v>21546662.877629917</v>
      </c>
      <c r="AG120" s="149">
        <f>(SUM($D$118:AG118)*$C$104/$C$106)+(SUM($D$118:AG118)*$C$105/$C$107)</f>
        <v>22289651.252720606</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928735.46886335872</v>
      </c>
      <c r="E122" s="72">
        <f>(SUM($D$118:E118)*$C$109)</f>
        <v>1857470.9377267174</v>
      </c>
      <c r="F122" s="72">
        <f>(SUM($D$118:F118)*$C$109)</f>
        <v>2786206.4065900762</v>
      </c>
      <c r="G122" s="72">
        <f>(SUM($D$118:G118)*$C$109)</f>
        <v>3714941.8754534349</v>
      </c>
      <c r="H122" s="72">
        <f>(SUM($D$118:H118)*$C$109)</f>
        <v>4643677.3443167936</v>
      </c>
      <c r="I122" s="72">
        <f>(SUM($D$118:I118)*$C$109)</f>
        <v>5572412.8131801514</v>
      </c>
      <c r="J122" s="72">
        <f>(SUM($D$118:J118)*$C$109)</f>
        <v>6501148.2820435101</v>
      </c>
      <c r="K122" s="72">
        <f>(SUM($D$118:K118)*$C$109)</f>
        <v>7429883.7509068688</v>
      </c>
      <c r="L122" s="72">
        <f>(SUM($D$118:L118)*$C$109)</f>
        <v>8358619.2197702276</v>
      </c>
      <c r="M122" s="72">
        <f>(SUM($D$118:M118)*$C$109)</f>
        <v>9287354.6886335872</v>
      </c>
      <c r="N122" s="72">
        <f>(SUM($D$118:N118)*$C$109)</f>
        <v>10216090.157496944</v>
      </c>
      <c r="O122" s="72">
        <f>(SUM($D$118:O118)*$C$109)</f>
        <v>11144825.626360303</v>
      </c>
      <c r="P122" s="72">
        <f>(SUM($D$118:P118)*$C$109)</f>
        <v>12073561.095223662</v>
      </c>
      <c r="Q122" s="72">
        <f>(SUM($D$118:Q118)*$C$109)</f>
        <v>13002296.56408702</v>
      </c>
      <c r="R122" s="72">
        <f>(SUM($D$118:R118)*$C$109)</f>
        <v>13931032.032950379</v>
      </c>
      <c r="S122" s="72">
        <f>(SUM($D$118:S118)*$C$109)</f>
        <v>14859767.501813738</v>
      </c>
      <c r="T122" s="72">
        <f>(SUM($D$118:T118)*$C$109)</f>
        <v>15788502.970677096</v>
      </c>
      <c r="U122" s="72">
        <f>(SUM($D$118:U118)*$C$109)</f>
        <v>16717238.439540455</v>
      </c>
      <c r="V122" s="72">
        <f>(SUM($D$118:V118)*$C$109)</f>
        <v>17645973.908403814</v>
      </c>
      <c r="W122" s="72">
        <f>(SUM($D$118:W118)*$C$109)</f>
        <v>18574709.377267174</v>
      </c>
      <c r="X122" s="72">
        <f>(SUM($D$118:X118)*$C$109)</f>
        <v>19503444.846130531</v>
      </c>
      <c r="Y122" s="72">
        <f>(SUM($D$118:Y118)*$C$109)</f>
        <v>20432180.314993888</v>
      </c>
      <c r="Z122" s="72">
        <f>(SUM($D$118:Z118)*$C$109)</f>
        <v>21360915.783857249</v>
      </c>
      <c r="AA122" s="72">
        <f>(SUM($D$118:AA118)*$C$109)</f>
        <v>22289651.252720606</v>
      </c>
      <c r="AB122" s="72">
        <f>(SUM($D$118:AB118)*$C$109)</f>
        <v>23218386.721583966</v>
      </c>
      <c r="AC122" s="72">
        <f>(SUM($D$118:AC118)*$C$109)</f>
        <v>24147122.190447323</v>
      </c>
      <c r="AD122" s="72">
        <f>(SUM($D$118:AD118)*$C$109)</f>
        <v>25075857.659310684</v>
      </c>
      <c r="AE122" s="72">
        <f>(SUM($D$118:AE118)*$C$109)</f>
        <v>26004593.12817404</v>
      </c>
      <c r="AF122" s="72">
        <f>(SUM($D$118:AF118)*$C$109)</f>
        <v>26933328.597037397</v>
      </c>
      <c r="AG122" s="72">
        <f>(SUM($D$118:AG118)*$C$109)</f>
        <v>27862064.065900758</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151</v>
      </c>
      <c r="B126" s="77" t="s">
        <v>196</v>
      </c>
      <c r="C126" s="126">
        <v>21832</v>
      </c>
      <c r="D126" s="140"/>
    </row>
    <row r="127" spans="1:33" x14ac:dyDescent="0.35">
      <c r="A127" s="77" t="s">
        <v>150</v>
      </c>
      <c r="B127" s="77" t="s">
        <v>133</v>
      </c>
      <c r="C127" s="126">
        <v>17665</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19748.5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155</v>
      </c>
      <c r="B133" s="77" t="s">
        <v>156</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7314.2592592592591</v>
      </c>
      <c r="D135" s="157">
        <f t="shared" ref="D135:AG135" si="14">$C$135*D13</f>
        <v>7391.9359455389795</v>
      </c>
      <c r="E135" s="157">
        <f t="shared" si="14"/>
        <v>7470.4375502933572</v>
      </c>
      <c r="F135" s="157">
        <f t="shared" si="14"/>
        <v>7549.7728340723397</v>
      </c>
      <c r="G135" s="157">
        <f t="shared" si="14"/>
        <v>7629.9506504620167</v>
      </c>
      <c r="H135" s="157">
        <f t="shared" si="14"/>
        <v>7710.979947072663</v>
      </c>
      <c r="I135" s="157">
        <f t="shared" si="14"/>
        <v>7792.8697665372565</v>
      </c>
      <c r="J135" s="157">
        <f t="shared" si="14"/>
        <v>7875.6292475206174</v>
      </c>
      <c r="K135" s="157">
        <f t="shared" si="14"/>
        <v>7959.2676257392486</v>
      </c>
      <c r="L135" s="157">
        <f t="shared" si="14"/>
        <v>8043.7942349920213</v>
      </c>
      <c r="M135" s="157">
        <f t="shared" si="14"/>
        <v>8129.2185082017977</v>
      </c>
      <c r="N135" s="157">
        <f t="shared" si="14"/>
        <v>8215.549978468116</v>
      </c>
      <c r="O135" s="157">
        <f t="shared" si="14"/>
        <v>8302.7982801310591</v>
      </c>
      <c r="P135" s="157">
        <f t="shared" si="14"/>
        <v>8390.9731498464171</v>
      </c>
      <c r="Q135" s="157">
        <f t="shared" si="14"/>
        <v>8480.084427672271</v>
      </c>
      <c r="R135" s="157">
        <f t="shared" si="14"/>
        <v>8570.1420581671118</v>
      </c>
      <c r="S135" s="157">
        <f t="shared" si="14"/>
        <v>8661.156091499628</v>
      </c>
      <c r="T135" s="157">
        <f t="shared" si="14"/>
        <v>8753.1366845702705</v>
      </c>
      <c r="U135" s="157">
        <f t="shared" si="14"/>
        <v>8846.0941021447361</v>
      </c>
      <c r="V135" s="157">
        <f t="shared" si="14"/>
        <v>8940.0387179994905</v>
      </c>
      <c r="W135" s="157">
        <f t="shared" si="14"/>
        <v>9034.981016079435</v>
      </c>
      <c r="X135" s="157">
        <f t="shared" si="14"/>
        <v>9130.9315916679079</v>
      </c>
      <c r="Y135" s="157">
        <f t="shared" si="14"/>
        <v>9227.9011525690603</v>
      </c>
      <c r="Z135" s="157">
        <f t="shared" si="14"/>
        <v>9325.9005203028446</v>
      </c>
      <c r="AA135" s="157">
        <f t="shared" si="14"/>
        <v>9424.9406313126383</v>
      </c>
      <c r="AB135" s="157">
        <f t="shared" si="14"/>
        <v>9525.0325381857347</v>
      </c>
      <c r="AC135" s="157">
        <f t="shared" si="14"/>
        <v>9626.187410886776</v>
      </c>
      <c r="AD135" s="157">
        <f t="shared" si="14"/>
        <v>9728.4165380042868</v>
      </c>
      <c r="AE135" s="157">
        <f t="shared" si="14"/>
        <v>9831.7313280104481</v>
      </c>
      <c r="AF135" s="157">
        <f t="shared" si="14"/>
        <v>9936.1433105342549</v>
      </c>
      <c r="AG135" s="157">
        <f t="shared" si="14"/>
        <v>10041.664137648177</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0.5</v>
      </c>
      <c r="F4" s="65">
        <v>0.3</v>
      </c>
      <c r="G4" s="65">
        <v>0.2</v>
      </c>
      <c r="H4" s="65">
        <v>0.11</v>
      </c>
      <c r="I4" s="65">
        <v>0.1</v>
      </c>
      <c r="J4" s="65">
        <v>7.0000000000000007E-2</v>
      </c>
      <c r="K4" s="65">
        <v>0.05</v>
      </c>
      <c r="L4" s="65">
        <v>0.05</v>
      </c>
      <c r="M4" s="65">
        <v>0.05</v>
      </c>
      <c r="N4" s="65">
        <v>0.05</v>
      </c>
      <c r="O4" s="65">
        <v>0.05</v>
      </c>
      <c r="P4" s="65">
        <v>0.05</v>
      </c>
      <c r="Q4" s="65">
        <v>0.05</v>
      </c>
      <c r="R4" s="65">
        <v>0.05</v>
      </c>
      <c r="S4" s="65">
        <v>0.05</v>
      </c>
      <c r="T4" s="65">
        <v>0.05</v>
      </c>
      <c r="U4" s="65">
        <v>0.05</v>
      </c>
      <c r="V4" s="65">
        <v>0.04</v>
      </c>
      <c r="W4" s="65">
        <v>0.04</v>
      </c>
      <c r="X4" s="65">
        <v>0.04</v>
      </c>
      <c r="Y4" s="65">
        <v>0.04</v>
      </c>
      <c r="Z4" s="65">
        <v>0.04</v>
      </c>
      <c r="AA4" s="65">
        <v>0.03</v>
      </c>
      <c r="AB4" s="65">
        <v>2.1999999999999999E-2</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2.5096357475632809</v>
      </c>
      <c r="C6" s="25"/>
      <c r="D6" s="25"/>
      <c r="E6" s="27">
        <f>'Debt worksheet'!C5/'Profit and Loss'!C5</f>
        <v>2.4848770608069506</v>
      </c>
      <c r="F6" s="28">
        <f ca="1">'Debt worksheet'!D5/'Profit and Loss'!D5</f>
        <v>2.4906029739077535</v>
      </c>
      <c r="G6" s="28">
        <f ca="1">'Debt worksheet'!E5/'Profit and Loss'!E5</f>
        <v>2.4341036897287207</v>
      </c>
      <c r="H6" s="28">
        <f ca="1">'Debt worksheet'!F5/'Profit and Loss'!F5</f>
        <v>2.4265711583150567</v>
      </c>
      <c r="I6" s="28">
        <f ca="1">'Debt worksheet'!G5/'Profit and Loss'!G5</f>
        <v>2.3840933108591398</v>
      </c>
      <c r="J6" s="28">
        <f ca="1">'Debt worksheet'!H5/'Profit and Loss'!H5</f>
        <v>2.3622634534964395</v>
      </c>
      <c r="K6" s="28">
        <f ca="1">'Debt worksheet'!I5/'Profit and Loss'!I5</f>
        <v>2.3663532969264809</v>
      </c>
      <c r="L6" s="28">
        <f ca="1">'Debt worksheet'!J5/'Profit and Loss'!J5</f>
        <v>2.3694104668598417</v>
      </c>
      <c r="M6" s="28">
        <f ca="1">'Debt worksheet'!K5/'Profit and Loss'!K5</f>
        <v>2.3704502280999065</v>
      </c>
      <c r="N6" s="28">
        <f ca="1">'Debt worksheet'!L5/'Profit and Loss'!L5</f>
        <v>2.3685787074902702</v>
      </c>
      <c r="O6" s="28">
        <f ca="1">'Debt worksheet'!M5/'Profit and Loss'!M5</f>
        <v>2.36298732218525</v>
      </c>
      <c r="P6" s="28">
        <f ca="1">'Debt worksheet'!N5/'Profit and Loss'!N5</f>
        <v>2.3529474960057795</v>
      </c>
      <c r="Q6" s="28">
        <f ca="1">'Debt worksheet'!O5/'Profit and Loss'!O5</f>
        <v>2.3378056502844822</v>
      </c>
      <c r="R6" s="28">
        <f ca="1">'Debt worksheet'!P5/'Profit and Loss'!P5</f>
        <v>2.3169784562111464</v>
      </c>
      <c r="S6" s="28">
        <f ca="1">'Debt worksheet'!Q5/'Profit and Loss'!Q5</f>
        <v>2.2899483362710833</v>
      </c>
      <c r="T6" s="28">
        <f ca="1">'Debt worksheet'!R5/'Profit and Loss'!R5</f>
        <v>2.256259202924995</v>
      </c>
      <c r="U6" s="28">
        <f ca="1">'Debt worksheet'!S5/'Profit and Loss'!S5</f>
        <v>2.2155124232110937</v>
      </c>
      <c r="V6" s="28">
        <f ca="1">'Debt worksheet'!T5/'Profit and Loss'!T5</f>
        <v>2.188203027290649</v>
      </c>
      <c r="W6" s="28">
        <f ca="1">'Debt worksheet'!U5/'Profit and Loss'!U5</f>
        <v>2.1617974607413051</v>
      </c>
      <c r="X6" s="28">
        <f ca="1">'Debt worksheet'!V5/'Profit and Loss'!V5</f>
        <v>2.1357601424911983</v>
      </c>
      <c r="Y6" s="28">
        <f ca="1">'Debt worksheet'!W5/'Profit and Loss'!W5</f>
        <v>2.1095876772618918</v>
      </c>
      <c r="Z6" s="28">
        <f ca="1">'Debt worksheet'!X5/'Profit and Loss'!X5</f>
        <v>2.0828074930789504</v>
      </c>
      <c r="AA6" s="28">
        <f ca="1">'Debt worksheet'!Y5/'Profit and Loss'!Y5</f>
        <v>2.0749277571635192</v>
      </c>
      <c r="AB6" s="28">
        <f ca="1">'Debt worksheet'!Z5/'Profit and Loss'!Z5</f>
        <v>2.0911113322087962</v>
      </c>
      <c r="AC6" s="28">
        <f ca="1">'Debt worksheet'!AA5/'Profit and Loss'!AA5</f>
        <v>2.1228148828245663</v>
      </c>
      <c r="AD6" s="28">
        <f ca="1">'Debt worksheet'!AB5/'Profit and Loss'!AB5</f>
        <v>2.1699076085485829</v>
      </c>
      <c r="AE6" s="28">
        <f ca="1">'Debt worksheet'!AC5/'Profit and Loss'!AC5</f>
        <v>2.232261056326875</v>
      </c>
      <c r="AF6" s="28">
        <f ca="1">'Debt worksheet'!AD5/'Profit and Loss'!AD5</f>
        <v>2.3097490887065626</v>
      </c>
      <c r="AG6" s="28">
        <f ca="1">'Debt worksheet'!AE5/'Profit and Loss'!AE5</f>
        <v>2.4022478524497606</v>
      </c>
      <c r="AH6" s="28">
        <f ca="1">'Debt worksheet'!AF5/'Profit and Loss'!AF5</f>
        <v>2.5096357475632809</v>
      </c>
      <c r="AI6" s="31"/>
    </row>
    <row r="7" spans="1:35" ht="21" x14ac:dyDescent="0.5">
      <c r="A7" s="19" t="s">
        <v>38</v>
      </c>
      <c r="B7" s="26">
        <f ca="1">MIN('Price and Financial ratios'!E7:AH7)</f>
        <v>0.21148437300891479</v>
      </c>
      <c r="C7" s="26"/>
      <c r="D7" s="26"/>
      <c r="E7" s="56">
        <f ca="1">'Cash Flow'!C7/'Debt worksheet'!C5</f>
        <v>0.21371867973979186</v>
      </c>
      <c r="F7" s="32">
        <f ca="1">'Cash Flow'!D7/'Debt worksheet'!D5</f>
        <v>0.23851221522724594</v>
      </c>
      <c r="G7" s="32">
        <f ca="1">'Cash Flow'!E7/'Debt worksheet'!E5</f>
        <v>0.2575687626325161</v>
      </c>
      <c r="H7" s="32">
        <f ca="1">'Cash Flow'!F7/'Debt worksheet'!F5</f>
        <v>0.26104111276332159</v>
      </c>
      <c r="I7" s="32">
        <f ca="1">'Cash Flow'!G7/'Debt worksheet'!G5</f>
        <v>0.26836056552837406</v>
      </c>
      <c r="J7" s="32">
        <f ca="1">'Cash Flow'!H7/'Debt worksheet'!H5</f>
        <v>0.27013380110758833</v>
      </c>
      <c r="K7" s="32">
        <f ca="1">'Cash Flow'!I7/'Debt worksheet'!I5</f>
        <v>0.26653453280939898</v>
      </c>
      <c r="L7" s="32">
        <f ca="1">'Cash Flow'!J7/'Debt worksheet'!J5</f>
        <v>0.26347081021856555</v>
      </c>
      <c r="M7" s="17">
        <f ca="1">'Cash Flow'!K7/'Debt worksheet'!K5</f>
        <v>0.26103556373846237</v>
      </c>
      <c r="N7" s="17">
        <f ca="1">'Cash Flow'!L7/'Debt worksheet'!L5</f>
        <v>0.25931004286145753</v>
      </c>
      <c r="O7" s="17">
        <f ca="1">'Cash Flow'!M7/'Debt worksheet'!M5</f>
        <v>0.25836828569100223</v>
      </c>
      <c r="P7" s="17">
        <f ca="1">'Cash Flow'!N7/'Debt worksheet'!N5</f>
        <v>0.25828159067833623</v>
      </c>
      <c r="Q7" s="17">
        <f ca="1">'Cash Flow'!O7/'Debt worksheet'!O5</f>
        <v>0.2591230055937061</v>
      </c>
      <c r="R7" s="17">
        <f ca="1">'Cash Flow'!P7/'Debt worksheet'!P5</f>
        <v>0.26097194652446332</v>
      </c>
      <c r="S7" s="17">
        <f ca="1">'Cash Flow'!Q7/'Debt worksheet'!Q5</f>
        <v>0.26391914956391438</v>
      </c>
      <c r="T7" s="17">
        <f ca="1">'Cash Flow'!R7/'Debt worksheet'!R5</f>
        <v>0.26807225441978216</v>
      </c>
      <c r="U7" s="17">
        <f ca="1">'Cash Flow'!S7/'Debt worksheet'!S5</f>
        <v>0.27356244113472672</v>
      </c>
      <c r="V7" s="17">
        <f ca="1">'Cash Flow'!T7/'Debt worksheet'!T5</f>
        <v>0.27599914722217533</v>
      </c>
      <c r="W7" s="17">
        <f ca="1">'Cash Flow'!U7/'Debt worksheet'!U5</f>
        <v>0.27855849111524605</v>
      </c>
      <c r="X7" s="17">
        <f ca="1">'Cash Flow'!V7/'Debt worksheet'!V5</f>
        <v>0.28131191514082754</v>
      </c>
      <c r="Y7" s="17">
        <f ca="1">'Cash Flow'!W7/'Debt worksheet'!W5</f>
        <v>0.28433242956570454</v>
      </c>
      <c r="Z7" s="17">
        <f ca="1">'Cash Flow'!X7/'Debt worksheet'!X5</f>
        <v>0.2876952088650544</v>
      </c>
      <c r="AA7" s="17">
        <f ca="1">'Cash Flow'!Y7/'Debt worksheet'!Y5</f>
        <v>0.28662975237097249</v>
      </c>
      <c r="AB7" s="17">
        <f ca="1">'Cash Flow'!Z7/'Debt worksheet'!Z5</f>
        <v>0.28059436201318977</v>
      </c>
      <c r="AC7" s="17">
        <f ca="1">'Cash Flow'!AA7/'Debt worksheet'!AA5</f>
        <v>0.27246023345296122</v>
      </c>
      <c r="AD7" s="17">
        <f ca="1">'Cash Flow'!AB7/'Debt worksheet'!AB5</f>
        <v>0.26251057106248521</v>
      </c>
      <c r="AE7" s="17">
        <f ca="1">'Cash Flow'!AC7/'Debt worksheet'!AC5</f>
        <v>0.25108131332523609</v>
      </c>
      <c r="AF7" s="17">
        <f ca="1">'Cash Flow'!AD7/'Debt worksheet'!AD5</f>
        <v>0.23853261856642402</v>
      </c>
      <c r="AG7" s="17">
        <f ca="1">'Cash Flow'!AE7/'Debt worksheet'!AE5</f>
        <v>0.2252223170517054</v>
      </c>
      <c r="AH7" s="17">
        <f ca="1">'Cash Flow'!AF7/'Debt worksheet'!AF5</f>
        <v>0.21148437300891479</v>
      </c>
      <c r="AI7" s="29"/>
    </row>
    <row r="8" spans="1:35" ht="21" x14ac:dyDescent="0.5">
      <c r="A8" s="19" t="s">
        <v>33</v>
      </c>
      <c r="B8" s="26">
        <f ca="1">MAX('Price and Financial ratios'!E8:AH8)</f>
        <v>0.4151538041305286</v>
      </c>
      <c r="C8" s="26"/>
      <c r="D8" s="176"/>
      <c r="E8" s="17">
        <f>'Balance Sheet'!B11/'Balance Sheet'!B8</f>
        <v>0.30714291363506091</v>
      </c>
      <c r="F8" s="17">
        <f ca="1">'Balance Sheet'!C11/'Balance Sheet'!C8</f>
        <v>0.3933357486938025</v>
      </c>
      <c r="G8" s="17">
        <f ca="1">'Balance Sheet'!D11/'Balance Sheet'!D8</f>
        <v>0.41404908133090723</v>
      </c>
      <c r="H8" s="17">
        <f ca="1">'Balance Sheet'!E11/'Balance Sheet'!E8</f>
        <v>0.4151538041305286</v>
      </c>
      <c r="I8" s="17">
        <f ca="1">'Balance Sheet'!F11/'Balance Sheet'!F8</f>
        <v>0.40974572988631025</v>
      </c>
      <c r="J8" s="17">
        <f ca="1">'Balance Sheet'!G11/'Balance Sheet'!G8</f>
        <v>0.39934552876014895</v>
      </c>
      <c r="K8" s="17">
        <f ca="1">'Balance Sheet'!H11/'Balance Sheet'!H8</f>
        <v>0.38830811642270757</v>
      </c>
      <c r="L8" s="17">
        <f ca="1">'Balance Sheet'!I11/'Balance Sheet'!I8</f>
        <v>0.37924465178872829</v>
      </c>
      <c r="M8" s="17">
        <f ca="1">'Balance Sheet'!J11/'Balance Sheet'!J8</f>
        <v>0.37164345771714646</v>
      </c>
      <c r="N8" s="17">
        <f ca="1">'Balance Sheet'!K11/'Balance Sheet'!K8</f>
        <v>0.36509945103842761</v>
      </c>
      <c r="O8" s="17">
        <f ca="1">'Balance Sheet'!L11/'Balance Sheet'!L8</f>
        <v>0.35928443312881858</v>
      </c>
      <c r="P8" s="17">
        <f ca="1">'Balance Sheet'!M11/'Balance Sheet'!M8</f>
        <v>0.35392661624989796</v>
      </c>
      <c r="Q8" s="17">
        <f ca="1">'Balance Sheet'!N11/'Balance Sheet'!N8</f>
        <v>0.34879619485639352</v>
      </c>
      <c r="R8" s="17">
        <f ca="1">'Balance Sheet'!O11/'Balance Sheet'!O8</f>
        <v>0.3436949714690255</v>
      </c>
      <c r="S8" s="17">
        <f ca="1">'Balance Sheet'!P11/'Balance Sheet'!P8</f>
        <v>0.3384487618705872</v>
      </c>
      <c r="T8" s="17">
        <f ca="1">'Balance Sheet'!Q11/'Balance Sheet'!Q8</f>
        <v>0.33290174288268376</v>
      </c>
      <c r="U8" s="17">
        <f ca="1">'Balance Sheet'!R11/'Balance Sheet'!R8</f>
        <v>0.326912181835882</v>
      </c>
      <c r="V8" s="17">
        <f ca="1">'Balance Sheet'!S11/'Balance Sheet'!S8</f>
        <v>0.32034916443335587</v>
      </c>
      <c r="W8" s="17">
        <f ca="1">'Balance Sheet'!T11/'Balance Sheet'!T8</f>
        <v>0.31446910805300121</v>
      </c>
      <c r="X8" s="17">
        <f ca="1">'Balance Sheet'!U11/'Balance Sheet'!U8</f>
        <v>0.30912888620772977</v>
      </c>
      <c r="Y8" s="17">
        <f ca="1">'Balance Sheet'!V11/'Balance Sheet'!V8</f>
        <v>0.30420098958079972</v>
      </c>
      <c r="Z8" s="17">
        <f ca="1">'Balance Sheet'!W11/'Balance Sheet'!W8</f>
        <v>0.29957070119298401</v>
      </c>
      <c r="AA8" s="17">
        <f ca="1">'Balance Sheet'!X11/'Balance Sheet'!X8</f>
        <v>0.29513382844025982</v>
      </c>
      <c r="AB8" s="17">
        <f ca="1">'Balance Sheet'!Y11/'Balance Sheet'!Y8</f>
        <v>0.29215579187880958</v>
      </c>
      <c r="AC8" s="17">
        <f ca="1">'Balance Sheet'!Z11/'Balance Sheet'!Z8</f>
        <v>0.29159688202518325</v>
      </c>
      <c r="AD8" s="17">
        <f ca="1">'Balance Sheet'!AA11/'Balance Sheet'!AA8</f>
        <v>0.29331240538056952</v>
      </c>
      <c r="AE8" s="17">
        <f ca="1">'Balance Sheet'!AB11/'Balance Sheet'!AB8</f>
        <v>0.29717550449295355</v>
      </c>
      <c r="AF8" s="17">
        <f ca="1">'Balance Sheet'!AC11/'Balance Sheet'!AC8</f>
        <v>0.3030746245754834</v>
      </c>
      <c r="AG8" s="17">
        <f ca="1">'Balance Sheet'!AD11/'Balance Sheet'!AD8</f>
        <v>0.31091139917690613</v>
      </c>
      <c r="AH8" s="17">
        <f ca="1">'Balance Sheet'!AE11/'Balance Sheet'!AE8</f>
        <v>0.32059887619720467</v>
      </c>
      <c r="AI8" s="29"/>
    </row>
    <row r="9" spans="1:35" ht="21.5" thickBot="1" x14ac:dyDescent="0.55000000000000004">
      <c r="A9" s="20" t="s">
        <v>32</v>
      </c>
      <c r="B9" s="21">
        <f ca="1">MIN('Price and Financial ratios'!E9:AH9)</f>
        <v>5.6370699348186344</v>
      </c>
      <c r="C9" s="21"/>
      <c r="D9" s="177"/>
      <c r="E9" s="21">
        <f ca="1">('Cash Flow'!C7+'Profit and Loss'!C8)/('Profit and Loss'!C8)</f>
        <v>5.6370699348186344</v>
      </c>
      <c r="F9" s="21">
        <f ca="1">('Cash Flow'!D7+'Profit and Loss'!D8)/('Profit and Loss'!D8)</f>
        <v>6.7496170347103632</v>
      </c>
      <c r="G9" s="21">
        <f ca="1">('Cash Flow'!E7+'Profit and Loss'!E8)/('Profit and Loss'!E8)</f>
        <v>7.5805223285546264</v>
      </c>
      <c r="H9" s="21">
        <f ca="1">('Cash Flow'!F7+'Profit and Loss'!F8)/('Profit and Loss'!F8)</f>
        <v>7.828575570362398</v>
      </c>
      <c r="I9" s="21">
        <f ca="1">('Cash Flow'!G7+'Profit and Loss'!G8)/('Profit and Loss'!G8)</f>
        <v>8.156059614177968</v>
      </c>
      <c r="J9" s="21">
        <f ca="1">('Cash Flow'!H7+'Profit and Loss'!H8)/('Profit and Loss'!H8)</f>
        <v>8.2607667805397647</v>
      </c>
      <c r="K9" s="21">
        <f ca="1">('Cash Flow'!I7+'Profit and Loss'!I8)/('Profit and Loss'!I8)</f>
        <v>8.1671679214930339</v>
      </c>
      <c r="L9" s="21">
        <f ca="1">('Cash Flow'!J7+'Profit and Loss'!J8)/('Profit and Loss'!J8)</f>
        <v>8.0908252170974251</v>
      </c>
      <c r="M9" s="21">
        <f ca="1">('Cash Flow'!K7+'Profit and Loss'!K8)/('Profit and Loss'!K8)</f>
        <v>8.0339214167173179</v>
      </c>
      <c r="N9" s="21">
        <f ca="1">('Cash Flow'!L7+'Profit and Loss'!L8)/('Profit and Loss'!L8)</f>
        <v>7.9984292756183386</v>
      </c>
      <c r="O9" s="21">
        <f ca="1">('Cash Flow'!M7+'Profit and Loss'!M8)/('Profit and Loss'!M8)</f>
        <v>7.986234686714643</v>
      </c>
      <c r="P9" s="21">
        <f ca="1">('Cash Flow'!N7+'Profit and Loss'!N8)/('Profit and Loss'!N8)</f>
        <v>7.9992595208236992</v>
      </c>
      <c r="Q9" s="21">
        <f ca="1">('Cash Flow'!O7+'Profit and Loss'!O8)/('Profit and Loss'!O8)</f>
        <v>8.0395871949959528</v>
      </c>
      <c r="R9" s="21">
        <f ca="1">('Cash Flow'!P7+'Profit and Loss'!P8)/('Profit and Loss'!P8)</f>
        <v>8.1095964136371759</v>
      </c>
      <c r="S9" s="21">
        <f ca="1">('Cash Flow'!Q7+'Profit and Loss'!Q8)/('Profit and Loss'!Q8)</f>
        <v>8.2121111055502229</v>
      </c>
      <c r="T9" s="21">
        <f ca="1">('Cash Flow'!R7+'Profit and Loss'!R8)/('Profit and Loss'!R8)</f>
        <v>8.3505778164590332</v>
      </c>
      <c r="U9" s="21">
        <f ca="1">('Cash Flow'!S7+'Profit and Loss'!S8)/('Profit and Loss'!S8)</f>
        <v>8.5292864006851978</v>
      </c>
      <c r="V9" s="21">
        <f ca="1">('Cash Flow'!T7+'Profit and Loss'!T8)/('Profit and Loss'!T8)</f>
        <v>8.5943590130969376</v>
      </c>
      <c r="W9" s="21">
        <f ca="1">('Cash Flow'!U7+'Profit and Loss'!U8)/('Profit and Loss'!U8)</f>
        <v>8.6646035834334914</v>
      </c>
      <c r="X9" s="21">
        <f ca="1">('Cash Flow'!V7+'Profit and Loss'!V8)/('Profit and Loss'!V8)</f>
        <v>8.7420112224594995</v>
      </c>
      <c r="Y9" s="21">
        <f ca="1">('Cash Flow'!W7+'Profit and Loss'!W8)/('Profit and Loss'!W8)</f>
        <v>8.8286272680963265</v>
      </c>
      <c r="Z9" s="21">
        <f ca="1">('Cash Flow'!X7+'Profit and Loss'!X8)/('Profit and Loss'!X8)</f>
        <v>8.9265767048062976</v>
      </c>
      <c r="AA9" s="21">
        <f ca="1">('Cash Flow'!Y7+'Profit and Loss'!Y8)/('Profit and Loss'!Y8)</f>
        <v>8.8675644360324348</v>
      </c>
      <c r="AB9" s="21">
        <f ca="1">('Cash Flow'!Z7+'Profit and Loss'!Z8)/('Profit and Loss'!Z8)</f>
        <v>8.6460509465015889</v>
      </c>
      <c r="AC9" s="21">
        <f ca="1">('Cash Flow'!AA7+'Profit and Loss'!AA8)/('Profit and Loss'!AA8)</f>
        <v>8.3733902558460578</v>
      </c>
      <c r="AD9" s="21">
        <f ca="1">('Cash Flow'!AB7+'Profit and Loss'!AB8)/('Profit and Loss'!AB8)</f>
        <v>8.0588876848004567</v>
      </c>
      <c r="AE9" s="21">
        <f ca="1">('Cash Flow'!AC7+'Profit and Loss'!AC8)/('Profit and Loss'!AC8)</f>
        <v>7.7125538852590116</v>
      </c>
      <c r="AF9" s="21">
        <f ca="1">('Cash Flow'!AD7+'Profit and Loss'!AD8)/('Profit and Loss'!AD8)</f>
        <v>7.344362384940724</v>
      </c>
      <c r="AG9" s="21">
        <f ca="1">('Cash Flow'!AE7+'Profit and Loss'!AE8)/('Profit and Loss'!AE8)</f>
        <v>6.9636446708791695</v>
      </c>
      <c r="AH9" s="21">
        <f ca="1">('Cash Flow'!AF7+'Profit and Loss'!AF8)/('Profit and Loss'!AF8)</f>
        <v>6.5786664567198061</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7146670.3870381089</v>
      </c>
      <c r="D5" s="1">
        <f>Assumptions!E111</f>
        <v>7146670.3870381089</v>
      </c>
      <c r="E5" s="1">
        <f>Assumptions!F111</f>
        <v>7146670.3870381089</v>
      </c>
      <c r="F5" s="1">
        <f>Assumptions!G111</f>
        <v>7146670.3870381089</v>
      </c>
      <c r="G5" s="1">
        <f>Assumptions!H111</f>
        <v>7146670.3870381089</v>
      </c>
      <c r="H5" s="1">
        <f>Assumptions!I111</f>
        <v>7146670.3870381089</v>
      </c>
      <c r="I5" s="1">
        <f>Assumptions!J111</f>
        <v>7146670.3870381089</v>
      </c>
      <c r="J5" s="1">
        <f>Assumptions!K111</f>
        <v>7146670.3870381089</v>
      </c>
      <c r="K5" s="1">
        <f>Assumptions!L111</f>
        <v>7146670.3870381089</v>
      </c>
      <c r="L5" s="1">
        <f>Assumptions!M111</f>
        <v>7146670.3870381089</v>
      </c>
      <c r="M5" s="1">
        <f>Assumptions!N111</f>
        <v>7146670.3870381089</v>
      </c>
      <c r="N5" s="1">
        <f>Assumptions!O111</f>
        <v>7146670.3870381089</v>
      </c>
      <c r="O5" s="1">
        <f>Assumptions!P111</f>
        <v>7146670.3870381089</v>
      </c>
      <c r="P5" s="1">
        <f>Assumptions!Q111</f>
        <v>7146670.3870381089</v>
      </c>
      <c r="Q5" s="1">
        <f>Assumptions!R111</f>
        <v>7146670.3870381089</v>
      </c>
      <c r="R5" s="1">
        <f>Assumptions!S111</f>
        <v>7146670.3870381089</v>
      </c>
      <c r="S5" s="1">
        <f>Assumptions!T111</f>
        <v>7146670.3870381089</v>
      </c>
      <c r="T5" s="1">
        <f>Assumptions!U111</f>
        <v>7146670.3870381089</v>
      </c>
      <c r="U5" s="1">
        <f>Assumptions!V111</f>
        <v>7146670.3870381089</v>
      </c>
      <c r="V5" s="1">
        <f>Assumptions!W111</f>
        <v>7146670.3870381089</v>
      </c>
      <c r="W5" s="1">
        <f>Assumptions!X111</f>
        <v>7146670.3870381089</v>
      </c>
      <c r="X5" s="1">
        <f>Assumptions!Y111</f>
        <v>7146670.3870381089</v>
      </c>
      <c r="Y5" s="1">
        <f>Assumptions!Z111</f>
        <v>7146670.3870381089</v>
      </c>
      <c r="Z5" s="1">
        <f>Assumptions!AA111</f>
        <v>7146670.3870381089</v>
      </c>
      <c r="AA5" s="1">
        <f>Assumptions!AB111</f>
        <v>7146670.3870381089</v>
      </c>
      <c r="AB5" s="1">
        <f>Assumptions!AC111</f>
        <v>7146670.3870381089</v>
      </c>
      <c r="AC5" s="1">
        <f>Assumptions!AD111</f>
        <v>7146670.3870381089</v>
      </c>
      <c r="AD5" s="1">
        <f>Assumptions!AE111</f>
        <v>7146670.3870381089</v>
      </c>
      <c r="AE5" s="1">
        <f>Assumptions!AF111</f>
        <v>7146670.3870381089</v>
      </c>
      <c r="AF5" s="1">
        <f>Assumptions!AG111</f>
        <v>7146670.3870381089</v>
      </c>
    </row>
    <row r="6" spans="1:32" x14ac:dyDescent="0.35">
      <c r="A6" t="s">
        <v>68</v>
      </c>
      <c r="C6" s="1">
        <f>Assumptions!D113</f>
        <v>30957848.962111957</v>
      </c>
      <c r="D6" s="1">
        <f>Assumptions!E113</f>
        <v>30957848.962111957</v>
      </c>
      <c r="E6" s="1">
        <f>Assumptions!F113</f>
        <v>30957848.962111957</v>
      </c>
      <c r="F6" s="1">
        <f>Assumptions!G113</f>
        <v>30957848.962111957</v>
      </c>
      <c r="G6" s="1">
        <f>Assumptions!H113</f>
        <v>30957848.962111957</v>
      </c>
      <c r="H6" s="1">
        <f>Assumptions!I113</f>
        <v>30957848.962111957</v>
      </c>
      <c r="I6" s="1">
        <f>Assumptions!J113</f>
        <v>30957848.962111957</v>
      </c>
      <c r="J6" s="1">
        <f>Assumptions!K113</f>
        <v>30957848.962111957</v>
      </c>
      <c r="K6" s="1">
        <f>Assumptions!L113</f>
        <v>30957848.962111957</v>
      </c>
      <c r="L6" s="1">
        <f>Assumptions!M113</f>
        <v>30957848.962111957</v>
      </c>
      <c r="M6" s="1">
        <f>Assumptions!N113</f>
        <v>30957848.962111957</v>
      </c>
      <c r="N6" s="1">
        <f>Assumptions!O113</f>
        <v>30957848.962111957</v>
      </c>
      <c r="O6" s="1">
        <f>Assumptions!P113</f>
        <v>30957848.962111957</v>
      </c>
      <c r="P6" s="1">
        <f>Assumptions!Q113</f>
        <v>30957848.962111957</v>
      </c>
      <c r="Q6" s="1">
        <f>Assumptions!R113</f>
        <v>30957848.962111957</v>
      </c>
      <c r="R6" s="1">
        <f>Assumptions!S113</f>
        <v>30957848.962111957</v>
      </c>
      <c r="S6" s="1">
        <f>Assumptions!T113</f>
        <v>30957848.962111957</v>
      </c>
      <c r="T6" s="1">
        <f>Assumptions!U113</f>
        <v>30957848.962111957</v>
      </c>
      <c r="U6" s="1">
        <f>Assumptions!V113</f>
        <v>30957848.962111957</v>
      </c>
      <c r="V6" s="1">
        <f>Assumptions!W113</f>
        <v>30957848.962111957</v>
      </c>
      <c r="W6" s="1">
        <f>Assumptions!X113</f>
        <v>30957848.962111957</v>
      </c>
      <c r="X6" s="1">
        <f>Assumptions!Y113</f>
        <v>30957848.962111957</v>
      </c>
      <c r="Y6" s="1">
        <f>Assumptions!Z113</f>
        <v>30957848.962111957</v>
      </c>
      <c r="Z6" s="1">
        <f>Assumptions!AA113</f>
        <v>30957848.962111957</v>
      </c>
      <c r="AA6" s="1">
        <f>Assumptions!AB113</f>
        <v>30957848.962111957</v>
      </c>
      <c r="AB6" s="1">
        <f>Assumptions!AC113</f>
        <v>30957848.962111957</v>
      </c>
      <c r="AC6" s="1">
        <f>Assumptions!AD113</f>
        <v>30957848.962111957</v>
      </c>
      <c r="AD6" s="1">
        <f>Assumptions!AE113</f>
        <v>30957848.962111957</v>
      </c>
      <c r="AE6" s="1">
        <f>Assumptions!AF113</f>
        <v>30957848.962111957</v>
      </c>
      <c r="AF6" s="1">
        <f>Assumptions!AG113</f>
        <v>30957848.962111957</v>
      </c>
    </row>
    <row r="7" spans="1:32" x14ac:dyDescent="0.35">
      <c r="A7" t="s">
        <v>73</v>
      </c>
      <c r="C7" s="1">
        <f>Assumptions!D120</f>
        <v>742988.37509068695</v>
      </c>
      <c r="D7" s="1">
        <f>Assumptions!E120</f>
        <v>1485976.7501813739</v>
      </c>
      <c r="E7" s="1">
        <f>Assumptions!F120</f>
        <v>2228965.1252720607</v>
      </c>
      <c r="F7" s="1">
        <f>Assumptions!G120</f>
        <v>2971953.5003627478</v>
      </c>
      <c r="G7" s="1">
        <f>Assumptions!H120</f>
        <v>3714941.8754534344</v>
      </c>
      <c r="H7" s="1">
        <f>Assumptions!I120</f>
        <v>4457930.2505441215</v>
      </c>
      <c r="I7" s="1">
        <f>Assumptions!J120</f>
        <v>5200918.6256348081</v>
      </c>
      <c r="J7" s="1">
        <f>Assumptions!K120</f>
        <v>5943907.0007254947</v>
      </c>
      <c r="K7" s="1">
        <f>Assumptions!L120</f>
        <v>6686895.3758161813</v>
      </c>
      <c r="L7" s="1">
        <f>Assumptions!M120</f>
        <v>7429883.7509068688</v>
      </c>
      <c r="M7" s="1">
        <f>Assumptions!N120</f>
        <v>8172872.1259975564</v>
      </c>
      <c r="N7" s="1">
        <f>Assumptions!O120</f>
        <v>8915860.501088243</v>
      </c>
      <c r="O7" s="1">
        <f>Assumptions!P120</f>
        <v>9658848.8761789296</v>
      </c>
      <c r="P7" s="1">
        <f>Assumptions!Q120</f>
        <v>10401837.251269616</v>
      </c>
      <c r="Q7" s="1">
        <f>Assumptions!R120</f>
        <v>11144825.626360303</v>
      </c>
      <c r="R7" s="1">
        <f>Assumptions!S120</f>
        <v>11887814.001450989</v>
      </c>
      <c r="S7" s="1">
        <f>Assumptions!T120</f>
        <v>12630802.376541676</v>
      </c>
      <c r="T7" s="1">
        <f>Assumptions!U120</f>
        <v>13373790.751632363</v>
      </c>
      <c r="U7" s="1">
        <f>Assumptions!V120</f>
        <v>14116779.126723051</v>
      </c>
      <c r="V7" s="1">
        <f>Assumptions!W120</f>
        <v>14859767.501813738</v>
      </c>
      <c r="W7" s="1">
        <f>Assumptions!X120</f>
        <v>15602755.876904426</v>
      </c>
      <c r="X7" s="1">
        <f>Assumptions!Y120</f>
        <v>16345744.251995113</v>
      </c>
      <c r="Y7" s="1">
        <f>Assumptions!Z120</f>
        <v>17088732.627085797</v>
      </c>
      <c r="Z7" s="1">
        <f>Assumptions!AA120</f>
        <v>17831721.002176486</v>
      </c>
      <c r="AA7" s="1">
        <f>Assumptions!AB120</f>
        <v>18574709.377267174</v>
      </c>
      <c r="AB7" s="1">
        <f>Assumptions!AC120</f>
        <v>19317697.752357859</v>
      </c>
      <c r="AC7" s="1">
        <f>Assumptions!AD120</f>
        <v>20060686.127448544</v>
      </c>
      <c r="AD7" s="1">
        <f>Assumptions!AE120</f>
        <v>20803674.502539232</v>
      </c>
      <c r="AE7" s="1">
        <f>Assumptions!AF120</f>
        <v>21546662.877629917</v>
      </c>
      <c r="AF7" s="1">
        <f>Assumptions!AG120</f>
        <v>22289651.252720606</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7375363.8394233286</v>
      </c>
      <c r="D11" s="1">
        <f>D5*D$9</f>
        <v>7611375.4822848747</v>
      </c>
      <c r="E11" s="1">
        <f t="shared" ref="D11:AF13" si="1">E5*E$9</f>
        <v>7854939.4977179905</v>
      </c>
      <c r="F11" s="1">
        <f t="shared" si="1"/>
        <v>8106297.5616449658</v>
      </c>
      <c r="G11" s="1">
        <f t="shared" si="1"/>
        <v>8365699.0836176062</v>
      </c>
      <c r="H11" s="1">
        <f t="shared" si="1"/>
        <v>8633401.4542933684</v>
      </c>
      <c r="I11" s="1">
        <f t="shared" si="1"/>
        <v>8909670.3008307554</v>
      </c>
      <c r="J11" s="1">
        <f t="shared" si="1"/>
        <v>9194779.7504573409</v>
      </c>
      <c r="K11" s="1">
        <f t="shared" si="1"/>
        <v>9489012.7024719752</v>
      </c>
      <c r="L11" s="1">
        <f t="shared" si="1"/>
        <v>9792661.1089510787</v>
      </c>
      <c r="M11" s="1">
        <f t="shared" si="1"/>
        <v>10106026.264437512</v>
      </c>
      <c r="N11" s="1">
        <f t="shared" si="1"/>
        <v>10429419.104899513</v>
      </c>
      <c r="O11" s="1">
        <f t="shared" si="1"/>
        <v>10763160.516256299</v>
      </c>
      <c r="P11" s="1">
        <f t="shared" si="1"/>
        <v>11107581.652776498</v>
      </c>
      <c r="Q11" s="1">
        <f t="shared" si="1"/>
        <v>11463024.265665343</v>
      </c>
      <c r="R11" s="1">
        <f t="shared" si="1"/>
        <v>11829841.042166637</v>
      </c>
      <c r="S11" s="1">
        <f t="shared" si="1"/>
        <v>12208395.955515971</v>
      </c>
      <c r="T11" s="1">
        <f t="shared" si="1"/>
        <v>12599064.62609248</v>
      </c>
      <c r="U11" s="1">
        <f t="shared" si="1"/>
        <v>13002234.694127439</v>
      </c>
      <c r="V11" s="1">
        <f t="shared" si="1"/>
        <v>13418306.204339517</v>
      </c>
      <c r="W11" s="1">
        <f t="shared" si="1"/>
        <v>13847692.002878385</v>
      </c>
      <c r="X11" s="1">
        <f t="shared" si="1"/>
        <v>14290818.14697049</v>
      </c>
      <c r="Y11" s="1">
        <f t="shared" si="1"/>
        <v>14748124.327673543</v>
      </c>
      <c r="Z11" s="1">
        <f t="shared" si="1"/>
        <v>15220064.306159098</v>
      </c>
      <c r="AA11" s="1">
        <f t="shared" si="1"/>
        <v>15707106.363956193</v>
      </c>
      <c r="AB11" s="1">
        <f t="shared" si="1"/>
        <v>16209733.767602788</v>
      </c>
      <c r="AC11" s="1">
        <f t="shared" si="1"/>
        <v>16728445.248166077</v>
      </c>
      <c r="AD11" s="1">
        <f t="shared" si="1"/>
        <v>17263755.496107392</v>
      </c>
      <c r="AE11" s="1">
        <f t="shared" si="1"/>
        <v>17816195.671982829</v>
      </c>
      <c r="AF11" s="1">
        <f t="shared" si="1"/>
        <v>18386313.933486275</v>
      </c>
    </row>
    <row r="12" spans="1:32" x14ac:dyDescent="0.35">
      <c r="A12" t="s">
        <v>71</v>
      </c>
      <c r="C12" s="1">
        <f t="shared" ref="C12:R12" si="2">C6*C$9</f>
        <v>31948500.128899541</v>
      </c>
      <c r="D12" s="1">
        <f t="shared" si="2"/>
        <v>32970852.133024324</v>
      </c>
      <c r="E12" s="1">
        <f t="shared" si="2"/>
        <v>34025919.401281103</v>
      </c>
      <c r="F12" s="1">
        <f t="shared" si="2"/>
        <v>35114748.822122097</v>
      </c>
      <c r="G12" s="1">
        <f t="shared" si="2"/>
        <v>36238420.784430005</v>
      </c>
      <c r="H12" s="1">
        <f t="shared" si="2"/>
        <v>37398050.249531761</v>
      </c>
      <c r="I12" s="1">
        <f t="shared" si="2"/>
        <v>38594787.857516773</v>
      </c>
      <c r="J12" s="1">
        <f t="shared" si="2"/>
        <v>39829821.068957314</v>
      </c>
      <c r="K12" s="1">
        <f t="shared" si="2"/>
        <v>41104375.343163952</v>
      </c>
      <c r="L12" s="1">
        <f t="shared" si="2"/>
        <v>42419715.354145199</v>
      </c>
      <c r="M12" s="1">
        <f t="shared" si="2"/>
        <v>43777146.24547784</v>
      </c>
      <c r="N12" s="1">
        <f t="shared" si="2"/>
        <v>45178014.925333135</v>
      </c>
      <c r="O12" s="1">
        <f t="shared" si="2"/>
        <v>46623711.402943797</v>
      </c>
      <c r="P12" s="1">
        <f t="shared" si="2"/>
        <v>48115670.167837992</v>
      </c>
      <c r="Q12" s="1">
        <f t="shared" si="2"/>
        <v>49655371.613208801</v>
      </c>
      <c r="R12" s="1">
        <f t="shared" si="2"/>
        <v>51244343.504831493</v>
      </c>
      <c r="S12" s="1">
        <f t="shared" si="1"/>
        <v>52884162.496986106</v>
      </c>
      <c r="T12" s="1">
        <f t="shared" si="1"/>
        <v>54576455.696889654</v>
      </c>
      <c r="U12" s="1">
        <f t="shared" si="1"/>
        <v>56322902.279190116</v>
      </c>
      <c r="V12" s="1">
        <f t="shared" si="1"/>
        <v>58125235.152124204</v>
      </c>
      <c r="W12" s="1">
        <f t="shared" si="1"/>
        <v>59985242.676992185</v>
      </c>
      <c r="X12" s="1">
        <f t="shared" si="1"/>
        <v>61904770.442655928</v>
      </c>
      <c r="Y12" s="1">
        <f t="shared" si="1"/>
        <v>63885723.096820906</v>
      </c>
      <c r="Z12" s="1">
        <f t="shared" si="1"/>
        <v>65930066.235919178</v>
      </c>
      <c r="AA12" s="1">
        <f t="shared" si="1"/>
        <v>68039828.355468616</v>
      </c>
      <c r="AB12" s="1">
        <f t="shared" si="1"/>
        <v>70217102.862843588</v>
      </c>
      <c r="AC12" s="1">
        <f t="shared" si="1"/>
        <v>72464050.154454589</v>
      </c>
      <c r="AD12" s="1">
        <f t="shared" si="1"/>
        <v>74782899.759397134</v>
      </c>
      <c r="AE12" s="1">
        <f t="shared" si="1"/>
        <v>77175952.55169785</v>
      </c>
      <c r="AF12" s="1">
        <f t="shared" si="1"/>
        <v>79645583.033352166</v>
      </c>
    </row>
    <row r="13" spans="1:32" x14ac:dyDescent="0.35">
      <c r="A13" t="s">
        <v>74</v>
      </c>
      <c r="C13" s="1">
        <f>C7*C$9</f>
        <v>766764.00309358898</v>
      </c>
      <c r="D13" s="1">
        <f t="shared" si="1"/>
        <v>1582600.9023851675</v>
      </c>
      <c r="E13" s="1">
        <f t="shared" si="1"/>
        <v>2449866.1968922392</v>
      </c>
      <c r="F13" s="1">
        <f t="shared" si="1"/>
        <v>3371015.8869237211</v>
      </c>
      <c r="G13" s="1">
        <f t="shared" si="1"/>
        <v>4348610.4941316005</v>
      </c>
      <c r="H13" s="1">
        <f t="shared" si="1"/>
        <v>5385319.2359325737</v>
      </c>
      <c r="I13" s="1">
        <f t="shared" si="1"/>
        <v>6483924.3600628171</v>
      </c>
      <c r="J13" s="1">
        <f t="shared" si="1"/>
        <v>7647325.645239803</v>
      </c>
      <c r="K13" s="1">
        <f t="shared" si="1"/>
        <v>8878545.0741234124</v>
      </c>
      <c r="L13" s="1">
        <f t="shared" si="1"/>
        <v>10180731.684994847</v>
      </c>
      <c r="M13" s="1">
        <f t="shared" si="1"/>
        <v>11557166.60880615</v>
      </c>
      <c r="N13" s="1">
        <f t="shared" si="1"/>
        <v>13011268.298495941</v>
      </c>
      <c r="O13" s="1">
        <f t="shared" si="1"/>
        <v>14546597.957718464</v>
      </c>
      <c r="P13" s="1">
        <f t="shared" si="1"/>
        <v>16166865.176393563</v>
      </c>
      <c r="Q13" s="1">
        <f t="shared" si="1"/>
        <v>17875933.780755166</v>
      </c>
      <c r="R13" s="1">
        <f t="shared" si="1"/>
        <v>19677827.905855291</v>
      </c>
      <c r="S13" s="1">
        <f t="shared" si="1"/>
        <v>21576738.298770327</v>
      </c>
      <c r="T13" s="1">
        <f t="shared" si="1"/>
        <v>23577028.861056324</v>
      </c>
      <c r="U13" s="1">
        <f t="shared" si="1"/>
        <v>25683243.439310689</v>
      </c>
      <c r="V13" s="1">
        <f t="shared" si="1"/>
        <v>27900112.873019617</v>
      </c>
      <c r="W13" s="1">
        <f t="shared" si="1"/>
        <v>30232562.309204061</v>
      </c>
      <c r="X13" s="1">
        <f t="shared" si="1"/>
        <v>32685718.793722328</v>
      </c>
      <c r="Y13" s="1">
        <f t="shared" si="1"/>
        <v>35264919.149445131</v>
      </c>
      <c r="Z13" s="1">
        <f t="shared" si="1"/>
        <v>37975718.151889443</v>
      </c>
      <c r="AA13" s="1">
        <f t="shared" si="1"/>
        <v>40823897.013281167</v>
      </c>
      <c r="AB13" s="1">
        <f t="shared" si="1"/>
        <v>43815472.186414398</v>
      </c>
      <c r="AC13" s="1">
        <f t="shared" si="1"/>
        <v>46956704.500086561</v>
      </c>
      <c r="AD13" s="1">
        <f t="shared" si="1"/>
        <v>50254108.638314873</v>
      </c>
      <c r="AE13" s="1">
        <f t="shared" si="1"/>
        <v>53714462.97598169</v>
      </c>
      <c r="AF13" s="1">
        <f t="shared" si="1"/>
        <v>57344819.784013547</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40090627.971416458</v>
      </c>
      <c r="D25" s="40">
        <f>SUM(D11:D13,D18:D23)</f>
        <v>42164828.517694369</v>
      </c>
      <c r="E25" s="40">
        <f t="shared" ref="E25:AF25" si="7">SUM(E11:E13,E18:E23)</f>
        <v>44330725.095891334</v>
      </c>
      <c r="F25" s="40">
        <f t="shared" si="7"/>
        <v>46592062.270690784</v>
      </c>
      <c r="G25" s="40">
        <f t="shared" si="7"/>
        <v>48952730.362179212</v>
      </c>
      <c r="H25" s="40">
        <f t="shared" si="7"/>
        <v>51416770.939757705</v>
      </c>
      <c r="I25" s="40">
        <f t="shared" si="7"/>
        <v>53988382.518410347</v>
      </c>
      <c r="J25" s="40">
        <f t="shared" si="7"/>
        <v>56671926.464654453</v>
      </c>
      <c r="K25" s="40">
        <f t="shared" si="7"/>
        <v>59471933.119759336</v>
      </c>
      <c r="L25" s="40">
        <f t="shared" si="7"/>
        <v>62393108.148091123</v>
      </c>
      <c r="M25" s="40">
        <f t="shared" si="7"/>
        <v>65440339.1187215</v>
      </c>
      <c r="N25" s="40">
        <f t="shared" si="7"/>
        <v>68618702.328728586</v>
      </c>
      <c r="O25" s="40">
        <f t="shared" si="7"/>
        <v>71933469.876918554</v>
      </c>
      <c r="P25" s="40">
        <f t="shared" si="7"/>
        <v>75390116.997008055</v>
      </c>
      <c r="Q25" s="40">
        <f t="shared" si="7"/>
        <v>78994329.659629315</v>
      </c>
      <c r="R25" s="40">
        <f t="shared" si="7"/>
        <v>82752012.452853411</v>
      </c>
      <c r="S25" s="40">
        <f t="shared" si="7"/>
        <v>86669296.75127241</v>
      </c>
      <c r="T25" s="40">
        <f t="shared" si="7"/>
        <v>90752549.18403846</v>
      </c>
      <c r="U25" s="40">
        <f t="shared" si="7"/>
        <v>95008380.412628233</v>
      </c>
      <c r="V25" s="40">
        <f t="shared" si="7"/>
        <v>99443654.229483336</v>
      </c>
      <c r="W25" s="40">
        <f t="shared" si="7"/>
        <v>104065496.98907463</v>
      </c>
      <c r="X25" s="40">
        <f t="shared" si="7"/>
        <v>108881307.38334875</v>
      </c>
      <c r="Y25" s="40">
        <f t="shared" si="7"/>
        <v>113898766.57393958</v>
      </c>
      <c r="Z25" s="40">
        <f t="shared" si="7"/>
        <v>119125848.69396771</v>
      </c>
      <c r="AA25" s="40">
        <f t="shared" si="7"/>
        <v>124570831.73270598</v>
      </c>
      <c r="AB25" s="40">
        <f t="shared" si="7"/>
        <v>130242308.81686077</v>
      </c>
      <c r="AC25" s="40">
        <f t="shared" si="7"/>
        <v>136149199.90270722</v>
      </c>
      <c r="AD25" s="40">
        <f t="shared" si="7"/>
        <v>142300763.89381939</v>
      </c>
      <c r="AE25" s="40">
        <f t="shared" si="7"/>
        <v>148706611.19966236</v>
      </c>
      <c r="AF25" s="40">
        <f t="shared" si="7"/>
        <v>155376716.75085199</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30409552.726709541</v>
      </c>
      <c r="D5" s="59">
        <f>C5*('Price and Financial ratios'!F4+1)*(1+Assumptions!$C$13)</f>
        <v>39952248.791960321</v>
      </c>
      <c r="E5" s="59">
        <f>D5*('Price and Financial ratios'!G4+1)*(1+Assumptions!$C$13)</f>
        <v>48451845.112252638</v>
      </c>
      <c r="F5" s="59">
        <f>E5*('Price and Financial ratios'!H4+1)*(1+Assumptions!$C$13)</f>
        <v>54352702.622087933</v>
      </c>
      <c r="G5" s="59">
        <f>F5*('Price and Financial ratios'!I4+1)*(1+Assumptions!$C$13)</f>
        <v>60422915.049787357</v>
      </c>
      <c r="H5" s="59">
        <f>G5*('Price and Financial ratios'!J4+1)*(1+Assumptions!$C$13)</f>
        <v>65339122.252760388</v>
      </c>
      <c r="I5" s="59">
        <f>H5*('Price and Financial ratios'!K4+1)*(1+Assumptions!$C$13)</f>
        <v>69334667.910446972</v>
      </c>
      <c r="J5" s="59">
        <f>I5*('Price and Financial ratios'!L4+1)*(1+Assumptions!$C$13)</f>
        <v>73574544.752150714</v>
      </c>
      <c r="K5" s="59">
        <f>J5*('Price and Financial ratios'!M4+1)*(1+Assumptions!$C$13)</f>
        <v>78073693.847902521</v>
      </c>
      <c r="L5" s="59">
        <f>K5*('Price and Financial ratios'!N4+1)*(1+Assumptions!$C$13)</f>
        <v>82847969.92750445</v>
      </c>
      <c r="M5" s="59">
        <f>L5*('Price and Financial ratios'!O4+1)*(1+Assumptions!$C$13)</f>
        <v>87914197.251640335</v>
      </c>
      <c r="N5" s="59">
        <f>M5*('Price and Financial ratios'!P4+1)*(1+Assumptions!$C$13)</f>
        <v>93290228.899554834</v>
      </c>
      <c r="O5" s="59">
        <f>N5*('Price and Financial ratios'!Q4+1)*(1+Assumptions!$C$13)</f>
        <v>98995009.682226837</v>
      </c>
      <c r="P5" s="59">
        <f>O5*('Price and Financial ratios'!R4+1)*(1+Assumptions!$C$13)</f>
        <v>105048642.90273972</v>
      </c>
      <c r="Q5" s="59">
        <f>P5*('Price and Financial ratios'!S4+1)*(1+Assumptions!$C$13)</f>
        <v>111472461.19910777</v>
      </c>
      <c r="R5" s="59">
        <f>Q5*('Price and Financial ratios'!T4+1)*(1+Assumptions!$C$13)</f>
        <v>118289101.71920466</v>
      </c>
      <c r="S5" s="59">
        <f>R5*('Price and Financial ratios'!U4+1)*(1+Assumptions!$C$13)</f>
        <v>125522585.89270607</v>
      </c>
      <c r="T5" s="59">
        <f>S5*('Price and Financial ratios'!V4+1)*(1+Assumptions!$C$13)</f>
        <v>131929847.8518132</v>
      </c>
      <c r="U5" s="59">
        <f>T5*('Price and Financial ratios'!W4+1)*(1+Assumptions!$C$13)</f>
        <v>138664166.53557795</v>
      </c>
      <c r="V5" s="59">
        <f>U5*('Price and Financial ratios'!X4+1)*(1+Assumptions!$C$13)</f>
        <v>145742236.45435846</v>
      </c>
      <c r="W5" s="59">
        <f>V5*('Price and Financial ratios'!Y4+1)*(1+Assumptions!$C$13)</f>
        <v>153181604.28468189</v>
      </c>
      <c r="X5" s="59">
        <f>W5*('Price and Financial ratios'!Z4+1)*(1+Assumptions!$C$13)</f>
        <v>161000712.36780557</v>
      </c>
      <c r="Y5" s="59">
        <f>X5*('Price and Financial ratios'!AA4+1)*(1+Assumptions!$C$13)</f>
        <v>167591839.19375798</v>
      </c>
      <c r="Z5" s="59">
        <f>Y5*('Price and Financial ratios'!AB4+1)*(1+Assumptions!$C$13)</f>
        <v>173097823.65172628</v>
      </c>
      <c r="AA5" s="59">
        <f>Z5*('Price and Financial ratios'!AC4+1)*(1+Assumptions!$C$13)</f>
        <v>178784699.16618773</v>
      </c>
      <c r="AB5" s="59">
        <f>AA5*('Price and Financial ratios'!AD4+1)*(1+Assumptions!$C$13)</f>
        <v>184658408.64790952</v>
      </c>
      <c r="AC5" s="59">
        <f>AB5*('Price and Financial ratios'!AE4+1)*(1+Assumptions!$C$13)</f>
        <v>190725090.25328937</v>
      </c>
      <c r="AD5" s="59">
        <f>AC5*('Price and Financial ratios'!AF4+1)*(1+Assumptions!$C$13)</f>
        <v>196991083.79886484</v>
      </c>
      <c r="AE5" s="59">
        <f>AD5*('Price and Financial ratios'!AG4+1)*(1+Assumptions!$C$13)</f>
        <v>203462937.38656196</v>
      </c>
      <c r="AF5" s="59">
        <f>AE5*('Price and Financial ratios'!AH4+1)*(1+Assumptions!$C$13)</f>
        <v>210147414.24660653</v>
      </c>
    </row>
    <row r="6" spans="1:32" s="11" customFormat="1" x14ac:dyDescent="0.35">
      <c r="A6" s="11" t="s">
        <v>20</v>
      </c>
      <c r="C6" s="59">
        <f>C27</f>
        <v>10777432.772907352</v>
      </c>
      <c r="D6" s="59">
        <f t="shared" ref="D6:AF6" si="1">D27</f>
        <v>12091257.056939298</v>
      </c>
      <c r="E6" s="59">
        <f>E27</f>
        <v>13458831.094123211</v>
      </c>
      <c r="F6" s="59">
        <f t="shared" si="1"/>
        <v>14881922.019223245</v>
      </c>
      <c r="G6" s="59">
        <f t="shared" si="1"/>
        <v>16362349.955688741</v>
      </c>
      <c r="H6" s="59">
        <f t="shared" si="1"/>
        <v>17901989.532918137</v>
      </c>
      <c r="I6" s="59">
        <f t="shared" si="1"/>
        <v>19502771.445984725</v>
      </c>
      <c r="J6" s="59">
        <f t="shared" si="1"/>
        <v>21166684.059002601</v>
      </c>
      <c r="K6" s="59">
        <f t="shared" si="1"/>
        <v>22895775.053343803</v>
      </c>
      <c r="L6" s="59">
        <f t="shared" si="1"/>
        <v>24692153.121951349</v>
      </c>
      <c r="M6" s="59">
        <f t="shared" si="1"/>
        <v>26557989.711027466</v>
      </c>
      <c r="N6" s="59">
        <f t="shared" si="1"/>
        <v>28495520.810411923</v>
      </c>
      <c r="O6" s="59">
        <f t="shared" si="1"/>
        <v>30507048.794001922</v>
      </c>
      <c r="P6" s="59">
        <f t="shared" si="1"/>
        <v>32594944.311602622</v>
      </c>
      <c r="Q6" s="59">
        <f t="shared" si="1"/>
        <v>34761648.233636111</v>
      </c>
      <c r="R6" s="59">
        <f t="shared" si="1"/>
        <v>37009673.65017619</v>
      </c>
      <c r="S6" s="59">
        <f t="shared" si="1"/>
        <v>39341607.925817549</v>
      </c>
      <c r="T6" s="59">
        <f t="shared" si="1"/>
        <v>41760114.811929531</v>
      </c>
      <c r="U6" s="59">
        <f t="shared" si="1"/>
        <v>44267936.617888242</v>
      </c>
      <c r="V6" s="59">
        <f t="shared" si="1"/>
        <v>46867896.442924879</v>
      </c>
      <c r="W6" s="59">
        <f t="shared" si="1"/>
        <v>49562900.470274195</v>
      </c>
      <c r="X6" s="59">
        <f t="shared" si="1"/>
        <v>52355940.325353518</v>
      </c>
      <c r="Y6" s="59">
        <f t="shared" si="1"/>
        <v>55250095.499751449</v>
      </c>
      <c r="Z6" s="59">
        <f t="shared" si="1"/>
        <v>58248535.842854723</v>
      </c>
      <c r="AA6" s="59">
        <f t="shared" si="1"/>
        <v>61354524.122992896</v>
      </c>
      <c r="AB6" s="59">
        <f t="shared" si="1"/>
        <v>64571418.660033122</v>
      </c>
      <c r="AC6" s="59">
        <f t="shared" si="1"/>
        <v>67902676.031410858</v>
      </c>
      <c r="AD6" s="59">
        <f t="shared" si="1"/>
        <v>71351853.853638321</v>
      </c>
      <c r="AE6" s="59">
        <f t="shared" si="1"/>
        <v>74922613.641389251</v>
      </c>
      <c r="AF6" s="59">
        <f t="shared" si="1"/>
        <v>78618723.746317416</v>
      </c>
    </row>
    <row r="7" spans="1:32" x14ac:dyDescent="0.35">
      <c r="A7" t="s">
        <v>21</v>
      </c>
      <c r="C7" s="4">
        <f>Depreciation!C8+Depreciation!C9</f>
        <v>8142127.8425169177</v>
      </c>
      <c r="D7" s="4">
        <f>Depreciation!D8+Depreciation!D9</f>
        <v>9193976.3846700415</v>
      </c>
      <c r="E7" s="4">
        <f>Depreciation!E8+Depreciation!E9</f>
        <v>10304805.694610231</v>
      </c>
      <c r="F7" s="4">
        <f>Depreciation!F8+Depreciation!F9</f>
        <v>11477313.448568687</v>
      </c>
      <c r="G7" s="4">
        <f>Depreciation!G8+Depreciation!G9</f>
        <v>12714309.577749208</v>
      </c>
      <c r="H7" s="4">
        <f>Depreciation!H8+Depreciation!H9</f>
        <v>14018720.690225942</v>
      </c>
      <c r="I7" s="4">
        <f>Depreciation!I8+Depreciation!I9</f>
        <v>15393594.660893572</v>
      </c>
      <c r="J7" s="4">
        <f>Depreciation!J8+Depreciation!J9</f>
        <v>16842105.395697143</v>
      </c>
      <c r="K7" s="4">
        <f>Depreciation!K8+Depreciation!K9</f>
        <v>18367557.776595388</v>
      </c>
      <c r="L7" s="4">
        <f>Depreciation!L8+Depreciation!L9</f>
        <v>19973392.793945923</v>
      </c>
      <c r="M7" s="4">
        <f>Depreciation!M8+Depreciation!M9</f>
        <v>21663192.87324366</v>
      </c>
      <c r="N7" s="4">
        <f>Depreciation!N8+Depreciation!N9</f>
        <v>23440687.403395452</v>
      </c>
      <c r="O7" s="4">
        <f>Depreciation!O8+Depreciation!O9</f>
        <v>25309758.473974764</v>
      </c>
      <c r="P7" s="4">
        <f>Depreciation!P8+Depreciation!P9</f>
        <v>27274446.829170063</v>
      </c>
      <c r="Q7" s="4">
        <f>Depreciation!Q8+Depreciation!Q9</f>
        <v>29338958.046420507</v>
      </c>
      <c r="R7" s="4">
        <f>Depreciation!R8+Depreciation!R9</f>
        <v>31507668.948021926</v>
      </c>
      <c r="S7" s="4">
        <f>Depreciation!S8+Depreciation!S9</f>
        <v>33785134.254286297</v>
      </c>
      <c r="T7" s="4">
        <f>Depreciation!T8+Depreciation!T9</f>
        <v>36176093.487148806</v>
      </c>
      <c r="U7" s="4">
        <f>Depreciation!U8+Depreciation!U9</f>
        <v>38685478.133438125</v>
      </c>
      <c r="V7" s="4">
        <f>Depreciation!V8+Depreciation!V9</f>
        <v>41318419.077359132</v>
      </c>
      <c r="W7" s="4">
        <f>Depreciation!W8+Depreciation!W9</f>
        <v>44080254.312082447</v>
      </c>
      <c r="X7" s="4">
        <f>Depreciation!X8+Depreciation!X9</f>
        <v>46976536.94069282</v>
      </c>
      <c r="Y7" s="4">
        <f>Depreciation!Y8+Depreciation!Y9</f>
        <v>50013043.477118671</v>
      </c>
      <c r="Z7" s="4">
        <f>Depreciation!Z8+Depreciation!Z9</f>
        <v>53195782.458048537</v>
      </c>
      <c r="AA7" s="4">
        <f>Depreciation!AA8+Depreciation!AA9</f>
        <v>56531003.377237357</v>
      </c>
      <c r="AB7" s="4">
        <f>Depreciation!AB8+Depreciation!AB9</f>
        <v>60025205.954017185</v>
      </c>
      <c r="AC7" s="4">
        <f>Depreciation!AC8+Depreciation!AC9</f>
        <v>63685149.748252638</v>
      </c>
      <c r="AD7" s="4">
        <f>Depreciation!AD8+Depreciation!AD9</f>
        <v>67517864.134422272</v>
      </c>
      <c r="AE7" s="4">
        <f>Depreciation!AE8+Depreciation!AE9</f>
        <v>71530658.647964522</v>
      </c>
      <c r="AF7" s="4">
        <f>Depreciation!AF8+Depreciation!AF9</f>
        <v>75731133.717499822</v>
      </c>
    </row>
    <row r="8" spans="1:32" x14ac:dyDescent="0.35">
      <c r="A8" t="s">
        <v>6</v>
      </c>
      <c r="C8" s="4">
        <f ca="1">'Debt worksheet'!C8</f>
        <v>3482681.6379445591</v>
      </c>
      <c r="D8" s="4">
        <f ca="1">'Debt worksheet'!D8</f>
        <v>4127788.5236664522</v>
      </c>
      <c r="E8" s="4">
        <f ca="1">'Debt worksheet'!E8</f>
        <v>4616174.5195731809</v>
      </c>
      <c r="F8" s="4">
        <f ca="1">'Debt worksheet'!F8</f>
        <v>5041885.3657482835</v>
      </c>
      <c r="G8" s="4">
        <f ca="1">'Debt worksheet'!G8</f>
        <v>5402187.7203431139</v>
      </c>
      <c r="H8" s="4">
        <f ca="1">'Debt worksheet'!H8</f>
        <v>5742461.2000416107</v>
      </c>
      <c r="I8" s="4">
        <f ca="1">'Debt worksheet'!I8</f>
        <v>6101490.3750567818</v>
      </c>
      <c r="J8" s="4">
        <f ca="1">'Debt worksheet'!J8</f>
        <v>6477443.1886626985</v>
      </c>
      <c r="K8" s="4">
        <f ca="1">'Debt worksheet'!K8</f>
        <v>6868117.8135178443</v>
      </c>
      <c r="L8" s="4">
        <f ca="1">'Debt worksheet'!L8</f>
        <v>7270904.6741001811</v>
      </c>
      <c r="M8" s="4">
        <f ca="1">'Debt worksheet'!M8</f>
        <v>7682745.3671854753</v>
      </c>
      <c r="N8" s="4">
        <f ca="1">'Debt worksheet'!N8</f>
        <v>8100088.2544776937</v>
      </c>
      <c r="O8" s="4">
        <f ca="1">'Debt worksheet'!O8</f>
        <v>8518840.4860953055</v>
      </c>
      <c r="P8" s="4">
        <f ca="1">'Debt worksheet'!P8</f>
        <v>8934316.1972028911</v>
      </c>
      <c r="Q8" s="4">
        <f ca="1">'Debt worksheet'!Q8</f>
        <v>9341180.6025890242</v>
      </c>
      <c r="R8" s="4">
        <f ca="1">'Debt worksheet'!R8</f>
        <v>9733389.6953605153</v>
      </c>
      <c r="S8" s="4">
        <f ca="1">'Debt worksheet'!S8</f>
        <v>10104125.236076633</v>
      </c>
      <c r="T8" s="4">
        <f ca="1">'Debt worksheet'!T8</f>
        <v>10491734.508934766</v>
      </c>
      <c r="U8" s="4">
        <f ca="1">'Debt worksheet'!U8</f>
        <v>10894466.08938613</v>
      </c>
      <c r="V8" s="4">
        <f ca="1">'Debt worksheet'!V8</f>
        <v>11310250.867376033</v>
      </c>
      <c r="W8" s="4">
        <f ca="1">'Debt worksheet'!W8</f>
        <v>11736672.153875001</v>
      </c>
      <c r="X8" s="4">
        <f ca="1">'Debt worksheet'!X8</f>
        <v>12170933.56560247</v>
      </c>
      <c r="Y8" s="4">
        <f ca="1">'Debt worksheet'!Y8</f>
        <v>12668838.721658163</v>
      </c>
      <c r="Z8" s="4">
        <f ca="1">'Debt worksheet'!Z8</f>
        <v>13283438.707395365</v>
      </c>
      <c r="AA8" s="4">
        <f ca="1">'Debt worksheet'!AA8</f>
        <v>14024209.006765032</v>
      </c>
      <c r="AB8" s="4">
        <f ca="1">'Debt worksheet'!AB8</f>
        <v>14901186.700289622</v>
      </c>
      <c r="AC8" s="4">
        <f ca="1">'Debt worksheet'!AC8</f>
        <v>15924999.170071116</v>
      </c>
      <c r="AD8" s="4">
        <f ca="1">'Debt worksheet'!AD8</f>
        <v>17106894.153649602</v>
      </c>
      <c r="AE8" s="4">
        <f ca="1">'Debt worksheet'!AE8</f>
        <v>18458771.206794549</v>
      </c>
      <c r="AF8" s="4">
        <f ca="1">'Debt worksheet'!AF8</f>
        <v>19993214.637890417</v>
      </c>
    </row>
    <row r="9" spans="1:32" x14ac:dyDescent="0.35">
      <c r="A9" t="s">
        <v>22</v>
      </c>
      <c r="C9" s="4">
        <f ca="1">C5-C6-C7-C8</f>
        <v>8007310.4733407144</v>
      </c>
      <c r="D9" s="4">
        <f t="shared" ref="D9:AF9" ca="1" si="2">D5-D6-D7-D8</f>
        <v>14539226.826684531</v>
      </c>
      <c r="E9" s="4">
        <f t="shared" ca="1" si="2"/>
        <v>20072033.803946011</v>
      </c>
      <c r="F9" s="4">
        <f t="shared" ca="1" si="2"/>
        <v>22951581.788547721</v>
      </c>
      <c r="G9" s="4">
        <f t="shared" ca="1" si="2"/>
        <v>25944067.796006292</v>
      </c>
      <c r="H9" s="4">
        <f t="shared" ca="1" si="2"/>
        <v>27675950.8295747</v>
      </c>
      <c r="I9" s="4">
        <f t="shared" ca="1" si="2"/>
        <v>28336811.428511895</v>
      </c>
      <c r="J9" s="4">
        <f t="shared" ca="1" si="2"/>
        <v>29088312.108788274</v>
      </c>
      <c r="K9" s="4">
        <f t="shared" ca="1" si="2"/>
        <v>29942243.204445489</v>
      </c>
      <c r="L9" s="4">
        <f t="shared" ca="1" si="2"/>
        <v>30911519.337506995</v>
      </c>
      <c r="M9" s="4">
        <f t="shared" ca="1" si="2"/>
        <v>32010269.300183736</v>
      </c>
      <c r="N9" s="4">
        <f t="shared" ca="1" si="2"/>
        <v>33253932.431269765</v>
      </c>
      <c r="O9" s="4">
        <f t="shared" ca="1" si="2"/>
        <v>34659361.928154841</v>
      </c>
      <c r="P9" s="4">
        <f t="shared" ca="1" si="2"/>
        <v>36244935.564764142</v>
      </c>
      <c r="Q9" s="4">
        <f t="shared" ca="1" si="2"/>
        <v>38030674.316462122</v>
      </c>
      <c r="R9" s="4">
        <f t="shared" ca="1" si="2"/>
        <v>40038369.425646022</v>
      </c>
      <c r="S9" s="4">
        <f t="shared" ca="1" si="2"/>
        <v>42291718.47652559</v>
      </c>
      <c r="T9" s="4">
        <f t="shared" ca="1" si="2"/>
        <v>43501905.043800101</v>
      </c>
      <c r="U9" s="4">
        <f t="shared" ca="1" si="2"/>
        <v>44816285.694865458</v>
      </c>
      <c r="V9" s="4">
        <f t="shared" ca="1" si="2"/>
        <v>46245670.066698402</v>
      </c>
      <c r="W9" s="4">
        <f t="shared" ca="1" si="2"/>
        <v>47801777.348450243</v>
      </c>
      <c r="X9" s="4">
        <f t="shared" ca="1" si="2"/>
        <v>49497301.536156759</v>
      </c>
      <c r="Y9" s="4">
        <f t="shared" ca="1" si="2"/>
        <v>49659861.495229699</v>
      </c>
      <c r="Z9" s="4">
        <f t="shared" ca="1" si="2"/>
        <v>48370066.643427648</v>
      </c>
      <c r="AA9" s="4">
        <f t="shared" ca="1" si="2"/>
        <v>46874962.659192443</v>
      </c>
      <c r="AB9" s="4">
        <f t="shared" ca="1" si="2"/>
        <v>45160597.333569594</v>
      </c>
      <c r="AC9" s="4">
        <f t="shared" ca="1" si="2"/>
        <v>43212265.303554758</v>
      </c>
      <c r="AD9" s="4">
        <f t="shared" ca="1" si="2"/>
        <v>41014471.657154649</v>
      </c>
      <c r="AE9" s="4">
        <f t="shared" ca="1" si="2"/>
        <v>38550893.890413642</v>
      </c>
      <c r="AF9" s="4">
        <f t="shared" ca="1" si="2"/>
        <v>35804342.144898877</v>
      </c>
    </row>
    <row r="12" spans="1:32" x14ac:dyDescent="0.35">
      <c r="A12" t="s">
        <v>79</v>
      </c>
      <c r="C12" s="2">
        <f>Assumptions!$C$25*Assumptions!D9*Assumptions!D13</f>
        <v>9828265.1237289999</v>
      </c>
      <c r="D12" s="2">
        <f>Assumptions!$C$25*Assumptions!E9*Assumptions!E13</f>
        <v>10151158.382018745</v>
      </c>
      <c r="E12" s="2">
        <f>Assumptions!$C$25*Assumptions!F9*Assumptions!F13</f>
        <v>10484659.825470004</v>
      </c>
      <c r="F12" s="2">
        <f>Assumptions!$C$25*Assumptions!G9*Assumptions!G13</f>
        <v>10829117.970471807</v>
      </c>
      <c r="G12" s="2">
        <f>Assumptions!$C$25*Assumptions!H9*Assumptions!H13</f>
        <v>11184892.78340878</v>
      </c>
      <c r="H12" s="2">
        <f>Assumptions!$C$25*Assumptions!I9*Assumptions!I13</f>
        <v>11552356.056833994</v>
      </c>
      <c r="I12" s="2">
        <f>Assumptions!$C$25*Assumptions!J9*Assumptions!J13</f>
        <v>11931891.798000397</v>
      </c>
      <c r="J12" s="2">
        <f>Assumptions!$C$25*Assumptions!K9*Assumptions!K13</f>
        <v>12323896.630156908</v>
      </c>
      <c r="K12" s="2">
        <f>Assumptions!$C$25*Assumptions!L9*Assumptions!L13</f>
        <v>12728780.207028463</v>
      </c>
      <c r="L12" s="2">
        <f>Assumptions!$C$25*Assumptions!M9*Assumptions!M13</f>
        <v>13146965.640913265</v>
      </c>
      <c r="M12" s="2">
        <f>Assumptions!$C$25*Assumptions!N9*Assumptions!N13</f>
        <v>13578889.944844453</v>
      </c>
      <c r="N12" s="2">
        <f>Assumptions!$C$25*Assumptions!O9*Assumptions!O13</f>
        <v>14025004.489278425</v>
      </c>
      <c r="O12" s="2">
        <f>Assumptions!$C$25*Assumptions!P9*Assumptions!P13</f>
        <v>14485775.47378695</v>
      </c>
      <c r="P12" s="2">
        <f>Assumptions!$C$25*Assumptions!Q9*Assumptions!Q13</f>
        <v>14961684.414246023</v>
      </c>
      <c r="Q12" s="2">
        <f>Assumptions!$C$25*Assumptions!R9*Assumptions!R13</f>
        <v>15453228.646030631</v>
      </c>
      <c r="R12" s="2">
        <f>Assumptions!$C$25*Assumptions!S9*Assumptions!S13</f>
        <v>15960921.843741203</v>
      </c>
      <c r="S12" s="2">
        <f>Assumptions!$C$25*Assumptions!T9*Assumptions!T13</f>
        <v>16485294.558004959</v>
      </c>
      <c r="T12" s="2">
        <f>Assumptions!$C$25*Assumptions!U9*Assumptions!U13</f>
        <v>17026894.769913036</v>
      </c>
      <c r="U12" s="2">
        <f>Assumptions!$C$25*Assumptions!V9*Assumptions!V13</f>
        <v>17586288.463672888</v>
      </c>
      <c r="V12" s="2">
        <f>Assumptions!$C$25*Assumptions!W9*Assumptions!W13</f>
        <v>18164060.218074255</v>
      </c>
      <c r="W12" s="2">
        <f>Assumptions!$C$25*Assumptions!X9*Assumptions!X13</f>
        <v>18760813.817386996</v>
      </c>
      <c r="X12" s="2">
        <f>Assumptions!$C$25*Assumptions!Y9*Assumptions!Y13</f>
        <v>19377172.882328961</v>
      </c>
      <c r="Y12" s="2">
        <f>Assumptions!$C$25*Assumptions!Z9*Assumptions!Z13</f>
        <v>20013781.521763481</v>
      </c>
      <c r="Z12" s="2">
        <f>Assumptions!$C$25*Assumptions!AA9*Assumptions!AA13</f>
        <v>20671305.005807377</v>
      </c>
      <c r="AA12" s="2">
        <f>Assumptions!$C$25*Assumptions!AB9*Assumptions!AB13</f>
        <v>21350430.461052909</v>
      </c>
      <c r="AB12" s="2">
        <f>Assumptions!$C$25*Assumptions!AC9*Assumptions!AC13</f>
        <v>22051867.588630352</v>
      </c>
      <c r="AC12" s="2">
        <f>Assumptions!$C$25*Assumptions!AD9*Assumptions!AD13</f>
        <v>22776349.405861314</v>
      </c>
      <c r="AD12" s="2">
        <f>Assumptions!$C$25*Assumptions!AE9*Assumptions!AE13</f>
        <v>23524633.012278102</v>
      </c>
      <c r="AE12" s="2">
        <f>Assumptions!$C$25*Assumptions!AF9*Assumptions!AF13</f>
        <v>24297500.380809464</v>
      </c>
      <c r="AF12" s="2">
        <f>Assumptions!$C$25*Assumptions!AG9*Assumptions!AG13</f>
        <v>25095759.174959607</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949167.64917835267</v>
      </c>
      <c r="D14" s="5">
        <f>Assumptions!E122*Assumptions!E9</f>
        <v>1940098.6749205526</v>
      </c>
      <c r="E14" s="5">
        <f>Assumptions!F122*Assumptions!F9</f>
        <v>2974171.2686532075</v>
      </c>
      <c r="F14" s="5">
        <f>Assumptions!G122*Assumptions!G9</f>
        <v>4052804.0487514376</v>
      </c>
      <c r="G14" s="5">
        <f>Assumptions!H122*Assumptions!H9</f>
        <v>5177457.1722799614</v>
      </c>
      <c r="H14" s="5">
        <f>Assumptions!I122*Assumptions!I9</f>
        <v>6349633.4760841429</v>
      </c>
      <c r="I14" s="5">
        <f>Assumptions!J122*Assumptions!J9</f>
        <v>7570879.6479843268</v>
      </c>
      <c r="J14" s="5">
        <f>Assumptions!K122*Assumptions!K9</f>
        <v>8842787.4288456943</v>
      </c>
      <c r="K14" s="5">
        <f>Assumptions!L122*Assumptions!L9</f>
        <v>10166994.846315337</v>
      </c>
      <c r="L14" s="5">
        <f>Assumptions!M122*Assumptions!M9</f>
        <v>11545187.481038084</v>
      </c>
      <c r="M14" s="5">
        <f>Assumptions!N122*Assumptions!N9</f>
        <v>12979099.766183013</v>
      </c>
      <c r="N14" s="5">
        <f>Assumptions!O122*Assumptions!O9</f>
        <v>14470516.321133498</v>
      </c>
      <c r="O14" s="5">
        <f>Assumptions!P122*Assumptions!P9</f>
        <v>16021273.320214972</v>
      </c>
      <c r="P14" s="5">
        <f>Assumptions!Q122*Assumptions!Q9</f>
        <v>17633259.8973566</v>
      </c>
      <c r="Q14" s="5">
        <f>Assumptions!R122*Assumptions!R9</f>
        <v>19308419.58760548</v>
      </c>
      <c r="R14" s="5">
        <f>Assumptions!S122*Assumptions!S9</f>
        <v>21048751.806434985</v>
      </c>
      <c r="S14" s="5">
        <f>Assumptions!T122*Assumptions!T9</f>
        <v>22856313.367812593</v>
      </c>
      <c r="T14" s="5">
        <f>Assumptions!U122*Assumptions!U9</f>
        <v>24733220.042016495</v>
      </c>
      <c r="U14" s="5">
        <f>Assumptions!V122*Assumptions!V9</f>
        <v>26681648.154215351</v>
      </c>
      <c r="V14" s="5">
        <f>Assumptions!W122*Assumptions!W9</f>
        <v>28703836.224850625</v>
      </c>
      <c r="W14" s="5">
        <f>Assumptions!X122*Assumptions!X9</f>
        <v>30802086.652887203</v>
      </c>
      <c r="X14" s="5">
        <f>Assumptions!Y122*Assumptions!Y9</f>
        <v>32978767.443024557</v>
      </c>
      <c r="Y14" s="5">
        <f>Assumptions!Z122*Assumptions!Z9</f>
        <v>35236313.977987967</v>
      </c>
      <c r="Z14" s="5">
        <f>Assumptions!AA122*Assumptions!AA9</f>
        <v>37577230.837047346</v>
      </c>
      <c r="AA14" s="5">
        <f>Assumptions!AB122*Assumptions!AB9</f>
        <v>40004093.661939986</v>
      </c>
      <c r="AB14" s="5">
        <f>Assumptions!AC122*Assumptions!AC9</f>
        <v>42519551.071402773</v>
      </c>
      <c r="AC14" s="5">
        <f>Assumptions!AD122*Assumptions!AD9</f>
        <v>45126326.625549547</v>
      </c>
      <c r="AD14" s="5">
        <f>Assumptions!AE122*Assumptions!AE9</f>
        <v>47827220.841360211</v>
      </c>
      <c r="AE14" s="5">
        <f>Assumptions!AF122*Assumptions!AF9</f>
        <v>50625113.260579787</v>
      </c>
      <c r="AF14" s="5">
        <f>Assumptions!AG122*Assumptions!AG9</f>
        <v>53522964.571357802</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193</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10777432.772907352</v>
      </c>
      <c r="D27" s="2">
        <f t="shared" ref="D27:AF27" si="8">D12+D13+D14+D19+D20+D22+D24+D25</f>
        <v>12091257.056939298</v>
      </c>
      <c r="E27" s="2">
        <f t="shared" si="8"/>
        <v>13458831.094123211</v>
      </c>
      <c r="F27" s="2">
        <f t="shared" si="8"/>
        <v>14881922.019223245</v>
      </c>
      <c r="G27" s="2">
        <f t="shared" si="8"/>
        <v>16362349.955688741</v>
      </c>
      <c r="H27" s="2">
        <f t="shared" si="8"/>
        <v>17901989.532918137</v>
      </c>
      <c r="I27" s="2">
        <f t="shared" si="8"/>
        <v>19502771.445984725</v>
      </c>
      <c r="J27" s="2">
        <f t="shared" si="8"/>
        <v>21166684.059002601</v>
      </c>
      <c r="K27" s="2">
        <f t="shared" si="8"/>
        <v>22895775.053343803</v>
      </c>
      <c r="L27" s="2">
        <f t="shared" si="8"/>
        <v>24692153.121951349</v>
      </c>
      <c r="M27" s="2">
        <f t="shared" si="8"/>
        <v>26557989.711027466</v>
      </c>
      <c r="N27" s="2">
        <f t="shared" si="8"/>
        <v>28495520.810411923</v>
      </c>
      <c r="O27" s="2">
        <f t="shared" si="8"/>
        <v>30507048.794001922</v>
      </c>
      <c r="P27" s="2">
        <f t="shared" si="8"/>
        <v>32594944.311602622</v>
      </c>
      <c r="Q27" s="2">
        <f t="shared" si="8"/>
        <v>34761648.233636111</v>
      </c>
      <c r="R27" s="2">
        <f t="shared" si="8"/>
        <v>37009673.65017619</v>
      </c>
      <c r="S27" s="2">
        <f t="shared" si="8"/>
        <v>39341607.925817549</v>
      </c>
      <c r="T27" s="2">
        <f t="shared" si="8"/>
        <v>41760114.811929531</v>
      </c>
      <c r="U27" s="2">
        <f t="shared" si="8"/>
        <v>44267936.617888242</v>
      </c>
      <c r="V27" s="2">
        <f t="shared" si="8"/>
        <v>46867896.442924879</v>
      </c>
      <c r="W27" s="2">
        <f t="shared" si="8"/>
        <v>49562900.470274195</v>
      </c>
      <c r="X27" s="2">
        <f t="shared" si="8"/>
        <v>52355940.325353518</v>
      </c>
      <c r="Y27" s="2">
        <f t="shared" si="8"/>
        <v>55250095.499751449</v>
      </c>
      <c r="Z27" s="2">
        <f t="shared" si="8"/>
        <v>58248535.842854723</v>
      </c>
      <c r="AA27" s="2">
        <f t="shared" si="8"/>
        <v>61354524.122992896</v>
      </c>
      <c r="AB27" s="2">
        <f t="shared" si="8"/>
        <v>64571418.660033122</v>
      </c>
      <c r="AC27" s="2">
        <f t="shared" si="8"/>
        <v>67902676.031410858</v>
      </c>
      <c r="AD27" s="2">
        <f t="shared" si="8"/>
        <v>71351853.853638321</v>
      </c>
      <c r="AE27" s="2">
        <f t="shared" si="8"/>
        <v>74922613.641389251</v>
      </c>
      <c r="AF27" s="2">
        <f t="shared" si="8"/>
        <v>78618723.746317416</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3W2DU3RAJ5R2-1900874439-748</_dlc_DocId>
    <_dlc_DocIdUrl xmlns="f54e2983-00ce-40fc-8108-18f351fc47bf">
      <Url>https://dia.cohesion.net.nz/Sites/LGV/TWRP/CAE/_layouts/15/DocIdRedir.aspx?ID=3W2DU3RAJ5R2-1900874439-748</Url>
      <Description>3W2DU3RAJ5R2-1900874439-748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5BD0759-7063-4F74-B8BE-2BFC662F2D0B}"/>
</file>

<file path=customXml/itemProps2.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3.xml><?xml version="1.0" encoding="utf-8"?>
<ds:datastoreItem xmlns:ds="http://schemas.openxmlformats.org/officeDocument/2006/customXml" ds:itemID="{CBCC2D2A-763C-48F8-A3E5-6B0A81386C39}">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sharepoint/v3"/>
    <ds:schemaRef ds:uri="08a23fc5-e034-477c-ac83-93bc1440f322"/>
    <ds:schemaRef ds:uri="http://schemas.microsoft.com/office/infopath/2007/PartnerControls"/>
    <ds:schemaRef ds:uri="http://purl.org/dc/terms/"/>
    <ds:schemaRef ds:uri="65b6d800-2dda-48d6-88d8-9e2b35e6f7ea"/>
    <ds:schemaRef ds:uri="http://www.w3.org/XML/1998/namespace"/>
    <ds:schemaRef ds:uri="http://purl.org/dc/dcmitype/"/>
  </ds:schemaRefs>
</ds:datastoreItem>
</file>

<file path=customXml/itemProps4.xml><?xml version="1.0" encoding="utf-8"?>
<ds:datastoreItem xmlns:ds="http://schemas.openxmlformats.org/officeDocument/2006/customXml" ds:itemID="{3BECE548-BD6C-4909-B250-AA896D10F7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2021-07-01T16:00:32Z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8f3329b3-01ee-4014-8b9f-26d7bf73119e</vt:lpwstr>
  </property>
</Properties>
</file>