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codeName="ThisWorkbook" defaultThemeVersion="166925"/>
  <xr:revisionPtr revIDLastSave="0" documentId="13_ncr:1_{E7C6149A-42A3-4A90-A90E-5434BF7869C8}" xr6:coauthVersionLast="47" xr6:coauthVersionMax="47" xr10:uidLastSave="{00000000-0000-0000-0000-000000000000}"/>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Data sheet" sheetId="27" r:id="rId5"/>
    <sheet name="Assumptions" sheetId="2" r:id="rId6"/>
    <sheet name="Price and Financial ratios" sheetId="7" r:id="rId7"/>
    <sheet name="Processing sheets ===&gt;" sheetId="23" r:id="rId8"/>
    <sheet name="Investment" sheetId="9" r:id="rId9"/>
    <sheet name="Profit and Loss" sheetId="8" r:id="rId10"/>
    <sheet name="Balance Sheet" sheetId="5" r:id="rId11"/>
    <sheet name="Cash Flow" sheetId="4" r:id="rId12"/>
    <sheet name="Depreciation" sheetId="6" r:id="rId13"/>
    <sheet name="Debt worksheet" sheetId="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5" hidden="1">Assumptions!#REF!</definedName>
    <definedName name="solver_adj" localSheetId="6" hidden="1">'Price and Financial ratios'!$F$4</definedName>
    <definedName name="solver_cvg" localSheetId="5" hidden="1">0.0001</definedName>
    <definedName name="solver_cvg" localSheetId="6" hidden="1">0.0001</definedName>
    <definedName name="solver_drv" localSheetId="5" hidden="1">1</definedName>
    <definedName name="solver_drv" localSheetId="6" hidden="1">1</definedName>
    <definedName name="solver_eng" localSheetId="5" hidden="1">1</definedName>
    <definedName name="solver_eng" localSheetId="6" hidden="1">1</definedName>
    <definedName name="solver_est" localSheetId="5" hidden="1">1</definedName>
    <definedName name="solver_est" localSheetId="6" hidden="1">1</definedName>
    <definedName name="solver_itr" localSheetId="5" hidden="1">2147483647</definedName>
    <definedName name="solver_itr" localSheetId="6" hidden="1">2147483647</definedName>
    <definedName name="solver_mip" localSheetId="5" hidden="1">2147483647</definedName>
    <definedName name="solver_mip" localSheetId="6" hidden="1">2147483647</definedName>
    <definedName name="solver_mni" localSheetId="5" hidden="1">30</definedName>
    <definedName name="solver_mni" localSheetId="6" hidden="1">30</definedName>
    <definedName name="solver_mrt" localSheetId="5" hidden="1">0.075</definedName>
    <definedName name="solver_mrt" localSheetId="6" hidden="1">0.075</definedName>
    <definedName name="solver_msl" localSheetId="5" hidden="1">2</definedName>
    <definedName name="solver_msl" localSheetId="6" hidden="1">2</definedName>
    <definedName name="solver_neg" localSheetId="5" hidden="1">1</definedName>
    <definedName name="solver_neg" localSheetId="6" hidden="1">1</definedName>
    <definedName name="solver_nod" localSheetId="5" hidden="1">2147483647</definedName>
    <definedName name="solver_nod" localSheetId="6" hidden="1">2147483647</definedName>
    <definedName name="solver_num" localSheetId="5" hidden="1">0</definedName>
    <definedName name="solver_num" localSheetId="6" hidden="1">0</definedName>
    <definedName name="solver_nwt" localSheetId="5" hidden="1">1</definedName>
    <definedName name="solver_nwt" localSheetId="6" hidden="1">1</definedName>
    <definedName name="solver_opt" localSheetId="5" hidden="1">Assumptions!$C$120</definedName>
    <definedName name="solver_opt" localSheetId="6" hidden="1">'Price and Financial ratios'!$F$6</definedName>
    <definedName name="solver_pre" localSheetId="5" hidden="1">0.000001</definedName>
    <definedName name="solver_pre" localSheetId="6" hidden="1">0.000001</definedName>
    <definedName name="solver_rbv" localSheetId="5" hidden="1">1</definedName>
    <definedName name="solver_rbv" localSheetId="6" hidden="1">1</definedName>
    <definedName name="solver_rlx" localSheetId="5" hidden="1">2</definedName>
    <definedName name="solver_rlx" localSheetId="6" hidden="1">2</definedName>
    <definedName name="solver_rsd" localSheetId="5" hidden="1">0</definedName>
    <definedName name="solver_rsd" localSheetId="6" hidden="1">0</definedName>
    <definedName name="solver_scl" localSheetId="5" hidden="1">1</definedName>
    <definedName name="solver_scl" localSheetId="6" hidden="1">1</definedName>
    <definedName name="solver_sho" localSheetId="5" hidden="1">2</definedName>
    <definedName name="solver_sho" localSheetId="6" hidden="1">2</definedName>
    <definedName name="solver_ssz" localSheetId="5" hidden="1">100</definedName>
    <definedName name="solver_ssz" localSheetId="6" hidden="1">100</definedName>
    <definedName name="solver_tim" localSheetId="5" hidden="1">2147483647</definedName>
    <definedName name="solver_tim" localSheetId="6" hidden="1">2147483647</definedName>
    <definedName name="solver_tol" localSheetId="5" hidden="1">0.01</definedName>
    <definedName name="solver_tol" localSheetId="6" hidden="1">0.01</definedName>
    <definedName name="solver_typ" localSheetId="5" hidden="1">3</definedName>
    <definedName name="solver_typ" localSheetId="6" hidden="1">3</definedName>
    <definedName name="solver_val" localSheetId="5" hidden="1">563251470</definedName>
    <definedName name="solver_val" localSheetId="6" hidden="1">2.5</definedName>
    <definedName name="solver_ver" localSheetId="5" hidden="1">3</definedName>
    <definedName name="solver_ver" localSheetId="6"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Count="10000"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4" i="2" l="1"/>
  <c r="C133" i="2"/>
  <c r="C98" i="2"/>
  <c r="C97" i="2"/>
  <c r="C70" i="2"/>
  <c r="C69" i="2"/>
  <c r="C25" i="2"/>
  <c r="C24" i="2"/>
  <c r="C20" i="2"/>
  <c r="C13" i="2"/>
  <c r="C73" i="2" l="1"/>
  <c r="C78" i="2"/>
  <c r="C112" i="2"/>
  <c r="C83" i="2"/>
  <c r="D6" i="3"/>
  <c r="E6" i="3"/>
  <c r="F6" i="3"/>
  <c r="G6" i="3"/>
  <c r="H6" i="3"/>
  <c r="I6" i="3"/>
  <c r="J6" i="3"/>
  <c r="K6" i="3"/>
  <c r="L6" i="3"/>
  <c r="M6" i="3"/>
  <c r="N6" i="3"/>
  <c r="O6" i="3"/>
  <c r="P6" i="3"/>
  <c r="Q6" i="3"/>
  <c r="R6" i="3"/>
  <c r="S6" i="3"/>
  <c r="T6" i="3"/>
  <c r="U6" i="3"/>
  <c r="V6" i="3"/>
  <c r="W6" i="3"/>
  <c r="X6" i="3"/>
  <c r="Y6" i="3"/>
  <c r="Z6" i="3"/>
  <c r="AA6" i="3"/>
  <c r="AB6" i="3"/>
  <c r="AC6" i="3"/>
  <c r="AD6" i="3"/>
  <c r="AE6" i="3"/>
  <c r="AF6" i="3"/>
  <c r="D65" i="2"/>
  <c r="C16" i="9" s="1"/>
  <c r="H64" i="2"/>
  <c r="H63" i="2"/>
  <c r="I63" i="2"/>
  <c r="H16" i="8" s="1"/>
  <c r="A11" i="19"/>
  <c r="A9" i="19"/>
  <c r="B40" i="21"/>
  <c r="B27" i="21"/>
  <c r="A21" i="21"/>
  <c r="A34" i="21"/>
  <c r="B8" i="21"/>
  <c r="B21" i="21" s="1"/>
  <c r="B34" i="21" s="1"/>
  <c r="D11" i="2"/>
  <c r="C9" i="9"/>
  <c r="F9" i="2"/>
  <c r="E9" i="2"/>
  <c r="D9" i="2"/>
  <c r="G11" i="2"/>
  <c r="F9" i="9" s="1"/>
  <c r="V9" i="2"/>
  <c r="U13" i="8" s="1"/>
  <c r="E11" i="2"/>
  <c r="D9" i="9" s="1"/>
  <c r="F11" i="2"/>
  <c r="E9" i="9"/>
  <c r="H11" i="2"/>
  <c r="G9" i="9" s="1"/>
  <c r="I11" i="2"/>
  <c r="H9" i="9" s="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J11" i="2"/>
  <c r="I9" i="9"/>
  <c r="K11" i="2"/>
  <c r="J9" i="9"/>
  <c r="E4" i="2"/>
  <c r="F4" i="2"/>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AG9" i="2"/>
  <c r="AF7" i="3" s="1"/>
  <c r="AF9" i="2"/>
  <c r="AE13" i="8" s="1"/>
  <c r="AE7" i="3"/>
  <c r="AE9" i="2"/>
  <c r="AD7" i="3" s="1"/>
  <c r="AD9" i="2"/>
  <c r="AC13" i="8" s="1"/>
  <c r="AC9" i="2"/>
  <c r="AB9" i="2"/>
  <c r="AA13" i="8"/>
  <c r="AA9" i="2"/>
  <c r="Z7" i="3" s="1"/>
  <c r="Z9" i="2"/>
  <c r="Y7" i="3" s="1"/>
  <c r="Y9" i="2"/>
  <c r="X13" i="8" s="1"/>
  <c r="X9" i="2"/>
  <c r="W9" i="2"/>
  <c r="V7" i="3" s="1"/>
  <c r="U9" i="2"/>
  <c r="T9" i="2"/>
  <c r="S7" i="3" s="1"/>
  <c r="S9" i="2"/>
  <c r="R7" i="3"/>
  <c r="R9" i="2"/>
  <c r="Q13" i="8" s="1"/>
  <c r="Q7" i="3"/>
  <c r="Q9" i="2"/>
  <c r="P13" i="8" s="1"/>
  <c r="P9" i="2"/>
  <c r="O13" i="8" s="1"/>
  <c r="O9" i="2"/>
  <c r="N13" i="8"/>
  <c r="N9" i="2"/>
  <c r="M13" i="8" s="1"/>
  <c r="M7" i="3"/>
  <c r="M9" i="2"/>
  <c r="L13" i="8" s="1"/>
  <c r="L9" i="2"/>
  <c r="K7" i="3" s="1"/>
  <c r="K9" i="2"/>
  <c r="J13" i="8" s="1"/>
  <c r="J7" i="3"/>
  <c r="J9" i="2"/>
  <c r="I12" i="8" s="1"/>
  <c r="I13" i="8"/>
  <c r="I9" i="2"/>
  <c r="H7" i="3" s="1"/>
  <c r="H13" i="8"/>
  <c r="H9" i="2"/>
  <c r="G9" i="2"/>
  <c r="C86" i="2"/>
  <c r="Y13" i="8"/>
  <c r="N7" i="3"/>
  <c r="K13" i="8"/>
  <c r="R13" i="8"/>
  <c r="AA7" i="3"/>
  <c r="E65" i="2"/>
  <c r="D17" i="8" s="1"/>
  <c r="C92" i="2"/>
  <c r="C93" i="2" s="1"/>
  <c r="C91" i="2"/>
  <c r="G16" i="8"/>
  <c r="G15" i="9"/>
  <c r="I64" i="2"/>
  <c r="J64" i="2" s="1"/>
  <c r="H15" i="9"/>
  <c r="C136" i="2"/>
  <c r="C31" i="2" s="1"/>
  <c r="C33" i="2" s="1"/>
  <c r="AB7" i="3"/>
  <c r="AB13" i="8"/>
  <c r="W7" i="3"/>
  <c r="W13" i="8"/>
  <c r="C17" i="2"/>
  <c r="B6" i="5" s="1"/>
  <c r="B7" i="21"/>
  <c r="C5" i="3"/>
  <c r="B11" i="5"/>
  <c r="C22" i="6" s="1"/>
  <c r="C87" i="2"/>
  <c r="T7" i="3"/>
  <c r="T13" i="8"/>
  <c r="V13" i="8"/>
  <c r="O7" i="3"/>
  <c r="U7" i="3"/>
  <c r="C100" i="2"/>
  <c r="X13" i="2"/>
  <c r="W12" i="8" s="1"/>
  <c r="AB13" i="2"/>
  <c r="AA12" i="8" s="1"/>
  <c r="Q13" i="2"/>
  <c r="M13" i="2"/>
  <c r="S13" i="2"/>
  <c r="R12" i="8"/>
  <c r="K13" i="2"/>
  <c r="J12" i="8" s="1"/>
  <c r="O13" i="2"/>
  <c r="N12" i="8"/>
  <c r="AD13" i="2"/>
  <c r="AA13" i="2"/>
  <c r="Z12" i="8" s="1"/>
  <c r="H13" i="2"/>
  <c r="G12" i="8" s="1"/>
  <c r="G13" i="2"/>
  <c r="F12" i="8" s="1"/>
  <c r="F19" i="8" s="1"/>
  <c r="I13" i="2"/>
  <c r="H12" i="8" s="1"/>
  <c r="V13" i="2"/>
  <c r="U12" i="8" s="1"/>
  <c r="F13" i="2"/>
  <c r="E12" i="8" s="1"/>
  <c r="D13" i="2"/>
  <c r="C12" i="8" s="1"/>
  <c r="U13" i="2"/>
  <c r="T12" i="8" s="1"/>
  <c r="AF13" i="2"/>
  <c r="AE12" i="8" s="1"/>
  <c r="Y13" i="2"/>
  <c r="Z13" i="2"/>
  <c r="C5" i="8"/>
  <c r="AE13" i="2"/>
  <c r="AD12" i="8"/>
  <c r="AC13" i="2"/>
  <c r="J13" i="2"/>
  <c r="P13" i="2"/>
  <c r="O12" i="8"/>
  <c r="N13" i="2"/>
  <c r="M12" i="8" s="1"/>
  <c r="E13" i="2"/>
  <c r="W13" i="2"/>
  <c r="V12" i="8" s="1"/>
  <c r="R13" i="2"/>
  <c r="Q12" i="8" s="1"/>
  <c r="AG13" i="2"/>
  <c r="T13" i="2"/>
  <c r="L13" i="2"/>
  <c r="K12" i="8" s="1"/>
  <c r="K64" i="2" l="1"/>
  <c r="I15" i="9"/>
  <c r="I7" i="3"/>
  <c r="Z13" i="8"/>
  <c r="AD13" i="8"/>
  <c r="J63" i="2"/>
  <c r="Y12" i="8"/>
  <c r="F65" i="2"/>
  <c r="P7" i="3"/>
  <c r="AF13" i="8"/>
  <c r="X7" i="3"/>
  <c r="C95" i="2"/>
  <c r="S12" i="8"/>
  <c r="AF12" i="8"/>
  <c r="X12" i="8"/>
  <c r="L12" i="8"/>
  <c r="D16" i="9"/>
  <c r="C17" i="8"/>
  <c r="C20" i="8" s="1"/>
  <c r="P12" i="8"/>
  <c r="L7" i="3"/>
  <c r="S13" i="8"/>
  <c r="AC7" i="3"/>
  <c r="AC12" i="8"/>
  <c r="C18" i="2"/>
  <c r="C7" i="6" s="1"/>
  <c r="C6" i="6"/>
  <c r="E6" i="7"/>
  <c r="C43" i="2"/>
  <c r="C37" i="2"/>
  <c r="C142" i="2"/>
  <c r="E142" i="2" s="1"/>
  <c r="P142" i="2"/>
  <c r="S142" i="2"/>
  <c r="C104" i="2"/>
  <c r="L118" i="2"/>
  <c r="Q118" i="2"/>
  <c r="U118" i="2"/>
  <c r="AC118" i="2"/>
  <c r="E118" i="2"/>
  <c r="J118" i="2"/>
  <c r="AF118" i="2"/>
  <c r="AG118" i="2"/>
  <c r="K118" i="2"/>
  <c r="I118" i="2"/>
  <c r="AD118" i="2"/>
  <c r="AB118" i="2"/>
  <c r="F118" i="2"/>
  <c r="Y118" i="2"/>
  <c r="H118" i="2"/>
  <c r="N118" i="2"/>
  <c r="AE118" i="2"/>
  <c r="X118" i="2"/>
  <c r="R118" i="2"/>
  <c r="P118" i="2"/>
  <c r="W118" i="2"/>
  <c r="S118" i="2"/>
  <c r="D118" i="2"/>
  <c r="V118" i="2"/>
  <c r="T118" i="2"/>
  <c r="AA118" i="2"/>
  <c r="G118" i="2"/>
  <c r="Z118" i="2"/>
  <c r="O118" i="2"/>
  <c r="M118" i="2"/>
  <c r="C88" i="2"/>
  <c r="D5" i="8"/>
  <c r="E5" i="8" s="1"/>
  <c r="F5" i="8" s="1"/>
  <c r="G5" i="8" s="1"/>
  <c r="H5" i="8" s="1"/>
  <c r="I5" i="8" s="1"/>
  <c r="J5" i="8" s="1"/>
  <c r="K5" i="8" s="1"/>
  <c r="L5" i="8" s="1"/>
  <c r="B20" i="21" s="1"/>
  <c r="D12" i="8"/>
  <c r="G19" i="8"/>
  <c r="H19" i="8"/>
  <c r="AB12" i="8"/>
  <c r="E19" i="8"/>
  <c r="C19" i="8"/>
  <c r="J15" i="9" l="1"/>
  <c r="L64" i="2"/>
  <c r="R142" i="2"/>
  <c r="V142" i="2"/>
  <c r="K63" i="2"/>
  <c r="I16" i="8"/>
  <c r="I19" i="8" s="1"/>
  <c r="E17" i="8"/>
  <c r="E20" i="8" s="1"/>
  <c r="G65" i="2"/>
  <c r="E16" i="9"/>
  <c r="AB142" i="2"/>
  <c r="M5" i="8"/>
  <c r="AG142" i="2"/>
  <c r="B36" i="21" s="1"/>
  <c r="H142" i="2"/>
  <c r="O142" i="2"/>
  <c r="AD142" i="2"/>
  <c r="T142" i="2"/>
  <c r="D142" i="2"/>
  <c r="Q142" i="2"/>
  <c r="AE142" i="2"/>
  <c r="G142" i="2"/>
  <c r="J142" i="2"/>
  <c r="K142" i="2"/>
  <c r="W142" i="2"/>
  <c r="Z142" i="2"/>
  <c r="B10" i="21"/>
  <c r="B12" i="21" s="1"/>
  <c r="B16" i="21" s="1"/>
  <c r="N142" i="2"/>
  <c r="F142" i="2"/>
  <c r="L142" i="2"/>
  <c r="X142" i="2"/>
  <c r="AA142" i="2"/>
  <c r="AC142" i="2"/>
  <c r="U9" i="4"/>
  <c r="U8" i="3" s="1"/>
  <c r="Z9" i="4"/>
  <c r="Z8" i="3" s="1"/>
  <c r="M9" i="4"/>
  <c r="M8" i="3" s="1"/>
  <c r="C9" i="4"/>
  <c r="C8" i="3" s="1"/>
  <c r="S9" i="4"/>
  <c r="S8" i="3" s="1"/>
  <c r="AA9" i="4"/>
  <c r="AA8" i="3" s="1"/>
  <c r="AE9" i="4"/>
  <c r="AE8" i="3" s="1"/>
  <c r="V9" i="4"/>
  <c r="V8" i="3" s="1"/>
  <c r="AB9" i="4"/>
  <c r="AB8" i="3" s="1"/>
  <c r="K9" i="4"/>
  <c r="K8" i="3" s="1"/>
  <c r="O9" i="4"/>
  <c r="O8" i="3" s="1"/>
  <c r="AD9" i="4"/>
  <c r="AD8" i="3" s="1"/>
  <c r="G9" i="4"/>
  <c r="G8" i="3" s="1"/>
  <c r="L9" i="4"/>
  <c r="L8" i="3" s="1"/>
  <c r="AC9" i="4"/>
  <c r="AC8" i="3" s="1"/>
  <c r="J9" i="4"/>
  <c r="J8" i="3" s="1"/>
  <c r="E9" i="4"/>
  <c r="E8" i="3" s="1"/>
  <c r="F9" i="4"/>
  <c r="F8" i="3" s="1"/>
  <c r="I9" i="4"/>
  <c r="I8" i="3" s="1"/>
  <c r="D9" i="4"/>
  <c r="D8" i="3" s="1"/>
  <c r="X9" i="4"/>
  <c r="X8" i="3" s="1"/>
  <c r="T9" i="4"/>
  <c r="T8" i="3" s="1"/>
  <c r="AF9" i="4"/>
  <c r="AF8" i="3" s="1"/>
  <c r="Y9" i="4"/>
  <c r="Y8" i="3" s="1"/>
  <c r="R9" i="4"/>
  <c r="R8" i="3" s="1"/>
  <c r="N9" i="4"/>
  <c r="N8" i="3" s="1"/>
  <c r="Q9" i="4"/>
  <c r="Q8" i="3" s="1"/>
  <c r="W9" i="4"/>
  <c r="W8" i="3" s="1"/>
  <c r="C6" i="3"/>
  <c r="H9" i="4"/>
  <c r="H8" i="3" s="1"/>
  <c r="P9" i="4"/>
  <c r="P8" i="3" s="1"/>
  <c r="Y142" i="2"/>
  <c r="I142" i="2"/>
  <c r="M142" i="2"/>
  <c r="B23" i="21" s="1"/>
  <c r="B25" i="21" s="1"/>
  <c r="B29" i="21" s="1"/>
  <c r="U142" i="2"/>
  <c r="AF142" i="2"/>
  <c r="D47" i="2"/>
  <c r="H47" i="2"/>
  <c r="E47" i="2"/>
  <c r="F47" i="2"/>
  <c r="G47" i="2"/>
  <c r="P120" i="2"/>
  <c r="V120" i="2"/>
  <c r="L120" i="2"/>
  <c r="Z120" i="2"/>
  <c r="O120" i="2"/>
  <c r="W120" i="2"/>
  <c r="S120" i="2"/>
  <c r="M120" i="2"/>
  <c r="Q120" i="2"/>
  <c r="D120" i="2"/>
  <c r="Y120" i="2"/>
  <c r="I120" i="2"/>
  <c r="AG120" i="2"/>
  <c r="N120" i="2"/>
  <c r="E120" i="2"/>
  <c r="R120" i="2"/>
  <c r="K120" i="2"/>
  <c r="U120" i="2"/>
  <c r="AF120" i="2"/>
  <c r="J120" i="2"/>
  <c r="AD120" i="2"/>
  <c r="G120" i="2"/>
  <c r="AC120" i="2"/>
  <c r="X120" i="2"/>
  <c r="AB120" i="2"/>
  <c r="F120" i="2"/>
  <c r="AE120" i="2"/>
  <c r="T120" i="2"/>
  <c r="H120" i="2"/>
  <c r="AA120" i="2"/>
  <c r="I5" i="9"/>
  <c r="I11" i="9" s="1"/>
  <c r="I8" i="6"/>
  <c r="Y8" i="6"/>
  <c r="Y5" i="9"/>
  <c r="Y11" i="9" s="1"/>
  <c r="O5" i="9"/>
  <c r="O11" i="9" s="1"/>
  <c r="O8" i="6"/>
  <c r="AA5" i="9"/>
  <c r="AA11" i="9" s="1"/>
  <c r="AA8" i="6"/>
  <c r="AB5" i="9"/>
  <c r="AB11" i="9" s="1"/>
  <c r="AB8" i="6"/>
  <c r="AE8" i="6"/>
  <c r="AE5" i="9"/>
  <c r="AE11" i="9" s="1"/>
  <c r="T8" i="6"/>
  <c r="T5" i="9"/>
  <c r="T11" i="9" s="1"/>
  <c r="Z8" i="6"/>
  <c r="Z5" i="9"/>
  <c r="Z11" i="9" s="1"/>
  <c r="W8" i="6"/>
  <c r="W5" i="9"/>
  <c r="W11" i="9" s="1"/>
  <c r="H8" i="6"/>
  <c r="H5" i="9"/>
  <c r="H11" i="9" s="1"/>
  <c r="P8" i="6"/>
  <c r="P5" i="9"/>
  <c r="P11" i="9" s="1"/>
  <c r="G8" i="6"/>
  <c r="G5" i="9"/>
  <c r="G11" i="9" s="1"/>
  <c r="X8" i="6"/>
  <c r="X5" i="9"/>
  <c r="X11" i="9" s="1"/>
  <c r="N8" i="6"/>
  <c r="N5" i="9"/>
  <c r="N11" i="9" s="1"/>
  <c r="E5" i="9"/>
  <c r="E11" i="9" s="1"/>
  <c r="E8" i="6"/>
  <c r="AD5" i="9"/>
  <c r="AD11" i="9" s="1"/>
  <c r="AD8" i="6"/>
  <c r="K8" i="6"/>
  <c r="K5" i="9"/>
  <c r="K11" i="9" s="1"/>
  <c r="C8" i="6"/>
  <c r="C5" i="9"/>
  <c r="C11" i="9" s="1"/>
  <c r="L8" i="6"/>
  <c r="L5" i="9"/>
  <c r="L11" i="9" s="1"/>
  <c r="R5" i="9"/>
  <c r="R11" i="9" s="1"/>
  <c r="R8" i="6"/>
  <c r="V8" i="6"/>
  <c r="V5" i="9"/>
  <c r="V11" i="9" s="1"/>
  <c r="D8" i="6"/>
  <c r="D5" i="9"/>
  <c r="D11" i="9" s="1"/>
  <c r="F5" i="9"/>
  <c r="F11" i="9" s="1"/>
  <c r="F8" i="6"/>
  <c r="Q8" i="6"/>
  <c r="Q5" i="9"/>
  <c r="Q11" i="9" s="1"/>
  <c r="AC8" i="6"/>
  <c r="AC5" i="9"/>
  <c r="AC11" i="9" s="1"/>
  <c r="S8" i="6"/>
  <c r="S5" i="9"/>
  <c r="S11" i="9" s="1"/>
  <c r="J8" i="6"/>
  <c r="J5" i="9"/>
  <c r="J11" i="9" s="1"/>
  <c r="U8" i="6"/>
  <c r="U5" i="9"/>
  <c r="U11" i="9" s="1"/>
  <c r="M5" i="9"/>
  <c r="M11" i="9" s="1"/>
  <c r="M8" i="6"/>
  <c r="AF8" i="6"/>
  <c r="AF5" i="9"/>
  <c r="AF11" i="9" s="1"/>
  <c r="N5" i="8"/>
  <c r="D20" i="8"/>
  <c r="D19" i="8"/>
  <c r="L63" i="2" l="1"/>
  <c r="J16" i="8"/>
  <c r="J19" i="8" s="1"/>
  <c r="F17" i="8"/>
  <c r="F20" i="8" s="1"/>
  <c r="H65" i="2"/>
  <c r="F16" i="9"/>
  <c r="F18" i="9" s="1"/>
  <c r="M64" i="2"/>
  <c r="K15" i="9"/>
  <c r="F7" i="3"/>
  <c r="F13" i="8"/>
  <c r="D13" i="8"/>
  <c r="D22" i="8" s="1"/>
  <c r="D7" i="3"/>
  <c r="E13" i="8"/>
  <c r="E22" i="8" s="1"/>
  <c r="E7" i="3"/>
  <c r="G13" i="8"/>
  <c r="G7" i="3"/>
  <c r="C47" i="2"/>
  <c r="C13" i="8"/>
  <c r="C22" i="8" s="1"/>
  <c r="C7" i="3"/>
  <c r="U6" i="9"/>
  <c r="U12" i="9" s="1"/>
  <c r="I122" i="2"/>
  <c r="H6" i="9"/>
  <c r="H12" i="9" s="1"/>
  <c r="AD6" i="9"/>
  <c r="AD12" i="9" s="1"/>
  <c r="F122" i="2"/>
  <c r="E6" i="9"/>
  <c r="E12" i="9" s="1"/>
  <c r="F123" i="2"/>
  <c r="F125" i="2" s="1"/>
  <c r="P6" i="9"/>
  <c r="P12" i="9" s="1"/>
  <c r="O6" i="9"/>
  <c r="O12" i="9" s="1"/>
  <c r="AE6" i="9"/>
  <c r="AE12" i="9" s="1"/>
  <c r="C120" i="2"/>
  <c r="C121" i="2" s="1"/>
  <c r="D123" i="2"/>
  <c r="D125" i="2" s="1"/>
  <c r="D122" i="2"/>
  <c r="C6" i="9"/>
  <c r="C12" i="9" s="1"/>
  <c r="L6" i="9"/>
  <c r="L12" i="9" s="1"/>
  <c r="M122" i="2"/>
  <c r="Y6" i="9"/>
  <c r="Y12" i="9" s="1"/>
  <c r="T6" i="9"/>
  <c r="T12" i="9" s="1"/>
  <c r="K122" i="2"/>
  <c r="J6" i="9"/>
  <c r="J12" i="9" s="1"/>
  <c r="Q6" i="9"/>
  <c r="Q12" i="9" s="1"/>
  <c r="AB6" i="9"/>
  <c r="AB12" i="9" s="1"/>
  <c r="E123" i="2"/>
  <c r="E122" i="2"/>
  <c r="D6" i="9"/>
  <c r="D12" i="9" s="1"/>
  <c r="R6" i="9"/>
  <c r="R12" i="9" s="1"/>
  <c r="S6" i="9"/>
  <c r="S12" i="9" s="1"/>
  <c r="L122" i="2"/>
  <c r="K6" i="9"/>
  <c r="K12" i="9" s="1"/>
  <c r="Z6" i="9"/>
  <c r="Z12" i="9" s="1"/>
  <c r="G123" i="2"/>
  <c r="F6" i="9"/>
  <c r="F12" i="9" s="1"/>
  <c r="G122" i="2"/>
  <c r="M6" i="9"/>
  <c r="M12" i="9" s="1"/>
  <c r="V6" i="9"/>
  <c r="V12" i="9" s="1"/>
  <c r="J122" i="2"/>
  <c r="I6" i="9"/>
  <c r="I12" i="9" s="1"/>
  <c r="X6" i="9"/>
  <c r="X12" i="9" s="1"/>
  <c r="AA6" i="9"/>
  <c r="AA12" i="9" s="1"/>
  <c r="W6" i="9"/>
  <c r="W12" i="9" s="1"/>
  <c r="G6" i="9"/>
  <c r="G12" i="9" s="1"/>
  <c r="H123" i="2"/>
  <c r="H122" i="2"/>
  <c r="H125" i="2" s="1"/>
  <c r="AC6" i="9"/>
  <c r="AC12" i="9" s="1"/>
  <c r="AF6" i="9"/>
  <c r="AF12" i="9" s="1"/>
  <c r="N6" i="9"/>
  <c r="N12" i="9" s="1"/>
  <c r="E18" i="9"/>
  <c r="D18" i="9"/>
  <c r="C18" i="9"/>
  <c r="O5" i="8"/>
  <c r="N64" i="2" l="1"/>
  <c r="L15" i="9"/>
  <c r="I65" i="2"/>
  <c r="G17" i="8"/>
  <c r="G20" i="8" s="1"/>
  <c r="G16" i="9"/>
  <c r="G18" i="9" s="1"/>
  <c r="F22" i="8"/>
  <c r="M63" i="2"/>
  <c r="K16" i="8"/>
  <c r="K19" i="8" s="1"/>
  <c r="E125" i="2"/>
  <c r="G125" i="2"/>
  <c r="F129" i="2"/>
  <c r="E14" i="8" s="1"/>
  <c r="D127" i="2"/>
  <c r="D129" i="2"/>
  <c r="C14" i="8" s="1"/>
  <c r="F21" i="9"/>
  <c r="F20" i="9"/>
  <c r="H20" i="9"/>
  <c r="E20" i="9"/>
  <c r="E21" i="9"/>
  <c r="G20" i="9"/>
  <c r="K20" i="9"/>
  <c r="L20" i="9"/>
  <c r="I20" i="9"/>
  <c r="D20" i="9"/>
  <c r="D21" i="9"/>
  <c r="J20" i="9"/>
  <c r="C20" i="9"/>
  <c r="C21" i="9"/>
  <c r="P5" i="8"/>
  <c r="G21" i="9" l="1"/>
  <c r="E127" i="2"/>
  <c r="M15" i="9"/>
  <c r="M20" i="9" s="1"/>
  <c r="O64" i="2"/>
  <c r="N122" i="2"/>
  <c r="H127" i="2"/>
  <c r="G7" i="9" s="1"/>
  <c r="G13" i="9" s="1"/>
  <c r="H16" i="9"/>
  <c r="H17" i="8"/>
  <c r="J65" i="2"/>
  <c r="I123" i="2"/>
  <c r="I125" i="2" s="1"/>
  <c r="E129" i="2"/>
  <c r="D14" i="8" s="1"/>
  <c r="G22" i="8"/>
  <c r="L16" i="8"/>
  <c r="L19" i="8" s="1"/>
  <c r="N63" i="2"/>
  <c r="G127" i="2"/>
  <c r="F7" i="9" s="1"/>
  <c r="F13" i="9" s="1"/>
  <c r="F127" i="2"/>
  <c r="E9" i="6" s="1"/>
  <c r="I129" i="2"/>
  <c r="H14" i="8" s="1"/>
  <c r="H24" i="8" s="1"/>
  <c r="G129" i="2"/>
  <c r="F14" i="8" s="1"/>
  <c r="F24" i="8" s="1"/>
  <c r="H129" i="2"/>
  <c r="G14" i="8" s="1"/>
  <c r="C24" i="8"/>
  <c r="C27" i="8" s="1"/>
  <c r="C6" i="8" s="1"/>
  <c r="C25" i="8"/>
  <c r="E25" i="8"/>
  <c r="E24" i="8"/>
  <c r="D9" i="6"/>
  <c r="D7" i="9"/>
  <c r="D13" i="9" s="1"/>
  <c r="G25" i="8"/>
  <c r="G24" i="8"/>
  <c r="G27" i="8" s="1"/>
  <c r="G6" i="8" s="1"/>
  <c r="D24" i="8"/>
  <c r="D27" i="8" s="1"/>
  <c r="D6" i="8" s="1"/>
  <c r="D25" i="8"/>
  <c r="F9" i="6"/>
  <c r="E7" i="9"/>
  <c r="E13" i="9" s="1"/>
  <c r="G9" i="6"/>
  <c r="C9" i="6"/>
  <c r="C7" i="9"/>
  <c r="C13" i="9" s="1"/>
  <c r="Q5" i="8"/>
  <c r="H25" i="8" l="1"/>
  <c r="I127" i="2"/>
  <c r="P64" i="2"/>
  <c r="N15" i="9"/>
  <c r="N20" i="9" s="1"/>
  <c r="O122" i="2"/>
  <c r="J129" i="2"/>
  <c r="I14" i="8" s="1"/>
  <c r="I17" i="8"/>
  <c r="I16" i="9"/>
  <c r="K65" i="2"/>
  <c r="J123" i="2"/>
  <c r="J125" i="2" s="1"/>
  <c r="H22" i="8"/>
  <c r="H20" i="8"/>
  <c r="H27" i="8" s="1"/>
  <c r="H6" i="8" s="1"/>
  <c r="F25" i="8"/>
  <c r="F27" i="8" s="1"/>
  <c r="F6" i="8" s="1"/>
  <c r="O63" i="2"/>
  <c r="M16" i="8"/>
  <c r="M19" i="8" s="1"/>
  <c r="H18" i="9"/>
  <c r="H21" i="9"/>
  <c r="E27" i="8"/>
  <c r="E6" i="8" s="1"/>
  <c r="E23" i="9"/>
  <c r="E25" i="9" s="1"/>
  <c r="D23" i="9"/>
  <c r="D25" i="9" s="1"/>
  <c r="E6" i="4"/>
  <c r="E7" i="8"/>
  <c r="G6" i="4"/>
  <c r="G7" i="8"/>
  <c r="C23" i="9"/>
  <c r="C25" i="9" s="1"/>
  <c r="F23" i="9"/>
  <c r="F25" i="9"/>
  <c r="D7" i="8"/>
  <c r="D6" i="4"/>
  <c r="G23" i="9"/>
  <c r="G25" i="9" s="1"/>
  <c r="G10" i="6"/>
  <c r="C6" i="4"/>
  <c r="D10" i="6"/>
  <c r="F10" i="6"/>
  <c r="E10" i="6"/>
  <c r="C7" i="8"/>
  <c r="C10" i="6"/>
  <c r="C12" i="6"/>
  <c r="F6" i="4"/>
  <c r="F7" i="8"/>
  <c r="R5" i="8"/>
  <c r="Q64" i="2" l="1"/>
  <c r="O15" i="9"/>
  <c r="O20" i="9" s="1"/>
  <c r="P122" i="2"/>
  <c r="H7" i="9"/>
  <c r="H13" i="9" s="1"/>
  <c r="H23" i="9" s="1"/>
  <c r="H25" i="9" s="1"/>
  <c r="H9" i="6"/>
  <c r="J127" i="2"/>
  <c r="P63" i="2"/>
  <c r="N16" i="8"/>
  <c r="N19" i="8" s="1"/>
  <c r="J16" i="9"/>
  <c r="J17" i="8"/>
  <c r="L65" i="2"/>
  <c r="K123" i="2"/>
  <c r="K125" i="2" s="1"/>
  <c r="I18" i="9"/>
  <c r="I21" i="9"/>
  <c r="K129" i="2"/>
  <c r="J14" i="8" s="1"/>
  <c r="I22" i="8"/>
  <c r="I20" i="8"/>
  <c r="I24" i="8"/>
  <c r="I25" i="8"/>
  <c r="E10" i="4"/>
  <c r="E18" i="6"/>
  <c r="F18" i="6"/>
  <c r="F10" i="4"/>
  <c r="D10" i="4"/>
  <c r="D18" i="6"/>
  <c r="G18" i="6"/>
  <c r="G10" i="4"/>
  <c r="C10" i="4"/>
  <c r="C18" i="6"/>
  <c r="C19" i="6" s="1"/>
  <c r="C20" i="6" s="1"/>
  <c r="C23" i="6" s="1"/>
  <c r="H18" i="6"/>
  <c r="H10" i="4"/>
  <c r="D7" i="6"/>
  <c r="D12" i="6" s="1"/>
  <c r="B7" i="5"/>
  <c r="B8" i="5" s="1"/>
  <c r="S5" i="8"/>
  <c r="J22" i="8" l="1"/>
  <c r="J20" i="8"/>
  <c r="I9" i="6"/>
  <c r="I7" i="9"/>
  <c r="I13" i="9" s="1"/>
  <c r="H10" i="6"/>
  <c r="H7" i="8"/>
  <c r="H6" i="4"/>
  <c r="I10" i="6"/>
  <c r="J18" i="9"/>
  <c r="J21" i="9"/>
  <c r="O16" i="8"/>
  <c r="O19" i="8" s="1"/>
  <c r="Q63" i="2"/>
  <c r="M65" i="2"/>
  <c r="K17" i="8"/>
  <c r="K16" i="9"/>
  <c r="L123" i="2"/>
  <c r="L125" i="2" s="1"/>
  <c r="I27" i="8"/>
  <c r="I6" i="8" s="1"/>
  <c r="R64" i="2"/>
  <c r="P15" i="9"/>
  <c r="P20" i="9" s="1"/>
  <c r="Q122" i="2"/>
  <c r="J24" i="8"/>
  <c r="J25" i="8"/>
  <c r="K127" i="2"/>
  <c r="D19" i="6"/>
  <c r="D20" i="6" s="1"/>
  <c r="E19" i="6" s="1"/>
  <c r="E20" i="6" s="1"/>
  <c r="F19" i="6" s="1"/>
  <c r="F20" i="6" s="1"/>
  <c r="G19" i="6" s="1"/>
  <c r="G20" i="6" s="1"/>
  <c r="H19" i="6" s="1"/>
  <c r="H20" i="6" s="1"/>
  <c r="B10" i="5"/>
  <c r="E8" i="7"/>
  <c r="C7" i="5"/>
  <c r="E7" i="6"/>
  <c r="E12" i="6" s="1"/>
  <c r="T5" i="8"/>
  <c r="K18" i="9" l="1"/>
  <c r="K21" i="9"/>
  <c r="K22" i="8"/>
  <c r="K20" i="8"/>
  <c r="I23" i="9"/>
  <c r="I25" i="9" s="1"/>
  <c r="R63" i="2"/>
  <c r="P16" i="8"/>
  <c r="P19" i="8" s="1"/>
  <c r="I6" i="4"/>
  <c r="I7" i="8"/>
  <c r="S64" i="2"/>
  <c r="Q15" i="9"/>
  <c r="Q20" i="9" s="1"/>
  <c r="R122" i="2"/>
  <c r="J7" i="9"/>
  <c r="J13" i="9" s="1"/>
  <c r="J9" i="6"/>
  <c r="J27" i="8"/>
  <c r="J6" i="8" s="1"/>
  <c r="N65" i="2"/>
  <c r="L16" i="9"/>
  <c r="L17" i="8"/>
  <c r="M123" i="2"/>
  <c r="M125" i="2" s="1"/>
  <c r="L129" i="2"/>
  <c r="K14" i="8" s="1"/>
  <c r="L127" i="2"/>
  <c r="F7" i="6"/>
  <c r="F12" i="6" s="1"/>
  <c r="D7" i="5"/>
  <c r="U5" i="8"/>
  <c r="I10" i="4" l="1"/>
  <c r="I18" i="6"/>
  <c r="I19" i="6" s="1"/>
  <c r="I20" i="6" s="1"/>
  <c r="M127" i="2"/>
  <c r="L22" i="8"/>
  <c r="L20" i="8"/>
  <c r="K24" i="8"/>
  <c r="K25" i="8"/>
  <c r="K27" i="8" s="1"/>
  <c r="K6" i="8" s="1"/>
  <c r="M16" i="9"/>
  <c r="O65" i="2"/>
  <c r="M17" i="8"/>
  <c r="N123" i="2"/>
  <c r="N125" i="2" s="1"/>
  <c r="T64" i="2"/>
  <c r="R15" i="9"/>
  <c r="R20" i="9" s="1"/>
  <c r="S122" i="2"/>
  <c r="N127" i="2"/>
  <c r="L18" i="9"/>
  <c r="L21" i="9"/>
  <c r="J23" i="9"/>
  <c r="J25" i="9" s="1"/>
  <c r="K7" i="9"/>
  <c r="K13" i="9" s="1"/>
  <c r="K9" i="6"/>
  <c r="N129" i="2"/>
  <c r="M14" i="8" s="1"/>
  <c r="M129" i="2"/>
  <c r="L14" i="8" s="1"/>
  <c r="J7" i="8"/>
  <c r="J6" i="4"/>
  <c r="J10" i="6"/>
  <c r="S63" i="2"/>
  <c r="Q16" i="8"/>
  <c r="Q19" i="8" s="1"/>
  <c r="G7" i="6"/>
  <c r="G12" i="6" s="1"/>
  <c r="E7" i="5"/>
  <c r="V5" i="8"/>
  <c r="J18" i="6" l="1"/>
  <c r="J10" i="4"/>
  <c r="K7" i="8"/>
  <c r="K6" i="4"/>
  <c r="K10" i="6"/>
  <c r="N16" i="9"/>
  <c r="P65" i="2"/>
  <c r="N17" i="8"/>
  <c r="O123" i="2"/>
  <c r="O125" i="2" s="1"/>
  <c r="K23" i="9"/>
  <c r="K25" i="9" s="1"/>
  <c r="M18" i="9"/>
  <c r="M21" i="9"/>
  <c r="M24" i="8"/>
  <c r="M25" i="8"/>
  <c r="M27" i="8" s="1"/>
  <c r="M6" i="8" s="1"/>
  <c r="M7" i="9"/>
  <c r="M13" i="9" s="1"/>
  <c r="M9" i="6"/>
  <c r="M20" i="8"/>
  <c r="M22" i="8"/>
  <c r="R16" i="8"/>
  <c r="R19" i="8" s="1"/>
  <c r="T63" i="2"/>
  <c r="L24" i="8"/>
  <c r="L27" i="8" s="1"/>
  <c r="L6" i="8" s="1"/>
  <c r="L25" i="8"/>
  <c r="U64" i="2"/>
  <c r="S15" i="9"/>
  <c r="S20" i="9" s="1"/>
  <c r="T122" i="2"/>
  <c r="J19" i="6"/>
  <c r="J20" i="6" s="1"/>
  <c r="M10" i="6"/>
  <c r="L7" i="9"/>
  <c r="L13" i="9" s="1"/>
  <c r="L9" i="6"/>
  <c r="H7" i="6"/>
  <c r="H12" i="6" s="1"/>
  <c r="F7" i="5"/>
  <c r="W5" i="8"/>
  <c r="K10" i="4" l="1"/>
  <c r="K18" i="6"/>
  <c r="K19" i="6" s="1"/>
  <c r="K20" i="6" s="1"/>
  <c r="N22" i="8"/>
  <c r="N20" i="8"/>
  <c r="O16" i="9"/>
  <c r="O17" i="8"/>
  <c r="Q65" i="2"/>
  <c r="P123" i="2"/>
  <c r="P125" i="2" s="1"/>
  <c r="P127" i="2" s="1"/>
  <c r="L10" i="6"/>
  <c r="N18" i="9"/>
  <c r="N21" i="9"/>
  <c r="S16" i="8"/>
  <c r="S19" i="8" s="1"/>
  <c r="U63" i="2"/>
  <c r="V64" i="2"/>
  <c r="T15" i="9"/>
  <c r="T20" i="9" s="1"/>
  <c r="U122" i="2"/>
  <c r="O129" i="2"/>
  <c r="N14" i="8" s="1"/>
  <c r="L7" i="8"/>
  <c r="L6" i="4"/>
  <c r="L25" i="9"/>
  <c r="L23" i="9"/>
  <c r="M7" i="8"/>
  <c r="M6" i="4"/>
  <c r="M23" i="9"/>
  <c r="M25" i="9" s="1"/>
  <c r="O127" i="2"/>
  <c r="G7" i="5"/>
  <c r="I7" i="6"/>
  <c r="I12" i="6" s="1"/>
  <c r="X5" i="8"/>
  <c r="M10" i="4" l="1"/>
  <c r="M18" i="6"/>
  <c r="T16" i="8"/>
  <c r="T19" i="8" s="1"/>
  <c r="V63" i="2"/>
  <c r="O7" i="9"/>
  <c r="O13" i="9" s="1"/>
  <c r="O23" i="9" s="1"/>
  <c r="O25" i="9" s="1"/>
  <c r="O9" i="6"/>
  <c r="N9" i="6"/>
  <c r="N7" i="9"/>
  <c r="N13" i="9" s="1"/>
  <c r="N23" i="9" s="1"/>
  <c r="N25" i="9" s="1"/>
  <c r="P17" i="8"/>
  <c r="P16" i="9"/>
  <c r="R65" i="2"/>
  <c r="Q123" i="2"/>
  <c r="Q125" i="2" s="1"/>
  <c r="N25" i="8"/>
  <c r="N27" i="8" s="1"/>
  <c r="N6" i="8" s="1"/>
  <c r="N24" i="8"/>
  <c r="O20" i="8"/>
  <c r="O22" i="8"/>
  <c r="L10" i="4"/>
  <c r="L18" i="6"/>
  <c r="L19" i="6" s="1"/>
  <c r="L20" i="6" s="1"/>
  <c r="M19" i="6" s="1"/>
  <c r="M20" i="6" s="1"/>
  <c r="O18" i="9"/>
  <c r="O21" i="9"/>
  <c r="P129" i="2"/>
  <c r="O14" i="8" s="1"/>
  <c r="W64" i="2"/>
  <c r="U15" i="9"/>
  <c r="U20" i="9" s="1"/>
  <c r="V122" i="2"/>
  <c r="H7" i="5"/>
  <c r="J7" i="6"/>
  <c r="J12" i="6" s="1"/>
  <c r="Y5" i="8"/>
  <c r="N7" i="8" l="1"/>
  <c r="N6" i="4"/>
  <c r="N10" i="6"/>
  <c r="O10" i="6"/>
  <c r="Q127" i="2"/>
  <c r="Q129" i="2"/>
  <c r="P14" i="8" s="1"/>
  <c r="O18" i="6"/>
  <c r="O10" i="4"/>
  <c r="P18" i="9"/>
  <c r="P21" i="9"/>
  <c r="U16" i="8"/>
  <c r="U19" i="8" s="1"/>
  <c r="W63" i="2"/>
  <c r="O6" i="4"/>
  <c r="O7" i="8"/>
  <c r="O24" i="8"/>
  <c r="O27" i="8" s="1"/>
  <c r="O6" i="8" s="1"/>
  <c r="O25" i="8"/>
  <c r="P22" i="8"/>
  <c r="P20" i="8"/>
  <c r="Q16" i="9"/>
  <c r="Q17" i="8"/>
  <c r="S65" i="2"/>
  <c r="R123" i="2"/>
  <c r="R125" i="2" s="1"/>
  <c r="R129" i="2" s="1"/>
  <c r="Q14" i="8" s="1"/>
  <c r="V15" i="9"/>
  <c r="V20" i="9" s="1"/>
  <c r="X64" i="2"/>
  <c r="W122" i="2"/>
  <c r="N10" i="4"/>
  <c r="N18" i="6"/>
  <c r="N19" i="6" s="1"/>
  <c r="N20" i="6" s="1"/>
  <c r="O19" i="6" s="1"/>
  <c r="O20" i="6" s="1"/>
  <c r="K7" i="6"/>
  <c r="K12" i="6" s="1"/>
  <c r="I7" i="5"/>
  <c r="Z5" i="8"/>
  <c r="P7" i="9" l="1"/>
  <c r="P13" i="9" s="1"/>
  <c r="P23" i="9" s="1"/>
  <c r="P25" i="9" s="1"/>
  <c r="P9" i="6"/>
  <c r="Q22" i="8"/>
  <c r="Q20" i="8"/>
  <c r="Q24" i="8"/>
  <c r="Q25" i="8"/>
  <c r="X63" i="2"/>
  <c r="V16" i="8"/>
  <c r="V19" i="8" s="1"/>
  <c r="R16" i="9"/>
  <c r="R17" i="8"/>
  <c r="T65" i="2"/>
  <c r="S123" i="2"/>
  <c r="S125" i="2" s="1"/>
  <c r="W15" i="9"/>
  <c r="W20" i="9" s="1"/>
  <c r="Y64" i="2"/>
  <c r="X122" i="2"/>
  <c r="P24" i="8"/>
  <c r="P27" i="8" s="1"/>
  <c r="P6" i="8" s="1"/>
  <c r="P25" i="8"/>
  <c r="Q18" i="9"/>
  <c r="Q21" i="9"/>
  <c r="R127" i="2"/>
  <c r="J7" i="5"/>
  <c r="L7" i="6"/>
  <c r="L12" i="6" s="1"/>
  <c r="AA5" i="8"/>
  <c r="Q27" i="8" l="1"/>
  <c r="Q6" i="8" s="1"/>
  <c r="S17" i="8"/>
  <c r="S16" i="9"/>
  <c r="U65" i="2"/>
  <c r="T123" i="2"/>
  <c r="T125" i="2" s="1"/>
  <c r="Z64" i="2"/>
  <c r="X15" i="9"/>
  <c r="X20" i="9" s="1"/>
  <c r="Y122" i="2"/>
  <c r="S129" i="2"/>
  <c r="R14" i="8" s="1"/>
  <c r="S127" i="2"/>
  <c r="Q7" i="9"/>
  <c r="Q13" i="9" s="1"/>
  <c r="Q23" i="9" s="1"/>
  <c r="Q25" i="9" s="1"/>
  <c r="Q9" i="6"/>
  <c r="R22" i="8"/>
  <c r="R20" i="8"/>
  <c r="R18" i="9"/>
  <c r="R21" i="9"/>
  <c r="P7" i="8"/>
  <c r="P6" i="4"/>
  <c r="P10" i="6"/>
  <c r="Q10" i="6"/>
  <c r="P10" i="4"/>
  <c r="P18" i="6"/>
  <c r="P19" i="6" s="1"/>
  <c r="P20" i="6" s="1"/>
  <c r="W16" i="8"/>
  <c r="W19" i="8" s="1"/>
  <c r="Y63" i="2"/>
  <c r="M7" i="6"/>
  <c r="M12" i="6" s="1"/>
  <c r="K7" i="5"/>
  <c r="AB5" i="8"/>
  <c r="AA64" i="2" l="1"/>
  <c r="Y15" i="9"/>
  <c r="Y20" i="9" s="1"/>
  <c r="Z122" i="2"/>
  <c r="T129" i="2"/>
  <c r="S14" i="8" s="1"/>
  <c r="T127" i="2"/>
  <c r="Z63" i="2"/>
  <c r="X16" i="8"/>
  <c r="X19" i="8" s="1"/>
  <c r="Q7" i="8"/>
  <c r="Q6" i="4"/>
  <c r="V65" i="2"/>
  <c r="T17" i="8"/>
  <c r="T16" i="9"/>
  <c r="U123" i="2"/>
  <c r="U125" i="2" s="1"/>
  <c r="Q10" i="4"/>
  <c r="Q18" i="6"/>
  <c r="Q19" i="6" s="1"/>
  <c r="Q20" i="6" s="1"/>
  <c r="S18" i="9"/>
  <c r="S21" i="9"/>
  <c r="R9" i="6"/>
  <c r="R7" i="9"/>
  <c r="R13" i="9" s="1"/>
  <c r="S22" i="8"/>
  <c r="S20" i="8"/>
  <c r="R24" i="8"/>
  <c r="R27" i="8" s="1"/>
  <c r="R6" i="8" s="1"/>
  <c r="R25" i="8"/>
  <c r="N7" i="6"/>
  <c r="N12" i="6" s="1"/>
  <c r="L7" i="5"/>
  <c r="AC5" i="8"/>
  <c r="S9" i="6" l="1"/>
  <c r="S7" i="9"/>
  <c r="S13" i="9" s="1"/>
  <c r="S25" i="8"/>
  <c r="S24" i="8"/>
  <c r="S27" i="8"/>
  <c r="S6" i="8" s="1"/>
  <c r="T22" i="8"/>
  <c r="T20" i="8"/>
  <c r="T18" i="9"/>
  <c r="T21" i="9"/>
  <c r="R7" i="8"/>
  <c r="R6" i="4"/>
  <c r="R10" i="6"/>
  <c r="W65" i="2"/>
  <c r="U16" i="9"/>
  <c r="U17" i="8"/>
  <c r="V123" i="2"/>
  <c r="V125" i="2" s="1"/>
  <c r="U127" i="2"/>
  <c r="U129" i="2"/>
  <c r="T14" i="8" s="1"/>
  <c r="R23" i="9"/>
  <c r="R25" i="9"/>
  <c r="AB64" i="2"/>
  <c r="Z15" i="9"/>
  <c r="Z20" i="9" s="1"/>
  <c r="AA122" i="2"/>
  <c r="AA63" i="2"/>
  <c r="Y16" i="8"/>
  <c r="Y19" i="8" s="1"/>
  <c r="M7" i="5"/>
  <c r="O7" i="6"/>
  <c r="O12" i="6" s="1"/>
  <c r="AD5" i="8"/>
  <c r="U18" i="9" l="1"/>
  <c r="U21" i="9"/>
  <c r="AC64" i="2"/>
  <c r="AA15" i="9"/>
  <c r="AA20" i="9" s="1"/>
  <c r="AB122" i="2"/>
  <c r="X65" i="2"/>
  <c r="V16" i="9"/>
  <c r="V17" i="8"/>
  <c r="W123" i="2"/>
  <c r="W125" i="2" s="1"/>
  <c r="T24" i="8"/>
  <c r="T25" i="8"/>
  <c r="T27" i="8"/>
  <c r="T6" i="8" s="1"/>
  <c r="S23" i="9"/>
  <c r="S25" i="9"/>
  <c r="R18" i="6"/>
  <c r="R19" i="6" s="1"/>
  <c r="R20" i="6" s="1"/>
  <c r="R10" i="4"/>
  <c r="Z16" i="8"/>
  <c r="Z19" i="8" s="1"/>
  <c r="AB63" i="2"/>
  <c r="S6" i="4"/>
  <c r="S7" i="8"/>
  <c r="S10" i="6"/>
  <c r="T9" i="6"/>
  <c r="T7" i="9"/>
  <c r="T13" i="9" s="1"/>
  <c r="T23" i="9" s="1"/>
  <c r="T25" i="9" s="1"/>
  <c r="V127" i="2"/>
  <c r="V129" i="2"/>
  <c r="U14" i="8" s="1"/>
  <c r="U20" i="8"/>
  <c r="U22" i="8"/>
  <c r="P7" i="6"/>
  <c r="P12" i="6" s="1"/>
  <c r="N7" i="5"/>
  <c r="AE5" i="8"/>
  <c r="T10" i="4" l="1"/>
  <c r="T18" i="6"/>
  <c r="V22" i="8"/>
  <c r="V20" i="8"/>
  <c r="W16" i="9"/>
  <c r="Y65" i="2"/>
  <c r="W17" i="8"/>
  <c r="X123" i="2"/>
  <c r="X125" i="2" s="1"/>
  <c r="V18" i="9"/>
  <c r="V21" i="9"/>
  <c r="T7" i="8"/>
  <c r="T6" i="4"/>
  <c r="T10" i="6"/>
  <c r="U9" i="6"/>
  <c r="U7" i="9"/>
  <c r="U13" i="9" s="1"/>
  <c r="S10" i="4"/>
  <c r="S18" i="6"/>
  <c r="AB15" i="9"/>
  <c r="AB20" i="9" s="1"/>
  <c r="AD64" i="2"/>
  <c r="AC122" i="2"/>
  <c r="AC63" i="2"/>
  <c r="AA16" i="8"/>
  <c r="AA19" i="8" s="1"/>
  <c r="S19" i="6"/>
  <c r="S20" i="6" s="1"/>
  <c r="T19" i="6" s="1"/>
  <c r="T20" i="6" s="1"/>
  <c r="U25" i="8"/>
  <c r="U24" i="8"/>
  <c r="U27" i="8" s="1"/>
  <c r="U6" i="8" s="1"/>
  <c r="W127" i="2"/>
  <c r="W129" i="2"/>
  <c r="V14" i="8" s="1"/>
  <c r="O7" i="5"/>
  <c r="Q7" i="6"/>
  <c r="Q12" i="6" s="1"/>
  <c r="AF5" i="8"/>
  <c r="W22" i="8" l="1"/>
  <c r="W20" i="8"/>
  <c r="X129" i="2"/>
  <c r="W14" i="8" s="1"/>
  <c r="X127" i="2"/>
  <c r="Z65" i="2"/>
  <c r="X16" i="9"/>
  <c r="X17" i="8"/>
  <c r="Y123" i="2"/>
  <c r="Y125" i="2" s="1"/>
  <c r="AB16" i="8"/>
  <c r="AB19" i="8" s="1"/>
  <c r="AD63" i="2"/>
  <c r="W18" i="9"/>
  <c r="W21" i="9"/>
  <c r="U23" i="9"/>
  <c r="U25" i="9" s="1"/>
  <c r="V25" i="8"/>
  <c r="V24" i="8"/>
  <c r="AE64" i="2"/>
  <c r="AC15" i="9"/>
  <c r="AC20" i="9" s="1"/>
  <c r="AD122" i="2"/>
  <c r="U7" i="8"/>
  <c r="U6" i="4"/>
  <c r="U10" i="6"/>
  <c r="V9" i="6"/>
  <c r="V7" i="9"/>
  <c r="V13" i="9" s="1"/>
  <c r="V23" i="9" s="1"/>
  <c r="V25" i="9" s="1"/>
  <c r="R7" i="6"/>
  <c r="R12" i="6" s="1"/>
  <c r="P7" i="5"/>
  <c r="B33" i="21"/>
  <c r="B38" i="21" s="1"/>
  <c r="B42" i="21" s="1"/>
  <c r="U18" i="6" l="1"/>
  <c r="U19" i="6" s="1"/>
  <c r="U20" i="6" s="1"/>
  <c r="U10" i="4"/>
  <c r="Y129" i="2"/>
  <c r="X14" i="8" s="1"/>
  <c r="Y127" i="2"/>
  <c r="X18" i="9"/>
  <c r="X21" i="9"/>
  <c r="Y17" i="8"/>
  <c r="AA65" i="2"/>
  <c r="Y16" i="9"/>
  <c r="Z123" i="2"/>
  <c r="Z125" i="2" s="1"/>
  <c r="W7" i="9"/>
  <c r="W13" i="9" s="1"/>
  <c r="W9" i="6"/>
  <c r="W25" i="8"/>
  <c r="W24" i="8"/>
  <c r="W27" i="8"/>
  <c r="W6" i="8" s="1"/>
  <c r="V10" i="4"/>
  <c r="V18" i="6"/>
  <c r="AF64" i="2"/>
  <c r="AD15" i="9"/>
  <c r="AD20" i="9" s="1"/>
  <c r="AE122" i="2"/>
  <c r="AC16" i="8"/>
  <c r="AC19" i="8" s="1"/>
  <c r="AE63" i="2"/>
  <c r="X22" i="8"/>
  <c r="X20" i="8"/>
  <c r="V6" i="4"/>
  <c r="V7" i="8"/>
  <c r="V10" i="6"/>
  <c r="V27" i="8"/>
  <c r="V6" i="8" s="1"/>
  <c r="Q7" i="5"/>
  <c r="S7" i="6"/>
  <c r="S12" i="6" s="1"/>
  <c r="Y22" i="8" l="1"/>
  <c r="Y20" i="8"/>
  <c r="W7" i="8"/>
  <c r="W6" i="4"/>
  <c r="W10" i="6"/>
  <c r="X7" i="9"/>
  <c r="X13" i="9" s="1"/>
  <c r="X9" i="6"/>
  <c r="AB65" i="2"/>
  <c r="Z17" i="8"/>
  <c r="Z16" i="9"/>
  <c r="AA123" i="2"/>
  <c r="AA125" i="2" s="1"/>
  <c r="AG64" i="2"/>
  <c r="AE15" i="9"/>
  <c r="AE20" i="9" s="1"/>
  <c r="AF122" i="2"/>
  <c r="X24" i="8"/>
  <c r="X27" i="8" s="1"/>
  <c r="X6" i="8" s="1"/>
  <c r="X25" i="8"/>
  <c r="Z127" i="2"/>
  <c r="Z129" i="2"/>
  <c r="Y14" i="8" s="1"/>
  <c r="AD16" i="8"/>
  <c r="AD19" i="8" s="1"/>
  <c r="AF63" i="2"/>
  <c r="W23" i="9"/>
  <c r="W25" i="9"/>
  <c r="Y18" i="9"/>
  <c r="Y21" i="9"/>
  <c r="V19" i="6"/>
  <c r="V20" i="6" s="1"/>
  <c r="T7" i="6"/>
  <c r="T12" i="6" s="1"/>
  <c r="R7" i="5"/>
  <c r="AC65" i="2" l="1"/>
  <c r="AA17" i="8"/>
  <c r="AA16" i="9"/>
  <c r="AB123" i="2"/>
  <c r="AB125" i="2" s="1"/>
  <c r="X23" i="9"/>
  <c r="X25" i="9" s="1"/>
  <c r="X6" i="4"/>
  <c r="X7" i="8"/>
  <c r="X10" i="6"/>
  <c r="AF15" i="9"/>
  <c r="AF20" i="9" s="1"/>
  <c r="AG122" i="2"/>
  <c r="AG63" i="2"/>
  <c r="AF16" i="8" s="1"/>
  <c r="AF19" i="8" s="1"/>
  <c r="AE16" i="8"/>
  <c r="AE19" i="8" s="1"/>
  <c r="Y9" i="6"/>
  <c r="Y7" i="9"/>
  <c r="Y13" i="9" s="1"/>
  <c r="Y23" i="9" s="1"/>
  <c r="Y25" i="9" s="1"/>
  <c r="AA127" i="2"/>
  <c r="AA129" i="2"/>
  <c r="Z14" i="8" s="1"/>
  <c r="W18" i="6"/>
  <c r="W10" i="4"/>
  <c r="Y24" i="8"/>
  <c r="Y25" i="8"/>
  <c r="Y27" i="8" s="1"/>
  <c r="Y6" i="8" s="1"/>
  <c r="Z18" i="9"/>
  <c r="Z21" i="9"/>
  <c r="W19" i="6"/>
  <c r="W20" i="6" s="1"/>
  <c r="Z20" i="8"/>
  <c r="Z22" i="8"/>
  <c r="U7" i="6"/>
  <c r="U12" i="6" s="1"/>
  <c r="S7" i="5"/>
  <c r="X18" i="6" l="1"/>
  <c r="X10" i="4"/>
  <c r="Y18" i="6"/>
  <c r="Y10" i="4"/>
  <c r="Y7" i="8"/>
  <c r="Y6" i="4"/>
  <c r="Y10" i="6"/>
  <c r="AB129" i="2"/>
  <c r="AA14" i="8" s="1"/>
  <c r="AB127" i="2"/>
  <c r="AA18" i="9"/>
  <c r="AA21" i="9"/>
  <c r="Z25" i="8"/>
  <c r="Z24" i="8"/>
  <c r="Z27" i="8"/>
  <c r="Z6" i="8" s="1"/>
  <c r="AA22" i="8"/>
  <c r="AA20" i="8"/>
  <c r="X19" i="6"/>
  <c r="X20" i="6" s="1"/>
  <c r="Y19" i="6" s="1"/>
  <c r="Y20" i="6" s="1"/>
  <c r="Z9" i="6"/>
  <c r="Z7" i="9"/>
  <c r="Z13" i="9" s="1"/>
  <c r="AB16" i="9"/>
  <c r="AB17" i="8"/>
  <c r="AD65" i="2"/>
  <c r="AC123" i="2"/>
  <c r="AC125" i="2" s="1"/>
  <c r="T7" i="5"/>
  <c r="V7" i="6"/>
  <c r="V12" i="6" s="1"/>
  <c r="AE65" i="2" l="1"/>
  <c r="AC16" i="9"/>
  <c r="AC17" i="8"/>
  <c r="AD123" i="2"/>
  <c r="AD125" i="2" s="1"/>
  <c r="AB18" i="9"/>
  <c r="AB21" i="9"/>
  <c r="Z23" i="9"/>
  <c r="Z25" i="9" s="1"/>
  <c r="AC127" i="2"/>
  <c r="AC129" i="2"/>
  <c r="AB14" i="8" s="1"/>
  <c r="AB22" i="8"/>
  <c r="AB20" i="8"/>
  <c r="AA7" i="9"/>
  <c r="AA13" i="9" s="1"/>
  <c r="AA23" i="9" s="1"/>
  <c r="AA25" i="9" s="1"/>
  <c r="AA9" i="6"/>
  <c r="Z7" i="8"/>
  <c r="Z6" i="4"/>
  <c r="Z10" i="6"/>
  <c r="AA24" i="8"/>
  <c r="AA25" i="8"/>
  <c r="AA27" i="8" s="1"/>
  <c r="AA6" i="8" s="1"/>
  <c r="U7" i="5"/>
  <c r="W7" i="6"/>
  <c r="W12" i="6" s="1"/>
  <c r="Z18" i="6" l="1"/>
  <c r="Z19" i="6" s="1"/>
  <c r="Z20" i="6" s="1"/>
  <c r="Z10" i="4"/>
  <c r="AA10" i="4"/>
  <c r="AA18" i="6"/>
  <c r="AD129" i="2"/>
  <c r="AC14" i="8" s="1"/>
  <c r="AD127" i="2"/>
  <c r="AC22" i="8"/>
  <c r="AC20" i="8"/>
  <c r="AB25" i="8"/>
  <c r="AB24" i="8"/>
  <c r="AB27" i="8" s="1"/>
  <c r="AB6" i="8" s="1"/>
  <c r="AC18" i="9"/>
  <c r="AC21" i="9"/>
  <c r="AA7" i="8"/>
  <c r="AA6" i="4"/>
  <c r="AA10" i="6"/>
  <c r="AB7" i="9"/>
  <c r="AB13" i="9" s="1"/>
  <c r="AB9" i="6"/>
  <c r="AD17" i="8"/>
  <c r="AF65" i="2"/>
  <c r="AD16" i="9"/>
  <c r="AE123" i="2"/>
  <c r="AE125" i="2" s="1"/>
  <c r="V7" i="5"/>
  <c r="X7" i="6"/>
  <c r="X12" i="6" s="1"/>
  <c r="AC9" i="6" l="1"/>
  <c r="AC7" i="9"/>
  <c r="AC13" i="9" s="1"/>
  <c r="AC25" i="8"/>
  <c r="AC24" i="8"/>
  <c r="AC27" i="8" s="1"/>
  <c r="AC6" i="8" s="1"/>
  <c r="AB23" i="9"/>
  <c r="AB25" i="9" s="1"/>
  <c r="AE129" i="2"/>
  <c r="AD14" i="8" s="1"/>
  <c r="AE127" i="2"/>
  <c r="AD18" i="9"/>
  <c r="AD21" i="9"/>
  <c r="AG65" i="2"/>
  <c r="AE16" i="9"/>
  <c r="AE17" i="8"/>
  <c r="AF123" i="2"/>
  <c r="AF125" i="2" s="1"/>
  <c r="AD20" i="8"/>
  <c r="AD22" i="8"/>
  <c r="AB6" i="4"/>
  <c r="AB7" i="8"/>
  <c r="AB10" i="6"/>
  <c r="AA19" i="6"/>
  <c r="AA20" i="6" s="1"/>
  <c r="Y7" i="6"/>
  <c r="Y12" i="6" s="1"/>
  <c r="W7" i="5"/>
  <c r="AB10" i="4" l="1"/>
  <c r="AB18" i="6"/>
  <c r="AD25" i="8"/>
  <c r="AD24" i="8"/>
  <c r="AD27" i="8" s="1"/>
  <c r="AD6" i="8" s="1"/>
  <c r="AD7" i="9"/>
  <c r="AD13" i="9" s="1"/>
  <c r="AD23" i="9" s="1"/>
  <c r="AD25" i="9" s="1"/>
  <c r="AD9" i="6"/>
  <c r="AB19" i="6"/>
  <c r="AB20" i="6" s="1"/>
  <c r="AE18" i="9"/>
  <c r="AE21" i="9"/>
  <c r="AF17" i="8"/>
  <c r="AF16" i="9"/>
  <c r="AG123" i="2"/>
  <c r="AG125" i="2" s="1"/>
  <c r="AE22" i="8"/>
  <c r="AE20" i="8"/>
  <c r="AC23" i="9"/>
  <c r="AC25" i="9"/>
  <c r="AF129" i="2"/>
  <c r="AE14" i="8" s="1"/>
  <c r="AF127" i="2"/>
  <c r="AC6" i="4"/>
  <c r="AC7" i="8"/>
  <c r="AC10" i="6"/>
  <c r="X7" i="5"/>
  <c r="Z7" i="6"/>
  <c r="Z12" i="6" s="1"/>
  <c r="AC19" i="6" l="1"/>
  <c r="AC20" i="6" s="1"/>
  <c r="AD19" i="6" s="1"/>
  <c r="AD20" i="6" s="1"/>
  <c r="AC10" i="4"/>
  <c r="AC18" i="6"/>
  <c r="AD6" i="4"/>
  <c r="AD7" i="8"/>
  <c r="AD10" i="6"/>
  <c r="AD18" i="6"/>
  <c r="AD10" i="4"/>
  <c r="AG127" i="2"/>
  <c r="AG129" i="2"/>
  <c r="AF14" i="8" s="1"/>
  <c r="AE25" i="8"/>
  <c r="AE24" i="8"/>
  <c r="AE27" i="8" s="1"/>
  <c r="AE6" i="8" s="1"/>
  <c r="AF18" i="9"/>
  <c r="AF21" i="9"/>
  <c r="AE9" i="6"/>
  <c r="AE7" i="9"/>
  <c r="AE13" i="9" s="1"/>
  <c r="AE23" i="9" s="1"/>
  <c r="AE25" i="9" s="1"/>
  <c r="AF22" i="8"/>
  <c r="AF20" i="8"/>
  <c r="Y7" i="5"/>
  <c r="AA7" i="6"/>
  <c r="AA12" i="6" s="1"/>
  <c r="AF9" i="6" l="1"/>
  <c r="AF7" i="9"/>
  <c r="AF13" i="9" s="1"/>
  <c r="AF23" i="9" s="1"/>
  <c r="AF25" i="9" s="1"/>
  <c r="AE6" i="4"/>
  <c r="AE7" i="8"/>
  <c r="AE10" i="6"/>
  <c r="AE18" i="6"/>
  <c r="AE19" i="6" s="1"/>
  <c r="AE20" i="6" s="1"/>
  <c r="AE10" i="4"/>
  <c r="AF24" i="8"/>
  <c r="AF27" i="8" s="1"/>
  <c r="AF6" i="8" s="1"/>
  <c r="AF25" i="8"/>
  <c r="Z7" i="5"/>
  <c r="AB7" i="6"/>
  <c r="AB12" i="6" s="1"/>
  <c r="AF18" i="6" l="1"/>
  <c r="AF19" i="6" s="1"/>
  <c r="AF20" i="6" s="1"/>
  <c r="AF10" i="4"/>
  <c r="AF7" i="8"/>
  <c r="AF6" i="4"/>
  <c r="AF10" i="6"/>
  <c r="AA7" i="5"/>
  <c r="AC7" i="6"/>
  <c r="AC12" i="6" s="1"/>
  <c r="AB7" i="5" l="1"/>
  <c r="AD7" i="6"/>
  <c r="AD12" i="6" s="1"/>
  <c r="AC7" i="5" l="1"/>
  <c r="AE7" i="6"/>
  <c r="AE12" i="6" s="1"/>
  <c r="AF7" i="6" l="1"/>
  <c r="AF12" i="6" s="1"/>
  <c r="AE7" i="5" s="1"/>
  <c r="AD7" i="5"/>
  <c r="K10" i="5" l="1"/>
  <c r="K8" i="5"/>
  <c r="AE10" i="5"/>
  <c r="AE8" i="5"/>
  <c r="AE6" i="5"/>
  <c r="R10" i="5"/>
  <c r="R8" i="5"/>
  <c r="W12" i="4"/>
  <c r="W13" i="4"/>
  <c r="W9" i="3"/>
  <c r="J10" i="5"/>
  <c r="J8" i="5"/>
  <c r="AC23" i="6"/>
  <c r="AC22" i="6"/>
  <c r="M23" i="6"/>
  <c r="M22" i="6"/>
  <c r="AB23" i="6"/>
  <c r="AB22" i="6"/>
  <c r="T10" i="5"/>
  <c r="T8" i="5"/>
  <c r="AA9" i="3"/>
  <c r="AA13" i="4"/>
  <c r="AA12" i="4"/>
  <c r="D9" i="3"/>
  <c r="D13" i="4"/>
  <c r="D12" i="4"/>
  <c r="AA10" i="5"/>
  <c r="AA8" i="5"/>
  <c r="W10" i="5"/>
  <c r="W8" i="5"/>
  <c r="I9" i="3"/>
  <c r="I13" i="4"/>
  <c r="I12" i="4"/>
  <c r="U9" i="3"/>
  <c r="U13" i="4"/>
  <c r="U12" i="4"/>
  <c r="Z8" i="7"/>
  <c r="Q9" i="3"/>
  <c r="Q13" i="4"/>
  <c r="Q12" i="4"/>
  <c r="P10" i="5"/>
  <c r="P8" i="5"/>
  <c r="I10" i="5"/>
  <c r="I8" i="5"/>
  <c r="P9" i="3"/>
  <c r="P13" i="4"/>
  <c r="P12" i="4"/>
  <c r="B7" i="7"/>
  <c r="E7" i="7"/>
  <c r="B8" i="7"/>
  <c r="F8" i="7"/>
  <c r="C10" i="5"/>
  <c r="C8" i="5"/>
  <c r="K12" i="4"/>
  <c r="K13" i="4"/>
  <c r="K9" i="3"/>
  <c r="H23" i="6"/>
  <c r="H22" i="6"/>
  <c r="U23" i="6"/>
  <c r="U22" i="6"/>
  <c r="U8" i="7"/>
  <c r="S6" i="7"/>
  <c r="G9" i="3"/>
  <c r="G13" i="4"/>
  <c r="G12" i="4"/>
  <c r="X10" i="5"/>
  <c r="X8" i="5"/>
  <c r="AE23" i="6"/>
  <c r="AE22" i="6"/>
  <c r="J23" i="6"/>
  <c r="J22" i="6"/>
  <c r="AC12" i="4"/>
  <c r="AC13" i="4"/>
  <c r="AC9" i="3"/>
  <c r="W11" i="5"/>
  <c r="X22" i="6"/>
  <c r="X23" i="6"/>
  <c r="V23" i="6"/>
  <c r="V22" i="6"/>
  <c r="I23" i="6"/>
  <c r="I22" i="6"/>
  <c r="R11" i="5"/>
  <c r="S22" i="6"/>
  <c r="S23" i="6"/>
  <c r="D23" i="6"/>
  <c r="C11" i="5"/>
  <c r="D22" i="6"/>
  <c r="J9" i="3"/>
  <c r="J13" i="4"/>
  <c r="J12" i="4"/>
  <c r="N8" i="7"/>
  <c r="AF23" i="6"/>
  <c r="AF22" i="6"/>
  <c r="G11" i="5"/>
  <c r="J8" i="7"/>
  <c r="AF9" i="3"/>
  <c r="AF13" i="4"/>
  <c r="AF12" i="4"/>
  <c r="Y9" i="3"/>
  <c r="Y13" i="4"/>
  <c r="Y12" i="4"/>
  <c r="R6" i="7"/>
  <c r="V8" i="5"/>
  <c r="V10" i="5"/>
  <c r="X9" i="7"/>
  <c r="X7" i="7"/>
  <c r="AB10" i="5"/>
  <c r="AB8" i="5"/>
  <c r="Z7" i="7"/>
  <c r="Z9" i="7"/>
  <c r="Y6" i="7"/>
  <c r="AC6" i="7"/>
  <c r="P9" i="7"/>
  <c r="P7" i="7"/>
  <c r="H10" i="5"/>
  <c r="H8" i="5"/>
  <c r="N11" i="3"/>
  <c r="N8" i="8"/>
  <c r="N9" i="8"/>
  <c r="N5" i="4"/>
  <c r="N7" i="4"/>
  <c r="N12" i="4"/>
  <c r="N13" i="4"/>
  <c r="N9" i="3"/>
  <c r="G8" i="5"/>
  <c r="G10" i="5"/>
  <c r="H12" i="4"/>
  <c r="H13" i="4"/>
  <c r="H9" i="3"/>
  <c r="G23" i="6"/>
  <c r="G22" i="6"/>
  <c r="X11" i="3"/>
  <c r="X8" i="8"/>
  <c r="X9" i="8"/>
  <c r="X5" i="4"/>
  <c r="X7" i="4"/>
  <c r="X12" i="4"/>
  <c r="X13" i="4"/>
  <c r="X9" i="3"/>
  <c r="Y7" i="7"/>
  <c r="W11" i="3"/>
  <c r="W8" i="8"/>
  <c r="W9" i="8"/>
  <c r="W5" i="4"/>
  <c r="W7" i="4"/>
  <c r="Y9" i="7"/>
  <c r="N23" i="6"/>
  <c r="N22" i="6"/>
  <c r="K23" i="6"/>
  <c r="K22" i="6"/>
  <c r="D8" i="5"/>
  <c r="D10" i="5"/>
  <c r="O9" i="7"/>
  <c r="O7" i="7"/>
  <c r="AB8" i="7"/>
  <c r="I7" i="7"/>
  <c r="G11" i="3"/>
  <c r="G8" i="8"/>
  <c r="G9" i="8"/>
  <c r="G5" i="4"/>
  <c r="G7" i="4"/>
  <c r="I9" i="7"/>
  <c r="AD7" i="7"/>
  <c r="AD9" i="7"/>
  <c r="E9" i="7"/>
  <c r="B9" i="7"/>
  <c r="U8" i="5"/>
  <c r="U10" i="5"/>
  <c r="L12" i="4"/>
  <c r="L13" i="4"/>
  <c r="L9" i="3"/>
  <c r="S10" i="5"/>
  <c r="S8" i="5"/>
  <c r="U11" i="5"/>
  <c r="X8" i="7"/>
  <c r="T7" i="7"/>
  <c r="T9" i="7"/>
  <c r="Y8" i="5"/>
  <c r="Y10" i="5"/>
  <c r="T12" i="4"/>
  <c r="T13" i="4"/>
  <c r="T9" i="3"/>
  <c r="AB11" i="5"/>
  <c r="AE8" i="7"/>
  <c r="J11" i="5"/>
  <c r="M8" i="7"/>
  <c r="M11" i="5"/>
  <c r="P8" i="7"/>
  <c r="S9" i="3"/>
  <c r="S13" i="4"/>
  <c r="S12" i="4"/>
  <c r="E10" i="5"/>
  <c r="E8" i="5"/>
  <c r="AD6" i="5"/>
  <c r="AD8" i="5"/>
  <c r="AD10" i="5"/>
  <c r="V11" i="3"/>
  <c r="V8" i="8"/>
  <c r="V9" i="8"/>
  <c r="V5" i="4"/>
  <c r="V7" i="4"/>
  <c r="V12" i="4"/>
  <c r="V13" i="4"/>
  <c r="V9" i="3"/>
  <c r="Y11" i="5"/>
  <c r="Z22" i="6"/>
  <c r="Z23" i="6"/>
  <c r="Z9" i="3"/>
  <c r="Z13" i="4"/>
  <c r="Z12" i="4"/>
  <c r="AD11" i="5"/>
  <c r="AG8" i="7"/>
  <c r="G9" i="7"/>
  <c r="G7" i="7"/>
  <c r="M10" i="5"/>
  <c r="M8" i="5"/>
  <c r="T11" i="5"/>
  <c r="W8" i="7"/>
  <c r="Q10" i="5"/>
  <c r="Q8" i="5"/>
  <c r="W6" i="7"/>
  <c r="AF6" i="7"/>
  <c r="O23" i="6"/>
  <c r="O22" i="6"/>
  <c r="R8" i="7"/>
  <c r="L8" i="5"/>
  <c r="L10" i="5"/>
  <c r="AA6" i="7"/>
  <c r="AB11" i="3"/>
  <c r="AB8" i="8"/>
  <c r="AB9" i="8"/>
  <c r="AB5" i="4"/>
  <c r="AB7" i="4"/>
  <c r="AB12" i="4"/>
  <c r="AB13" i="4"/>
  <c r="AB9" i="3"/>
  <c r="AA6" i="5"/>
  <c r="AB6" i="5"/>
  <c r="AC6" i="5"/>
  <c r="AC8" i="5"/>
  <c r="AC10" i="5"/>
  <c r="L11" i="5"/>
  <c r="O8" i="7"/>
  <c r="AE11" i="5"/>
  <c r="AH8" i="7"/>
  <c r="M9" i="7"/>
  <c r="K11" i="3"/>
  <c r="K8" i="8"/>
  <c r="K9" i="8"/>
  <c r="K5" i="4"/>
  <c r="K7" i="4"/>
  <c r="M7" i="7"/>
  <c r="N6" i="7"/>
  <c r="M6" i="7"/>
  <c r="M11" i="3"/>
  <c r="M8" i="8"/>
  <c r="M9" i="8"/>
  <c r="M5" i="4"/>
  <c r="M7" i="4"/>
  <c r="M12" i="4"/>
  <c r="M13" i="4"/>
  <c r="M9" i="3"/>
  <c r="R23" i="6"/>
  <c r="R22" i="6"/>
  <c r="AG9" i="7"/>
  <c r="AG7" i="7"/>
  <c r="AG6" i="7"/>
  <c r="AA11" i="5"/>
  <c r="AD8" i="7"/>
  <c r="J6" i="7"/>
  <c r="N9" i="7"/>
  <c r="L11" i="3"/>
  <c r="L8" i="8"/>
  <c r="L9" i="8"/>
  <c r="L5" i="4"/>
  <c r="L7" i="4"/>
  <c r="N7" i="7"/>
  <c r="W7" i="7"/>
  <c r="U11" i="3"/>
  <c r="U8" i="8"/>
  <c r="U9" i="8"/>
  <c r="U5" i="4"/>
  <c r="U7" i="4"/>
  <c r="W9" i="7"/>
  <c r="AD9" i="3"/>
  <c r="AD13" i="4"/>
  <c r="AD12" i="4"/>
  <c r="K9" i="7"/>
  <c r="I11" i="3"/>
  <c r="I8" i="8"/>
  <c r="I9" i="8"/>
  <c r="I5" i="4"/>
  <c r="I7" i="4"/>
  <c r="K7" i="7"/>
  <c r="O11" i="5"/>
  <c r="P22" i="6"/>
  <c r="P23" i="6"/>
  <c r="S8" i="7"/>
  <c r="V7" i="7"/>
  <c r="T11" i="3"/>
  <c r="T8" i="8"/>
  <c r="T9" i="8"/>
  <c r="T5" i="4"/>
  <c r="T7" i="4"/>
  <c r="V9" i="7"/>
  <c r="F8" i="5"/>
  <c r="F10" i="5"/>
  <c r="N8" i="5"/>
  <c r="N10" i="5"/>
  <c r="E11" i="3"/>
  <c r="E8" i="8"/>
  <c r="E9" i="8"/>
  <c r="E5" i="4"/>
  <c r="E7" i="4"/>
  <c r="E12" i="4"/>
  <c r="E13" i="4"/>
  <c r="E9" i="3"/>
  <c r="H8" i="7"/>
  <c r="R11" i="3"/>
  <c r="R8" i="8"/>
  <c r="R9" i="8"/>
  <c r="R5" i="4"/>
  <c r="R7" i="4"/>
  <c r="R12" i="4"/>
  <c r="R13" i="4"/>
  <c r="R9" i="3"/>
  <c r="E23" i="6"/>
  <c r="E22" i="6"/>
  <c r="O6" i="7"/>
  <c r="AH6" i="7"/>
  <c r="W23" i="6"/>
  <c r="W22" i="6"/>
  <c r="T23" i="6"/>
  <c r="T22" i="6"/>
  <c r="U7" i="7"/>
  <c r="S11" i="3"/>
  <c r="S8" i="8"/>
  <c r="S9" i="8"/>
  <c r="S5" i="4"/>
  <c r="S7" i="4"/>
  <c r="U9" i="7"/>
  <c r="AA8" i="7"/>
  <c r="AC8" i="7"/>
  <c r="AD6" i="7"/>
  <c r="Q11" i="5"/>
  <c r="T8" i="7"/>
  <c r="U6" i="7"/>
  <c r="Q6" i="7"/>
  <c r="J9" i="7"/>
  <c r="H11" i="3"/>
  <c r="H8" i="8"/>
  <c r="H9" i="8"/>
  <c r="H5" i="4"/>
  <c r="H7" i="4"/>
  <c r="J7" i="7"/>
  <c r="L6" i="7"/>
  <c r="F11" i="5"/>
  <c r="I8" i="7"/>
  <c r="H6" i="7"/>
  <c r="AA7" i="7"/>
  <c r="Y11" i="3"/>
  <c r="Y8" i="8"/>
  <c r="Y9" i="8"/>
  <c r="Y5" i="4"/>
  <c r="Y7" i="4"/>
  <c r="AA9" i="7"/>
  <c r="AF8" i="7"/>
  <c r="H7" i="7"/>
  <c r="H9" i="7"/>
  <c r="AB7" i="7"/>
  <c r="Z11" i="3"/>
  <c r="Z8" i="8"/>
  <c r="Z9" i="8"/>
  <c r="Z5" i="4"/>
  <c r="Z7" i="4"/>
  <c r="AB9" i="7"/>
  <c r="Z10" i="5"/>
  <c r="P6" i="5"/>
  <c r="Q6" i="5"/>
  <c r="R6" i="5"/>
  <c r="S6" i="5"/>
  <c r="T6" i="5"/>
  <c r="U6" i="5"/>
  <c r="V6" i="5"/>
  <c r="W6" i="5"/>
  <c r="X6" i="5"/>
  <c r="Y6" i="5"/>
  <c r="Z6" i="5"/>
  <c r="Z8" i="5"/>
  <c r="AC9" i="7"/>
  <c r="AA11" i="3"/>
  <c r="AA8" i="8"/>
  <c r="AA9" i="8"/>
  <c r="AA5" i="4"/>
  <c r="AA7" i="4"/>
  <c r="AC7" i="7"/>
  <c r="S9" i="7"/>
  <c r="Q11" i="3"/>
  <c r="Q8" i="8"/>
  <c r="Q9" i="8"/>
  <c r="Q5" i="4"/>
  <c r="Q7" i="4"/>
  <c r="S7" i="7"/>
  <c r="B6" i="7"/>
  <c r="F6" i="7"/>
  <c r="E11" i="5"/>
  <c r="F22" i="6"/>
  <c r="F23" i="6"/>
  <c r="F11" i="3"/>
  <c r="F8" i="8"/>
  <c r="F9" i="8"/>
  <c r="F5" i="4"/>
  <c r="F7" i="4"/>
  <c r="F12" i="4"/>
  <c r="F13" i="4"/>
  <c r="F9" i="3"/>
  <c r="D11" i="5"/>
  <c r="G8" i="7"/>
  <c r="AE11" i="3"/>
  <c r="AE8" i="8"/>
  <c r="AE9" i="8"/>
  <c r="AE5" i="4"/>
  <c r="AE7" i="4"/>
  <c r="AE12" i="4"/>
  <c r="AE13" i="4"/>
  <c r="AE9" i="3"/>
  <c r="K11" i="5"/>
  <c r="L22" i="6"/>
  <c r="L23" i="6"/>
  <c r="R9" i="7"/>
  <c r="P11" i="3"/>
  <c r="P8" i="8"/>
  <c r="P9" i="8"/>
  <c r="P5" i="4"/>
  <c r="P7" i="4"/>
  <c r="R7" i="7"/>
  <c r="V11" i="5"/>
  <c r="Y8" i="7"/>
  <c r="S11" i="5"/>
  <c r="V8" i="7"/>
  <c r="X11" i="5"/>
  <c r="Y22" i="6"/>
  <c r="Y23" i="6"/>
  <c r="X6" i="7"/>
  <c r="L7" i="7"/>
  <c r="J11" i="3"/>
  <c r="J8" i="8"/>
  <c r="J9" i="8"/>
  <c r="J5" i="4"/>
  <c r="J7" i="4"/>
  <c r="L9" i="7"/>
  <c r="Z11" i="5"/>
  <c r="AA22" i="6"/>
  <c r="AA23" i="6"/>
  <c r="T6" i="7"/>
  <c r="K6" i="7"/>
  <c r="P11" i="5"/>
  <c r="Q22" i="6"/>
  <c r="Q23" i="6"/>
  <c r="N11" i="5"/>
  <c r="Q8" i="7"/>
  <c r="Q9" i="7"/>
  <c r="Q7" i="7"/>
  <c r="AB6" i="7"/>
  <c r="Z6" i="7"/>
  <c r="AE6" i="7"/>
  <c r="AF7" i="7"/>
  <c r="AD11" i="3"/>
  <c r="AD8" i="8"/>
  <c r="AD9" i="8"/>
  <c r="AD5" i="4"/>
  <c r="AD7" i="4"/>
  <c r="AF9" i="7"/>
  <c r="I6" i="7"/>
  <c r="AE9" i="7"/>
  <c r="AC11" i="3"/>
  <c r="AC8" i="8"/>
  <c r="AC9" i="8"/>
  <c r="AC5" i="4"/>
  <c r="AC7" i="4"/>
  <c r="AE7" i="7"/>
  <c r="P6" i="7"/>
  <c r="V6" i="7"/>
  <c r="F9" i="7"/>
  <c r="D11" i="3"/>
  <c r="D8" i="8"/>
  <c r="D9" i="8"/>
  <c r="D5" i="4"/>
  <c r="D7" i="4"/>
  <c r="F7" i="7"/>
  <c r="AC11" i="5"/>
  <c r="AD22" i="6"/>
  <c r="AD23" i="6"/>
  <c r="I11" i="5"/>
  <c r="L8" i="7"/>
  <c r="AH9" i="7"/>
  <c r="P5" i="3"/>
  <c r="Q5" i="3"/>
  <c r="R5" i="3"/>
  <c r="S5" i="3"/>
  <c r="T5" i="3"/>
  <c r="U5" i="3"/>
  <c r="V5" i="3"/>
  <c r="W5" i="3"/>
  <c r="X5" i="3"/>
  <c r="Y5" i="3"/>
  <c r="Z5" i="3"/>
  <c r="AA5" i="3"/>
  <c r="AB5" i="3"/>
  <c r="AC5" i="3"/>
  <c r="AD5" i="3"/>
  <c r="AE5" i="3"/>
  <c r="AF5" i="3"/>
  <c r="AF11" i="3"/>
  <c r="AF8" i="8"/>
  <c r="AF9" i="8"/>
  <c r="AF5" i="4"/>
  <c r="AF7" i="4"/>
  <c r="AH7" i="7"/>
  <c r="H11" i="5"/>
  <c r="K8" i="7"/>
  <c r="C6" i="5"/>
  <c r="D6" i="5"/>
  <c r="E6" i="5"/>
  <c r="F6" i="5"/>
  <c r="G6" i="5"/>
  <c r="H6" i="5"/>
  <c r="I6" i="5"/>
  <c r="J6" i="5"/>
  <c r="K6" i="5"/>
  <c r="L6" i="5"/>
  <c r="M6" i="5"/>
  <c r="N6" i="5"/>
  <c r="O6" i="5"/>
  <c r="O8" i="5"/>
  <c r="O10" i="5"/>
  <c r="G6" i="7"/>
  <c r="C11" i="3"/>
  <c r="C8" i="8"/>
  <c r="C9" i="8"/>
  <c r="C5" i="4"/>
  <c r="C7" i="4"/>
  <c r="C12" i="4"/>
  <c r="C13" i="4"/>
  <c r="C9" i="3"/>
  <c r="D5" i="3"/>
  <c r="E5" i="3"/>
  <c r="F5" i="3"/>
  <c r="G5" i="3"/>
  <c r="H5" i="3"/>
  <c r="I5" i="3"/>
  <c r="J5" i="3"/>
  <c r="K5" i="3"/>
  <c r="L5" i="3"/>
  <c r="M5" i="3"/>
  <c r="N5" i="3"/>
  <c r="O5" i="3"/>
  <c r="O11" i="3"/>
  <c r="O8" i="8"/>
  <c r="O9" i="8"/>
  <c r="O5" i="4"/>
  <c r="O7" i="4"/>
  <c r="O12" i="4"/>
  <c r="O13" i="4"/>
  <c r="O9" i="3"/>
</calcChain>
</file>

<file path=xl/sharedStrings.xml><?xml version="1.0" encoding="utf-8"?>
<sst xmlns="http://schemas.openxmlformats.org/spreadsheetml/2006/main" count="753" uniqueCount="300">
  <si>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</si>
  <si>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</si>
  <si>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</si>
  <si>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</si>
  <si>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</si>
  <si>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</si>
  <si>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</si>
  <si>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</si>
  <si>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</si>
  <si>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</si>
  <si>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</si>
  <si>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</si>
  <si>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</si>
  <si>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</si>
  <si>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</si>
  <si>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</si>
  <si>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</si>
  <si>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</si>
  <si>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</si>
  <si>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</si>
  <si>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</si>
  <si>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</si>
  <si>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</si>
  <si>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</si>
  <si>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</si>
  <si>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</si>
  <si>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</si>
  <si>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</si>
  <si>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</si>
  <si>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</si>
  <si>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</si>
  <si>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</si>
  <si>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</si>
  <si>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</si>
  <si>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</si>
  <si>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</si>
  <si>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</si>
  <si>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</si>
  <si>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</si>
  <si>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Buller</t>
  </si>
  <si>
    <t>Central Otago</t>
  </si>
  <si>
    <t>Clutha</t>
  </si>
  <si>
    <t>Dunedin</t>
  </si>
  <si>
    <t>Southland</t>
  </si>
  <si>
    <t>Gore</t>
  </si>
  <si>
    <t>Grey</t>
  </si>
  <si>
    <t>Hurunui</t>
  </si>
  <si>
    <t>Invercargill</t>
  </si>
  <si>
    <t>Kaikoura</t>
  </si>
  <si>
    <t>Mackenzie</t>
  </si>
  <si>
    <t>Selwyn</t>
  </si>
  <si>
    <t>Timaru</t>
  </si>
  <si>
    <t>Waimate</t>
  </si>
  <si>
    <t>Waitaki</t>
  </si>
  <si>
    <t>Westland</t>
  </si>
  <si>
    <t>Debt to Revenue</t>
  </si>
  <si>
    <t>Enhancement short and medium life percentage</t>
  </si>
  <si>
    <t>Enhancement long life percentage</t>
  </si>
  <si>
    <t>Short and medium asset life</t>
  </si>
  <si>
    <t>Long asset life</t>
  </si>
  <si>
    <t>Total assets before new depreciation</t>
  </si>
  <si>
    <t>Subtotal</t>
  </si>
  <si>
    <t>Total operating costs post efficiency</t>
  </si>
  <si>
    <t>Interest on cash</t>
  </si>
  <si>
    <t>Water population</t>
  </si>
  <si>
    <t>Wastewater population</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</si>
  <si>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</si>
  <si>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</si>
  <si>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</si>
  <si>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</si>
  <si>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</si>
  <si>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</si>
  <si>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</si>
  <si>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</si>
  <si>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</si>
  <si>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</si>
  <si>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</si>
  <si>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</si>
  <si>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</si>
  <si>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</si>
  <si>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</si>
  <si>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</si>
  <si>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</si>
  <si>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</si>
  <si>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</si>
  <si>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</si>
  <si>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Christchurch</t>
  </si>
  <si>
    <t>Waimakariri</t>
  </si>
  <si>
    <t>Queenstown-Lakes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</si>
  <si>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</si>
  <si>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</si>
  <si>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</si>
  <si>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</si>
  <si>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</si>
  <si>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</si>
  <si>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</si>
  <si>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</si>
  <si>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</si>
  <si>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</si>
  <si>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</si>
  <si>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</si>
  <si>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</si>
  <si>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</si>
  <si>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</si>
  <si>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</si>
  <si>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</si>
  <si>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</si>
  <si>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</si>
  <si>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Three Waters Debt</t>
  </si>
  <si>
    <t>Operating expenditure reported in 2020</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</si>
  <si>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</si>
  <si>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</si>
  <si>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</si>
  <si>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</si>
  <si>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</si>
  <si>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</si>
  <si>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</si>
  <si>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</si>
  <si>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</si>
  <si>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</si>
  <si>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</si>
  <si>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</si>
  <si>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</si>
  <si>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</si>
  <si>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</si>
  <si>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</si>
  <si>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</si>
  <si>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</si>
  <si>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</si>
  <si>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</si>
  <si>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</si>
  <si>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</si>
  <si>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</si>
  <si>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</si>
  <si>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</si>
  <si>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</si>
  <si>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</si>
  <si>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Source</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</si>
  <si>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</si>
  <si>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</si>
  <si>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</si>
  <si>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</si>
  <si>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</si>
  <si>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</si>
  <si>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</si>
  <si>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Stats NZ</t>
  </si>
  <si>
    <t>Assumed occupancy rate across New Zealand</t>
  </si>
  <si>
    <t>Assumption</t>
  </si>
  <si>
    <t>As above</t>
  </si>
  <si>
    <t>Macro-economic assumption from DIA's commercial and financial advisors</t>
  </si>
  <si>
    <t xml:space="preserve">Optimised replacement cost </t>
  </si>
  <si>
    <t>RFI Table A1; Line A1.47</t>
  </si>
  <si>
    <t>RFI Table A3; Line A3.58</t>
  </si>
  <si>
    <t>Optimised replacement cost opening value</t>
  </si>
  <si>
    <t>Charged Depreciation on existing assets</t>
  </si>
  <si>
    <t>Growth and enhancement investment (estimated based on density: pre-capping)</t>
  </si>
  <si>
    <t>Growth and enhancement investment (estimated based on a 50/50 weighted: pre-capping)</t>
  </si>
  <si>
    <t>Wastewater connected population</t>
  </si>
  <si>
    <t>Water connected population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</si>
  <si>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</si>
  <si>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</si>
  <si>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</si>
  <si>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</si>
  <si>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</si>
  <si>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</si>
  <si>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</si>
  <si>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</si>
  <si>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</si>
  <si>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</si>
  <si>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</si>
  <si>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</si>
  <si>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</si>
  <si>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Low</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</si>
  <si>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</si>
  <si>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</si>
  <si>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</si>
  <si>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</si>
  <si>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</si>
  <si>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</si>
  <si>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</si>
  <si>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t>
  </si>
  <si>
    <t>No reported growth investment</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</si>
  <si>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</si>
  <si>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</si>
  <si>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</si>
  <si>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</si>
  <si>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</si>
  <si>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</si>
  <si>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</si>
  <si>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</si>
  <si>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</si>
  <si>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</si>
  <si>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</si>
  <si>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</si>
  <si>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</si>
  <si>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</si>
  <si>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</si>
  <si>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</si>
  <si>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</si>
  <si>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</si>
  <si>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</si>
  <si>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Additional assumptions for the amalgamated entity</t>
  </si>
  <si>
    <t>Connected population of the amalgamated entity</t>
  </si>
  <si>
    <t>Total connected population in New Zealand</t>
  </si>
  <si>
    <t>Percentage of the NZ population</t>
  </si>
  <si>
    <t>Additional debt across all entities</t>
  </si>
  <si>
    <t>Entity share of additional debt</t>
  </si>
  <si>
    <t>Spend-to-save allowance</t>
  </si>
  <si>
    <t>Spend-to-save allowance across all entities</t>
  </si>
  <si>
    <t>Entity share of spend-to-save</t>
  </si>
  <si>
    <t xml:space="preserve">Number of years </t>
  </si>
  <si>
    <t>Individual council models</t>
  </si>
  <si>
    <t>Based on achieving the efficiencies above</t>
  </si>
  <si>
    <t xml:space="preserve">Based on observed experience from GB </t>
  </si>
  <si>
    <t>Cost gap between the amalgamated entity and the frontier company in GB after adjusting for special factors</t>
  </si>
  <si>
    <t>Total enhancement and growth investment (average: post-capping)</t>
  </si>
  <si>
    <t>Profile of enhancement and growth</t>
  </si>
  <si>
    <t>Year 1 to 10</t>
  </si>
  <si>
    <t>Year 11 to 20</t>
  </si>
  <si>
    <t>Year 21 to 30</t>
  </si>
  <si>
    <t>Repayment of debt principal</t>
  </si>
  <si>
    <t>Repayment term</t>
  </si>
  <si>
    <t>Spend-to-save operating costs (projected outturn prices)</t>
  </si>
  <si>
    <t>Additional borrowing at restructuring</t>
  </si>
  <si>
    <t>Spend-to-save</t>
  </si>
  <si>
    <t xml:space="preserve">Ashburton </t>
  </si>
  <si>
    <t>Council</t>
  </si>
  <si>
    <t>Total for amalgamated entity</t>
  </si>
  <si>
    <t>Sources</t>
  </si>
  <si>
    <t>Average water and wastewater population (A)</t>
  </si>
  <si>
    <t>Assumed household occupancy rate (B)</t>
  </si>
  <si>
    <t>Assumed connected properties in 2020 (C)</t>
  </si>
  <si>
    <t>Annual growth in connections (D)</t>
  </si>
  <si>
    <t>Assumed connected properties in 2051 (E)</t>
  </si>
  <si>
    <t xml:space="preserve">Annual growth in connections (F) </t>
  </si>
  <si>
    <t>Enhancement and growth</t>
  </si>
  <si>
    <t>Asset values</t>
  </si>
  <si>
    <t>Percentage related to short- medium life assets (B)</t>
  </si>
  <si>
    <t>Asset value related to short-medium life assets (C)</t>
  </si>
  <si>
    <t>Weighted average percentage (D)</t>
  </si>
  <si>
    <t>Enhancement and growth (A)</t>
  </si>
  <si>
    <t>Asset value: high range (A)</t>
  </si>
  <si>
    <t>Ashburton District Council</t>
  </si>
  <si>
    <t>Buller District Council</t>
  </si>
  <si>
    <t>Westland District Council</t>
  </si>
  <si>
    <t>RFI Table F10; Lines F10.62 + F10.70 - F10.61</t>
  </si>
  <si>
    <t>Central Otago District Council</t>
  </si>
  <si>
    <t>Christchurch City Council</t>
  </si>
  <si>
    <t>Clutha District Council</t>
  </si>
  <si>
    <t>Dunedin City Council</t>
  </si>
  <si>
    <t>Gore District Council</t>
  </si>
  <si>
    <t>Grey District Council</t>
  </si>
  <si>
    <t>Hurunui District Council</t>
  </si>
  <si>
    <t>Invercargill City Council</t>
  </si>
  <si>
    <t>Kaikoura District Council</t>
  </si>
  <si>
    <t>Mackenzie District Council</t>
  </si>
  <si>
    <t>Queenstown Lakes District Council</t>
  </si>
  <si>
    <t>Selwyn District Council</t>
  </si>
  <si>
    <t>Southland District Council</t>
  </si>
  <si>
    <t>Timaru District Council</t>
  </si>
  <si>
    <t>Waimakariri District Council</t>
  </si>
  <si>
    <t>Waimate District Council</t>
  </si>
  <si>
    <t>Waitaki District Council</t>
  </si>
  <si>
    <t>RFI Table F3; Line F3.20</t>
  </si>
  <si>
    <t>RFI Table E1, E2 and E2b; Lines E1.22 + E2.21 + E2b.21</t>
  </si>
  <si>
    <t>RFI Table J1; Sum of lines J1.1 to J1.30 (Column I)</t>
  </si>
  <si>
    <t>RFI Table G1; Calculated from additional properties connected in the year (line G1.3b) divided by properties served in 2019/20</t>
  </si>
  <si>
    <t>RFI Table J1; Sum of lines J1.1 to J1.30 (Column J)</t>
  </si>
  <si>
    <t>RFI Table F10; Lines F10.62 + F10.70</t>
  </si>
  <si>
    <t>RFI Table A1; Line A1.43</t>
  </si>
  <si>
    <t xml:space="preserve">Calculated as the sum of the lines above. </t>
  </si>
  <si>
    <t>Amalgamated entities expected to absorb the additional inflationary pressure</t>
  </si>
  <si>
    <t>See data sheet for sources for individual councils</t>
  </si>
  <si>
    <t>Assumption that amalgamated entities would be able to match half of NZ wide productivity of 0.8% per annum</t>
  </si>
  <si>
    <t>See data sheet</t>
  </si>
  <si>
    <t>Consistent with reaching a percentage split of 70% for long life assets by 2051. This split is in line with international experience</t>
  </si>
  <si>
    <t>Consistent with reaching a percentage split of 30% for short-medium life assets by 2051. This split is in line with international experience</t>
  </si>
  <si>
    <t>Amalgamated entities expected to absorb</t>
  </si>
  <si>
    <t>Growth rate for the amalgamated entity</t>
  </si>
  <si>
    <t>Percentage of asset value related to short- medium life assets (existing)</t>
  </si>
  <si>
    <t>Percentage of enhancement related to short- medium life assets (new)</t>
  </si>
  <si>
    <t>Scenario 30; Entity D</t>
  </si>
  <si>
    <t xml:space="preserve">See data sheet </t>
  </si>
  <si>
    <t>New Zealand wide assumption based on the observed split in Great Britain</t>
  </si>
  <si>
    <t>Assumed inflation of 2.2% per annum from DIA's commercial and financial advisors</t>
  </si>
  <si>
    <t>Funding Impact Statements for water, wastewater and stormwater from the Council Annual Report 2019/20. The Annual Report was used given that the operating expenditure reported in Section E did not reconcile with that reported in the Annual Report and Accounts</t>
  </si>
  <si>
    <t>RFI Table G1; Calculated from additional properties connected in the year (line G1.3b - population growth) divided by properties served in 2019/20</t>
  </si>
  <si>
    <t>RFI Table G1; Line G1.3</t>
  </si>
  <si>
    <t>Council reported growth investment expenditure, but did not provide new properties connected. In this case, the average growth rate across the councils in New Zealand was used.</t>
  </si>
  <si>
    <t>RFI Table F10; Lines F10.62 - F10.61 + F10.70</t>
  </si>
  <si>
    <t>RFI Table G1; Line G1.3 
As forecasts were not provided for 2032-51, the average annual growth investment over 2022-31 is assumed to continue over 2032-51.</t>
  </si>
  <si>
    <t xml:space="preserve">For water and wastewater: RFI Table E1 and E2; Lines E1.22 - E1.19 + E2.21 - E2.18 
For stormwater: the Funding Impact Statement from the Council Annual Report 2019/20. The Annual Report was used given that the operating expenditure in E2b included both stormwater and flood protection </t>
  </si>
  <si>
    <t>RFI Table G1 - unconstrained; Line G1.3 
As forecasts were not provided for 2032-51, the average annual growth investment over 2022-31 is assumed to continue over 2032-51.</t>
  </si>
  <si>
    <t>Information not provided in RFI Table G1; Line G1.3b. As such, projected growth from the LTP 2018 was used</t>
  </si>
  <si>
    <t>RFI Tables G2, G3, G4</t>
  </si>
  <si>
    <t>RFI Table E7; Line E7.1</t>
  </si>
  <si>
    <t>RFI Table F10; Lines F10.62 + F10.70 - E10.61</t>
  </si>
  <si>
    <t>For water: The Funding Impact Statement from the Council Annual Report 2019/20. The Annual Report was used given that the operating expenditure in E1.22 did not reconcile to the Annual Report. 
For wastewater and stormwater: RFI Table E2 and E2b; Lines E2.21 + E2b.21</t>
  </si>
  <si>
    <t>RFI Table F10; Line F10.62</t>
  </si>
  <si>
    <t>RFI Tables G2, G3, G4 (adjusted for projected inflation in RFI Table G5) 
As forecasts were not provided for 2032-51, the average annual growth investment over 2022-31 is assumed to continue over 2032-51.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</si>
</sst>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1409]#,##0"/>
    <numFmt numFmtId="176" formatCode="0.0000"/>
    <numFmt numFmtId="177" formatCode="_-* #,##0.000_-;\-* #,##0.000_-;_-* &quot;-&quot;??_-;_-@_-"/>
    <numFmt numFmtId="178" formatCode="_-[$$-1409]* #,##0_-;\-[$$-1409]* #,##0_-;_-[$$-1409]* &quot;-&quot;_-;_-@_-"/>
    <numFmt numFmtId="179" formatCode="_-* #,##0.0000_-;\-* #,##0.0000_-;_-* &quot;-&quot;??_-;_-@_-"/>
    <numFmt numFmtId="180" formatCode="0.000%"/>
    <numFmt numFmtId="181" formatCode="&quot;NZ$&quot;#,##0\ &quot;Million&quot;"/>
  </numFmts>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2"/>
      <color theme="3"/>
      <name val="Trebuchet MS"/>
      <family val="2"/>
    </font>
    <font>
      <u/>
      <sz val="12"/>
      <color theme="3"/>
      <name val="Trebuchet MS"/>
      <family val="2"/>
    </font>
    <font>
      <b/>
      <sz val="12"/>
      <color theme="0"/>
      <name val="Trebuchet MS"/>
      <family val="2"/>
    </font>
    <font>
      <b/>
      <u/>
      <sz val="14"/>
      <color theme="3"/>
      <name val="Trebuchet MS"/>
      <family val="2"/>
    </font>
  </fonts>
  <fills count="6">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rgb="FF4472C4"/>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229">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7" fontId="0" fillId="0" borderId="0" xfId="0" applyNumberFormat="1"/>
    <xf numFmtId="170" fontId="0" fillId="0" borderId="0" xfId="0" applyNumberFormat="1" applyAlignment="1">
      <alignment horizontal="center"/>
    </xf>
    <xf numFmtId="176"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9"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0" fontId="0" fillId="0" borderId="0" xfId="0" applyFont="1" applyAlignment="1">
      <alignment wrapText="1"/>
    </xf>
    <xf numFmtId="0" fontId="0" fillId="5" borderId="0" xfId="0" applyFill="1"/>
    <xf numFmtId="0" fontId="7" fillId="5" borderId="0" xfId="0" applyFont="1" applyFill="1"/>
    <xf numFmtId="0" fontId="0" fillId="0" borderId="0" xfId="0" applyAlignment="1">
      <alignment wrapText="1"/>
    </xf>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11" xfId="0" applyFont="1" applyFill="1" applyBorder="1" applyAlignment="1">
      <alignment vertical="top"/>
    </xf>
    <xf numFmtId="0" fontId="0" fillId="0" borderId="9" xfId="0" applyBorder="1" applyAlignment="1">
      <alignment vertical="top"/>
    </xf>
    <xf numFmtId="0" fontId="0" fillId="0" borderId="11" xfId="0" applyBorder="1" applyAlignment="1">
      <alignment vertical="top"/>
    </xf>
    <xf numFmtId="0" fontId="14" fillId="0" borderId="9" xfId="0" applyFont="1" applyBorder="1" applyAlignment="1">
      <alignment vertical="top"/>
    </xf>
    <xf numFmtId="169" fontId="18" fillId="0" borderId="0" xfId="3" applyNumberFormat="1" applyFont="1" applyFill="1" applyAlignment="1">
      <alignment vertical="center"/>
    </xf>
    <xf numFmtId="0" fontId="18" fillId="0" borderId="0" xfId="0" applyFont="1" applyAlignment="1">
      <alignment vertical="center"/>
    </xf>
    <xf numFmtId="0" fontId="18" fillId="0" borderId="0" xfId="0" applyFont="1" applyFill="1" applyAlignment="1">
      <alignment horizontal="center" vertical="center"/>
    </xf>
    <xf numFmtId="0" fontId="18"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Fill="1" applyBorder="1" applyAlignment="1">
      <alignment horizontal="center" vertical="center" wrapText="1" readingOrder="1"/>
    </xf>
    <xf numFmtId="175" fontId="18" fillId="0" borderId="0" xfId="0" applyNumberFormat="1" applyFont="1" applyFill="1" applyAlignment="1">
      <alignment vertical="center"/>
    </xf>
    <xf numFmtId="0" fontId="18" fillId="0" borderId="0" xfId="0" applyFont="1" applyFill="1" applyBorder="1" applyAlignment="1">
      <alignment horizontal="center" vertical="center"/>
    </xf>
    <xf numFmtId="178" fontId="18" fillId="0" borderId="0" xfId="0" applyNumberFormat="1" applyFont="1" applyFill="1" applyAlignment="1">
      <alignment vertical="center"/>
    </xf>
    <xf numFmtId="0" fontId="18" fillId="0" borderId="0" xfId="0" applyNumberFormat="1" applyFont="1" applyFill="1" applyAlignment="1">
      <alignment vertical="center"/>
    </xf>
    <xf numFmtId="167" fontId="18" fillId="0" borderId="0" xfId="0" applyNumberFormat="1" applyFont="1" applyFill="1" applyAlignment="1">
      <alignment vertical="center"/>
    </xf>
    <xf numFmtId="43" fontId="18" fillId="0" borderId="0" xfId="0" applyNumberFormat="1" applyFont="1" applyFill="1" applyAlignment="1">
      <alignment vertical="center"/>
    </xf>
    <xf numFmtId="167" fontId="18" fillId="0" borderId="0" xfId="1" applyNumberFormat="1" applyFont="1" applyFill="1" applyAlignment="1">
      <alignment horizontal="center" vertical="center"/>
    </xf>
    <xf numFmtId="0" fontId="18" fillId="0" borderId="0" xfId="0" applyFont="1" applyAlignment="1">
      <alignment horizontal="left" vertical="center"/>
    </xf>
    <xf numFmtId="169" fontId="18" fillId="0" borderId="0" xfId="3" applyNumberFormat="1" applyFont="1" applyFill="1" applyBorder="1" applyAlignment="1">
      <alignment vertical="center"/>
    </xf>
    <xf numFmtId="0" fontId="19" fillId="0" borderId="0" xfId="0" applyFont="1" applyFill="1" applyBorder="1" applyAlignment="1">
      <alignment horizontal="center" vertical="center" wrapText="1"/>
    </xf>
    <xf numFmtId="175" fontId="18" fillId="0" borderId="18" xfId="0" applyNumberFormat="1" applyFont="1" applyFill="1" applyBorder="1" applyAlignment="1">
      <alignment vertical="center"/>
    </xf>
    <xf numFmtId="178" fontId="18" fillId="0" borderId="18" xfId="0" applyNumberFormat="1" applyFont="1" applyFill="1" applyBorder="1" applyAlignment="1">
      <alignment vertical="center" wrapText="1"/>
    </xf>
    <xf numFmtId="175" fontId="18" fillId="0" borderId="18" xfId="0" applyNumberFormat="1" applyFont="1" applyBorder="1" applyAlignment="1">
      <alignment vertical="center"/>
    </xf>
    <xf numFmtId="169" fontId="18" fillId="0" borderId="18" xfId="3" applyNumberFormat="1" applyFont="1" applyFill="1" applyBorder="1" applyAlignment="1">
      <alignment vertical="center"/>
    </xf>
    <xf numFmtId="175" fontId="18" fillId="0" borderId="18" xfId="0" applyNumberFormat="1" applyFont="1" applyFill="1" applyBorder="1" applyAlignment="1">
      <alignment horizontal="center" vertical="center"/>
    </xf>
    <xf numFmtId="0" fontId="21" fillId="0" borderId="0" xfId="0" applyFont="1" applyAlignment="1">
      <alignment horizontal="left" vertical="center"/>
    </xf>
    <xf numFmtId="0" fontId="21" fillId="0" borderId="0" xfId="0" applyFont="1" applyFill="1" applyAlignment="1">
      <alignment horizontal="left" vertical="center" wrapText="1"/>
    </xf>
    <xf numFmtId="0" fontId="18" fillId="0" borderId="18" xfId="0" applyNumberFormat="1" applyFont="1" applyFill="1" applyBorder="1" applyAlignment="1">
      <alignment vertical="center" wrapText="1"/>
    </xf>
    <xf numFmtId="181" fontId="18" fillId="0" borderId="18" xfId="0" applyNumberFormat="1" applyFont="1" applyFill="1" applyBorder="1" applyAlignment="1">
      <alignment horizontal="center" vertical="center"/>
    </xf>
    <xf numFmtId="3" fontId="18" fillId="0" borderId="18" xfId="0" applyNumberFormat="1" applyFont="1" applyFill="1" applyBorder="1" applyAlignment="1">
      <alignment horizontal="center" vertical="center"/>
    </xf>
    <xf numFmtId="0" fontId="18" fillId="0" borderId="18" xfId="0" applyNumberFormat="1" applyFont="1" applyFill="1" applyBorder="1" applyAlignment="1">
      <alignment vertical="center"/>
    </xf>
    <xf numFmtId="3" fontId="18" fillId="0" borderId="18" xfId="1" applyNumberFormat="1" applyFont="1" applyFill="1" applyBorder="1" applyAlignment="1">
      <alignment horizontal="center" vertical="center"/>
    </xf>
    <xf numFmtId="0" fontId="18" fillId="0" borderId="18" xfId="0" applyFont="1" applyFill="1" applyBorder="1" applyAlignment="1">
      <alignment vertical="center"/>
    </xf>
    <xf numFmtId="0" fontId="18" fillId="0" borderId="0" xfId="0" applyFont="1" applyFill="1" applyBorder="1" applyAlignment="1">
      <alignment horizontal="left" vertical="center"/>
    </xf>
    <xf numFmtId="169" fontId="18" fillId="0" borderId="18" xfId="3" applyNumberFormat="1" applyFont="1" applyFill="1" applyBorder="1" applyAlignment="1">
      <alignment horizontal="center" vertical="center"/>
    </xf>
    <xf numFmtId="169" fontId="18" fillId="0" borderId="18" xfId="0" applyNumberFormat="1" applyFont="1" applyFill="1" applyBorder="1" applyAlignment="1">
      <alignment vertical="center"/>
    </xf>
    <xf numFmtId="43" fontId="18" fillId="0" borderId="18" xfId="0" applyNumberFormat="1" applyFont="1" applyFill="1" applyBorder="1" applyAlignment="1">
      <alignment vertical="center"/>
    </xf>
    <xf numFmtId="0" fontId="18" fillId="0" borderId="18" xfId="0" applyFont="1" applyBorder="1" applyAlignment="1">
      <alignment vertical="center"/>
    </xf>
    <xf numFmtId="169" fontId="18" fillId="0" borderId="18" xfId="3" applyNumberFormat="1" applyFont="1" applyBorder="1" applyAlignment="1">
      <alignment vertical="center"/>
    </xf>
    <xf numFmtId="0" fontId="21" fillId="0" borderId="0" xfId="0" applyFont="1" applyFill="1" applyAlignment="1">
      <alignment horizontal="left" vertical="center"/>
    </xf>
    <xf numFmtId="175" fontId="18" fillId="0" borderId="18" xfId="0" applyNumberFormat="1" applyFont="1" applyBorder="1" applyAlignment="1">
      <alignment horizontal="center" vertical="center"/>
    </xf>
    <xf numFmtId="0" fontId="18" fillId="0" borderId="18" xfId="0" applyFont="1" applyFill="1" applyBorder="1" applyAlignment="1">
      <alignment horizontal="left" vertical="center"/>
    </xf>
    <xf numFmtId="9" fontId="18" fillId="0" borderId="18" xfId="3" applyNumberFormat="1" applyFont="1" applyFill="1" applyBorder="1" applyAlignment="1">
      <alignment horizontal="center" vertical="center"/>
    </xf>
    <xf numFmtId="9" fontId="18" fillId="0" borderId="18" xfId="3" applyNumberFormat="1" applyFont="1" applyFill="1" applyBorder="1" applyAlignment="1">
      <alignment vertical="center"/>
    </xf>
    <xf numFmtId="9" fontId="18" fillId="0" borderId="18" xfId="3" applyFont="1" applyFill="1" applyBorder="1" applyAlignment="1">
      <alignment horizontal="center" vertical="center"/>
    </xf>
    <xf numFmtId="174" fontId="18" fillId="0" borderId="18" xfId="0" applyNumberFormat="1" applyFont="1" applyFill="1" applyBorder="1" applyAlignment="1">
      <alignment vertical="center"/>
    </xf>
    <xf numFmtId="180" fontId="10" fillId="0" borderId="9" xfId="0" applyNumberFormat="1" applyFont="1" applyFill="1" applyBorder="1" applyAlignment="1">
      <alignment vertical="top"/>
    </xf>
    <xf numFmtId="167" fontId="10" fillId="0" borderId="0" xfId="0" applyNumberFormat="1" applyFont="1" applyFill="1" applyAlignment="1">
      <alignment vertical="top"/>
    </xf>
    <xf numFmtId="172" fontId="10" fillId="0" borderId="9" xfId="0" applyNumberFormat="1" applyFont="1" applyFill="1" applyBorder="1" applyAlignment="1">
      <alignment vertical="top"/>
    </xf>
    <xf numFmtId="173" fontId="10" fillId="0" borderId="9" xfId="0" applyNumberFormat="1" applyFont="1" applyFill="1" applyBorder="1" applyAlignment="1">
      <alignment vertical="top"/>
    </xf>
    <xf numFmtId="0" fontId="20" fillId="4" borderId="18" xfId="0" applyFont="1" applyFill="1" applyBorder="1" applyAlignment="1">
      <alignment horizontal="center" vertical="center" wrapText="1" readingOrder="1"/>
    </xf>
    <xf numFmtId="3" fontId="10" fillId="0" borderId="9" xfId="0" applyNumberFormat="1" applyFont="1" applyFill="1" applyBorder="1" applyAlignment="1">
      <alignment vertical="top"/>
    </xf>
    <xf numFmtId="0" fontId="20" fillId="4" borderId="18" xfId="0" applyFont="1" applyFill="1" applyBorder="1" applyAlignment="1">
      <alignment horizontal="center" vertical="center" wrapText="1" readingOrder="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FF0000"/>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2.xml"/><Relationship Id="rId21" Type="http://schemas.openxmlformats.org/officeDocument/2006/relationships/externalLink" Target="externalLinks/externalLink7.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63" Type="http://schemas.openxmlformats.org/officeDocument/2006/relationships/externalLink" Target="externalLinks/externalLink49.xml"/><Relationship Id="rId68" Type="http://schemas.openxmlformats.org/officeDocument/2006/relationships/externalLink" Target="externalLinks/externalLink54.xml"/><Relationship Id="rId16" Type="http://schemas.openxmlformats.org/officeDocument/2006/relationships/externalLink" Target="externalLinks/externalLink2.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externalLink" Target="externalLinks/externalLink52.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7.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69" Type="http://schemas.openxmlformats.org/officeDocument/2006/relationships/externalLink" Target="externalLinks/externalLink55.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externalLink" Target="externalLinks/externalLink53.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 Id="rId70" Type="http://schemas.openxmlformats.org/officeDocument/2006/relationships/externalLink" Target="externalLinks/externalLink56.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externalLink" Target="externalLinks/externalLink51.xml"/><Relationship Id="rId73" Type="http://schemas.openxmlformats.org/officeDocument/2006/relationships/sharedStrings" Target="sharedStrings.xml"/><Relationship Id="rId78"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 Id="rId34" Type="http://schemas.openxmlformats.org/officeDocument/2006/relationships/externalLink" Target="externalLinks/externalLink20.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WFinance\GLC\RRennie\JOURNALS\08-09\P2\080531-87516%20-%20%23%23%20SW%20SCi%20Mileage%20Accrual%20To%20Budget%20P2%20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118</v>
      </c>
      <c r="D1" s="61"/>
      <c r="E1" s="61"/>
      <c r="F1" s="61"/>
    </row>
    <row r="2" spans="1:6" x14ac:dyDescent="0.35">
      <c r="A2" s="63" t="s">
        <v>119</v>
      </c>
      <c r="B2" s="60" t="s">
        <v>281</v>
      </c>
      <c r="C2" s="166"/>
      <c r="D2" s="60"/>
      <c r="E2" s="14"/>
      <c r="F2" s="60"/>
    </row>
    <row r="3" spans="1:6" x14ac:dyDescent="0.35">
      <c r="C3" s="14"/>
      <c r="D3" s="14"/>
    </row>
    <row r="4" spans="1:6" x14ac:dyDescent="0.35">
      <c r="A4" s="14" t="s">
        <v>161</v>
      </c>
      <c r="B4" s="14"/>
      <c r="D4" s="14"/>
    </row>
    <row r="6" spans="1:6" ht="21" x14ac:dyDescent="0.5">
      <c r="A6" s="15" t="s">
        <v>170</v>
      </c>
    </row>
    <row r="7" spans="1:6" ht="241" customHeight="1" x14ac:dyDescent="0.35">
      <c r="A7" s="105">
        <v>1</v>
      </c>
      <c r="B7" s="102" t="s">
        <v>171</v>
      </c>
    </row>
    <row r="8" spans="1:6" ht="408" customHeight="1" x14ac:dyDescent="0.35">
      <c r="A8" s="105">
        <v>2</v>
      </c>
      <c r="B8" s="102" t="s">
        <v>194</v>
      </c>
    </row>
    <row r="9" spans="1:6" ht="195.5" customHeight="1" x14ac:dyDescent="0.35">
      <c r="A9" s="105">
        <f>A8+1</f>
        <v>3</v>
      </c>
      <c r="B9" s="103" t="s">
        <v>176</v>
      </c>
    </row>
    <row r="10" spans="1:6" ht="236" customHeight="1" x14ac:dyDescent="0.35">
      <c r="A10" s="105">
        <v>4</v>
      </c>
      <c r="B10" s="103" t="s">
        <v>177</v>
      </c>
    </row>
    <row r="11" spans="1:6" ht="21" x14ac:dyDescent="0.35">
      <c r="A11" s="105">
        <f>A10+1</f>
        <v>5</v>
      </c>
      <c r="B11" s="63" t="s">
        <v>192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166</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566062253.1937294</v>
      </c>
      <c r="D5" s="59">
        <f>C5*('Price and Financial ratios'!F4+1)*(1+Assumptions!$C$13)</f>
        <v>653398825.46216404</v>
      </c>
      <c r="E5" s="59">
        <f>D5*('Price and Financial ratios'!G4+1)*(1+Assumptions!$C$13)</f>
        <v>727746854.53741014</v>
      </c>
      <c r="F5" s="59">
        <f>E5*('Price and Financial ratios'!H4+1)*(1+Assumptions!$C$13)</f>
        <v>773711297.73222828</v>
      </c>
      <c r="G5" s="59">
        <f>F5*('Price and Financial ratios'!I4+1)*(1+Assumptions!$C$13)</f>
        <v>814744767.81295919</v>
      </c>
      <c r="H5" s="59">
        <f>G5*('Price and Financial ratios'!J4+1)*(1+Assumptions!$C$13)</f>
        <v>857954431.61323571</v>
      </c>
      <c r="I5" s="59">
        <f>H5*('Price and Financial ratios'!K4+1)*(1+Assumptions!$C$13)</f>
        <v>894768628.63458598</v>
      </c>
      <c r="J5" s="59">
        <f>I5*('Price and Financial ratios'!L4+1)*(1+Assumptions!$C$13)</f>
        <v>933162495.9185847</v>
      </c>
      <c r="K5" s="59">
        <f>J5*('Price and Financial ratios'!M4+1)*(1+Assumptions!$C$13)</f>
        <v>973203815.96058941</v>
      </c>
      <c r="L5" s="59">
        <f>K5*('Price and Financial ratios'!N4+1)*(1+Assumptions!$C$13)</f>
        <v>1014963279.7532471</v>
      </c>
      <c r="M5" s="59">
        <f>L5*('Price and Financial ratios'!O4+1)*(1+Assumptions!$C$13)</f>
        <v>1058514611.587985</v>
      </c>
      <c r="N5" s="59">
        <f>M5*('Price and Financial ratios'!P4+1)*(1+Assumptions!$C$13)</f>
        <v>1103934699.2116423</v>
      </c>
      <c r="O5" s="59">
        <f>N5*('Price and Financial ratios'!Q4+1)*(1+Assumptions!$C$13)</f>
        <v>1151303729.5680275</v>
      </c>
      <c r="P5" s="59">
        <f>O5*('Price and Financial ratios'!R4+1)*(1+Assumptions!$C$13)</f>
        <v>1200705330.3640471</v>
      </c>
      <c r="Q5" s="59">
        <f>P5*('Price and Financial ratios'!S4+1)*(1+Assumptions!$C$13)</f>
        <v>1252226717.7103324</v>
      </c>
      <c r="R5" s="59">
        <f>Q5*('Price and Financial ratios'!T4+1)*(1+Assumptions!$C$13)</f>
        <v>1305958850.0970194</v>
      </c>
      <c r="S5" s="59">
        <f>R5*('Price and Financial ratios'!U4+1)*(1+Assumptions!$C$13)</f>
        <v>1361996588.9765141</v>
      </c>
      <c r="T5" s="59">
        <f>S5*('Price and Financial ratios'!V4+1)*(1+Assumptions!$C$13)</f>
        <v>1420438866.2367496</v>
      </c>
      <c r="U5" s="59">
        <f>T5*('Price and Financial ratios'!W4+1)*(1+Assumptions!$C$13)</f>
        <v>1469882925.9762421</v>
      </c>
      <c r="V5" s="59">
        <f>U5*('Price and Financial ratios'!X4+1)*(1+Assumptions!$C$13)</f>
        <v>1521048084.1041498</v>
      </c>
      <c r="W5" s="59">
        <f>V5*('Price and Financial ratios'!Y4+1)*(1+Assumptions!$C$13)</f>
        <v>1573994250.3382065</v>
      </c>
      <c r="X5" s="59">
        <f>W5*('Price and Financial ratios'!Z4+1)*(1+Assumptions!$C$13)</f>
        <v>1628783419.7936475</v>
      </c>
      <c r="Y5" s="59">
        <f>X5*('Price and Financial ratios'!AA4+1)*(1+Assumptions!$C$13)</f>
        <v>1685479745.5738161</v>
      </c>
      <c r="Z5" s="59">
        <f>Y5*('Price and Financial ratios'!AB4+1)*(1+Assumptions!$C$13)</f>
        <v>1744149613.8875756</v>
      </c>
      <c r="AA5" s="59">
        <f>Z5*('Price and Financial ratios'!AC4+1)*(1+Assumptions!$C$13)</f>
        <v>1804861721.7814865</v>
      </c>
      <c r="AB5" s="59">
        <f>AA5*('Price and Financial ratios'!AD4+1)*(1+Assumptions!$C$13)</f>
        <v>1867687157.577759</v>
      </c>
      <c r="AC5" s="59">
        <f>AB5*('Price and Financial ratios'!AE4+1)*(1+Assumptions!$C$13)</f>
        <v>1932699484.112174</v>
      </c>
      <c r="AD5" s="59">
        <f>AC5*('Price and Financial ratios'!AF4+1)*(1+Assumptions!$C$13)</f>
        <v>1999974824.8694305</v>
      </c>
      <c r="AE5" s="59">
        <f>AD5*('Price and Financial ratios'!AG4+1)*(1+Assumptions!$C$13)</f>
        <v>2069591953.1167812</v>
      </c>
      <c r="AF5" s="59">
        <f>AE5*('Price and Financial ratios'!AH4+1)*(1+Assumptions!$C$13)</f>
        <v>2141632384.1403179</v>
      </c>
    </row>
    <row r="6" spans="1:32" s="11" customFormat="1" x14ac:dyDescent="0.35">
      <c r="A6" s="11" t="s">
        <v>20</v>
      </c>
      <c r="C6" s="59">
        <f>C27</f>
        <v>297947831.69276249</v>
      </c>
      <c r="D6" s="59">
        <f t="shared" ref="D6:AF6" si="1">D27</f>
        <v>306553901.39911091</v>
      </c>
      <c r="E6" s="59">
        <f>E27</f>
        <v>315414246.73120296</v>
      </c>
      <c r="F6" s="59">
        <f t="shared" si="1"/>
        <v>324536488.33564723</v>
      </c>
      <c r="G6" s="59">
        <f t="shared" si="1"/>
        <v>311943774.07322252</v>
      </c>
      <c r="H6" s="59">
        <f t="shared" si="1"/>
        <v>255550895.28911304</v>
      </c>
      <c r="I6" s="59">
        <f t="shared" si="1"/>
        <v>243012404.33492821</v>
      </c>
      <c r="J6" s="59">
        <f t="shared" si="1"/>
        <v>230845348.85782039</v>
      </c>
      <c r="K6" s="59">
        <f t="shared" si="1"/>
        <v>219025988.89837018</v>
      </c>
      <c r="L6" s="59">
        <f t="shared" si="1"/>
        <v>215514322.34148979</v>
      </c>
      <c r="M6" s="59">
        <f t="shared" si="1"/>
        <v>211910729.40052015</v>
      </c>
      <c r="N6" s="59">
        <f t="shared" si="1"/>
        <v>208210186.27672684</v>
      </c>
      <c r="O6" s="59">
        <f t="shared" si="1"/>
        <v>204407458.85191745</v>
      </c>
      <c r="P6" s="59">
        <f t="shared" si="1"/>
        <v>200497094.1309346</v>
      </c>
      <c r="Q6" s="59">
        <f t="shared" si="1"/>
        <v>198276429.21863222</v>
      </c>
      <c r="R6" s="59">
        <f t="shared" si="1"/>
        <v>195924391.51706848</v>
      </c>
      <c r="S6" s="59">
        <f t="shared" si="1"/>
        <v>193434907.44588006</v>
      </c>
      <c r="T6" s="59">
        <f t="shared" si="1"/>
        <v>190801646.16882777</v>
      </c>
      <c r="U6" s="59">
        <f t="shared" si="1"/>
        <v>188018009.23549974</v>
      </c>
      <c r="V6" s="59">
        <f t="shared" si="1"/>
        <v>192705844.92823803</v>
      </c>
      <c r="W6" s="59">
        <f t="shared" si="1"/>
        <v>197500005.39367515</v>
      </c>
      <c r="X6" s="59">
        <f t="shared" si="1"/>
        <v>202402450.93043894</v>
      </c>
      <c r="Y6" s="59">
        <f t="shared" si="1"/>
        <v>207415156.77454299</v>
      </c>
      <c r="Z6" s="59">
        <f t="shared" si="1"/>
        <v>212540111.98744237</v>
      </c>
      <c r="AA6" s="59">
        <f t="shared" si="1"/>
        <v>217779318.2554183</v>
      </c>
      <c r="AB6" s="59">
        <f t="shared" si="1"/>
        <v>223134788.59567523</v>
      </c>
      <c r="AC6" s="59">
        <f t="shared" si="1"/>
        <v>228608545.96432668</v>
      </c>
      <c r="AD6" s="59">
        <f t="shared" si="1"/>
        <v>234202621.76122892</v>
      </c>
      <c r="AE6" s="59">
        <f t="shared" si="1"/>
        <v>239919054.22639787</v>
      </c>
      <c r="AF6" s="59">
        <f t="shared" si="1"/>
        <v>245759886.72250921</v>
      </c>
    </row>
    <row r="7" spans="1:32" x14ac:dyDescent="0.35">
      <c r="A7" t="s">
        <v>21</v>
      </c>
      <c r="C7" s="4">
        <f>Depreciation!C8+Depreciation!C9</f>
        <v>350154448.87852871</v>
      </c>
      <c r="D7" s="4">
        <f>Depreciation!D8+Depreciation!D9</f>
        <v>362124445.81853831</v>
      </c>
      <c r="E7" s="4">
        <f>Depreciation!E8+Depreciation!E9</f>
        <v>374433987.99046254</v>
      </c>
      <c r="F7" s="4">
        <f>Depreciation!F8+Depreciation!F9</f>
        <v>387091906.48463249</v>
      </c>
      <c r="G7" s="4">
        <f>Depreciation!G8+Depreciation!G9</f>
        <v>399791122.28278261</v>
      </c>
      <c r="H7" s="4">
        <f>Depreciation!H8+Depreciation!H9</f>
        <v>412542288.74165297</v>
      </c>
      <c r="I7" s="4">
        <f>Depreciation!I8+Depreciation!I9</f>
        <v>425355762.66775542</v>
      </c>
      <c r="J7" s="4">
        <f>Depreciation!J8+Depreciation!J9</f>
        <v>438241621.77315581</v>
      </c>
      <c r="K7" s="4">
        <f>Depreciation!K8+Depreciation!K9</f>
        <v>451209681.31123924</v>
      </c>
      <c r="L7" s="4">
        <f>Depreciation!L8+Depreciation!L9</f>
        <v>464383961.41210437</v>
      </c>
      <c r="M7" s="4">
        <f>Depreciation!M8+Depreciation!M9</f>
        <v>493611849.82142794</v>
      </c>
      <c r="N7" s="4">
        <f>Depreciation!N8+Depreciation!N9</f>
        <v>523007852.72172809</v>
      </c>
      <c r="O7" s="4">
        <f>Depreciation!O8+Depreciation!O9</f>
        <v>552575091.47744906</v>
      </c>
      <c r="P7" s="4">
        <f>Depreciation!P8+Depreciation!P9</f>
        <v>582316513.68092036</v>
      </c>
      <c r="Q7" s="4">
        <f>Depreciation!Q8+Depreciation!Q9</f>
        <v>612387121.25533938</v>
      </c>
      <c r="R7" s="4">
        <f>Depreciation!R8+Depreciation!R9</f>
        <v>642789247.44969559</v>
      </c>
      <c r="S7" s="4">
        <f>Depreciation!S8+Depreciation!S9</f>
        <v>673525090.87070763</v>
      </c>
      <c r="T7" s="4">
        <f>Depreciation!T8+Depreciation!T9</f>
        <v>704596707.96810877</v>
      </c>
      <c r="U7" s="4">
        <f>Depreciation!U8+Depreciation!U9</f>
        <v>736006005.2388649</v>
      </c>
      <c r="V7" s="4">
        <f>Depreciation!V8+Depreciation!V9</f>
        <v>768313119.97465646</v>
      </c>
      <c r="W7" s="4">
        <f>Depreciation!W8+Depreciation!W9</f>
        <v>806981059.73666155</v>
      </c>
      <c r="X7" s="4">
        <f>Depreciation!X8+Depreciation!X9</f>
        <v>846780756.4231869</v>
      </c>
      <c r="Y7" s="4">
        <f>Depreciation!Y8+Depreciation!Y9</f>
        <v>887739759.72596836</v>
      </c>
      <c r="Z7" s="4">
        <f>Depreciation!Z8+Depreciation!Z9</f>
        <v>929886220.66223192</v>
      </c>
      <c r="AA7" s="4">
        <f>Depreciation!AA8+Depreciation!AA9</f>
        <v>973248903.57210922</v>
      </c>
      <c r="AB7" s="4">
        <f>Depreciation!AB8+Depreciation!AB9</f>
        <v>1017857198.3327733</v>
      </c>
      <c r="AC7" s="4">
        <f>Depreciation!AC8+Depreciation!AC9</f>
        <v>1063741132.7926581</v>
      </c>
      <c r="AD7" s="4">
        <f>Depreciation!AD8+Depreciation!AD9</f>
        <v>1110931385.4291754</v>
      </c>
      <c r="AE7" s="4">
        <f>Depreciation!AE8+Depreciation!AE9</f>
        <v>1159459298.2333665</v>
      </c>
      <c r="AF7" s="4">
        <f>Depreciation!AF8+Depreciation!AF9</f>
        <v>1209356889.8249707</v>
      </c>
    </row>
    <row r="8" spans="1:32" x14ac:dyDescent="0.35">
      <c r="A8" t="s">
        <v>6</v>
      </c>
      <c r="C8" s="4">
        <f ca="1">'Debt worksheet'!C11</f>
        <v>87616406.179121971</v>
      </c>
      <c r="D8" s="4">
        <f ca="1">'Debt worksheet'!D11</f>
        <v>99196878.107289493</v>
      </c>
      <c r="E8" s="4">
        <f ca="1">'Debt worksheet'!E11</f>
        <v>109358775.38318354</v>
      </c>
      <c r="F8" s="4">
        <f ca="1">'Debt worksheet'!F11</f>
        <v>119101461.75233965</v>
      </c>
      <c r="G8" s="4">
        <f ca="1">'Debt worksheet'!G11</f>
        <v>127324113.22791982</v>
      </c>
      <c r="H8" s="4">
        <f ca="1">'Debt worksheet'!H11</f>
        <v>130674046.62899916</v>
      </c>
      <c r="I8" s="4">
        <f ca="1">'Debt worksheet'!I11</f>
        <v>132418289.26474635</v>
      </c>
      <c r="J8" s="4">
        <f ca="1">'Debt worksheet'!J11</f>
        <v>132467061.91117649</v>
      </c>
      <c r="K8" s="4">
        <f ca="1">'Debt worksheet'!K11</f>
        <v>130723611.55248633</v>
      </c>
      <c r="L8" s="4">
        <f ca="1">'Debt worksheet'!L11</f>
        <v>127550385.33280289</v>
      </c>
      <c r="M8" s="4">
        <f ca="1">'Debt worksheet'!M11</f>
        <v>147322711.17649639</v>
      </c>
      <c r="N8" s="4">
        <f ca="1">'Debt worksheet'!N11</f>
        <v>166259068.02063057</v>
      </c>
      <c r="O8" s="4">
        <f ca="1">'Debt worksheet'!O11</f>
        <v>184251817.08604923</v>
      </c>
      <c r="P8" s="4">
        <f ca="1">'Debt worksheet'!P11</f>
        <v>201185896.55953935</v>
      </c>
      <c r="Q8" s="4">
        <f ca="1">'Debt worksheet'!Q11</f>
        <v>217239053.17171127</v>
      </c>
      <c r="R8" s="4">
        <f ca="1">'Debt worksheet'!R11</f>
        <v>232290253.58901134</v>
      </c>
      <c r="S8" s="4">
        <f ca="1">'Debt worksheet'!S11</f>
        <v>246210119.4555048</v>
      </c>
      <c r="T8" s="4">
        <f ca="1">'Debt worksheet'!T11</f>
        <v>258860455.72395518</v>
      </c>
      <c r="U8" s="4">
        <f ca="1">'Debt worksheet'!U11</f>
        <v>270511068.46363479</v>
      </c>
      <c r="V8" s="4">
        <f ca="1">'Debt worksheet'!V11</f>
        <v>282191400.06370312</v>
      </c>
      <c r="W8" s="4">
        <f ca="1">'Debt worksheet'!W11</f>
        <v>302271290.16084683</v>
      </c>
      <c r="X8" s="4">
        <f ca="1">'Debt worksheet'!X11</f>
        <v>322906217.2211104</v>
      </c>
      <c r="Y8" s="4">
        <f ca="1">'Debt worksheet'!Y11</f>
        <v>344083193.44232494</v>
      </c>
      <c r="Z8" s="4">
        <f ca="1">'Debt worksheet'!Z11</f>
        <v>365786941.20548886</v>
      </c>
      <c r="AA8" s="4">
        <f ca="1">'Debt worksheet'!AA11</f>
        <v>387999733.32705557</v>
      </c>
      <c r="AB8" s="4">
        <f ca="1">'Debt worksheet'!AB11</f>
        <v>410701224.60140204</v>
      </c>
      <c r="AC8" s="4">
        <f ca="1">'Debt worksheet'!AC11</f>
        <v>433868274.2116791</v>
      </c>
      <c r="AD8" s="4">
        <f ca="1">'Debt worksheet'!AD11</f>
        <v>457474758.56818074</v>
      </c>
      <c r="AE8" s="4">
        <f ca="1">'Debt worksheet'!AE11</f>
        <v>481491374.11347675</v>
      </c>
      <c r="AF8" s="4">
        <f ca="1">'Debt worksheet'!AF11</f>
        <v>505885429.61280471</v>
      </c>
    </row>
    <row r="9" spans="1:32" x14ac:dyDescent="0.35">
      <c r="A9" t="s">
        <v>22</v>
      </c>
      <c r="C9" s="4">
        <f ca="1">C5-C6-C7-C8</f>
        <v>-169656433.55668378</v>
      </c>
      <c r="D9" s="4">
        <f t="shared" ref="D9:AF9" ca="1" si="2">D5-D6-D7-D8</f>
        <v>-114476399.86277467</v>
      </c>
      <c r="E9" s="4">
        <f t="shared" ca="1" si="2"/>
        <v>-71460155.5674389</v>
      </c>
      <c r="F9" s="4">
        <f t="shared" ca="1" si="2"/>
        <v>-57018558.840391085</v>
      </c>
      <c r="G9" s="4">
        <f t="shared" ca="1" si="2"/>
        <v>-24314241.770965755</v>
      </c>
      <c r="H9" s="4">
        <f t="shared" ca="1" si="2"/>
        <v>59187200.953470543</v>
      </c>
      <c r="I9" s="4">
        <f t="shared" ca="1" si="2"/>
        <v>93982172.367156044</v>
      </c>
      <c r="J9" s="4">
        <f t="shared" ca="1" si="2"/>
        <v>131608463.37643202</v>
      </c>
      <c r="K9" s="4">
        <f t="shared" ca="1" si="2"/>
        <v>172244534.19849369</v>
      </c>
      <c r="L9" s="4">
        <f t="shared" ca="1" si="2"/>
        <v>207514610.66685009</v>
      </c>
      <c r="M9" s="4">
        <f t="shared" ca="1" si="2"/>
        <v>205669321.18954062</v>
      </c>
      <c r="N9" s="4">
        <f t="shared" ca="1" si="2"/>
        <v>206457592.19255677</v>
      </c>
      <c r="O9" s="4">
        <f t="shared" ca="1" si="2"/>
        <v>210069362.1526117</v>
      </c>
      <c r="P9" s="4">
        <f t="shared" ca="1" si="2"/>
        <v>216705825.99265274</v>
      </c>
      <c r="Q9" s="4">
        <f t="shared" ca="1" si="2"/>
        <v>224324114.06464952</v>
      </c>
      <c r="R9" s="4">
        <f t="shared" ca="1" si="2"/>
        <v>234954957.54124412</v>
      </c>
      <c r="S9" s="4">
        <f t="shared" ca="1" si="2"/>
        <v>248826471.20442149</v>
      </c>
      <c r="T9" s="4">
        <f t="shared" ca="1" si="2"/>
        <v>266180056.37585792</v>
      </c>
      <c r="U9" s="4">
        <f t="shared" ca="1" si="2"/>
        <v>275347843.03824252</v>
      </c>
      <c r="V9" s="4">
        <f t="shared" ca="1" si="2"/>
        <v>277837719.13755232</v>
      </c>
      <c r="W9" s="4">
        <f t="shared" ca="1" si="2"/>
        <v>267241895.04702306</v>
      </c>
      <c r="X9" s="4">
        <f t="shared" ca="1" si="2"/>
        <v>256693995.21891123</v>
      </c>
      <c r="Y9" s="4">
        <f t="shared" ca="1" si="2"/>
        <v>246241635.63097972</v>
      </c>
      <c r="Z9" s="4">
        <f t="shared" ca="1" si="2"/>
        <v>235936340.03241235</v>
      </c>
      <c r="AA9" s="4">
        <f t="shared" ca="1" si="2"/>
        <v>225833766.62690341</v>
      </c>
      <c r="AB9" s="4">
        <f t="shared" ca="1" si="2"/>
        <v>215993946.04790843</v>
      </c>
      <c r="AC9" s="4">
        <f t="shared" ca="1" si="2"/>
        <v>206481531.14351022</v>
      </c>
      <c r="AD9" s="4">
        <f t="shared" ca="1" si="2"/>
        <v>197366059.11084539</v>
      </c>
      <c r="AE9" s="4">
        <f t="shared" ca="1" si="2"/>
        <v>188722226.54354</v>
      </c>
      <c r="AF9" s="4">
        <f t="shared" ca="1" si="2"/>
        <v>180630177.98003334</v>
      </c>
    </row>
    <row r="12" spans="1:32" x14ac:dyDescent="0.35">
      <c r="A12" t="s">
        <v>101</v>
      </c>
      <c r="C12" s="2">
        <f>Assumptions!$C$25*Assumptions!D9*Assumptions!D13</f>
        <v>258507241.5685474</v>
      </c>
      <c r="D12" s="2">
        <f>Assumptions!$C$25*Assumptions!E9*Assumptions!E13</f>
        <v>267505620.73080572</v>
      </c>
      <c r="E12" s="2">
        <f>Assumptions!$C$25*Assumptions!F9*Assumptions!F13</f>
        <v>276817224.49387783</v>
      </c>
      <c r="F12" s="2">
        <f>Assumptions!$C$25*Assumptions!G9*Assumptions!G13</f>
        <v>286452955.89360881</v>
      </c>
      <c r="G12" s="2">
        <f>Assumptions!$C$25*Assumptions!H9*Assumptions!H13</f>
        <v>296424097.48964369</v>
      </c>
      <c r="H12" s="2">
        <f>Assumptions!$C$25*Assumptions!I9*Assumptions!I13</f>
        <v>306742324.57627153</v>
      </c>
      <c r="I12" s="2">
        <f>Assumptions!$C$25*Assumptions!J9*Assumptions!J13</f>
        <v>317419718.85312742</v>
      </c>
      <c r="J12" s="2">
        <f>Assumptions!$C$25*Assumptions!K9*Assumptions!K13</f>
        <v>328468782.57175642</v>
      </c>
      <c r="K12" s="2">
        <f>Assumptions!$C$25*Assumptions!L9*Assumptions!L13</f>
        <v>339902453.17460608</v>
      </c>
      <c r="L12" s="2">
        <f>Assumptions!$C$25*Assumptions!M9*Assumptions!M13</f>
        <v>351734118.4435879</v>
      </c>
      <c r="M12" s="2">
        <f>Assumptions!$C$25*Assumptions!N9*Assumptions!N13</f>
        <v>363977632.17594433</v>
      </c>
      <c r="N12" s="2">
        <f>Assumptions!$C$25*Assumptions!O9*Assumptions!O13</f>
        <v>376647330.40577781</v>
      </c>
      <c r="O12" s="2">
        <f>Assumptions!$C$25*Assumptions!P9*Assumptions!P13</f>
        <v>389758048.19023448</v>
      </c>
      <c r="P12" s="2">
        <f>Assumptions!$C$25*Assumptions!Q9*Assumptions!Q13</f>
        <v>403325136.97999853</v>
      </c>
      <c r="Q12" s="2">
        <f>Assumptions!$C$25*Assumptions!R9*Assumptions!R13</f>
        <v>417364482.59443653</v>
      </c>
      <c r="R12" s="2">
        <f>Assumptions!$C$25*Assumptions!S9*Assumptions!S13</f>
        <v>431892523.82243687</v>
      </c>
      <c r="S12" s="2">
        <f>Assumptions!$C$25*Assumptions!T9*Assumptions!T13</f>
        <v>446926271.67072868</v>
      </c>
      <c r="T12" s="2">
        <f>Assumptions!$C$25*Assumptions!U9*Assumptions!U13</f>
        <v>462483329.28221256</v>
      </c>
      <c r="U12" s="2">
        <f>Assumptions!$C$25*Assumptions!V9*Assumptions!V13</f>
        <v>478581912.54763126</v>
      </c>
      <c r="V12" s="2">
        <f>Assumptions!$C$25*Assumptions!W9*Assumptions!W13</f>
        <v>495240871.43470913</v>
      </c>
      <c r="W12" s="2">
        <f>Assumptions!$C$25*Assumptions!X9*Assumptions!X13</f>
        <v>512479712.05974084</v>
      </c>
      <c r="X12" s="2">
        <f>Assumptions!$C$25*Assumptions!Y9*Assumptions!Y13</f>
        <v>530318619.52746725</v>
      </c>
      <c r="Y12" s="2">
        <f>Assumptions!$C$25*Assumptions!Z9*Assumptions!Z13</f>
        <v>548778481.56598663</v>
      </c>
      <c r="Z12" s="2">
        <f>Assumptions!$C$25*Assumptions!AA9*Assumptions!AA13</f>
        <v>567880912.98437214</v>
      </c>
      <c r="AA12" s="2">
        <f>Assumptions!$C$25*Assumptions!AB9*Assumptions!AB13</f>
        <v>587648280.98163509</v>
      </c>
      <c r="AB12" s="2">
        <f>Assumptions!$C$25*Assumptions!AC9*Assumptions!AC13</f>
        <v>608103731.33666849</v>
      </c>
      <c r="AC12" s="2">
        <f>Assumptions!$C$25*Assumptions!AD9*Assumptions!AD13</f>
        <v>629271215.50983608</v>
      </c>
      <c r="AD12" s="2">
        <f>Assumptions!$C$25*Assumptions!AE9*Assumptions!AE13</f>
        <v>651175518.68793964</v>
      </c>
      <c r="AE12" s="2">
        <f>Assumptions!$C$25*Assumptions!AF9*Assumptions!AF13</f>
        <v>673842288.8054049</v>
      </c>
      <c r="AF12" s="2">
        <f>Assumptions!$C$25*Assumptions!AG9*Assumptions!AG13</f>
        <v>697298066.57566583</v>
      </c>
    </row>
    <row r="13" spans="1:32" x14ac:dyDescent="0.35">
      <c r="A13" t="s">
        <v>222</v>
      </c>
      <c r="C13" s="5">
        <f>Assumptions!D47*Assumptions!D9</f>
        <v>40652185.80507832</v>
      </c>
      <c r="D13" s="5">
        <f>Assumptions!E47*Assumptions!E9</f>
        <v>41546533.892790042</v>
      </c>
      <c r="E13" s="5">
        <f>Assumptions!F47*Assumptions!F9</f>
        <v>42460557.638431422</v>
      </c>
      <c r="F13" s="5">
        <f>Assumptions!G47*Assumptions!G9</f>
        <v>43394689.906476915</v>
      </c>
      <c r="G13" s="5">
        <f>Assumptions!H47*Assumptions!H9</f>
        <v>44349373.084419407</v>
      </c>
      <c r="H13" s="5">
        <f>Assumptions!I47*Assumptions!I9</f>
        <v>0</v>
      </c>
      <c r="I13" s="5">
        <f>Assumptions!J47*Assumptions!J9</f>
        <v>0</v>
      </c>
      <c r="J13" s="5">
        <f>Assumptions!K47*Assumptions!K9</f>
        <v>0</v>
      </c>
      <c r="K13" s="5">
        <f>Assumptions!L47*Assumptions!L9</f>
        <v>0</v>
      </c>
      <c r="L13" s="5">
        <f>Assumptions!M47*Assumptions!M9</f>
        <v>0</v>
      </c>
      <c r="M13" s="5">
        <f>Assumptions!N47*Assumptions!N9</f>
        <v>0</v>
      </c>
      <c r="N13" s="5">
        <f>Assumptions!O47*Assumptions!O9</f>
        <v>0</v>
      </c>
      <c r="O13" s="5">
        <f>Assumptions!P47*Assumptions!P9</f>
        <v>0</v>
      </c>
      <c r="P13" s="5">
        <f>Assumptions!Q47*Assumptions!Q9</f>
        <v>0</v>
      </c>
      <c r="Q13" s="5">
        <f>Assumptions!R47*Assumptions!R9</f>
        <v>0</v>
      </c>
      <c r="R13" s="5">
        <f>Assumptions!S47*Assumptions!S9</f>
        <v>0</v>
      </c>
      <c r="S13" s="5">
        <f>Assumptions!T47*Assumptions!T9</f>
        <v>0</v>
      </c>
      <c r="T13" s="5">
        <f>Assumptions!U47*Assumptions!U9</f>
        <v>0</v>
      </c>
      <c r="U13" s="5">
        <f>Assumptions!V47*Assumptions!V9</f>
        <v>0</v>
      </c>
      <c r="V13" s="5">
        <f>Assumptions!W47*Assumptions!W9</f>
        <v>0</v>
      </c>
      <c r="W13" s="5">
        <f>Assumptions!X47*Assumptions!X9</f>
        <v>0</v>
      </c>
      <c r="X13" s="5">
        <f>Assumptions!Y47*Assumptions!Y9</f>
        <v>0</v>
      </c>
      <c r="Y13" s="5">
        <f>Assumptions!Z47*Assumptions!Z9</f>
        <v>0</v>
      </c>
      <c r="Z13" s="5">
        <f>Assumptions!AA47*Assumptions!AA9</f>
        <v>0</v>
      </c>
      <c r="AA13" s="5">
        <f>Assumptions!AB47*Assumptions!AB9</f>
        <v>0</v>
      </c>
      <c r="AB13" s="5">
        <f>Assumptions!AC47*Assumptions!AC9</f>
        <v>0</v>
      </c>
      <c r="AC13" s="5">
        <f>Assumptions!AD47*Assumptions!AD9</f>
        <v>0</v>
      </c>
      <c r="AD13" s="5">
        <f>Assumptions!AE47*Assumptions!AE9</f>
        <v>0</v>
      </c>
      <c r="AE13" s="5">
        <f>Assumptions!AF47*Assumptions!AF9</f>
        <v>0</v>
      </c>
      <c r="AF13" s="5">
        <f>Assumptions!AG47*Assumptions!AG9</f>
        <v>0</v>
      </c>
    </row>
    <row r="14" spans="1:32" x14ac:dyDescent="0.35">
      <c r="A14" t="s">
        <v>102</v>
      </c>
      <c r="C14" s="5">
        <f>Assumptions!D129*Assumptions!D9</f>
        <v>0</v>
      </c>
      <c r="D14" s="5">
        <f>Assumptions!E129*Assumptions!E9</f>
        <v>0</v>
      </c>
      <c r="E14" s="5">
        <f>Assumptions!F129*Assumptions!F9</f>
        <v>0</v>
      </c>
      <c r="F14" s="5">
        <f>Assumptions!G129*Assumptions!G9</f>
        <v>0</v>
      </c>
      <c r="G14" s="5">
        <f>Assumptions!H129*Assumptions!H9</f>
        <v>0</v>
      </c>
      <c r="H14" s="5">
        <f>Assumptions!I129*Assumptions!I9</f>
        <v>0</v>
      </c>
      <c r="I14" s="5">
        <f>Assumptions!J129*Assumptions!J9</f>
        <v>0</v>
      </c>
      <c r="J14" s="5">
        <f>Assumptions!K129*Assumptions!K9</f>
        <v>0</v>
      </c>
      <c r="K14" s="5">
        <f>Assumptions!L129*Assumptions!L9</f>
        <v>0</v>
      </c>
      <c r="L14" s="5">
        <f>Assumptions!M129*Assumptions!M9</f>
        <v>0</v>
      </c>
      <c r="M14" s="5">
        <f>Assumptions!N129*Assumptions!N9</f>
        <v>0</v>
      </c>
      <c r="N14" s="5">
        <f>Assumptions!O129*Assumptions!O9</f>
        <v>0</v>
      </c>
      <c r="O14" s="5">
        <f>Assumptions!P129*Assumptions!P9</f>
        <v>0</v>
      </c>
      <c r="P14" s="5">
        <f>Assumptions!Q129*Assumptions!Q9</f>
        <v>0</v>
      </c>
      <c r="Q14" s="5">
        <f>Assumptions!R129*Assumptions!R9</f>
        <v>0</v>
      </c>
      <c r="R14" s="5">
        <f>Assumptions!S129*Assumptions!S9</f>
        <v>0</v>
      </c>
      <c r="S14" s="5">
        <f>Assumptions!T129*Assumptions!T9</f>
        <v>0</v>
      </c>
      <c r="T14" s="5">
        <f>Assumptions!U129*Assumptions!U9</f>
        <v>0</v>
      </c>
      <c r="U14" s="5">
        <f>Assumptions!V129*Assumptions!V9</f>
        <v>0</v>
      </c>
      <c r="V14" s="5">
        <f>Assumptions!W129*Assumptions!W9</f>
        <v>0</v>
      </c>
      <c r="W14" s="5">
        <f>Assumptions!X129*Assumptions!X9</f>
        <v>0</v>
      </c>
      <c r="X14" s="5">
        <f>Assumptions!Y129*Assumptions!Y9</f>
        <v>0</v>
      </c>
      <c r="Y14" s="5">
        <f>Assumptions!Z129*Assumptions!Z9</f>
        <v>0</v>
      </c>
      <c r="Z14" s="5">
        <f>Assumptions!AA129*Assumptions!AA9</f>
        <v>0</v>
      </c>
      <c r="AA14" s="5">
        <f>Assumptions!AB129*Assumptions!AB9</f>
        <v>0</v>
      </c>
      <c r="AB14" s="5">
        <f>Assumptions!AC129*Assumptions!AC9</f>
        <v>0</v>
      </c>
      <c r="AC14" s="5">
        <f>Assumptions!AD129*Assumptions!AD9</f>
        <v>0</v>
      </c>
      <c r="AD14" s="5">
        <f>Assumptions!AE129*Assumptions!AE9</f>
        <v>0</v>
      </c>
      <c r="AE14" s="5">
        <f>Assumptions!AF129*Assumptions!AF9</f>
        <v>0</v>
      </c>
      <c r="AF14" s="5">
        <f>Assumptions!AG129*Assumptions!AG9</f>
        <v>0</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199</v>
      </c>
      <c r="C16" s="37">
        <f>Assumptions!D63</f>
        <v>1</v>
      </c>
      <c r="D16" s="37">
        <f>Assumptions!E63</f>
        <v>1</v>
      </c>
      <c r="E16" s="37">
        <f>Assumptions!F63</f>
        <v>1</v>
      </c>
      <c r="F16" s="37">
        <f>Assumptions!G63</f>
        <v>1</v>
      </c>
      <c r="G16" s="37">
        <f>Assumptions!H63</f>
        <v>0.92583361690831179</v>
      </c>
      <c r="H16" s="37">
        <f>Assumptions!I63</f>
        <v>0.8571678861975266</v>
      </c>
      <c r="I16" s="37">
        <f>Assumptions!J63</f>
        <v>0.79359484437590821</v>
      </c>
      <c r="J16" s="37">
        <f>Assumptions!K63</f>
        <v>0.73473678512833596</v>
      </c>
      <c r="K16" s="37">
        <f>Assumptions!L63</f>
        <v>0.68024401525095235</v>
      </c>
      <c r="L16" s="37">
        <f>Assumptions!M63</f>
        <v>0.65248921519801506</v>
      </c>
      <c r="M16" s="37">
        <f>Assumptions!N63</f>
        <v>0.62586684543289783</v>
      </c>
      <c r="N16" s="37">
        <f>Assumptions!O63</f>
        <v>0.60033070139443201</v>
      </c>
      <c r="O16" s="37">
        <f>Assumptions!P63</f>
        <v>0.57583646372488762</v>
      </c>
      <c r="P16" s="37">
        <f>Assumptions!Q63</f>
        <v>0.55234162135133347</v>
      </c>
      <c r="Q16" s="37">
        <f>Assumptions!R63</f>
        <v>0.53412540562241384</v>
      </c>
      <c r="R16" s="37">
        <f>Assumptions!S63</f>
        <v>0.51650996032732588</v>
      </c>
      <c r="S16" s="37">
        <f>Assumptions!T63</f>
        <v>0.49947547206906456</v>
      </c>
      <c r="T16" s="37">
        <f>Assumptions!U63</f>
        <v>0.48300278089606558</v>
      </c>
      <c r="U16" s="37">
        <f>Assumptions!V63</f>
        <v>0.46707335875158751</v>
      </c>
      <c r="V16" s="37">
        <f>Assumptions!W63</f>
        <v>0.46707335875158751</v>
      </c>
      <c r="W16" s="37">
        <f>Assumptions!X63</f>
        <v>0.46707335875158751</v>
      </c>
      <c r="X16" s="37">
        <f>Assumptions!Y63</f>
        <v>0.46707335875158751</v>
      </c>
      <c r="Y16" s="37">
        <f>Assumptions!Z63</f>
        <v>0.46707335875158751</v>
      </c>
      <c r="Z16" s="37">
        <f>Assumptions!AA63</f>
        <v>0.46707335875158751</v>
      </c>
      <c r="AA16" s="37">
        <f>Assumptions!AB63</f>
        <v>0.46707335875158751</v>
      </c>
      <c r="AB16" s="37">
        <f>Assumptions!AC63</f>
        <v>0.46707335875158751</v>
      </c>
      <c r="AC16" s="37">
        <f>Assumptions!AD63</f>
        <v>0.46707335875158751</v>
      </c>
      <c r="AD16" s="37">
        <f>Assumptions!AE63</f>
        <v>0.46707335875158751</v>
      </c>
      <c r="AE16" s="37">
        <f>Assumptions!AF63</f>
        <v>0.46707335875158751</v>
      </c>
      <c r="AF16" s="37">
        <f>Assumptions!AG63</f>
        <v>0.46707335875158751</v>
      </c>
    </row>
    <row r="17" spans="1:32" x14ac:dyDescent="0.35">
      <c r="A17" t="s">
        <v>80</v>
      </c>
      <c r="C17" s="37">
        <f>Assumptions!D65</f>
        <v>0.99595</v>
      </c>
      <c r="D17" s="37">
        <f>Assumptions!E65</f>
        <v>0.99191640250000002</v>
      </c>
      <c r="E17" s="37">
        <f>Assumptions!F65</f>
        <v>0.98789914106987498</v>
      </c>
      <c r="F17" s="37">
        <f>Assumptions!G65</f>
        <v>0.98389814954854193</v>
      </c>
      <c r="G17" s="37">
        <f>Assumptions!H65</f>
        <v>0.97991336204287038</v>
      </c>
      <c r="H17" s="37">
        <f>Assumptions!I65</f>
        <v>0.97594471292659679</v>
      </c>
      <c r="I17" s="37">
        <f>Assumptions!J65</f>
        <v>0.97199213683924413</v>
      </c>
      <c r="J17" s="37">
        <f>Assumptions!K65</f>
        <v>0.96805556868504516</v>
      </c>
      <c r="K17" s="37">
        <f>Assumptions!L65</f>
        <v>0.96413494363187069</v>
      </c>
      <c r="L17" s="37">
        <f>Assumptions!M65</f>
        <v>0.96023019711016167</v>
      </c>
      <c r="M17" s="37">
        <f>Assumptions!N65</f>
        <v>0.95634126481186554</v>
      </c>
      <c r="N17" s="37">
        <f>Assumptions!O65</f>
        <v>0.95246808268937744</v>
      </c>
      <c r="O17" s="37">
        <f>Assumptions!P65</f>
        <v>0.94861058695448541</v>
      </c>
      <c r="P17" s="37">
        <f>Assumptions!Q65</f>
        <v>0.94476871407731977</v>
      </c>
      <c r="Q17" s="37">
        <f>Assumptions!R65</f>
        <v>0.94094240078530667</v>
      </c>
      <c r="R17" s="37">
        <f>Assumptions!S65</f>
        <v>0.93713158406212616</v>
      </c>
      <c r="S17" s="37">
        <f>Assumptions!T65</f>
        <v>0.93333620114667459</v>
      </c>
      <c r="T17" s="37">
        <f>Assumptions!U65</f>
        <v>0.92955618953203056</v>
      </c>
      <c r="U17" s="37">
        <f>Assumptions!V65</f>
        <v>0.92579148696442581</v>
      </c>
      <c r="V17" s="37">
        <f>Assumptions!W65</f>
        <v>0.92204203144221986</v>
      </c>
      <c r="W17" s="37">
        <f>Assumptions!X65</f>
        <v>0.91830776121487889</v>
      </c>
      <c r="X17" s="37">
        <f>Assumptions!Y65</f>
        <v>0.91458861478195863</v>
      </c>
      <c r="Y17" s="37">
        <f>Assumptions!Z65</f>
        <v>0.91088453089209165</v>
      </c>
      <c r="Z17" s="37">
        <f>Assumptions!AA65</f>
        <v>0.90719544854197864</v>
      </c>
      <c r="AA17" s="37">
        <f>Assumptions!AB65</f>
        <v>0.90352130697538369</v>
      </c>
      <c r="AB17" s="37">
        <f>Assumptions!AC65</f>
        <v>0.89986204568213335</v>
      </c>
      <c r="AC17" s="37">
        <f>Assumptions!AD65</f>
        <v>0.89621760439712073</v>
      </c>
      <c r="AD17" s="37">
        <f>Assumptions!AE65</f>
        <v>0.89258792309931234</v>
      </c>
      <c r="AE17" s="37">
        <f>Assumptions!AF65</f>
        <v>0.88897294201076016</v>
      </c>
      <c r="AF17" s="37">
        <f>Assumptions!AG65</f>
        <v>0.88537260159561659</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104</v>
      </c>
      <c r="C19" s="44">
        <f>(C12*C16)-C12</f>
        <v>0</v>
      </c>
      <c r="D19" s="44">
        <f t="shared" ref="D19:AF19" si="3">(D12*D16)-D12</f>
        <v>0</v>
      </c>
      <c r="E19" s="44">
        <f t="shared" si="3"/>
        <v>0</v>
      </c>
      <c r="F19" s="44">
        <f t="shared" si="3"/>
        <v>0</v>
      </c>
      <c r="G19" s="44">
        <f t="shared" si="3"/>
        <v>-21984703.172024846</v>
      </c>
      <c r="H19" s="44">
        <f t="shared" si="3"/>
        <v>-43812654.611913264</v>
      </c>
      <c r="I19" s="44">
        <f t="shared" si="3"/>
        <v>-65517066.468035221</v>
      </c>
      <c r="J19" s="44">
        <f t="shared" si="3"/>
        <v>-87130685.249965727</v>
      </c>
      <c r="K19" s="44">
        <f t="shared" si="3"/>
        <v>-108685843.63346323</v>
      </c>
      <c r="L19" s="44">
        <f t="shared" si="3"/>
        <v>-122231399.54196554</v>
      </c>
      <c r="M19" s="44">
        <f t="shared" si="3"/>
        <v>-136176099.71785045</v>
      </c>
      <c r="N19" s="44">
        <f t="shared" si="3"/>
        <v>-150534374.36493683</v>
      </c>
      <c r="O19" s="44">
        <f t="shared" si="3"/>
        <v>-165321152.01205552</v>
      </c>
      <c r="P19" s="44">
        <f t="shared" si="3"/>
        <v>-180551876.88871747</v>
      </c>
      <c r="Q19" s="44">
        <f t="shared" si="3"/>
        <v>-194439509.03629422</v>
      </c>
      <c r="R19" s="44">
        <f t="shared" si="3"/>
        <v>-208815733.47724137</v>
      </c>
      <c r="S19" s="44">
        <f t="shared" si="3"/>
        <v>-223697561.14792448</v>
      </c>
      <c r="T19" s="44">
        <f t="shared" si="3"/>
        <v>-239102595.1208331</v>
      </c>
      <c r="U19" s="44">
        <f t="shared" si="3"/>
        <v>-255049051.2162506</v>
      </c>
      <c r="V19" s="44">
        <f t="shared" si="3"/>
        <v>-263927054.2226364</v>
      </c>
      <c r="W19" s="44">
        <f t="shared" si="3"/>
        <v>-273114091.65595126</v>
      </c>
      <c r="X19" s="44">
        <f t="shared" si="3"/>
        <v>-282620920.6962679</v>
      </c>
      <c r="Y19" s="44">
        <f t="shared" si="3"/>
        <v>-292458672.97036511</v>
      </c>
      <c r="Z19" s="44">
        <f t="shared" si="3"/>
        <v>-302638867.58584344</v>
      </c>
      <c r="AA19" s="44">
        <f t="shared" si="3"/>
        <v>-313173424.61894614</v>
      </c>
      <c r="AB19" s="44">
        <f t="shared" si="3"/>
        <v>-324074679.07187772</v>
      </c>
      <c r="AC19" s="44">
        <f t="shared" si="3"/>
        <v>-335355395.31596285</v>
      </c>
      <c r="AD19" s="44">
        <f t="shared" si="3"/>
        <v>-347028782.03755653</v>
      </c>
      <c r="AE19" s="44">
        <f t="shared" si="3"/>
        <v>-359108507.70420718</v>
      </c>
      <c r="AF19" s="44">
        <f t="shared" si="3"/>
        <v>-371608716.5691815</v>
      </c>
    </row>
    <row r="20" spans="1:32" x14ac:dyDescent="0.35">
      <c r="A20" t="s">
        <v>105</v>
      </c>
      <c r="C20" s="44">
        <f>(C12*C17)-C12</f>
        <v>-1046954.3283526301</v>
      </c>
      <c r="D20" s="44">
        <f t="shared" ref="D20:AF20" si="4">(D12*D17)-D12</f>
        <v>-2162407.7669754922</v>
      </c>
      <c r="E20" s="44">
        <f t="shared" si="4"/>
        <v>-3349726.1830291748</v>
      </c>
      <c r="F20" s="44">
        <f t="shared" si="4"/>
        <v>-4612422.657177031</v>
      </c>
      <c r="G20" s="44">
        <f t="shared" si="4"/>
        <v>-5954163.5280433893</v>
      </c>
      <c r="H20" s="44">
        <f t="shared" si="4"/>
        <v>-7378774.6752452254</v>
      </c>
      <c r="I20" s="44">
        <f t="shared" si="4"/>
        <v>-8890248.0501639843</v>
      </c>
      <c r="J20" s="44">
        <f t="shared" si="4"/>
        <v>-10492748.463970304</v>
      </c>
      <c r="K20" s="44">
        <f t="shared" si="4"/>
        <v>-12190620.642772675</v>
      </c>
      <c r="L20" s="44">
        <f t="shared" si="4"/>
        <v>-13988396.560132563</v>
      </c>
      <c r="M20" s="44">
        <f t="shared" si="4"/>
        <v>-15890803.057573736</v>
      </c>
      <c r="N20" s="44">
        <f t="shared" si="4"/>
        <v>-17902769.764114141</v>
      </c>
      <c r="O20" s="44">
        <f t="shared" si="4"/>
        <v>-20029437.32626152</v>
      </c>
      <c r="P20" s="44">
        <f t="shared" si="4"/>
        <v>-22276165.96034646</v>
      </c>
      <c r="Q20" s="44">
        <f t="shared" si="4"/>
        <v>-24648544.339510083</v>
      </c>
      <c r="R20" s="44">
        <f t="shared" si="4"/>
        <v>-27152398.828127027</v>
      </c>
      <c r="S20" s="44">
        <f t="shared" si="4"/>
        <v>-29793803.076924145</v>
      </c>
      <c r="T20" s="44">
        <f t="shared" si="4"/>
        <v>-32579087.992551684</v>
      </c>
      <c r="U20" s="44">
        <f t="shared" si="4"/>
        <v>-35514852.095880926</v>
      </c>
      <c r="V20" s="44">
        <f t="shared" si="4"/>
        <v>-38607972.283834696</v>
      </c>
      <c r="W20" s="44">
        <f t="shared" si="4"/>
        <v>-41865615.010114431</v>
      </c>
      <c r="X20" s="44">
        <f t="shared" si="4"/>
        <v>-45295247.900760412</v>
      </c>
      <c r="Y20" s="44">
        <f t="shared" si="4"/>
        <v>-48904651.821078539</v>
      </c>
      <c r="Z20" s="44">
        <f t="shared" si="4"/>
        <v>-52701933.411086321</v>
      </c>
      <c r="AA20" s="44">
        <f t="shared" si="4"/>
        <v>-56695538.107270658</v>
      </c>
      <c r="AB20" s="44">
        <f t="shared" si="4"/>
        <v>-60894263.669115543</v>
      </c>
      <c r="AC20" s="44">
        <f t="shared" si="4"/>
        <v>-65307274.229546547</v>
      </c>
      <c r="AD20" s="44">
        <f t="shared" si="4"/>
        <v>-69944114.889154196</v>
      </c>
      <c r="AE20" s="44">
        <f t="shared" si="4"/>
        <v>-74814726.874799848</v>
      </c>
      <c r="AF20" s="44">
        <f t="shared" si="4"/>
        <v>-79929463.283975124</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117</v>
      </c>
      <c r="C22" s="44">
        <f>(C13*C17)-C13</f>
        <v>-164641.35251056403</v>
      </c>
      <c r="D22" s="44">
        <f t="shared" ref="D22:AF22" si="5">(D13*D17)-D13</f>
        <v>-335845.45750942081</v>
      </c>
      <c r="E22" s="44">
        <f t="shared" si="5"/>
        <v>-513809.21807710081</v>
      </c>
      <c r="F22" s="44">
        <f t="shared" si="5"/>
        <v>-698734.80726148933</v>
      </c>
      <c r="G22" s="44">
        <f t="shared" si="5"/>
        <v>-890829.80077239871</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106</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107</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62</v>
      </c>
      <c r="C27" s="2">
        <f>C12+C13+C14+C19+C20+C22+C24+C25</f>
        <v>297947831.69276249</v>
      </c>
      <c r="D27" s="2">
        <f t="shared" ref="D27:AF27" si="8">D12+D13+D14+D19+D20+D22+D24+D25</f>
        <v>306553901.39911091</v>
      </c>
      <c r="E27" s="2">
        <f t="shared" si="8"/>
        <v>315414246.73120296</v>
      </c>
      <c r="F27" s="2">
        <f t="shared" si="8"/>
        <v>324536488.33564723</v>
      </c>
      <c r="G27" s="2">
        <f t="shared" si="8"/>
        <v>311943774.07322252</v>
      </c>
      <c r="H27" s="2">
        <f t="shared" si="8"/>
        <v>255550895.28911304</v>
      </c>
      <c r="I27" s="2">
        <f t="shared" si="8"/>
        <v>243012404.33492821</v>
      </c>
      <c r="J27" s="2">
        <f t="shared" si="8"/>
        <v>230845348.85782039</v>
      </c>
      <c r="K27" s="2">
        <f t="shared" si="8"/>
        <v>219025988.89837018</v>
      </c>
      <c r="L27" s="2">
        <f t="shared" si="8"/>
        <v>215514322.34148979</v>
      </c>
      <c r="M27" s="2">
        <f t="shared" si="8"/>
        <v>211910729.40052015</v>
      </c>
      <c r="N27" s="2">
        <f t="shared" si="8"/>
        <v>208210186.27672684</v>
      </c>
      <c r="O27" s="2">
        <f t="shared" si="8"/>
        <v>204407458.85191745</v>
      </c>
      <c r="P27" s="2">
        <f t="shared" si="8"/>
        <v>200497094.1309346</v>
      </c>
      <c r="Q27" s="2">
        <f t="shared" si="8"/>
        <v>198276429.21863222</v>
      </c>
      <c r="R27" s="2">
        <f t="shared" si="8"/>
        <v>195924391.51706848</v>
      </c>
      <c r="S27" s="2">
        <f t="shared" si="8"/>
        <v>193434907.44588006</v>
      </c>
      <c r="T27" s="2">
        <f t="shared" si="8"/>
        <v>190801646.16882777</v>
      </c>
      <c r="U27" s="2">
        <f t="shared" si="8"/>
        <v>188018009.23549974</v>
      </c>
      <c r="V27" s="2">
        <f t="shared" si="8"/>
        <v>192705844.92823803</v>
      </c>
      <c r="W27" s="2">
        <f t="shared" si="8"/>
        <v>197500005.39367515</v>
      </c>
      <c r="X27" s="2">
        <f t="shared" si="8"/>
        <v>202402450.93043894</v>
      </c>
      <c r="Y27" s="2">
        <f t="shared" si="8"/>
        <v>207415156.77454299</v>
      </c>
      <c r="Z27" s="2">
        <f t="shared" si="8"/>
        <v>212540111.98744237</v>
      </c>
      <c r="AA27" s="2">
        <f t="shared" si="8"/>
        <v>217779318.2554183</v>
      </c>
      <c r="AB27" s="2">
        <f t="shared" si="8"/>
        <v>223134788.59567523</v>
      </c>
      <c r="AC27" s="2">
        <f t="shared" si="8"/>
        <v>228608545.96432668</v>
      </c>
      <c r="AD27" s="2">
        <f t="shared" si="8"/>
        <v>234202621.76122892</v>
      </c>
      <c r="AE27" s="2">
        <f t="shared" si="8"/>
        <v>239919054.22639787</v>
      </c>
      <c r="AF27" s="2">
        <f t="shared" si="8"/>
        <v>245759886.72250921</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0seUBNV4higM/bDPQtohvto9HmBFPwDLxGbh1Gqo9yPv3Ya8RmsyKKN/XSJGwx6ug2dM2h3DOC1lqLfL1y30cg==" saltValue="gLUNM9kTjWc3BWL+g7YGa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167</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195</v>
      </c>
      <c r="B6" s="1">
        <f>Assumptions!C17</f>
        <v>23459745880.474922</v>
      </c>
      <c r="C6" s="12">
        <f ca="1">B6+Depreciation!C18+'Cash Flow'!C13</f>
        <v>23620355350.882347</v>
      </c>
      <c r="D6" s="1">
        <f ca="1">C6+Depreciation!D18</f>
        <v>24157327489.464394</v>
      </c>
      <c r="E6" s="1">
        <f ca="1">D6+Depreciation!E18</f>
        <v>24708180686.417385</v>
      </c>
      <c r="F6" s="1">
        <f ca="1">E6+Depreciation!F18</f>
        <v>25273221811.845325</v>
      </c>
      <c r="G6" s="1">
        <f ca="1">F6+Depreciation!G18</f>
        <v>25839282218.575012</v>
      </c>
      <c r="H6" s="1">
        <f ca="1">G6+Depreciation!H18</f>
        <v>26406724091.158119</v>
      </c>
      <c r="I6" s="1">
        <f ca="1">H6+Depreciation!I18</f>
        <v>26975897530.071522</v>
      </c>
      <c r="J6" s="1">
        <f ca="1">I6+Depreciation!J18</f>
        <v>27547141119.404827</v>
      </c>
      <c r="K6" s="1">
        <f ca="1">J6+Depreciation!K18</f>
        <v>28120782467.523415</v>
      </c>
      <c r="L6" s="1">
        <f ca="1">K6+Depreciation!L18</f>
        <v>28702017433.325699</v>
      </c>
      <c r="M6" s="1">
        <f ca="1">L6+Depreciation!M18</f>
        <v>29966222199.870766</v>
      </c>
      <c r="N6" s="1">
        <f ca="1">M6+Depreciation!N18</f>
        <v>31236726411.760315</v>
      </c>
      <c r="O6" s="1">
        <f ca="1">N6+Depreciation!O18</f>
        <v>32513449410.116623</v>
      </c>
      <c r="P6" s="1">
        <f ca="1">O6+Depreciation!P18</f>
        <v>33796302591.889912</v>
      </c>
      <c r="Q6" s="1">
        <f ca="1">P6+Depreciation!Q18</f>
        <v>35091675444.700531</v>
      </c>
      <c r="R6" s="1">
        <f ca="1">Q6+Depreciation!R18</f>
        <v>36399453947.328613</v>
      </c>
      <c r="S6" s="1">
        <f ca="1">R6+Depreciation!S18</f>
        <v>37719515962.732124</v>
      </c>
      <c r="T6" s="1">
        <f ca="1">S6+Depreciation!T18</f>
        <v>39051730906.174675</v>
      </c>
      <c r="U6" s="1">
        <f ca="1">T6+Depreciation!U18</f>
        <v>40395959404.156914</v>
      </c>
      <c r="V6" s="1">
        <f ca="1">U6+Depreciation!V18</f>
        <v>41775834003.271072</v>
      </c>
      <c r="W6" s="1">
        <f ca="1">V6+Depreciation!W18</f>
        <v>43423768103.687431</v>
      </c>
      <c r="X6" s="1">
        <f ca="1">W6+Depreciation!X18</f>
        <v>45116812199.908485</v>
      </c>
      <c r="Y6" s="1">
        <f ca="1">X6+Depreciation!Y18</f>
        <v>46855850058.728706</v>
      </c>
      <c r="Z6" s="1">
        <f ca="1">Y6+Depreciation!Z18</f>
        <v>48641779698.370888</v>
      </c>
      <c r="AA6" s="1">
        <f ca="1">Z6+Depreciation!AA18</f>
        <v>50475513572.043236</v>
      </c>
      <c r="AB6" s="1">
        <f ca="1">AA6+Depreciation!AB18</f>
        <v>52357978752.833817</v>
      </c>
      <c r="AC6" s="1">
        <f ca="1">AB6+Depreciation!AC18</f>
        <v>54290117119.920761</v>
      </c>
      <c r="AD6" s="1">
        <f ca="1">AC6+Depreciation!AD18</f>
        <v>56272885546.075111</v>
      </c>
      <c r="AE6" s="1">
        <f ca="1">AD6+Depreciation!AE18</f>
        <v>58307256086.4319</v>
      </c>
      <c r="AF6" s="1"/>
      <c r="AG6" s="1"/>
      <c r="AH6" s="1"/>
      <c r="AI6" s="1"/>
      <c r="AJ6" s="1"/>
      <c r="AK6" s="1"/>
      <c r="AL6" s="1"/>
      <c r="AM6" s="1"/>
      <c r="AN6" s="1"/>
      <c r="AO6" s="1"/>
      <c r="AP6" s="1"/>
    </row>
    <row r="7" spans="1:42" x14ac:dyDescent="0.35">
      <c r="A7" t="s">
        <v>12</v>
      </c>
      <c r="B7" s="1">
        <f>Depreciation!C12</f>
        <v>12080027389.11599</v>
      </c>
      <c r="C7" s="1">
        <f>Depreciation!D12</f>
        <v>12442151834.934528</v>
      </c>
      <c r="D7" s="1">
        <f>Depreciation!E12</f>
        <v>12816585822.92499</v>
      </c>
      <c r="E7" s="1">
        <f>Depreciation!F12</f>
        <v>13203677729.409622</v>
      </c>
      <c r="F7" s="1">
        <f>Depreciation!G12</f>
        <v>13603468851.692404</v>
      </c>
      <c r="G7" s="1">
        <f>Depreciation!H12</f>
        <v>14016011140.434057</v>
      </c>
      <c r="H7" s="1">
        <f>Depreciation!I12</f>
        <v>14441366903.101812</v>
      </c>
      <c r="I7" s="1">
        <f>Depreciation!J12</f>
        <v>14879608524.874968</v>
      </c>
      <c r="J7" s="1">
        <f>Depreciation!K12</f>
        <v>15330818206.186207</v>
      </c>
      <c r="K7" s="1">
        <f>Depreciation!L12</f>
        <v>15795202167.598312</v>
      </c>
      <c r="L7" s="1">
        <f>Depreciation!M12</f>
        <v>16288814017.419741</v>
      </c>
      <c r="M7" s="1">
        <f>Depreciation!N12</f>
        <v>16811821870.141468</v>
      </c>
      <c r="N7" s="1">
        <f>Depreciation!O12</f>
        <v>17364396961.618916</v>
      </c>
      <c r="O7" s="1">
        <f>Depreciation!P12</f>
        <v>17946713475.299835</v>
      </c>
      <c r="P7" s="1">
        <f>Depreciation!Q12</f>
        <v>18559100596.555176</v>
      </c>
      <c r="Q7" s="1">
        <f>Depreciation!R12</f>
        <v>19201889844.004871</v>
      </c>
      <c r="R7" s="1">
        <f>Depreciation!S12</f>
        <v>19875414934.87558</v>
      </c>
      <c r="S7" s="1">
        <f>Depreciation!T12</f>
        <v>20580011642.843689</v>
      </c>
      <c r="T7" s="1">
        <f>Depreciation!U12</f>
        <v>21316017648.082554</v>
      </c>
      <c r="U7" s="1">
        <f>Depreciation!V12</f>
        <v>22084330768.057209</v>
      </c>
      <c r="V7" s="1">
        <f>Depreciation!W12</f>
        <v>22891311827.793869</v>
      </c>
      <c r="W7" s="1">
        <f>Depreciation!X12</f>
        <v>23738092584.217052</v>
      </c>
      <c r="X7" s="1">
        <f>Depreciation!Y12</f>
        <v>24625832343.94302</v>
      </c>
      <c r="Y7" s="1">
        <f>Depreciation!Z12</f>
        <v>25555718564.605251</v>
      </c>
      <c r="Z7" s="1">
        <f>Depreciation!AA12</f>
        <v>26528967468.177361</v>
      </c>
      <c r="AA7" s="1">
        <f>Depreciation!AB12</f>
        <v>27546824666.510132</v>
      </c>
      <c r="AB7" s="1">
        <f>Depreciation!AC12</f>
        <v>28610565799.302792</v>
      </c>
      <c r="AC7" s="1">
        <f>Depreciation!AD12</f>
        <v>29721497184.731968</v>
      </c>
      <c r="AD7" s="1">
        <f>Depreciation!AE12</f>
        <v>30880956482.965332</v>
      </c>
      <c r="AE7" s="1">
        <f>Depreciation!AF12</f>
        <v>32090313372.790302</v>
      </c>
      <c r="AF7" s="1"/>
      <c r="AG7" s="1"/>
      <c r="AH7" s="1"/>
      <c r="AI7" s="1"/>
      <c r="AJ7" s="1"/>
      <c r="AK7" s="1"/>
      <c r="AL7" s="1"/>
      <c r="AM7" s="1"/>
      <c r="AN7" s="1"/>
      <c r="AO7" s="1"/>
      <c r="AP7" s="1"/>
    </row>
    <row r="8" spans="1:42" x14ac:dyDescent="0.35">
      <c r="A8" t="s">
        <v>196</v>
      </c>
      <c r="B8" s="1">
        <f t="shared" ref="B8:AE8" si="1">B6-B7</f>
        <v>11379718491.358932</v>
      </c>
      <c r="C8" s="1">
        <f t="shared" ca="1" si="1"/>
        <v>11178203515.947819</v>
      </c>
      <c r="D8" s="1">
        <f ca="1">D6-D7</f>
        <v>11340741666.539404</v>
      </c>
      <c r="E8" s="1">
        <f t="shared" ca="1" si="1"/>
        <v>11504502957.007763</v>
      </c>
      <c r="F8" s="1">
        <f t="shared" ca="1" si="1"/>
        <v>11669752960.152922</v>
      </c>
      <c r="G8" s="1">
        <f t="shared" ca="1" si="1"/>
        <v>11823271078.140955</v>
      </c>
      <c r="H8" s="1">
        <f t="shared" ca="1" si="1"/>
        <v>11965357188.056307</v>
      </c>
      <c r="I8" s="1">
        <f t="shared" ca="1" si="1"/>
        <v>12096289005.196554</v>
      </c>
      <c r="J8" s="1">
        <f t="shared" ca="1" si="1"/>
        <v>12216322913.21862</v>
      </c>
      <c r="K8" s="1">
        <f t="shared" ca="1" si="1"/>
        <v>12325580299.925102</v>
      </c>
      <c r="L8" s="1">
        <f t="shared" ca="1" si="1"/>
        <v>12413203415.905958</v>
      </c>
      <c r="M8" s="1">
        <f t="shared" ca="1" si="1"/>
        <v>13154400329.729298</v>
      </c>
      <c r="N8" s="1">
        <f t="shared" ca="1" si="1"/>
        <v>13872329450.141399</v>
      </c>
      <c r="O8" s="1">
        <f t="shared" ca="1" si="1"/>
        <v>14566735934.816788</v>
      </c>
      <c r="P8" s="1">
        <f t="shared" ca="1" si="1"/>
        <v>15237201995.334736</v>
      </c>
      <c r="Q8" s="1">
        <f t="shared" ca="1" si="1"/>
        <v>15889785600.69566</v>
      </c>
      <c r="R8" s="1">
        <f t="shared" ca="1" si="1"/>
        <v>16524039012.453033</v>
      </c>
      <c r="S8" s="1">
        <f t="shared" ca="1" si="1"/>
        <v>17139504319.888435</v>
      </c>
      <c r="T8" s="1">
        <f t="shared" ca="1" si="1"/>
        <v>17735713258.092121</v>
      </c>
      <c r="U8" s="1">
        <f t="shared" ca="1" si="1"/>
        <v>18311628636.099705</v>
      </c>
      <c r="V8" s="1">
        <f t="shared" ca="1" si="1"/>
        <v>18884522175.477203</v>
      </c>
      <c r="W8" s="1">
        <f t="shared" ca="1" si="1"/>
        <v>19685675519.470379</v>
      </c>
      <c r="X8" s="1">
        <f t="shared" ca="1" si="1"/>
        <v>20490979855.965466</v>
      </c>
      <c r="Y8" s="1">
        <f t="shared" ca="1" si="1"/>
        <v>21300131494.123455</v>
      </c>
      <c r="Z8" s="1">
        <f t="shared" ca="1" si="1"/>
        <v>22112812230.193527</v>
      </c>
      <c r="AA8" s="1">
        <f t="shared" ca="1" si="1"/>
        <v>22928688905.533104</v>
      </c>
      <c r="AB8" s="1">
        <f t="shared" ca="1" si="1"/>
        <v>23747412953.531025</v>
      </c>
      <c r="AC8" s="1">
        <f t="shared" ca="1" si="1"/>
        <v>24568619935.188793</v>
      </c>
      <c r="AD8" s="1">
        <f t="shared" ca="1" si="1"/>
        <v>25391929063.109779</v>
      </c>
      <c r="AE8" s="1">
        <f t="shared" ca="1" si="1"/>
        <v>26216942713.641598</v>
      </c>
      <c r="AF8" s="1"/>
      <c r="AG8" s="1"/>
      <c r="AH8" s="1"/>
      <c r="AI8" s="1"/>
      <c r="AJ8" s="1"/>
      <c r="AK8" s="1"/>
      <c r="AL8" s="1"/>
      <c r="AM8" s="1"/>
      <c r="AN8" s="1"/>
      <c r="AO8" s="1"/>
      <c r="AP8" s="1"/>
    </row>
    <row r="10" spans="1:42" x14ac:dyDescent="0.35">
      <c r="A10" t="s">
        <v>17</v>
      </c>
      <c r="B10" s="1">
        <f>B8-B11</f>
        <v>9856594899.173214</v>
      </c>
      <c r="C10" s="1">
        <f ca="1">C8-C11</f>
        <v>8674877625.1157627</v>
      </c>
      <c r="D10" s="1">
        <f ca="1">D8-D11</f>
        <v>8506545149.1882763</v>
      </c>
      <c r="E10" s="1">
        <f t="shared" ref="E10:AE10" ca="1" si="2">E8-E11</f>
        <v>8379966517.4882336</v>
      </c>
      <c r="F10" s="1">
        <f t="shared" ca="1" si="2"/>
        <v>8266854052.9432182</v>
      </c>
      <c r="G10" s="1">
        <f ca="1">G8-G11</f>
        <v>8185439271.6289606</v>
      </c>
      <c r="H10" s="1">
        <f t="shared" ca="1" si="2"/>
        <v>8231812998.6563311</v>
      </c>
      <c r="I10" s="1">
        <f t="shared" ca="1" si="2"/>
        <v>8312909311.918087</v>
      </c>
      <c r="J10" s="1">
        <f t="shared" ca="1" si="2"/>
        <v>8431549715.7564354</v>
      </c>
      <c r="K10" s="1">
        <f t="shared" ca="1" si="2"/>
        <v>8590619969.8540649</v>
      </c>
      <c r="L10" s="1">
        <f t="shared" ca="1" si="2"/>
        <v>8768906692.1115913</v>
      </c>
      <c r="M10" s="1">
        <f t="shared" ca="1" si="2"/>
        <v>8945180010.4008293</v>
      </c>
      <c r="N10" s="1">
        <f t="shared" ca="1" si="2"/>
        <v>9122070363.8376694</v>
      </c>
      <c r="O10" s="1">
        <f t="shared" ca="1" si="2"/>
        <v>9302398303.7868099</v>
      </c>
      <c r="P10" s="1">
        <f t="shared" ca="1" si="2"/>
        <v>9489033522.20504</v>
      </c>
      <c r="Q10" s="1">
        <f t="shared" ca="1" si="2"/>
        <v>9682955510.0753384</v>
      </c>
      <c r="R10" s="1">
        <f t="shared" ca="1" si="2"/>
        <v>9887174624.1955681</v>
      </c>
      <c r="S10" s="1">
        <f t="shared" ca="1" si="2"/>
        <v>10104929478.302586</v>
      </c>
      <c r="T10" s="1">
        <f t="shared" ca="1" si="2"/>
        <v>10339700237.407688</v>
      </c>
      <c r="U10" s="1">
        <f t="shared" ca="1" si="2"/>
        <v>10582740965.71014</v>
      </c>
      <c r="V10" s="1">
        <f t="shared" ca="1" si="2"/>
        <v>10821910745.085686</v>
      </c>
      <c r="W10" s="1">
        <f t="shared" ca="1" si="2"/>
        <v>11049352943.446184</v>
      </c>
      <c r="X10" s="1">
        <f t="shared" ca="1" si="2"/>
        <v>11265087935.362312</v>
      </c>
      <c r="Y10" s="1">
        <f t="shared" ca="1" si="2"/>
        <v>11469183110.05703</v>
      </c>
      <c r="Z10" s="1">
        <f t="shared" ca="1" si="2"/>
        <v>11661756767.179562</v>
      </c>
      <c r="AA10" s="1">
        <f t="shared" ca="1" si="2"/>
        <v>11842982239.045803</v>
      </c>
      <c r="AB10" s="1">
        <f t="shared" ca="1" si="2"/>
        <v>12013092250.633825</v>
      </c>
      <c r="AC10" s="1">
        <f t="shared" ca="1" si="2"/>
        <v>12172383529.14082</v>
      </c>
      <c r="AD10" s="1">
        <f t="shared" ca="1" si="2"/>
        <v>12321221675.447474</v>
      </c>
      <c r="AE10" s="1">
        <f t="shared" ca="1" si="2"/>
        <v>12460046310.399406</v>
      </c>
      <c r="AF10" s="1"/>
      <c r="AG10" s="1"/>
      <c r="AH10" s="1"/>
      <c r="AI10" s="1"/>
      <c r="AJ10" s="1"/>
      <c r="AK10" s="1"/>
      <c r="AL10" s="1"/>
      <c r="AM10" s="1"/>
      <c r="AN10" s="1"/>
      <c r="AO10" s="1"/>
    </row>
    <row r="11" spans="1:42" x14ac:dyDescent="0.35">
      <c r="A11" t="s">
        <v>9</v>
      </c>
      <c r="B11" s="1">
        <f>Assumptions!$C$20</f>
        <v>1523123592.1857181</v>
      </c>
      <c r="C11" s="1">
        <f ca="1">'Debt worksheet'!D5</f>
        <v>2503325890.832056</v>
      </c>
      <c r="D11" s="1">
        <f ca="1">'Debt worksheet'!E5</f>
        <v>2834196517.3511281</v>
      </c>
      <c r="E11" s="1">
        <f ca="1">'Debt worksheet'!F5</f>
        <v>3124536439.5195293</v>
      </c>
      <c r="F11" s="1">
        <f ca="1">'Debt worksheet'!G5</f>
        <v>3402898907.2097039</v>
      </c>
      <c r="G11" s="1">
        <f ca="1">'Debt worksheet'!H5</f>
        <v>3637831806.5119944</v>
      </c>
      <c r="H11" s="1">
        <f ca="1">'Debt worksheet'!I5</f>
        <v>3733544189.3999758</v>
      </c>
      <c r="I11" s="1">
        <f ca="1">'Debt worksheet'!J5</f>
        <v>3783379693.2784667</v>
      </c>
      <c r="J11" s="1">
        <f ca="1">'Debt worksheet'!K5</f>
        <v>3784773197.4621849</v>
      </c>
      <c r="K11" s="1">
        <f ca="1">'Debt worksheet'!L5</f>
        <v>3734960330.0710378</v>
      </c>
      <c r="L11" s="1">
        <f ca="1">'Debt worksheet'!M5</f>
        <v>3644296723.7943678</v>
      </c>
      <c r="M11" s="1">
        <f ca="1">'Debt worksheet'!N5</f>
        <v>4209220319.3284674</v>
      </c>
      <c r="N11" s="1">
        <f ca="1">'Debt worksheet'!O5</f>
        <v>4750259086.30373</v>
      </c>
      <c r="O11" s="1">
        <f ca="1">'Debt worksheet'!P5</f>
        <v>5264337631.0299778</v>
      </c>
      <c r="P11" s="1">
        <f ca="1">'Debt worksheet'!Q5</f>
        <v>5748168473.1296949</v>
      </c>
      <c r="Q11" s="1">
        <f ca="1">'Debt worksheet'!R5</f>
        <v>6206830090.6203213</v>
      </c>
      <c r="R11" s="1">
        <f ca="1">'Debt worksheet'!S5</f>
        <v>6636864388.2574663</v>
      </c>
      <c r="S11" s="1">
        <f ca="1">'Debt worksheet'!T5</f>
        <v>7034574841.5858507</v>
      </c>
      <c r="T11" s="1">
        <f ca="1">'Debt worksheet'!U5</f>
        <v>7396013020.684433</v>
      </c>
      <c r="U11" s="1">
        <f ca="1">'Debt worksheet'!V5</f>
        <v>7728887670.3895655</v>
      </c>
      <c r="V11" s="1">
        <f ca="1">'Debt worksheet'!W5</f>
        <v>8062611430.3915176</v>
      </c>
      <c r="W11" s="1">
        <f ca="1">'Debt worksheet'!X5</f>
        <v>8636322576.0241947</v>
      </c>
      <c r="X11" s="1">
        <f ca="1">'Debt worksheet'!Y5</f>
        <v>9225891920.6031532</v>
      </c>
      <c r="Y11" s="1">
        <f ca="1">'Debt worksheet'!Z5</f>
        <v>9830948384.0664253</v>
      </c>
      <c r="Z11" s="1">
        <f ca="1">'Debt worksheet'!AA5</f>
        <v>10451055463.013966</v>
      </c>
      <c r="AA11" s="1">
        <f ca="1">'Debt worksheet'!AB5</f>
        <v>11085706666.487301</v>
      </c>
      <c r="AB11" s="1">
        <f ca="1">'Debt worksheet'!AC5</f>
        <v>11734320702.8972</v>
      </c>
      <c r="AC11" s="1">
        <f ca="1">'Debt worksheet'!AD5</f>
        <v>12396236406.047974</v>
      </c>
      <c r="AD11" s="1">
        <f ca="1">'Debt worksheet'!AE5</f>
        <v>13070707387.662306</v>
      </c>
      <c r="AE11" s="1">
        <f ca="1">'Debt worksheet'!AF5</f>
        <v>13756896403.242191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168</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-169656433.55668378</v>
      </c>
      <c r="D5" s="4">
        <f ca="1">'Profit and Loss'!D9</f>
        <v>-114476399.86277467</v>
      </c>
      <c r="E5" s="4">
        <f ca="1">'Profit and Loss'!E9</f>
        <v>-71460155.5674389</v>
      </c>
      <c r="F5" s="4">
        <f ca="1">'Profit and Loss'!F9</f>
        <v>-57018558.840391085</v>
      </c>
      <c r="G5" s="4">
        <f ca="1">'Profit and Loss'!G9</f>
        <v>-24314241.770965755</v>
      </c>
      <c r="H5" s="4">
        <f ca="1">'Profit and Loss'!H9</f>
        <v>59187200.953470543</v>
      </c>
      <c r="I5" s="4">
        <f ca="1">'Profit and Loss'!I9</f>
        <v>93982172.367156044</v>
      </c>
      <c r="J5" s="4">
        <f ca="1">'Profit and Loss'!J9</f>
        <v>131608463.37643202</v>
      </c>
      <c r="K5" s="4">
        <f ca="1">'Profit and Loss'!K9</f>
        <v>172244534.19849369</v>
      </c>
      <c r="L5" s="4">
        <f ca="1">'Profit and Loss'!L9</f>
        <v>207514610.66685009</v>
      </c>
      <c r="M5" s="4">
        <f ca="1">'Profit and Loss'!M9</f>
        <v>205669321.18954062</v>
      </c>
      <c r="N5" s="4">
        <f ca="1">'Profit and Loss'!N9</f>
        <v>206457592.19255677</v>
      </c>
      <c r="O5" s="4">
        <f ca="1">'Profit and Loss'!O9</f>
        <v>210069362.1526117</v>
      </c>
      <c r="P5" s="4">
        <f ca="1">'Profit and Loss'!P9</f>
        <v>216705825.99265274</v>
      </c>
      <c r="Q5" s="4">
        <f ca="1">'Profit and Loss'!Q9</f>
        <v>224324114.06464952</v>
      </c>
      <c r="R5" s="4">
        <f ca="1">'Profit and Loss'!R9</f>
        <v>234954957.54124412</v>
      </c>
      <c r="S5" s="4">
        <f ca="1">'Profit and Loss'!S9</f>
        <v>248826471.20442149</v>
      </c>
      <c r="T5" s="4">
        <f ca="1">'Profit and Loss'!T9</f>
        <v>266180056.37585792</v>
      </c>
      <c r="U5" s="4">
        <f ca="1">'Profit and Loss'!U9</f>
        <v>275347843.03824252</v>
      </c>
      <c r="V5" s="4">
        <f ca="1">'Profit and Loss'!V9</f>
        <v>277837719.13755232</v>
      </c>
      <c r="W5" s="4">
        <f ca="1">'Profit and Loss'!W9</f>
        <v>267241895.04702306</v>
      </c>
      <c r="X5" s="4">
        <f ca="1">'Profit and Loss'!X9</f>
        <v>256693995.21891123</v>
      </c>
      <c r="Y5" s="4">
        <f ca="1">'Profit and Loss'!Y9</f>
        <v>246241635.63097972</v>
      </c>
      <c r="Z5" s="4">
        <f ca="1">'Profit and Loss'!Z9</f>
        <v>235936340.03241235</v>
      </c>
      <c r="AA5" s="4">
        <f ca="1">'Profit and Loss'!AA9</f>
        <v>225833766.62690341</v>
      </c>
      <c r="AB5" s="4">
        <f ca="1">'Profit and Loss'!AB9</f>
        <v>215993946.04790843</v>
      </c>
      <c r="AC5" s="4">
        <f ca="1">'Profit and Loss'!AC9</f>
        <v>206481531.14351022</v>
      </c>
      <c r="AD5" s="4">
        <f ca="1">'Profit and Loss'!AD9</f>
        <v>197366059.11084539</v>
      </c>
      <c r="AE5" s="4">
        <f ca="1">'Profit and Loss'!AE9</f>
        <v>188722226.54354</v>
      </c>
      <c r="AF5" s="4">
        <f ca="1">'Profit and Loss'!AF9</f>
        <v>180630177.98003334</v>
      </c>
      <c r="AG5" s="4"/>
      <c r="AH5" s="4"/>
      <c r="AI5" s="4"/>
      <c r="AJ5" s="4"/>
      <c r="AK5" s="4"/>
      <c r="AL5" s="4"/>
      <c r="AM5" s="4"/>
      <c r="AN5" s="4"/>
      <c r="AO5" s="4"/>
      <c r="AP5" s="4"/>
    </row>
    <row r="6" spans="1:42" x14ac:dyDescent="0.35">
      <c r="A6" t="s">
        <v>21</v>
      </c>
      <c r="C6" s="4">
        <f>Depreciation!C8+Depreciation!C9</f>
        <v>350154448.87852871</v>
      </c>
      <c r="D6" s="4">
        <f>Depreciation!D8+Depreciation!D9</f>
        <v>362124445.81853831</v>
      </c>
      <c r="E6" s="4">
        <f>Depreciation!E8+Depreciation!E9</f>
        <v>374433987.99046254</v>
      </c>
      <c r="F6" s="4">
        <f>Depreciation!F8+Depreciation!F9</f>
        <v>387091906.48463249</v>
      </c>
      <c r="G6" s="4">
        <f>Depreciation!G8+Depreciation!G9</f>
        <v>399791122.28278261</v>
      </c>
      <c r="H6" s="4">
        <f>Depreciation!H8+Depreciation!H9</f>
        <v>412542288.74165297</v>
      </c>
      <c r="I6" s="4">
        <f>Depreciation!I8+Depreciation!I9</f>
        <v>425355762.66775542</v>
      </c>
      <c r="J6" s="4">
        <f>Depreciation!J8+Depreciation!J9</f>
        <v>438241621.77315581</v>
      </c>
      <c r="K6" s="4">
        <f>Depreciation!K8+Depreciation!K9</f>
        <v>451209681.31123924</v>
      </c>
      <c r="L6" s="4">
        <f>Depreciation!L8+Depreciation!L9</f>
        <v>464383961.41210437</v>
      </c>
      <c r="M6" s="4">
        <f>Depreciation!M8+Depreciation!M9</f>
        <v>493611849.82142794</v>
      </c>
      <c r="N6" s="4">
        <f>Depreciation!N8+Depreciation!N9</f>
        <v>523007852.72172809</v>
      </c>
      <c r="O6" s="4">
        <f>Depreciation!O8+Depreciation!O9</f>
        <v>552575091.47744906</v>
      </c>
      <c r="P6" s="4">
        <f>Depreciation!P8+Depreciation!P9</f>
        <v>582316513.68092036</v>
      </c>
      <c r="Q6" s="4">
        <f>Depreciation!Q8+Depreciation!Q9</f>
        <v>612387121.25533938</v>
      </c>
      <c r="R6" s="4">
        <f>Depreciation!R8+Depreciation!R9</f>
        <v>642789247.44969559</v>
      </c>
      <c r="S6" s="4">
        <f>Depreciation!S8+Depreciation!S9</f>
        <v>673525090.87070763</v>
      </c>
      <c r="T6" s="4">
        <f>Depreciation!T8+Depreciation!T9</f>
        <v>704596707.96810877</v>
      </c>
      <c r="U6" s="4">
        <f>Depreciation!U8+Depreciation!U9</f>
        <v>736006005.2388649</v>
      </c>
      <c r="V6" s="4">
        <f>Depreciation!V8+Depreciation!V9</f>
        <v>768313119.97465646</v>
      </c>
      <c r="W6" s="4">
        <f>Depreciation!W8+Depreciation!W9</f>
        <v>806981059.73666155</v>
      </c>
      <c r="X6" s="4">
        <f>Depreciation!X8+Depreciation!X9</f>
        <v>846780756.4231869</v>
      </c>
      <c r="Y6" s="4">
        <f>Depreciation!Y8+Depreciation!Y9</f>
        <v>887739759.72596836</v>
      </c>
      <c r="Z6" s="4">
        <f>Depreciation!Z8+Depreciation!Z9</f>
        <v>929886220.66223192</v>
      </c>
      <c r="AA6" s="4">
        <f>Depreciation!AA8+Depreciation!AA9</f>
        <v>973248903.57210922</v>
      </c>
      <c r="AB6" s="4">
        <f>Depreciation!AB8+Depreciation!AB9</f>
        <v>1017857198.3327733</v>
      </c>
      <c r="AC6" s="4">
        <f>Depreciation!AC8+Depreciation!AC9</f>
        <v>1063741132.7926581</v>
      </c>
      <c r="AD6" s="4">
        <f>Depreciation!AD8+Depreciation!AD9</f>
        <v>1110931385.4291754</v>
      </c>
      <c r="AE6" s="4">
        <f>Depreciation!AE8+Depreciation!AE9</f>
        <v>1159459298.2333665</v>
      </c>
      <c r="AF6" s="4">
        <f>Depreciation!AF8+Depreciation!AF9</f>
        <v>1209356889.8249707</v>
      </c>
      <c r="AG6" s="4"/>
      <c r="AH6" s="4"/>
      <c r="AI6" s="4"/>
      <c r="AJ6" s="4"/>
      <c r="AK6" s="4"/>
      <c r="AL6" s="4"/>
      <c r="AM6" s="4"/>
      <c r="AN6" s="4"/>
      <c r="AO6" s="4"/>
      <c r="AP6" s="4"/>
    </row>
    <row r="7" spans="1:42" x14ac:dyDescent="0.35">
      <c r="A7" t="s">
        <v>23</v>
      </c>
      <c r="C7" s="4">
        <f ca="1">C6+C5</f>
        <v>180498015.32184494</v>
      </c>
      <c r="D7" s="4">
        <f ca="1">D6+D5</f>
        <v>247648045.95576364</v>
      </c>
      <c r="E7" s="4">
        <f t="shared" ref="E7:AF7" ca="1" si="1">E6+E5</f>
        <v>302973832.42302364</v>
      </c>
      <c r="F7" s="4">
        <f t="shared" ca="1" si="1"/>
        <v>330073347.64424139</v>
      </c>
      <c r="G7" s="4">
        <f ca="1">G6+G5</f>
        <v>375476880.51181686</v>
      </c>
      <c r="H7" s="4">
        <f t="shared" ca="1" si="1"/>
        <v>471729489.69512349</v>
      </c>
      <c r="I7" s="4">
        <f t="shared" ca="1" si="1"/>
        <v>519337935.03491145</v>
      </c>
      <c r="J7" s="4">
        <f t="shared" ca="1" si="1"/>
        <v>569850085.14958787</v>
      </c>
      <c r="K7" s="4">
        <f t="shared" ca="1" si="1"/>
        <v>623454215.50973296</v>
      </c>
      <c r="L7" s="4">
        <f t="shared" ca="1" si="1"/>
        <v>671898572.07895446</v>
      </c>
      <c r="M7" s="4">
        <f t="shared" ca="1" si="1"/>
        <v>699281171.01096857</v>
      </c>
      <c r="N7" s="4">
        <f t="shared" ca="1" si="1"/>
        <v>729465444.91428483</v>
      </c>
      <c r="O7" s="4">
        <f t="shared" ca="1" si="1"/>
        <v>762644453.63006079</v>
      </c>
      <c r="P7" s="4">
        <f t="shared" ca="1" si="1"/>
        <v>799022339.67357314</v>
      </c>
      <c r="Q7" s="4">
        <f t="shared" ca="1" si="1"/>
        <v>836711235.31998897</v>
      </c>
      <c r="R7" s="4">
        <f t="shared" ca="1" si="1"/>
        <v>877744204.99093974</v>
      </c>
      <c r="S7" s="4">
        <f t="shared" ca="1" si="1"/>
        <v>922351562.07512915</v>
      </c>
      <c r="T7" s="4">
        <f t="shared" ca="1" si="1"/>
        <v>970776764.34396672</v>
      </c>
      <c r="U7" s="4">
        <f t="shared" ca="1" si="1"/>
        <v>1011353848.2771075</v>
      </c>
      <c r="V7" s="4">
        <f t="shared" ca="1" si="1"/>
        <v>1046150839.1122088</v>
      </c>
      <c r="W7" s="4">
        <f t="shared" ca="1" si="1"/>
        <v>1074222954.7836847</v>
      </c>
      <c r="X7" s="4">
        <f t="shared" ca="1" si="1"/>
        <v>1103474751.6420982</v>
      </c>
      <c r="Y7" s="4">
        <f t="shared" ca="1" si="1"/>
        <v>1133981395.3569481</v>
      </c>
      <c r="Z7" s="4">
        <f t="shared" ca="1" si="1"/>
        <v>1165822560.6946442</v>
      </c>
      <c r="AA7" s="4">
        <f t="shared" ca="1" si="1"/>
        <v>1199082670.1990128</v>
      </c>
      <c r="AB7" s="4">
        <f t="shared" ca="1" si="1"/>
        <v>1233851144.3806818</v>
      </c>
      <c r="AC7" s="4">
        <f t="shared" ca="1" si="1"/>
        <v>1270222663.9361682</v>
      </c>
      <c r="AD7" s="4">
        <f t="shared" ca="1" si="1"/>
        <v>1308297444.5400207</v>
      </c>
      <c r="AE7" s="4">
        <f t="shared" ca="1" si="1"/>
        <v>1348181524.7769065</v>
      </c>
      <c r="AF7" s="4">
        <f t="shared" ca="1" si="1"/>
        <v>1389987067.8050041</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A9" t="s">
        <v>220</v>
      </c>
      <c r="C9" s="4">
        <f>Assumptions!$C$37/Assumptions!$C$39</f>
        <v>19888544.914421879</v>
      </c>
      <c r="D9" s="4">
        <f>Assumptions!$C$37/Assumptions!$C$39</f>
        <v>19888544.914421879</v>
      </c>
      <c r="E9" s="4">
        <f>Assumptions!$C$37/Assumptions!$C$39</f>
        <v>19888544.914421879</v>
      </c>
      <c r="F9" s="4">
        <f>Assumptions!$C$37/Assumptions!$C$39</f>
        <v>19888544.914421879</v>
      </c>
      <c r="G9" s="4">
        <f>Assumptions!$C$37/Assumptions!$C$39</f>
        <v>19888544.914421879</v>
      </c>
      <c r="H9" s="4">
        <f>Assumptions!$C$37/Assumptions!$C$39</f>
        <v>19888544.914421879</v>
      </c>
      <c r="I9" s="4">
        <f>Assumptions!$C$37/Assumptions!$C$39</f>
        <v>19888544.914421879</v>
      </c>
      <c r="J9" s="4">
        <f>Assumptions!$C$37/Assumptions!$C$39</f>
        <v>19888544.914421879</v>
      </c>
      <c r="K9" s="4">
        <f>Assumptions!$C$37/Assumptions!$C$39</f>
        <v>19888544.914421879</v>
      </c>
      <c r="L9" s="4">
        <f>Assumptions!$C$37/Assumptions!$C$39</f>
        <v>19888544.914421879</v>
      </c>
      <c r="M9" s="4">
        <f>Assumptions!$C$37/Assumptions!$C$39</f>
        <v>19888544.914421879</v>
      </c>
      <c r="N9" s="4">
        <f>Assumptions!$C$37/Assumptions!$C$39</f>
        <v>19888544.914421879</v>
      </c>
      <c r="O9" s="4">
        <f>Assumptions!$C$37/Assumptions!$C$39</f>
        <v>19888544.914421879</v>
      </c>
      <c r="P9" s="4">
        <f>Assumptions!$C$37/Assumptions!$C$39</f>
        <v>19888544.914421879</v>
      </c>
      <c r="Q9" s="4">
        <f>Assumptions!$C$37/Assumptions!$C$39</f>
        <v>19888544.914421879</v>
      </c>
      <c r="R9" s="4">
        <f>Assumptions!$C$37/Assumptions!$C$39</f>
        <v>19888544.914421879</v>
      </c>
      <c r="S9" s="4">
        <f>Assumptions!$C$37/Assumptions!$C$39</f>
        <v>19888544.914421879</v>
      </c>
      <c r="T9" s="4">
        <f>Assumptions!$C$37/Assumptions!$C$39</f>
        <v>19888544.914421879</v>
      </c>
      <c r="U9" s="4">
        <f>Assumptions!$C$37/Assumptions!$C$39</f>
        <v>19888544.914421879</v>
      </c>
      <c r="V9" s="4">
        <f>Assumptions!$C$37/Assumptions!$C$39</f>
        <v>19888544.914421879</v>
      </c>
      <c r="W9" s="4">
        <f>Assumptions!$C$37/Assumptions!$C$39</f>
        <v>19888544.914421879</v>
      </c>
      <c r="X9" s="4">
        <f>Assumptions!$C$37/Assumptions!$C$39</f>
        <v>19888544.914421879</v>
      </c>
      <c r="Y9" s="4">
        <f>Assumptions!$C$37/Assumptions!$C$39</f>
        <v>19888544.914421879</v>
      </c>
      <c r="Z9" s="4">
        <f>Assumptions!$C$37/Assumptions!$C$39</f>
        <v>19888544.914421879</v>
      </c>
      <c r="AA9" s="4">
        <f>Assumptions!$C$37/Assumptions!$C$39</f>
        <v>19888544.914421879</v>
      </c>
      <c r="AB9" s="4">
        <f>Assumptions!$C$37/Assumptions!$C$39</f>
        <v>19888544.914421879</v>
      </c>
      <c r="AC9" s="4">
        <f>Assumptions!$C$37/Assumptions!$C$39</f>
        <v>19888544.914421879</v>
      </c>
      <c r="AD9" s="4">
        <f>Assumptions!$C$37/Assumptions!$C$39</f>
        <v>19888544.914421879</v>
      </c>
      <c r="AE9" s="4">
        <f>Assumptions!$C$37/Assumptions!$C$39</f>
        <v>19888544.914421879</v>
      </c>
      <c r="AF9" s="4">
        <f>Assumptions!$C$37/Assumptions!$C$39</f>
        <v>19888544.914421879</v>
      </c>
      <c r="AG9" s="4"/>
      <c r="AH9" s="4"/>
      <c r="AI9" s="4"/>
      <c r="AJ9" s="4"/>
      <c r="AK9" s="4"/>
      <c r="AL9" s="4"/>
      <c r="AM9" s="4"/>
      <c r="AN9" s="4"/>
      <c r="AO9" s="4"/>
      <c r="AP9" s="4"/>
    </row>
    <row r="10" spans="1:42" x14ac:dyDescent="0.35">
      <c r="A10" t="s">
        <v>11</v>
      </c>
      <c r="C10" s="9">
        <f>Investment!C25</f>
        <v>523391780.73044813</v>
      </c>
      <c r="D10" s="9">
        <f>Investment!D25</f>
        <v>536972138.58204591</v>
      </c>
      <c r="E10" s="9">
        <f>Investment!E25</f>
        <v>550853196.95299327</v>
      </c>
      <c r="F10" s="9">
        <f>Investment!F25</f>
        <v>565041125.4279393</v>
      </c>
      <c r="G10" s="9">
        <f>Investment!G25</f>
        <v>566060406.72968841</v>
      </c>
      <c r="H10" s="9">
        <f>Investment!H25</f>
        <v>567441872.58310521</v>
      </c>
      <c r="I10" s="9">
        <f>Investment!I25</f>
        <v>569173438.91340268</v>
      </c>
      <c r="J10" s="9">
        <f>Investment!J25</f>
        <v>571243589.33330607</v>
      </c>
      <c r="K10" s="9">
        <f>Investment!K25</f>
        <v>573641348.11858594</v>
      </c>
      <c r="L10" s="9">
        <f>Investment!L25</f>
        <v>581234965.80228484</v>
      </c>
      <c r="M10" s="9">
        <f>Investment!M25</f>
        <v>1264204766.545068</v>
      </c>
      <c r="N10" s="9">
        <f>Investment!N25</f>
        <v>1270504211.8895481</v>
      </c>
      <c r="O10" s="9">
        <f>Investment!O25</f>
        <v>1276722998.3563085</v>
      </c>
      <c r="P10" s="9">
        <f>Investment!P25</f>
        <v>1282853181.7732902</v>
      </c>
      <c r="Q10" s="9">
        <f>Investment!Q25</f>
        <v>1295372852.8106158</v>
      </c>
      <c r="R10" s="9">
        <f>Investment!R25</f>
        <v>1307778502.6280847</v>
      </c>
      <c r="S10" s="9">
        <f>Investment!S25</f>
        <v>1320062015.4035134</v>
      </c>
      <c r="T10" s="9">
        <f>Investment!T25</f>
        <v>1332214943.4425488</v>
      </c>
      <c r="U10" s="9">
        <f>Investment!U25</f>
        <v>1344228497.9822397</v>
      </c>
      <c r="V10" s="9">
        <f>Investment!V25</f>
        <v>1379874599.1141613</v>
      </c>
      <c r="W10" s="9">
        <f>Investment!W25</f>
        <v>1647934100.4163616</v>
      </c>
      <c r="X10" s="9">
        <f>Investment!X25</f>
        <v>1693044096.2210553</v>
      </c>
      <c r="Y10" s="9">
        <f>Investment!Y25</f>
        <v>1739037858.8202198</v>
      </c>
      <c r="Z10" s="9">
        <f>Investment!Z25</f>
        <v>1785929639.6421831</v>
      </c>
      <c r="AA10" s="9">
        <f>Investment!AA25</f>
        <v>1833733873.6723471</v>
      </c>
      <c r="AB10" s="9">
        <f>Investment!AB25</f>
        <v>1882465180.7905803</v>
      </c>
      <c r="AC10" s="9">
        <f>Investment!AC25</f>
        <v>1932138367.0869408</v>
      </c>
      <c r="AD10" s="9">
        <f>Investment!AD25</f>
        <v>1982768426.1543524</v>
      </c>
      <c r="AE10" s="9">
        <f>Investment!AE25</f>
        <v>2034370540.3567915</v>
      </c>
      <c r="AF10" s="9">
        <f>Investment!AF25</f>
        <v>2086960082.0715165</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-362782310.32302511</v>
      </c>
      <c r="D12" s="1">
        <f t="shared" ref="D12:AF12" ca="1" si="2">D7-D9-D10</f>
        <v>-309212637.54070413</v>
      </c>
      <c r="E12" s="1">
        <f ca="1">E7-E9-E10</f>
        <v>-267767909.44439149</v>
      </c>
      <c r="F12" s="1">
        <f t="shared" ca="1" si="2"/>
        <v>-254856322.69811976</v>
      </c>
      <c r="G12" s="1">
        <f ca="1">G7-G9-G10</f>
        <v>-210472071.1322934</v>
      </c>
      <c r="H12" s="1">
        <f t="shared" ca="1" si="2"/>
        <v>-115600927.80240357</v>
      </c>
      <c r="I12" s="1">
        <f t="shared" ca="1" si="2"/>
        <v>-69724048.792913079</v>
      </c>
      <c r="J12" s="1">
        <f t="shared" ca="1" si="2"/>
        <v>-21282049.098140121</v>
      </c>
      <c r="K12" s="1">
        <f t="shared" ca="1" si="2"/>
        <v>29924322.476725101</v>
      </c>
      <c r="L12" s="1">
        <f t="shared" ca="1" si="2"/>
        <v>70775061.362247705</v>
      </c>
      <c r="M12" s="1">
        <f t="shared" ca="1" si="2"/>
        <v>-584812140.44852138</v>
      </c>
      <c r="N12" s="1">
        <f t="shared" ca="1" si="2"/>
        <v>-560927311.88968515</v>
      </c>
      <c r="O12" s="1">
        <f t="shared" ca="1" si="2"/>
        <v>-533967089.64066958</v>
      </c>
      <c r="P12" s="1">
        <f t="shared" ca="1" si="2"/>
        <v>-503719387.01413894</v>
      </c>
      <c r="Q12" s="1">
        <f t="shared" ca="1" si="2"/>
        <v>-478550162.40504873</v>
      </c>
      <c r="R12" s="1">
        <f t="shared" ca="1" si="2"/>
        <v>-449922842.55156684</v>
      </c>
      <c r="S12" s="1">
        <f t="shared" ca="1" si="2"/>
        <v>-417598998.2428062</v>
      </c>
      <c r="T12" s="1">
        <f t="shared" ca="1" si="2"/>
        <v>-381326724.01300395</v>
      </c>
      <c r="U12" s="1">
        <f t="shared" ca="1" si="2"/>
        <v>-352763194.61955416</v>
      </c>
      <c r="V12" s="1">
        <f t="shared" ca="1" si="2"/>
        <v>-353612304.91637433</v>
      </c>
      <c r="W12" s="1">
        <f t="shared" ca="1" si="2"/>
        <v>-593599690.54709876</v>
      </c>
      <c r="X12" s="1">
        <f t="shared" ca="1" si="2"/>
        <v>-609457889.49337888</v>
      </c>
      <c r="Y12" s="1">
        <f t="shared" ca="1" si="2"/>
        <v>-624945008.37769341</v>
      </c>
      <c r="Z12" s="1">
        <f t="shared" ca="1" si="2"/>
        <v>-639995623.86196065</v>
      </c>
      <c r="AA12" s="1">
        <f t="shared" ca="1" si="2"/>
        <v>-654539748.38775611</v>
      </c>
      <c r="AB12" s="1">
        <f t="shared" ca="1" si="2"/>
        <v>-668502581.32432032</v>
      </c>
      <c r="AC12" s="1">
        <f t="shared" ca="1" si="2"/>
        <v>-681804248.06519437</v>
      </c>
      <c r="AD12" s="1">
        <f t="shared" ca="1" si="2"/>
        <v>-694359526.52875352</v>
      </c>
      <c r="AE12" s="1">
        <f t="shared" ca="1" si="2"/>
        <v>-706077560.4943068</v>
      </c>
      <c r="AF12" s="1">
        <f t="shared" ca="1" si="2"/>
        <v>-716861559.18093419</v>
      </c>
      <c r="AG12" s="1"/>
      <c r="AH12" s="1"/>
      <c r="AI12" s="1"/>
      <c r="AJ12" s="1"/>
      <c r="AK12" s="1"/>
      <c r="AL12" s="1"/>
      <c r="AM12" s="1"/>
      <c r="AN12" s="1"/>
      <c r="AO12" s="1"/>
      <c r="AP12" s="1"/>
    </row>
    <row r="13" spans="1:42" x14ac:dyDescent="0.35">
      <c r="A13" t="s">
        <v>19</v>
      </c>
      <c r="C13" s="1">
        <f ca="1">C12</f>
        <v>-362782310.32302511</v>
      </c>
      <c r="D13" s="1">
        <f ca="1">D12</f>
        <v>-309212637.54070413</v>
      </c>
      <c r="E13" s="1">
        <f ca="1">E12</f>
        <v>-267767909.44439149</v>
      </c>
      <c r="F13" s="1">
        <f t="shared" ref="F13:AF13" ca="1" si="3">F12</f>
        <v>-254856322.69811976</v>
      </c>
      <c r="G13" s="1">
        <f ca="1">G12</f>
        <v>-210472071.1322934</v>
      </c>
      <c r="H13" s="1">
        <f t="shared" ca="1" si="3"/>
        <v>-115600927.80240357</v>
      </c>
      <c r="I13" s="1">
        <f t="shared" ca="1" si="3"/>
        <v>-69724048.792913079</v>
      </c>
      <c r="J13" s="1">
        <f t="shared" ca="1" si="3"/>
        <v>-21282049.098140121</v>
      </c>
      <c r="K13" s="1">
        <f t="shared" ca="1" si="3"/>
        <v>29924322.476725101</v>
      </c>
      <c r="L13" s="1">
        <f t="shared" ca="1" si="3"/>
        <v>70775061.362247705</v>
      </c>
      <c r="M13" s="1">
        <f t="shared" ca="1" si="3"/>
        <v>-584812140.44852138</v>
      </c>
      <c r="N13" s="1">
        <f t="shared" ca="1" si="3"/>
        <v>-560927311.88968515</v>
      </c>
      <c r="O13" s="1">
        <f t="shared" ca="1" si="3"/>
        <v>-533967089.64066958</v>
      </c>
      <c r="P13" s="1">
        <f t="shared" ca="1" si="3"/>
        <v>-503719387.01413894</v>
      </c>
      <c r="Q13" s="1">
        <f t="shared" ca="1" si="3"/>
        <v>-478550162.40504873</v>
      </c>
      <c r="R13" s="1">
        <f t="shared" ca="1" si="3"/>
        <v>-449922842.55156684</v>
      </c>
      <c r="S13" s="1">
        <f t="shared" ca="1" si="3"/>
        <v>-417598998.2428062</v>
      </c>
      <c r="T13" s="1">
        <f t="shared" ca="1" si="3"/>
        <v>-381326724.01300395</v>
      </c>
      <c r="U13" s="1">
        <f t="shared" ca="1" si="3"/>
        <v>-352763194.61955416</v>
      </c>
      <c r="V13" s="1">
        <f t="shared" ca="1" si="3"/>
        <v>-353612304.91637433</v>
      </c>
      <c r="W13" s="1">
        <f t="shared" ca="1" si="3"/>
        <v>-593599690.54709876</v>
      </c>
      <c r="X13" s="1">
        <f t="shared" ca="1" si="3"/>
        <v>-609457889.49337888</v>
      </c>
      <c r="Y13" s="1">
        <f t="shared" ca="1" si="3"/>
        <v>-624945008.37769341</v>
      </c>
      <c r="Z13" s="1">
        <f t="shared" ca="1" si="3"/>
        <v>-639995623.86196065</v>
      </c>
      <c r="AA13" s="1">
        <f t="shared" ca="1" si="3"/>
        <v>-654539748.38775611</v>
      </c>
      <c r="AB13" s="1">
        <f t="shared" ca="1" si="3"/>
        <v>-668502581.32432032</v>
      </c>
      <c r="AC13" s="1">
        <f t="shared" ca="1" si="3"/>
        <v>-681804248.06519437</v>
      </c>
      <c r="AD13" s="1">
        <f t="shared" ca="1" si="3"/>
        <v>-694359526.52875352</v>
      </c>
      <c r="AE13" s="1">
        <f t="shared" ca="1" si="3"/>
        <v>-706077560.4943068</v>
      </c>
      <c r="AF13" s="1">
        <f t="shared" ca="1" si="3"/>
        <v>-716861559.18093419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NOIqttAL/wuEG4yr3RpvlY8KmtqKWJo+PnmQFKbTcqtwD4NuopiSU+0qGThYCcU8xpbJVWqCwZoGYwaGjoWSCA==" saltValue="g18B9FLVx8NmzhjXxbP/oQ=="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153</v>
      </c>
      <c r="C6" s="9">
        <f>Assumptions!C17</f>
        <v>23459745880.474922</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11729872940.237461</v>
      </c>
      <c r="D7" s="9">
        <f>C12</f>
        <v>12080027389.11599</v>
      </c>
      <c r="E7" s="9">
        <f>D12</f>
        <v>12442151834.934528</v>
      </c>
      <c r="F7" s="9">
        <f t="shared" ref="F7:H7" si="1">E12</f>
        <v>12816585822.92499</v>
      </c>
      <c r="G7" s="9">
        <f t="shared" si="1"/>
        <v>13203677729.409622</v>
      </c>
      <c r="H7" s="9">
        <f t="shared" si="1"/>
        <v>13603468851.692404</v>
      </c>
      <c r="I7" s="9">
        <f t="shared" ref="I7" si="2">H12</f>
        <v>14016011140.434057</v>
      </c>
      <c r="J7" s="9">
        <f t="shared" ref="J7" si="3">I12</f>
        <v>14441366903.101812</v>
      </c>
      <c r="K7" s="9">
        <f t="shared" ref="K7" si="4">J12</f>
        <v>14879608524.874968</v>
      </c>
      <c r="L7" s="9">
        <f t="shared" ref="L7" si="5">K12</f>
        <v>15330818206.186207</v>
      </c>
      <c r="M7" s="9">
        <f t="shared" ref="M7" si="6">L12</f>
        <v>15795202167.598312</v>
      </c>
      <c r="N7" s="9">
        <f t="shared" ref="N7" si="7">M12</f>
        <v>16288814017.419741</v>
      </c>
      <c r="O7" s="9">
        <f t="shared" ref="O7" si="8">N12</f>
        <v>16811821870.141468</v>
      </c>
      <c r="P7" s="9">
        <f t="shared" ref="P7" si="9">O12</f>
        <v>17364396961.618916</v>
      </c>
      <c r="Q7" s="9">
        <f t="shared" ref="Q7" si="10">P12</f>
        <v>17946713475.299835</v>
      </c>
      <c r="R7" s="9">
        <f t="shared" ref="R7" si="11">Q12</f>
        <v>18559100596.555176</v>
      </c>
      <c r="S7" s="9">
        <f t="shared" ref="S7" si="12">R12</f>
        <v>19201889844.004871</v>
      </c>
      <c r="T7" s="9">
        <f t="shared" ref="T7" si="13">S12</f>
        <v>19875414934.87558</v>
      </c>
      <c r="U7" s="9">
        <f t="shared" ref="U7" si="14">T12</f>
        <v>20580011642.843689</v>
      </c>
      <c r="V7" s="9">
        <f t="shared" ref="V7" si="15">U12</f>
        <v>21316017648.082554</v>
      </c>
      <c r="W7" s="9">
        <f t="shared" ref="W7" si="16">V12</f>
        <v>22084330768.057209</v>
      </c>
      <c r="X7" s="9">
        <f t="shared" ref="X7" si="17">W12</f>
        <v>22891311827.793869</v>
      </c>
      <c r="Y7" s="9">
        <f t="shared" ref="Y7" si="18">X12</f>
        <v>23738092584.217052</v>
      </c>
      <c r="Z7" s="9">
        <f t="shared" ref="Z7" si="19">Y12</f>
        <v>24625832343.94302</v>
      </c>
      <c r="AA7" s="9">
        <f t="shared" ref="AA7" si="20">Z12</f>
        <v>25555718564.605251</v>
      </c>
      <c r="AB7" s="9">
        <f t="shared" ref="AB7" si="21">AA12</f>
        <v>26528967468.177361</v>
      </c>
      <c r="AC7" s="9">
        <f t="shared" ref="AC7" si="22">AB12</f>
        <v>27546824666.510132</v>
      </c>
      <c r="AD7" s="9">
        <f t="shared" ref="AD7" si="23">AC12</f>
        <v>28610565799.302792</v>
      </c>
      <c r="AE7" s="9">
        <f t="shared" ref="AE7" si="24">AD12</f>
        <v>29721497184.731968</v>
      </c>
      <c r="AF7" s="9">
        <f t="shared" ref="AF7" si="25">AE12</f>
        <v>30880956482.965332</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154</v>
      </c>
      <c r="C8" s="9">
        <f>Assumptions!D118*Assumptions!D11</f>
        <v>345962717.90165168</v>
      </c>
      <c r="D8" s="9">
        <f>Assumptions!E118*Assumptions!E11</f>
        <v>353573897.69548798</v>
      </c>
      <c r="E8" s="9">
        <f>Assumptions!F118*Assumptions!F11</f>
        <v>361352523.44478875</v>
      </c>
      <c r="F8" s="9">
        <f>Assumptions!G118*Assumptions!G11</f>
        <v>369302278.96057409</v>
      </c>
      <c r="G8" s="9">
        <f>Assumptions!H118*Assumptions!H11</f>
        <v>377426929.09770674</v>
      </c>
      <c r="H8" s="9">
        <f>Assumptions!I118*Assumptions!I11</f>
        <v>385730321.53785622</v>
      </c>
      <c r="I8" s="9">
        <f>Assumptions!J118*Assumptions!J11</f>
        <v>394216388.61168909</v>
      </c>
      <c r="J8" s="9">
        <f>Assumptions!K118*Assumptions!K11</f>
        <v>402889149.16114634</v>
      </c>
      <c r="K8" s="9">
        <f>Assumptions!L118*Assumptions!L11</f>
        <v>411752710.4426915</v>
      </c>
      <c r="L8" s="9">
        <f>Assumptions!M118*Assumptions!M11</f>
        <v>420811270.07243073</v>
      </c>
      <c r="M8" s="9">
        <f>Assumptions!N118*Assumptions!N11</f>
        <v>430069118.01402426</v>
      </c>
      <c r="N8" s="9">
        <f>Assumptions!O118*Assumptions!O11</f>
        <v>439530638.61033279</v>
      </c>
      <c r="O8" s="9">
        <f>Assumptions!P118*Assumptions!P11</f>
        <v>449200312.65976012</v>
      </c>
      <c r="P8" s="9">
        <f>Assumptions!Q118*Assumptions!Q11</f>
        <v>459082719.53827477</v>
      </c>
      <c r="Q8" s="9">
        <f>Assumptions!R118*Assumptions!R11</f>
        <v>469182539.36811686</v>
      </c>
      <c r="R8" s="9">
        <f>Assumptions!S118*Assumptions!S11</f>
        <v>479504555.23421544</v>
      </c>
      <c r="S8" s="9">
        <f>Assumptions!T118*Assumptions!T11</f>
        <v>490053655.44936818</v>
      </c>
      <c r="T8" s="9">
        <f>Assumptions!U118*Assumptions!U11</f>
        <v>500834835.86925423</v>
      </c>
      <c r="U8" s="9">
        <f>Assumptions!V118*Assumptions!V11</f>
        <v>511853202.25837791</v>
      </c>
      <c r="V8" s="9">
        <f>Assumptions!W118*Assumptions!W11</f>
        <v>523113972.70806223</v>
      </c>
      <c r="W8" s="9">
        <f>Assumptions!X118*Assumptions!X11</f>
        <v>534622480.10763961</v>
      </c>
      <c r="X8" s="9">
        <f>Assumptions!Y118*Assumptions!Y11</f>
        <v>546384174.67000759</v>
      </c>
      <c r="Y8" s="9">
        <f>Assumptions!Z118*Assumptions!Z11</f>
        <v>558404626.51274776</v>
      </c>
      <c r="Z8" s="9">
        <f>Assumptions!AA118*Assumptions!AA11</f>
        <v>570689528.29602826</v>
      </c>
      <c r="AA8" s="9">
        <f>Assumptions!AB118*Assumptions!AB11</f>
        <v>583244697.91854084</v>
      </c>
      <c r="AB8" s="9">
        <f>Assumptions!AC118*Assumptions!AC11</f>
        <v>596076081.27274883</v>
      </c>
      <c r="AC8" s="9">
        <f>Assumptions!AD118*Assumptions!AD11</f>
        <v>609189755.06074929</v>
      </c>
      <c r="AD8" s="9">
        <f>Assumptions!AE118*Assumptions!AE11</f>
        <v>622591929.67208576</v>
      </c>
      <c r="AE8" s="9">
        <f>Assumptions!AF118*Assumptions!AF11</f>
        <v>636288952.12487173</v>
      </c>
      <c r="AF8" s="9">
        <f>Assumptions!AG118*Assumptions!AG11</f>
        <v>650287309.0716188</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Assumptions!D127*Assumptions!D11</f>
        <v>4191730.9768770589</v>
      </c>
      <c r="D9" s="9">
        <f>Assumptions!E127*Assumptions!E11</f>
        <v>8550548.1230503153</v>
      </c>
      <c r="E9" s="9">
        <f>Assumptions!F127*Assumptions!F11</f>
        <v>13081464.545673763</v>
      </c>
      <c r="F9" s="9">
        <f>Assumptions!G127*Assumptions!G11</f>
        <v>17789627.524058398</v>
      </c>
      <c r="G9" s="9">
        <f>Assumptions!H127*Assumptions!H11</f>
        <v>22364193.185075868</v>
      </c>
      <c r="H9" s="9">
        <f>Assumptions!I127*Assumptions!I11</f>
        <v>26811967.203796774</v>
      </c>
      <c r="I9" s="9">
        <f>Assumptions!J127*Assumptions!J11</f>
        <v>31139374.056066331</v>
      </c>
      <c r="J9" s="9">
        <f>Assumptions!K127*Assumptions!K11</f>
        <v>35352472.612009488</v>
      </c>
      <c r="K9" s="9">
        <f>Assumptions!L127*Assumptions!L11</f>
        <v>39456970.868547767</v>
      </c>
      <c r="L9" s="9">
        <f>Assumptions!M127*Assumptions!M11</f>
        <v>43572691.339673631</v>
      </c>
      <c r="M9" s="9">
        <f>Assumptions!N127*Assumptions!N11</f>
        <v>63542731.807403706</v>
      </c>
      <c r="N9" s="9">
        <f>Assumptions!O127*Assumptions!O11</f>
        <v>83477214.111395285</v>
      </c>
      <c r="O9" s="9">
        <f>Assumptions!P127*Assumptions!P11</f>
        <v>103374778.81768896</v>
      </c>
      <c r="P9" s="9">
        <f>Assumptions!Q127*Assumptions!Q11</f>
        <v>123233794.14264557</v>
      </c>
      <c r="Q9" s="9">
        <f>Assumptions!R127*Assumptions!R11</f>
        <v>143204581.88722253</v>
      </c>
      <c r="R9" s="9">
        <f>Assumptions!S127*Assumptions!S11</f>
        <v>163284692.21548021</v>
      </c>
      <c r="S9" s="9">
        <f>Assumptions!T127*Assumptions!T11</f>
        <v>183471435.42133948</v>
      </c>
      <c r="T9" s="9">
        <f>Assumptions!U127*Assumptions!U11</f>
        <v>203761872.09885454</v>
      </c>
      <c r="U9" s="9">
        <f>Assumptions!V127*Assumptions!V11</f>
        <v>224152802.98048705</v>
      </c>
      <c r="V9" s="9">
        <f>Assumptions!W127*Assumptions!W11</f>
        <v>245199147.26659423</v>
      </c>
      <c r="W9" s="9">
        <f>Assumptions!X127*Assumptions!X11</f>
        <v>272358579.62902194</v>
      </c>
      <c r="X9" s="9">
        <f>Assumptions!Y127*Assumptions!Y11</f>
        <v>300396581.75317931</v>
      </c>
      <c r="Y9" s="9">
        <f>Assumptions!Z127*Assumptions!Z11</f>
        <v>329335133.21322054</v>
      </c>
      <c r="Z9" s="9">
        <f>Assumptions!AA127*Assumptions!AA11</f>
        <v>359196692.36620361</v>
      </c>
      <c r="AA9" s="9">
        <f>Assumptions!AB127*Assumptions!AB11</f>
        <v>390004205.65356833</v>
      </c>
      <c r="AB9" s="9">
        <f>Assumptions!AC127*Assumptions!AC11</f>
        <v>421781117.0600245</v>
      </c>
      <c r="AC9" s="9">
        <f>Assumptions!AD127*Assumptions!AD11</f>
        <v>454551377.73190886</v>
      </c>
      <c r="AD9" s="9">
        <f>Assumptions!AE127*Assumptions!AE11</f>
        <v>488339455.75708967</v>
      </c>
      <c r="AE9" s="9">
        <f>Assumptions!AF127*Assumptions!AF11</f>
        <v>523170346.1084947</v>
      </c>
      <c r="AF9" s="9">
        <f>Assumptions!AG127*Assumptions!AG11</f>
        <v>559069580.75335181</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350154448.87852871</v>
      </c>
      <c r="D10" s="9">
        <f>SUM($C$8:D9)</f>
        <v>712278894.69706702</v>
      </c>
      <c r="E10" s="9">
        <f>SUM($C$8:E9)</f>
        <v>1086712882.6875296</v>
      </c>
      <c r="F10" s="9">
        <f>SUM($C$8:F9)</f>
        <v>1473804789.1721618</v>
      </c>
      <c r="G10" s="9">
        <f>SUM($C$8:G9)</f>
        <v>1873595911.4549444</v>
      </c>
      <c r="H10" s="9">
        <f>SUM($C$8:H9)</f>
        <v>2286138200.1965976</v>
      </c>
      <c r="I10" s="9">
        <f>SUM($C$8:I9)</f>
        <v>2711493962.8643532</v>
      </c>
      <c r="J10" s="9">
        <f>SUM($C$8:J9)</f>
        <v>3149735584.6375089</v>
      </c>
      <c r="K10" s="9">
        <f>SUM($C$8:K9)</f>
        <v>3600945265.9487481</v>
      </c>
      <c r="L10" s="9">
        <f>SUM($C$8:L9)</f>
        <v>4065329227.3608522</v>
      </c>
      <c r="M10" s="9">
        <f>SUM($C$8:M9)</f>
        <v>4558941077.1822796</v>
      </c>
      <c r="N10" s="9">
        <f>SUM($C$8:N9)</f>
        <v>5081948929.904007</v>
      </c>
      <c r="O10" s="9">
        <f>SUM($C$8:O9)</f>
        <v>5634524021.3814564</v>
      </c>
      <c r="P10" s="9">
        <f>SUM($C$8:P9)</f>
        <v>6216840535.062377</v>
      </c>
      <c r="Q10" s="9">
        <f>SUM($C$8:Q9)</f>
        <v>6829227656.3177156</v>
      </c>
      <c r="R10" s="9">
        <f>SUM($C$8:R9)</f>
        <v>7472016903.7674112</v>
      </c>
      <c r="S10" s="9">
        <f>SUM($C$8:S9)</f>
        <v>8145541994.6381187</v>
      </c>
      <c r="T10" s="9">
        <f>SUM($C$8:T9)</f>
        <v>8850138702.6062279</v>
      </c>
      <c r="U10" s="9">
        <f>SUM($C$8:U9)</f>
        <v>9586144707.8450928</v>
      </c>
      <c r="V10" s="9">
        <f>SUM($C$8:V9)</f>
        <v>10354457827.819752</v>
      </c>
      <c r="W10" s="9">
        <f>SUM($C$8:W9)</f>
        <v>11161438887.556414</v>
      </c>
      <c r="X10" s="9">
        <f>SUM($C$8:X9)</f>
        <v>12008219643.979601</v>
      </c>
      <c r="Y10" s="9">
        <f>SUM($C$8:Y9)</f>
        <v>12895959403.705568</v>
      </c>
      <c r="Z10" s="9">
        <f>SUM($C$8:Z9)</f>
        <v>13825845624.3678</v>
      </c>
      <c r="AA10" s="9">
        <f>SUM($C$8:AA9)</f>
        <v>14799094527.939909</v>
      </c>
      <c r="AB10" s="9">
        <f>SUM($C$8:AB9)</f>
        <v>15816951726.272682</v>
      </c>
      <c r="AC10" s="9">
        <f>SUM($C$8:AC9)</f>
        <v>16880692859.06534</v>
      </c>
      <c r="AD10" s="9">
        <f>SUM($C$8:AD9)</f>
        <v>17991624244.494518</v>
      </c>
      <c r="AE10" s="9">
        <f>SUM($C$8:AE9)</f>
        <v>19151083542.727886</v>
      </c>
      <c r="AF10" s="9">
        <f>SUM($C$8:AF9)</f>
        <v>20360440432.55286</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12080027389.11599</v>
      </c>
      <c r="D12" s="9">
        <f>D7+D8+D9</f>
        <v>12442151834.934528</v>
      </c>
      <c r="E12" s="9">
        <f>E7+E8+E9</f>
        <v>12816585822.92499</v>
      </c>
      <c r="F12" s="9">
        <f t="shared" ref="F12:H12" si="26">F7+F8+F9</f>
        <v>13203677729.409622</v>
      </c>
      <c r="G12" s="9">
        <f t="shared" si="26"/>
        <v>13603468851.692404</v>
      </c>
      <c r="H12" s="9">
        <f t="shared" si="26"/>
        <v>14016011140.434057</v>
      </c>
      <c r="I12" s="9">
        <f t="shared" ref="I12:AF12" si="27">I7+I8+I9</f>
        <v>14441366903.101812</v>
      </c>
      <c r="J12" s="9">
        <f t="shared" si="27"/>
        <v>14879608524.874968</v>
      </c>
      <c r="K12" s="9">
        <f t="shared" si="27"/>
        <v>15330818206.186207</v>
      </c>
      <c r="L12" s="9">
        <f t="shared" si="27"/>
        <v>15795202167.598312</v>
      </c>
      <c r="M12" s="9">
        <f t="shared" si="27"/>
        <v>16288814017.419741</v>
      </c>
      <c r="N12" s="9">
        <f t="shared" si="27"/>
        <v>16811821870.141468</v>
      </c>
      <c r="O12" s="9">
        <f t="shared" si="27"/>
        <v>17364396961.618916</v>
      </c>
      <c r="P12" s="9">
        <f t="shared" si="27"/>
        <v>17946713475.299835</v>
      </c>
      <c r="Q12" s="9">
        <f t="shared" si="27"/>
        <v>18559100596.555176</v>
      </c>
      <c r="R12" s="9">
        <f t="shared" si="27"/>
        <v>19201889844.004871</v>
      </c>
      <c r="S12" s="9">
        <f t="shared" si="27"/>
        <v>19875414934.87558</v>
      </c>
      <c r="T12" s="9">
        <f t="shared" si="27"/>
        <v>20580011642.843689</v>
      </c>
      <c r="U12" s="9">
        <f t="shared" si="27"/>
        <v>21316017648.082554</v>
      </c>
      <c r="V12" s="9">
        <f t="shared" si="27"/>
        <v>22084330768.057209</v>
      </c>
      <c r="W12" s="9">
        <f t="shared" si="27"/>
        <v>22891311827.793869</v>
      </c>
      <c r="X12" s="9">
        <f t="shared" si="27"/>
        <v>23738092584.217052</v>
      </c>
      <c r="Y12" s="9">
        <f t="shared" si="27"/>
        <v>24625832343.94302</v>
      </c>
      <c r="Z12" s="9">
        <f t="shared" si="27"/>
        <v>25555718564.605251</v>
      </c>
      <c r="AA12" s="9">
        <f t="shared" si="27"/>
        <v>26528967468.177361</v>
      </c>
      <c r="AB12" s="9">
        <f t="shared" si="27"/>
        <v>27546824666.510132</v>
      </c>
      <c r="AC12" s="9">
        <f t="shared" si="27"/>
        <v>28610565799.302792</v>
      </c>
      <c r="AD12" s="9">
        <f t="shared" si="27"/>
        <v>29721497184.731968</v>
      </c>
      <c r="AE12" s="9">
        <f t="shared" si="27"/>
        <v>30880956482.965332</v>
      </c>
      <c r="AF12" s="9">
        <f t="shared" si="27"/>
        <v>32090313372.790302</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523391780.73044813</v>
      </c>
      <c r="D18" s="9">
        <f>Investment!D25</f>
        <v>536972138.58204591</v>
      </c>
      <c r="E18" s="9">
        <f>Investment!E25</f>
        <v>550853196.95299327</v>
      </c>
      <c r="F18" s="9">
        <f>Investment!F25</f>
        <v>565041125.4279393</v>
      </c>
      <c r="G18" s="9">
        <f>Investment!G25</f>
        <v>566060406.72968841</v>
      </c>
      <c r="H18" s="9">
        <f>Investment!H25</f>
        <v>567441872.58310521</v>
      </c>
      <c r="I18" s="9">
        <f>Investment!I25</f>
        <v>569173438.91340268</v>
      </c>
      <c r="J18" s="9">
        <f>Investment!J25</f>
        <v>571243589.33330607</v>
      </c>
      <c r="K18" s="9">
        <f>Investment!K25</f>
        <v>573641348.11858594</v>
      </c>
      <c r="L18" s="9">
        <f>Investment!L25</f>
        <v>581234965.80228484</v>
      </c>
      <c r="M18" s="9">
        <f>Investment!M25</f>
        <v>1264204766.545068</v>
      </c>
      <c r="N18" s="9">
        <f>Investment!N25</f>
        <v>1270504211.8895481</v>
      </c>
      <c r="O18" s="9">
        <f>Investment!O25</f>
        <v>1276722998.3563085</v>
      </c>
      <c r="P18" s="9">
        <f>Investment!P25</f>
        <v>1282853181.7732902</v>
      </c>
      <c r="Q18" s="9">
        <f>Investment!Q25</f>
        <v>1295372852.8106158</v>
      </c>
      <c r="R18" s="9">
        <f>Investment!R25</f>
        <v>1307778502.6280847</v>
      </c>
      <c r="S18" s="9">
        <f>Investment!S25</f>
        <v>1320062015.4035134</v>
      </c>
      <c r="T18" s="9">
        <f>Investment!T25</f>
        <v>1332214943.4425488</v>
      </c>
      <c r="U18" s="9">
        <f>Investment!U25</f>
        <v>1344228497.9822397</v>
      </c>
      <c r="V18" s="9">
        <f>Investment!V25</f>
        <v>1379874599.1141613</v>
      </c>
      <c r="W18" s="9">
        <f>Investment!W25</f>
        <v>1647934100.4163616</v>
      </c>
      <c r="X18" s="9">
        <f>Investment!X25</f>
        <v>1693044096.2210553</v>
      </c>
      <c r="Y18" s="9">
        <f>Investment!Y25</f>
        <v>1739037858.8202198</v>
      </c>
      <c r="Z18" s="9">
        <f>Investment!Z25</f>
        <v>1785929639.6421831</v>
      </c>
      <c r="AA18" s="9">
        <f>Investment!AA25</f>
        <v>1833733873.6723471</v>
      </c>
      <c r="AB18" s="9">
        <f>Investment!AB25</f>
        <v>1882465180.7905803</v>
      </c>
      <c r="AC18" s="9">
        <f>Investment!AC25</f>
        <v>1932138367.0869408</v>
      </c>
      <c r="AD18" s="9">
        <f>Investment!AD25</f>
        <v>1982768426.1543524</v>
      </c>
      <c r="AE18" s="9">
        <f>Investment!AE25</f>
        <v>2034370540.3567915</v>
      </c>
      <c r="AF18" s="9">
        <f>Investment!AF25</f>
        <v>2086960082.0715165</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60</v>
      </c>
      <c r="C19" s="9">
        <f>$C$6-C7+C18</f>
        <v>12253264720.967909</v>
      </c>
      <c r="D19" s="9">
        <f>D18+C20</f>
        <v>12440082410.671427</v>
      </c>
      <c r="E19" s="9">
        <f>E18+D20</f>
        <v>12628811161.805882</v>
      </c>
      <c r="F19" s="9">
        <f t="shared" ref="F19:AF19" si="28">F18+E20</f>
        <v>12819418299.243359</v>
      </c>
      <c r="G19" s="9">
        <f t="shared" si="28"/>
        <v>12998386799.488415</v>
      </c>
      <c r="H19" s="9">
        <f t="shared" si="28"/>
        <v>13166037549.788738</v>
      </c>
      <c r="I19" s="9">
        <f t="shared" si="28"/>
        <v>13322668699.960487</v>
      </c>
      <c r="J19" s="9">
        <f t="shared" si="28"/>
        <v>13468556526.626038</v>
      </c>
      <c r="K19" s="9">
        <f t="shared" si="28"/>
        <v>13603956252.971468</v>
      </c>
      <c r="L19" s="9">
        <f t="shared" si="28"/>
        <v>13733981537.462513</v>
      </c>
      <c r="M19" s="9">
        <f t="shared" si="28"/>
        <v>14533802342.595476</v>
      </c>
      <c r="N19" s="9">
        <f t="shared" si="28"/>
        <v>15310694704.663595</v>
      </c>
      <c r="O19" s="9">
        <f t="shared" si="28"/>
        <v>16064409850.298176</v>
      </c>
      <c r="P19" s="9">
        <f t="shared" si="28"/>
        <v>16794687940.594017</v>
      </c>
      <c r="Q19" s="9">
        <f t="shared" si="28"/>
        <v>17507744279.723713</v>
      </c>
      <c r="R19" s="9">
        <f t="shared" si="28"/>
        <v>18203135661.096458</v>
      </c>
      <c r="S19" s="9">
        <f t="shared" si="28"/>
        <v>18880408429.050278</v>
      </c>
      <c r="T19" s="9">
        <f t="shared" si="28"/>
        <v>19539098281.622116</v>
      </c>
      <c r="U19" s="9">
        <f t="shared" si="28"/>
        <v>20178730071.636246</v>
      </c>
      <c r="V19" s="9">
        <f t="shared" si="28"/>
        <v>20822598665.511543</v>
      </c>
      <c r="W19" s="9">
        <f t="shared" si="28"/>
        <v>21702219645.953251</v>
      </c>
      <c r="X19" s="9">
        <f t="shared" si="28"/>
        <v>22588282682.437645</v>
      </c>
      <c r="Y19" s="9">
        <f t="shared" si="28"/>
        <v>23480539784.834682</v>
      </c>
      <c r="Z19" s="9">
        <f t="shared" si="28"/>
        <v>24378729664.750896</v>
      </c>
      <c r="AA19" s="9">
        <f t="shared" si="28"/>
        <v>25282577317.761013</v>
      </c>
      <c r="AB19" s="9">
        <f t="shared" si="28"/>
        <v>26191793594.979485</v>
      </c>
      <c r="AC19" s="9">
        <f t="shared" si="28"/>
        <v>27106074763.733654</v>
      </c>
      <c r="AD19" s="9">
        <f t="shared" si="28"/>
        <v>28025102057.095348</v>
      </c>
      <c r="AE19" s="9">
        <f t="shared" si="28"/>
        <v>28948541212.022964</v>
      </c>
      <c r="AF19" s="9">
        <f t="shared" si="28"/>
        <v>29876041995.861118</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11903110272.08938</v>
      </c>
      <c r="D20" s="9">
        <f>D19-D8-D9</f>
        <v>12077957964.852888</v>
      </c>
      <c r="E20" s="9">
        <f t="shared" ref="E20:AF20" si="29">E19-E8-E9</f>
        <v>12254377173.81542</v>
      </c>
      <c r="F20" s="9">
        <f t="shared" si="29"/>
        <v>12432326392.758726</v>
      </c>
      <c r="G20" s="9">
        <f t="shared" si="29"/>
        <v>12598595677.205633</v>
      </c>
      <c r="H20" s="9">
        <f t="shared" si="29"/>
        <v>12753495261.047085</v>
      </c>
      <c r="I20" s="9">
        <f t="shared" si="29"/>
        <v>12897312937.292732</v>
      </c>
      <c r="J20" s="9">
        <f t="shared" si="29"/>
        <v>13030314904.852882</v>
      </c>
      <c r="K20" s="9">
        <f t="shared" si="29"/>
        <v>13152746571.660229</v>
      </c>
      <c r="L20" s="9">
        <f t="shared" si="29"/>
        <v>13269597576.050407</v>
      </c>
      <c r="M20" s="9">
        <f t="shared" si="29"/>
        <v>14040190492.774048</v>
      </c>
      <c r="N20" s="9">
        <f t="shared" si="29"/>
        <v>14787686851.941868</v>
      </c>
      <c r="O20" s="9">
        <f t="shared" si="29"/>
        <v>15511834758.820726</v>
      </c>
      <c r="P20" s="9">
        <f t="shared" si="29"/>
        <v>16212371426.913097</v>
      </c>
      <c r="Q20" s="9">
        <f t="shared" si="29"/>
        <v>16895357158.468374</v>
      </c>
      <c r="R20" s="9">
        <f t="shared" si="29"/>
        <v>17560346413.646763</v>
      </c>
      <c r="S20" s="9">
        <f t="shared" si="29"/>
        <v>18206883338.179569</v>
      </c>
      <c r="T20" s="9">
        <f t="shared" si="29"/>
        <v>18834501573.654007</v>
      </c>
      <c r="U20" s="9">
        <f t="shared" si="29"/>
        <v>19442724066.397381</v>
      </c>
      <c r="V20" s="9">
        <f t="shared" si="29"/>
        <v>20054285545.536888</v>
      </c>
      <c r="W20" s="9">
        <f t="shared" si="29"/>
        <v>20895238586.216591</v>
      </c>
      <c r="X20" s="9">
        <f t="shared" si="29"/>
        <v>21741501926.014462</v>
      </c>
      <c r="Y20" s="9">
        <f t="shared" si="29"/>
        <v>22592800025.108715</v>
      </c>
      <c r="Z20" s="9">
        <f t="shared" si="29"/>
        <v>23448843444.088665</v>
      </c>
      <c r="AA20" s="9">
        <f t="shared" si="29"/>
        <v>24309328414.188904</v>
      </c>
      <c r="AB20" s="9">
        <f t="shared" si="29"/>
        <v>25173936396.646713</v>
      </c>
      <c r="AC20" s="9">
        <f t="shared" si="29"/>
        <v>26042333630.940994</v>
      </c>
      <c r="AD20" s="9">
        <f t="shared" si="29"/>
        <v>26914170671.666172</v>
      </c>
      <c r="AE20" s="9">
        <f t="shared" si="29"/>
        <v>27789081913.7896</v>
      </c>
      <c r="AF20" s="9">
        <f t="shared" si="29"/>
        <v>28666685106.036148</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1523123592.1857181</v>
      </c>
      <c r="D22" s="9">
        <f ca="1">'Balance Sheet'!C11</f>
        <v>2503325890.832056</v>
      </c>
      <c r="E22" s="9">
        <f ca="1">'Balance Sheet'!D11</f>
        <v>2834196517.3511281</v>
      </c>
      <c r="F22" s="9">
        <f ca="1">'Balance Sheet'!E11</f>
        <v>3124536439.5195293</v>
      </c>
      <c r="G22" s="9">
        <f ca="1">'Balance Sheet'!F11</f>
        <v>3402898907.2097039</v>
      </c>
      <c r="H22" s="9">
        <f ca="1">'Balance Sheet'!G11</f>
        <v>3637831806.5119944</v>
      </c>
      <c r="I22" s="9">
        <f ca="1">'Balance Sheet'!H11</f>
        <v>3733544189.3999758</v>
      </c>
      <c r="J22" s="9">
        <f ca="1">'Balance Sheet'!I11</f>
        <v>3783379693.2784667</v>
      </c>
      <c r="K22" s="9">
        <f ca="1">'Balance Sheet'!J11</f>
        <v>3784773197.4621849</v>
      </c>
      <c r="L22" s="9">
        <f ca="1">'Balance Sheet'!K11</f>
        <v>3734960330.0710378</v>
      </c>
      <c r="M22" s="9">
        <f ca="1">'Balance Sheet'!L11</f>
        <v>3644296723.7943678</v>
      </c>
      <c r="N22" s="9">
        <f ca="1">'Balance Sheet'!M11</f>
        <v>4209220319.3284674</v>
      </c>
      <c r="O22" s="9">
        <f ca="1">'Balance Sheet'!N11</f>
        <v>4750259086.30373</v>
      </c>
      <c r="P22" s="9">
        <f ca="1">'Balance Sheet'!O11</f>
        <v>5264337631.0299778</v>
      </c>
      <c r="Q22" s="9">
        <f ca="1">'Balance Sheet'!P11</f>
        <v>5748168473.1296949</v>
      </c>
      <c r="R22" s="9">
        <f ca="1">'Balance Sheet'!Q11</f>
        <v>6206830090.6203213</v>
      </c>
      <c r="S22" s="9">
        <f ca="1">'Balance Sheet'!R11</f>
        <v>6636864388.2574663</v>
      </c>
      <c r="T22" s="9">
        <f ca="1">'Balance Sheet'!S11</f>
        <v>7034574841.5858507</v>
      </c>
      <c r="U22" s="9">
        <f ca="1">'Balance Sheet'!T11</f>
        <v>7396013020.684433</v>
      </c>
      <c r="V22" s="9">
        <f ca="1">'Balance Sheet'!U11</f>
        <v>7728887670.3895655</v>
      </c>
      <c r="W22" s="9">
        <f ca="1">'Balance Sheet'!V11</f>
        <v>8062611430.3915176</v>
      </c>
      <c r="X22" s="9">
        <f ca="1">'Balance Sheet'!W11</f>
        <v>8636322576.0241947</v>
      </c>
      <c r="Y22" s="9">
        <f ca="1">'Balance Sheet'!X11</f>
        <v>9225891920.6031532</v>
      </c>
      <c r="Z22" s="9">
        <f ca="1">'Balance Sheet'!Y11</f>
        <v>9830948384.0664253</v>
      </c>
      <c r="AA22" s="9">
        <f ca="1">'Balance Sheet'!Z11</f>
        <v>10451055463.013966</v>
      </c>
      <c r="AB22" s="9">
        <f ca="1">'Balance Sheet'!AA11</f>
        <v>11085706666.487301</v>
      </c>
      <c r="AC22" s="9">
        <f ca="1">'Balance Sheet'!AB11</f>
        <v>11734320702.8972</v>
      </c>
      <c r="AD22" s="9">
        <f ca="1">'Balance Sheet'!AC11</f>
        <v>12396236406.047974</v>
      </c>
      <c r="AE22" s="9">
        <f ca="1">'Balance Sheet'!AD11</f>
        <v>13070707387.662306</v>
      </c>
      <c r="AF22" s="9">
        <f ca="1">'Balance Sheet'!AE11</f>
        <v>13756896403.242191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10379986679.903662</v>
      </c>
      <c r="D23" s="9">
        <f t="shared" ref="D23:AF23" ca="1" si="30">D20-D22</f>
        <v>9574632074.0208321</v>
      </c>
      <c r="E23" s="9">
        <f t="shared" ca="1" si="30"/>
        <v>9420180656.4642925</v>
      </c>
      <c r="F23" s="9">
        <f t="shared" ca="1" si="30"/>
        <v>9307789953.2391968</v>
      </c>
      <c r="G23" s="9">
        <f t="shared" ca="1" si="30"/>
        <v>9195696769.9959297</v>
      </c>
      <c r="H23" s="9">
        <f t="shared" ca="1" si="30"/>
        <v>9115663454.5350914</v>
      </c>
      <c r="I23" s="9">
        <f t="shared" ca="1" si="30"/>
        <v>9163768747.8927574</v>
      </c>
      <c r="J23" s="9">
        <f ca="1">J20-J22</f>
        <v>9246935211.5744152</v>
      </c>
      <c r="K23" s="9">
        <f t="shared" ca="1" si="30"/>
        <v>9367973374.1980438</v>
      </c>
      <c r="L23" s="9">
        <f t="shared" ca="1" si="30"/>
        <v>9534637245.9793701</v>
      </c>
      <c r="M23" s="9">
        <f t="shared" ca="1" si="30"/>
        <v>10395893768.979679</v>
      </c>
      <c r="N23" s="9">
        <f t="shared" ca="1" si="30"/>
        <v>10578466532.6134</v>
      </c>
      <c r="O23" s="9">
        <f t="shared" ca="1" si="30"/>
        <v>10761575672.516996</v>
      </c>
      <c r="P23" s="9">
        <f t="shared" ca="1" si="30"/>
        <v>10948033795.88312</v>
      </c>
      <c r="Q23" s="9">
        <f t="shared" ca="1" si="30"/>
        <v>11147188685.33868</v>
      </c>
      <c r="R23" s="9">
        <f t="shared" ca="1" si="30"/>
        <v>11353516323.026442</v>
      </c>
      <c r="S23" s="9">
        <f t="shared" ca="1" si="30"/>
        <v>11570018949.922104</v>
      </c>
      <c r="T23" s="9">
        <f t="shared" ca="1" si="30"/>
        <v>11799926732.068157</v>
      </c>
      <c r="U23" s="9">
        <f t="shared" ca="1" si="30"/>
        <v>12046711045.712948</v>
      </c>
      <c r="V23" s="9">
        <f t="shared" ca="1" si="30"/>
        <v>12325397875.147324</v>
      </c>
      <c r="W23" s="9">
        <f t="shared" ca="1" si="30"/>
        <v>12832627155.825073</v>
      </c>
      <c r="X23" s="9">
        <f t="shared" ca="1" si="30"/>
        <v>13105179349.990267</v>
      </c>
      <c r="Y23" s="9">
        <f t="shared" ca="1" si="30"/>
        <v>13366908104.505562</v>
      </c>
      <c r="Z23" s="9">
        <f t="shared" ca="1" si="30"/>
        <v>13617895060.02224</v>
      </c>
      <c r="AA23" s="9">
        <f t="shared" ca="1" si="30"/>
        <v>13858272951.174938</v>
      </c>
      <c r="AB23" s="9">
        <f t="shared" ca="1" si="30"/>
        <v>14088229730.159412</v>
      </c>
      <c r="AC23" s="9">
        <f t="shared" ca="1" si="30"/>
        <v>14308012928.043795</v>
      </c>
      <c r="AD23" s="9">
        <f t="shared" ca="1" si="30"/>
        <v>14517934265.618198</v>
      </c>
      <c r="AE23" s="9">
        <f t="shared" ca="1" si="30"/>
        <v>14718374526.127295</v>
      </c>
      <c r="AF23" s="9">
        <f t="shared" ca="1" si="30"/>
        <v>14909788702.793957</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1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169</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1523123592.1857181</v>
      </c>
      <c r="D5" s="1">
        <f ca="1">C5+C6+C7+C8+C9</f>
        <v>2503325890.832056</v>
      </c>
      <c r="E5" s="1">
        <f ca="1">D5+D6+D7+D8+D9</f>
        <v>2834196517.3511281</v>
      </c>
      <c r="F5" s="1">
        <f t="shared" ref="F5:AF5" ca="1" si="1">E5+E6+E7+E8+E9</f>
        <v>3124536439.5195293</v>
      </c>
      <c r="G5" s="1">
        <f t="shared" ca="1" si="1"/>
        <v>3402898907.2097039</v>
      </c>
      <c r="H5" s="1">
        <f t="shared" ca="1" si="1"/>
        <v>3637831806.5119944</v>
      </c>
      <c r="I5" s="1">
        <f t="shared" ca="1" si="1"/>
        <v>3733544189.3999758</v>
      </c>
      <c r="J5" s="1">
        <f ca="1">I5+I6+I7+I8+I9</f>
        <v>3783379693.2784667</v>
      </c>
      <c r="K5" s="1">
        <f t="shared" ca="1" si="1"/>
        <v>3784773197.4621849</v>
      </c>
      <c r="L5" s="1">
        <f t="shared" ca="1" si="1"/>
        <v>3734960330.0710378</v>
      </c>
      <c r="M5" s="1">
        <f t="shared" ca="1" si="1"/>
        <v>3644296723.7943678</v>
      </c>
      <c r="N5" s="1">
        <f t="shared" ca="1" si="1"/>
        <v>4209220319.3284674</v>
      </c>
      <c r="O5" s="1">
        <f t="shared" ca="1" si="1"/>
        <v>4750259086.30373</v>
      </c>
      <c r="P5" s="1">
        <f t="shared" ca="1" si="1"/>
        <v>5264337631.0299778</v>
      </c>
      <c r="Q5" s="1">
        <f t="shared" ca="1" si="1"/>
        <v>5748168473.1296949</v>
      </c>
      <c r="R5" s="1">
        <f t="shared" ca="1" si="1"/>
        <v>6206830090.6203213</v>
      </c>
      <c r="S5" s="1">
        <f t="shared" ca="1" si="1"/>
        <v>6636864388.2574663</v>
      </c>
      <c r="T5" s="1">
        <f t="shared" ca="1" si="1"/>
        <v>7034574841.5858507</v>
      </c>
      <c r="U5" s="1">
        <f t="shared" ca="1" si="1"/>
        <v>7396013020.684433</v>
      </c>
      <c r="V5" s="1">
        <f t="shared" ca="1" si="1"/>
        <v>7728887670.3895655</v>
      </c>
      <c r="W5" s="1">
        <f t="shared" ca="1" si="1"/>
        <v>8062611430.3915176</v>
      </c>
      <c r="X5" s="1">
        <f t="shared" ca="1" si="1"/>
        <v>8636322576.0241947</v>
      </c>
      <c r="Y5" s="1">
        <f t="shared" ca="1" si="1"/>
        <v>9225891920.6031532</v>
      </c>
      <c r="Z5" s="1">
        <f t="shared" ca="1" si="1"/>
        <v>9830948384.0664253</v>
      </c>
      <c r="AA5" s="1">
        <f t="shared" ca="1" si="1"/>
        <v>10451055463.013966</v>
      </c>
      <c r="AB5" s="1">
        <f t="shared" ca="1" si="1"/>
        <v>11085706666.487301</v>
      </c>
      <c r="AC5" s="1">
        <f t="shared" ca="1" si="1"/>
        <v>11734320702.8972</v>
      </c>
      <c r="AD5" s="1">
        <f t="shared" ca="1" si="1"/>
        <v>12396236406.047974</v>
      </c>
      <c r="AE5" s="1">
        <f t="shared" ca="1" si="1"/>
        <v>13070707387.662306</v>
      </c>
      <c r="AF5" s="1">
        <f t="shared" ca="1" si="1"/>
        <v>13756896403.242191</v>
      </c>
      <c r="AG5" s="1"/>
      <c r="AH5" s="1"/>
      <c r="AI5" s="1"/>
      <c r="AJ5" s="1"/>
      <c r="AK5" s="1"/>
      <c r="AL5" s="1"/>
      <c r="AM5" s="1"/>
      <c r="AN5" s="1"/>
      <c r="AO5" s="1"/>
      <c r="AP5" s="1"/>
    </row>
    <row r="6" spans="1:42" x14ac:dyDescent="0.35">
      <c r="A6" s="63" t="s">
        <v>223</v>
      </c>
      <c r="C6" s="1">
        <f>Assumptions!C37</f>
        <v>596656347.43265641</v>
      </c>
      <c r="D6" s="1">
        <f>Assumptions!D37</f>
        <v>0</v>
      </c>
      <c r="E6" s="1">
        <f>Assumptions!E37</f>
        <v>0</v>
      </c>
      <c r="F6" s="1">
        <f>Assumptions!F37</f>
        <v>0</v>
      </c>
      <c r="G6" s="1">
        <f>Assumptions!G37</f>
        <v>0</v>
      </c>
      <c r="H6" s="1">
        <f>Assumptions!H37</f>
        <v>0</v>
      </c>
      <c r="I6" s="1">
        <f>Assumptions!I37</f>
        <v>0</v>
      </c>
      <c r="J6" s="1">
        <f>Assumptions!J37</f>
        <v>0</v>
      </c>
      <c r="K6" s="1">
        <f>Assumptions!K37</f>
        <v>0</v>
      </c>
      <c r="L6" s="1">
        <f>Assumptions!L37</f>
        <v>0</v>
      </c>
      <c r="M6" s="1">
        <f>Assumptions!M37</f>
        <v>0</v>
      </c>
      <c r="N6" s="1">
        <f>Assumptions!N37</f>
        <v>0</v>
      </c>
      <c r="O6" s="1">
        <f>Assumptions!O37</f>
        <v>0</v>
      </c>
      <c r="P6" s="1">
        <f>Assumptions!P37</f>
        <v>0</v>
      </c>
      <c r="Q6" s="1">
        <f>Assumptions!Q37</f>
        <v>0</v>
      </c>
      <c r="R6" s="1">
        <f>Assumptions!R37</f>
        <v>0</v>
      </c>
      <c r="S6" s="1">
        <f>Assumptions!S37</f>
        <v>0</v>
      </c>
      <c r="T6" s="1">
        <f>Assumptions!T37</f>
        <v>0</v>
      </c>
      <c r="U6" s="1">
        <f>Assumptions!U37</f>
        <v>0</v>
      </c>
      <c r="V6" s="1">
        <f>Assumptions!V37</f>
        <v>0</v>
      </c>
      <c r="W6" s="1">
        <f>Assumptions!W37</f>
        <v>0</v>
      </c>
      <c r="X6" s="1">
        <f>Assumptions!X37</f>
        <v>0</v>
      </c>
      <c r="Y6" s="1">
        <f>Assumptions!Y37</f>
        <v>0</v>
      </c>
      <c r="Z6" s="1">
        <f>Assumptions!Z37</f>
        <v>0</v>
      </c>
      <c r="AA6" s="1">
        <f>Assumptions!AA37</f>
        <v>0</v>
      </c>
      <c r="AB6" s="1">
        <f>Assumptions!AB37</f>
        <v>0</v>
      </c>
      <c r="AC6" s="1">
        <f>Assumptions!AC37</f>
        <v>0</v>
      </c>
      <c r="AD6" s="1">
        <f>Assumptions!AD37</f>
        <v>0</v>
      </c>
      <c r="AE6" s="1">
        <f>Assumptions!AE37</f>
        <v>0</v>
      </c>
      <c r="AF6" s="1">
        <f>Assumptions!AF37</f>
        <v>0</v>
      </c>
      <c r="AG6" s="1"/>
      <c r="AH6" s="1"/>
      <c r="AI6" s="1"/>
      <c r="AJ6" s="1"/>
      <c r="AK6" s="1"/>
      <c r="AL6" s="1"/>
      <c r="AM6" s="1"/>
      <c r="AN6" s="1"/>
      <c r="AO6" s="1"/>
      <c r="AP6" s="1"/>
    </row>
    <row r="7" spans="1:42" x14ac:dyDescent="0.35">
      <c r="A7" s="63" t="s">
        <v>224</v>
      </c>
      <c r="C7" s="1">
        <f>Assumptions!D47*Assumptions!D9</f>
        <v>40652185.80507832</v>
      </c>
      <c r="D7" s="1">
        <f>Assumptions!E47*Assumptions!E9</f>
        <v>41546533.892790042</v>
      </c>
      <c r="E7" s="1">
        <f>Assumptions!F47*Assumptions!F9</f>
        <v>42460557.638431422</v>
      </c>
      <c r="F7" s="1">
        <f>Assumptions!G47*Assumptions!G9</f>
        <v>43394689.906476915</v>
      </c>
      <c r="G7" s="1">
        <f>Assumptions!H47*Assumptions!H9</f>
        <v>44349373.084419407</v>
      </c>
      <c r="H7" s="1">
        <f>Assumptions!I47*Assumptions!I9</f>
        <v>0</v>
      </c>
      <c r="I7" s="1">
        <f>Assumptions!J47*Assumptions!J9</f>
        <v>0</v>
      </c>
      <c r="J7" s="1">
        <f>Assumptions!K47*Assumptions!K9</f>
        <v>0</v>
      </c>
      <c r="K7" s="1">
        <f>Assumptions!L47*Assumptions!L9</f>
        <v>0</v>
      </c>
      <c r="L7" s="1">
        <f>Assumptions!M47*Assumptions!M9</f>
        <v>0</v>
      </c>
      <c r="M7" s="1">
        <f>Assumptions!N47*Assumptions!N9</f>
        <v>0</v>
      </c>
      <c r="N7" s="1">
        <f>Assumptions!O47*Assumptions!O9</f>
        <v>0</v>
      </c>
      <c r="O7" s="1">
        <f>Assumptions!P47*Assumptions!P9</f>
        <v>0</v>
      </c>
      <c r="P7" s="1">
        <f>Assumptions!Q47*Assumptions!Q9</f>
        <v>0</v>
      </c>
      <c r="Q7" s="1">
        <f>Assumptions!R47*Assumptions!R9</f>
        <v>0</v>
      </c>
      <c r="R7" s="1">
        <f>Assumptions!S47*Assumptions!S9</f>
        <v>0</v>
      </c>
      <c r="S7" s="1">
        <f>Assumptions!T47*Assumptions!T9</f>
        <v>0</v>
      </c>
      <c r="T7" s="1">
        <f>Assumptions!U47*Assumptions!U9</f>
        <v>0</v>
      </c>
      <c r="U7" s="1">
        <f>Assumptions!V47*Assumptions!V9</f>
        <v>0</v>
      </c>
      <c r="V7" s="1">
        <f>Assumptions!W47*Assumptions!W9</f>
        <v>0</v>
      </c>
      <c r="W7" s="1">
        <f>Assumptions!X47*Assumptions!X9</f>
        <v>0</v>
      </c>
      <c r="X7" s="1">
        <f>Assumptions!Y47*Assumptions!Y9</f>
        <v>0</v>
      </c>
      <c r="Y7" s="1">
        <f>Assumptions!Z47*Assumptions!Z9</f>
        <v>0</v>
      </c>
      <c r="Z7" s="1">
        <f>Assumptions!AA47*Assumptions!AA9</f>
        <v>0</v>
      </c>
      <c r="AA7" s="1">
        <f>Assumptions!AB47*Assumptions!AB9</f>
        <v>0</v>
      </c>
      <c r="AB7" s="1">
        <f>Assumptions!AC47*Assumptions!AC9</f>
        <v>0</v>
      </c>
      <c r="AC7" s="1">
        <f>Assumptions!AD47*Assumptions!AD9</f>
        <v>0</v>
      </c>
      <c r="AD7" s="1">
        <f>Assumptions!AE47*Assumptions!AE9</f>
        <v>0</v>
      </c>
      <c r="AE7" s="1">
        <f>Assumptions!AF47*Assumptions!AF9</f>
        <v>0</v>
      </c>
      <c r="AF7" s="1">
        <f>Assumptions!AG47*Assumptions!AG9</f>
        <v>0</v>
      </c>
      <c r="AG7" s="1"/>
      <c r="AH7" s="1"/>
      <c r="AI7" s="1"/>
      <c r="AJ7" s="1"/>
      <c r="AK7" s="1"/>
      <c r="AL7" s="1"/>
      <c r="AM7" s="1"/>
      <c r="AN7" s="1"/>
      <c r="AO7" s="1"/>
      <c r="AP7" s="1"/>
    </row>
    <row r="8" spans="1:42" x14ac:dyDescent="0.35">
      <c r="A8" s="63" t="s">
        <v>220</v>
      </c>
      <c r="C8" s="1">
        <f>-'Cash Flow'!C9</f>
        <v>-19888544.914421879</v>
      </c>
      <c r="D8" s="1">
        <f>-'Cash Flow'!D9</f>
        <v>-19888544.914421879</v>
      </c>
      <c r="E8" s="1">
        <f>-'Cash Flow'!E9</f>
        <v>-19888544.914421879</v>
      </c>
      <c r="F8" s="1">
        <f>-'Cash Flow'!F9</f>
        <v>-19888544.914421879</v>
      </c>
      <c r="G8" s="1">
        <f>-'Cash Flow'!G9</f>
        <v>-19888544.914421879</v>
      </c>
      <c r="H8" s="1">
        <f>-'Cash Flow'!H9</f>
        <v>-19888544.914421879</v>
      </c>
      <c r="I8" s="1">
        <f>-'Cash Flow'!I9</f>
        <v>-19888544.914421879</v>
      </c>
      <c r="J8" s="1">
        <f>-'Cash Flow'!J9</f>
        <v>-19888544.914421879</v>
      </c>
      <c r="K8" s="1">
        <f>-'Cash Flow'!K9</f>
        <v>-19888544.914421879</v>
      </c>
      <c r="L8" s="1">
        <f>-'Cash Flow'!L9</f>
        <v>-19888544.914421879</v>
      </c>
      <c r="M8" s="1">
        <f>-'Cash Flow'!M9</f>
        <v>-19888544.914421879</v>
      </c>
      <c r="N8" s="1">
        <f>-'Cash Flow'!N9</f>
        <v>-19888544.914421879</v>
      </c>
      <c r="O8" s="1">
        <f>-'Cash Flow'!O9</f>
        <v>-19888544.914421879</v>
      </c>
      <c r="P8" s="1">
        <f>-'Cash Flow'!P9</f>
        <v>-19888544.914421879</v>
      </c>
      <c r="Q8" s="1">
        <f>-'Cash Flow'!Q9</f>
        <v>-19888544.914421879</v>
      </c>
      <c r="R8" s="1">
        <f>-'Cash Flow'!R9</f>
        <v>-19888544.914421879</v>
      </c>
      <c r="S8" s="1">
        <f>-'Cash Flow'!S9</f>
        <v>-19888544.914421879</v>
      </c>
      <c r="T8" s="1">
        <f>-'Cash Flow'!T9</f>
        <v>-19888544.914421879</v>
      </c>
      <c r="U8" s="1">
        <f>-'Cash Flow'!U9</f>
        <v>-19888544.914421879</v>
      </c>
      <c r="V8" s="1">
        <f>-'Cash Flow'!V9</f>
        <v>-19888544.914421879</v>
      </c>
      <c r="W8" s="1">
        <f>-'Cash Flow'!W9</f>
        <v>-19888544.914421879</v>
      </c>
      <c r="X8" s="1">
        <f>-'Cash Flow'!X9</f>
        <v>-19888544.914421879</v>
      </c>
      <c r="Y8" s="1">
        <f>-'Cash Flow'!Y9</f>
        <v>-19888544.914421879</v>
      </c>
      <c r="Z8" s="1">
        <f>-'Cash Flow'!Z9</f>
        <v>-19888544.914421879</v>
      </c>
      <c r="AA8" s="1">
        <f>-'Cash Flow'!AA9</f>
        <v>-19888544.914421879</v>
      </c>
      <c r="AB8" s="1">
        <f>-'Cash Flow'!AB9</f>
        <v>-19888544.914421879</v>
      </c>
      <c r="AC8" s="1">
        <f>-'Cash Flow'!AC9</f>
        <v>-19888544.914421879</v>
      </c>
      <c r="AD8" s="1">
        <f>-'Cash Flow'!AD9</f>
        <v>-19888544.914421879</v>
      </c>
      <c r="AE8" s="1">
        <f>-'Cash Flow'!AE9</f>
        <v>-19888544.914421879</v>
      </c>
      <c r="AF8" s="1">
        <f>-'Cash Flow'!AF9</f>
        <v>-19888544.914421879</v>
      </c>
      <c r="AG8" s="1"/>
      <c r="AH8" s="1"/>
      <c r="AI8" s="1"/>
      <c r="AJ8" s="1"/>
      <c r="AK8" s="1"/>
      <c r="AL8" s="1"/>
      <c r="AM8" s="1"/>
      <c r="AN8" s="1"/>
      <c r="AO8" s="1"/>
      <c r="AP8" s="1"/>
    </row>
    <row r="9" spans="1:42" x14ac:dyDescent="0.35">
      <c r="A9" s="63" t="s">
        <v>3</v>
      </c>
      <c r="C9" s="1">
        <f ca="1">-'Cash Flow'!C13</f>
        <v>362782310.32302511</v>
      </c>
      <c r="D9" s="1">
        <f ca="1">-'Cash Flow'!D13</f>
        <v>309212637.54070413</v>
      </c>
      <c r="E9" s="1">
        <f ca="1">-'Cash Flow'!E13</f>
        <v>267767909.44439149</v>
      </c>
      <c r="F9" s="1">
        <f ca="1">-'Cash Flow'!F13</f>
        <v>254856322.69811976</v>
      </c>
      <c r="G9" s="1">
        <f ca="1">-'Cash Flow'!G13</f>
        <v>210472071.1322934</v>
      </c>
      <c r="H9" s="1">
        <f ca="1">-'Cash Flow'!H13</f>
        <v>115600927.80240357</v>
      </c>
      <c r="I9" s="1">
        <f ca="1">-'Cash Flow'!I13</f>
        <v>69724048.792913079</v>
      </c>
      <c r="J9" s="1">
        <f ca="1">-'Cash Flow'!J13</f>
        <v>21282049.098140121</v>
      </c>
      <c r="K9" s="1">
        <f ca="1">-'Cash Flow'!K13</f>
        <v>-29924322.476725101</v>
      </c>
      <c r="L9" s="1">
        <f ca="1">-'Cash Flow'!L13</f>
        <v>-70775061.362247705</v>
      </c>
      <c r="M9" s="1">
        <f ca="1">-'Cash Flow'!M13</f>
        <v>584812140.44852138</v>
      </c>
      <c r="N9" s="1">
        <f ca="1">-'Cash Flow'!N13</f>
        <v>560927311.88968515</v>
      </c>
      <c r="O9" s="1">
        <f ca="1">-'Cash Flow'!O13</f>
        <v>533967089.64066958</v>
      </c>
      <c r="P9" s="1">
        <f ca="1">-'Cash Flow'!P13</f>
        <v>503719387.01413894</v>
      </c>
      <c r="Q9" s="1">
        <f ca="1">-'Cash Flow'!Q13</f>
        <v>478550162.40504873</v>
      </c>
      <c r="R9" s="1">
        <f ca="1">-'Cash Flow'!R13</f>
        <v>449922842.55156684</v>
      </c>
      <c r="S9" s="1">
        <f ca="1">-'Cash Flow'!S13</f>
        <v>417598998.2428062</v>
      </c>
      <c r="T9" s="1">
        <f ca="1">-'Cash Flow'!T13</f>
        <v>381326724.01300395</v>
      </c>
      <c r="U9" s="1">
        <f ca="1">-'Cash Flow'!U13</f>
        <v>352763194.61955416</v>
      </c>
      <c r="V9" s="1">
        <f ca="1">-'Cash Flow'!V13</f>
        <v>353612304.91637433</v>
      </c>
      <c r="W9" s="1">
        <f ca="1">-'Cash Flow'!W13</f>
        <v>593599690.54709876</v>
      </c>
      <c r="X9" s="1">
        <f ca="1">-'Cash Flow'!X13</f>
        <v>609457889.49337888</v>
      </c>
      <c r="Y9" s="1">
        <f ca="1">-'Cash Flow'!Y13</f>
        <v>624945008.37769341</v>
      </c>
      <c r="Z9" s="1">
        <f ca="1">-'Cash Flow'!Z13</f>
        <v>639995623.86196065</v>
      </c>
      <c r="AA9" s="1">
        <f ca="1">-'Cash Flow'!AA13</f>
        <v>654539748.38775611</v>
      </c>
      <c r="AB9" s="1">
        <f ca="1">-'Cash Flow'!AB13</f>
        <v>668502581.32432032</v>
      </c>
      <c r="AC9" s="1">
        <f ca="1">-'Cash Flow'!AC13</f>
        <v>681804248.06519437</v>
      </c>
      <c r="AD9" s="1">
        <f ca="1">-'Cash Flow'!AD13</f>
        <v>694359526.52875352</v>
      </c>
      <c r="AE9" s="1">
        <f ca="1">-'Cash Flow'!AE13</f>
        <v>706077560.4943068</v>
      </c>
      <c r="AF9" s="1">
        <f ca="1">-'Cash Flow'!AF13</f>
        <v>716861559.18093419</v>
      </c>
      <c r="AG9" s="1"/>
      <c r="AH9" s="1"/>
      <c r="AI9" s="1"/>
      <c r="AJ9" s="1"/>
      <c r="AK9" s="1"/>
      <c r="AL9" s="1"/>
      <c r="AM9" s="1"/>
      <c r="AN9" s="1"/>
      <c r="AO9" s="1"/>
      <c r="AP9" s="1"/>
    </row>
    <row r="10" spans="1:42" x14ac:dyDescent="0.35">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42" x14ac:dyDescent="0.35">
      <c r="A11" s="63" t="s">
        <v>5</v>
      </c>
      <c r="C11" s="1">
        <f ca="1">IF(SUM(C5:C9)&gt;0,Assumptions!$C$26*SUM(C5:C9),Assumptions!$C$27*(SUM(C5:C9)))</f>
        <v>87616406.179121971</v>
      </c>
      <c r="D11" s="1">
        <f ca="1">IF(SUM(D5:D9)&gt;0,Assumptions!$C$26*SUM(D5:D9),Assumptions!$C$27*(SUM(D5:D9)))</f>
        <v>99196878.107289493</v>
      </c>
      <c r="E11" s="1">
        <f ca="1">IF(SUM(E5:E9)&gt;0,Assumptions!$C$26*SUM(E5:E9),Assumptions!$C$27*(SUM(E5:E9)))</f>
        <v>109358775.38318354</v>
      </c>
      <c r="F11" s="1">
        <f ca="1">IF(SUM(F5:F9)&gt;0,Assumptions!$C$26*SUM(F5:F9),Assumptions!$C$27*(SUM(F5:F9)))</f>
        <v>119101461.75233965</v>
      </c>
      <c r="G11" s="1">
        <f ca="1">IF(SUM(G5:G9)&gt;0,Assumptions!$C$26*SUM(G5:G9),Assumptions!$C$27*(SUM(G5:G9)))</f>
        <v>127324113.22791982</v>
      </c>
      <c r="H11" s="1">
        <f ca="1">IF(SUM(H5:H9)&gt;0,Assumptions!$C$26*SUM(H5:H9),Assumptions!$C$27*(SUM(H5:H9)))</f>
        <v>130674046.62899916</v>
      </c>
      <c r="I11" s="1">
        <f ca="1">IF(SUM(I5:I9)&gt;0,Assumptions!$C$26*SUM(I5:I9),Assumptions!$C$27*(SUM(I5:I9)))</f>
        <v>132418289.26474635</v>
      </c>
      <c r="J11" s="1">
        <f ca="1">IF(SUM(J5:J9)&gt;0,Assumptions!$C$26*SUM(J5:J9),Assumptions!$C$27*(SUM(J5:J9)))</f>
        <v>132467061.91117649</v>
      </c>
      <c r="K11" s="1">
        <f ca="1">IF(SUM(K5:K9)&gt;0,Assumptions!$C$26*SUM(K5:K9),Assumptions!$C$27*(SUM(K5:K9)))</f>
        <v>130723611.55248633</v>
      </c>
      <c r="L11" s="1">
        <f ca="1">IF(SUM(L5:L9)&gt;0,Assumptions!$C$26*SUM(L5:L9),Assumptions!$C$27*(SUM(L5:L9)))</f>
        <v>127550385.33280289</v>
      </c>
      <c r="M11" s="1">
        <f ca="1">IF(SUM(M5:M9)&gt;0,Assumptions!$C$26*SUM(M5:M9),Assumptions!$C$27*(SUM(M5:M9)))</f>
        <v>147322711.17649639</v>
      </c>
      <c r="N11" s="1">
        <f ca="1">IF(SUM(N5:N9)&gt;0,Assumptions!$C$26*SUM(N5:N9),Assumptions!$C$27*(SUM(N5:N9)))</f>
        <v>166259068.02063057</v>
      </c>
      <c r="O11" s="1">
        <f ca="1">IF(SUM(O5:O9)&gt;0,Assumptions!$C$26*SUM(O5:O9),Assumptions!$C$27*(SUM(O5:O9)))</f>
        <v>184251817.08604923</v>
      </c>
      <c r="P11" s="1">
        <f ca="1">IF(SUM(P5:P9)&gt;0,Assumptions!$C$26*SUM(P5:P9),Assumptions!$C$27*(SUM(P5:P9)))</f>
        <v>201185896.55953935</v>
      </c>
      <c r="Q11" s="1">
        <f ca="1">IF(SUM(Q5:Q9)&gt;0,Assumptions!$C$26*SUM(Q5:Q9),Assumptions!$C$27*(SUM(Q5:Q9)))</f>
        <v>217239053.17171127</v>
      </c>
      <c r="R11" s="1">
        <f ca="1">IF(SUM(R5:R9)&gt;0,Assumptions!$C$26*SUM(R5:R9),Assumptions!$C$27*(SUM(R5:R9)))</f>
        <v>232290253.58901134</v>
      </c>
      <c r="S11" s="1">
        <f ca="1">IF(SUM(S5:S9)&gt;0,Assumptions!$C$26*SUM(S5:S9),Assumptions!$C$27*(SUM(S5:S9)))</f>
        <v>246210119.4555048</v>
      </c>
      <c r="T11" s="1">
        <f ca="1">IF(SUM(T5:T9)&gt;0,Assumptions!$C$26*SUM(T5:T9),Assumptions!$C$27*(SUM(T5:T9)))</f>
        <v>258860455.72395518</v>
      </c>
      <c r="U11" s="1">
        <f ca="1">IF(SUM(U5:U9)&gt;0,Assumptions!$C$26*SUM(U5:U9),Assumptions!$C$27*(SUM(U5:U9)))</f>
        <v>270511068.46363479</v>
      </c>
      <c r="V11" s="1">
        <f ca="1">IF(SUM(V5:V9)&gt;0,Assumptions!$C$26*SUM(V5:V9),Assumptions!$C$27*(SUM(V5:V9)))</f>
        <v>282191400.06370312</v>
      </c>
      <c r="W11" s="1">
        <f ca="1">IF(SUM(W5:W9)&gt;0,Assumptions!$C$26*SUM(W5:W9),Assumptions!$C$27*(SUM(W5:W9)))</f>
        <v>302271290.16084683</v>
      </c>
      <c r="X11" s="1">
        <f ca="1">IF(SUM(X5:X9)&gt;0,Assumptions!$C$26*SUM(X5:X9),Assumptions!$C$27*(SUM(X5:X9)))</f>
        <v>322906217.2211104</v>
      </c>
      <c r="Y11" s="1">
        <f ca="1">IF(SUM(Y5:Y9)&gt;0,Assumptions!$C$26*SUM(Y5:Y9),Assumptions!$C$27*(SUM(Y5:Y9)))</f>
        <v>344083193.44232494</v>
      </c>
      <c r="Z11" s="1">
        <f ca="1">IF(SUM(Z5:Z9)&gt;0,Assumptions!$C$26*SUM(Z5:Z9),Assumptions!$C$27*(SUM(Z5:Z9)))</f>
        <v>365786941.20548886</v>
      </c>
      <c r="AA11" s="1">
        <f ca="1">IF(SUM(AA5:AA9)&gt;0,Assumptions!$C$26*SUM(AA5:AA9),Assumptions!$C$27*(SUM(AA5:AA9)))</f>
        <v>387999733.32705557</v>
      </c>
      <c r="AB11" s="1">
        <f ca="1">IF(SUM(AB5:AB9)&gt;0,Assumptions!$C$26*SUM(AB5:AB9),Assumptions!$C$27*(SUM(AB5:AB9)))</f>
        <v>410701224.60140204</v>
      </c>
      <c r="AC11" s="1">
        <f ca="1">IF(SUM(AC5:AC9)&gt;0,Assumptions!$C$26*SUM(AC5:AC9),Assumptions!$C$27*(SUM(AC5:AC9)))</f>
        <v>433868274.2116791</v>
      </c>
      <c r="AD11" s="1">
        <f ca="1">IF(SUM(AD5:AD9)&gt;0,Assumptions!$C$26*SUM(AD5:AD9),Assumptions!$C$27*(SUM(AD5:AD9)))</f>
        <v>457474758.56818074</v>
      </c>
      <c r="AE11" s="1">
        <f ca="1">IF(SUM(AE5:AE9)&gt;0,Assumptions!$C$26*SUM(AE5:AE9),Assumptions!$C$27*(SUM(AE5:AE9)))</f>
        <v>481491374.11347675</v>
      </c>
      <c r="AF11" s="1">
        <f ca="1">IF(SUM(AF5:AF9)&gt;0,Assumptions!$C$26*SUM(AF5:AF9),Assumptions!$C$27*(SUM(AF5:AF9)))</f>
        <v>505885429.61280471</v>
      </c>
      <c r="AG11" s="1"/>
      <c r="AH11" s="1"/>
      <c r="AI11" s="1"/>
      <c r="AJ11" s="1"/>
      <c r="AK11" s="1"/>
      <c r="AL11" s="1"/>
      <c r="AM11" s="1"/>
      <c r="AN11" s="1"/>
      <c r="AO11" s="1"/>
      <c r="AP11" s="1"/>
    </row>
    <row r="12" spans="1:42" x14ac:dyDescent="0.3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row>
    <row r="14" spans="1:42" x14ac:dyDescent="0.35">
      <c r="K14" s="5"/>
      <c r="L14" s="5"/>
      <c r="M14" s="5"/>
      <c r="N14" s="5"/>
      <c r="O14" s="5"/>
      <c r="P14" s="5"/>
      <c r="Q14" s="5"/>
      <c r="R14" s="5"/>
      <c r="S14" s="5"/>
      <c r="T14" s="5"/>
      <c r="U14" s="5"/>
      <c r="V14" s="5"/>
      <c r="W14" s="5"/>
      <c r="X14" s="5"/>
      <c r="Y14" s="5"/>
      <c r="Z14" s="5"/>
      <c r="AA14" s="5"/>
      <c r="AB14" s="5"/>
      <c r="AC14" s="5"/>
      <c r="AD14" s="5"/>
      <c r="AE14" s="5"/>
      <c r="AF14" s="5"/>
    </row>
  </sheetData>
  <sheetProtection algorithmName="SHA-512" hashValue="2vnQd7ZeWfZyaaMKCOfxAZBFF9o1OqywewEhzq2lv4CEGuBSBs2y4DOp7AN4DCr8nd2ZVLYxVrLxvXWWhwRLcA==" saltValue="GzkaqSeW/SJamt43waGh0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68"/>
  </cols>
  <sheetData>
    <row r="1" spans="1:1" x14ac:dyDescent="0.35">
      <c r="A1" s="169"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10" zoomScaleNormal="100" workbookViewId="0">
      <selection sqref="A1:XFD1048576"/>
    </sheetView>
  </sheetViews>
  <sheetFormatPr defaultRowHeight="15.5" x14ac:dyDescent="0.35"/>
  <cols>
    <col min="1" max="1" width="107.9140625" style="63" customWidth="1"/>
    <col min="2" max="2" width="18.1640625" style="63" bestFit="1" customWidth="1"/>
    <col min="3" max="3" width="37.08203125" style="63" customWidth="1"/>
    <col min="4" max="16384" width="8.6640625" style="63"/>
  </cols>
  <sheetData>
    <row r="1" spans="1:3" ht="26" x14ac:dyDescent="0.6">
      <c r="A1" s="13" t="s">
        <v>190</v>
      </c>
    </row>
    <row r="2" spans="1:3" ht="26" x14ac:dyDescent="0.6">
      <c r="A2" s="13"/>
    </row>
    <row r="3" spans="1:3" ht="186" x14ac:dyDescent="0.35">
      <c r="A3" s="167" t="s">
        <v>193</v>
      </c>
    </row>
    <row r="4" spans="1:3" ht="26" x14ac:dyDescent="0.6">
      <c r="A4" s="13"/>
    </row>
    <row r="5" spans="1:3" ht="18.5" x14ac:dyDescent="0.45">
      <c r="A5" s="87" t="s">
        <v>182</v>
      </c>
      <c r="B5" s="88"/>
    </row>
    <row r="6" spans="1:3" ht="18.5" x14ac:dyDescent="0.45">
      <c r="A6" s="88"/>
      <c r="B6" s="88"/>
    </row>
    <row r="7" spans="1:3" ht="18.5" x14ac:dyDescent="0.45">
      <c r="A7" s="88" t="s">
        <v>120</v>
      </c>
      <c r="B7" s="89">
        <f>Assumptions!C24</f>
        <v>486135182.59173912</v>
      </c>
      <c r="C7" s="170" t="s">
        <v>282</v>
      </c>
    </row>
    <row r="8" spans="1:3" ht="32" x14ac:dyDescent="0.45">
      <c r="A8" s="88" t="s">
        <v>178</v>
      </c>
      <c r="B8" s="90">
        <f>Assumptions!$C$140</f>
        <v>0.7</v>
      </c>
      <c r="C8" s="170" t="s">
        <v>283</v>
      </c>
    </row>
    <row r="9" spans="1:3" ht="18.5" x14ac:dyDescent="0.45">
      <c r="A9" s="88"/>
      <c r="B9" s="91"/>
      <c r="C9" s="170"/>
    </row>
    <row r="10" spans="1:3" ht="18.5" x14ac:dyDescent="0.45">
      <c r="A10" s="92" t="s">
        <v>125</v>
      </c>
      <c r="B10" s="93">
        <f>Assumptions!C142</f>
        <v>320055.73518518516</v>
      </c>
      <c r="C10" s="170" t="s">
        <v>282</v>
      </c>
    </row>
    <row r="11" spans="1:3" ht="18.5" x14ac:dyDescent="0.45">
      <c r="A11" s="92"/>
      <c r="B11" s="92"/>
      <c r="C11" s="170"/>
    </row>
    <row r="12" spans="1:3" ht="18.5" x14ac:dyDescent="0.45">
      <c r="A12" s="92" t="s">
        <v>189</v>
      </c>
      <c r="B12" s="89">
        <f>(B7*B8)/B10</f>
        <v>1063.2355255790744</v>
      </c>
      <c r="C12" s="170"/>
    </row>
    <row r="13" spans="1:3" ht="18.5" x14ac:dyDescent="0.45">
      <c r="A13" s="94"/>
      <c r="B13" s="95"/>
      <c r="C13" s="170"/>
    </row>
    <row r="14" spans="1:3" ht="18.5" x14ac:dyDescent="0.45">
      <c r="A14" s="92" t="s">
        <v>126</v>
      </c>
      <c r="B14" s="96">
        <v>1</v>
      </c>
      <c r="C14" s="170"/>
    </row>
    <row r="15" spans="1:3" ht="18.5" x14ac:dyDescent="0.45">
      <c r="A15" s="94"/>
      <c r="B15" s="97"/>
      <c r="C15" s="170"/>
    </row>
    <row r="16" spans="1:3" ht="18.5" x14ac:dyDescent="0.45">
      <c r="A16" s="94" t="s">
        <v>184</v>
      </c>
      <c r="B16" s="98">
        <f>B12/B14</f>
        <v>1063.2355255790744</v>
      </c>
      <c r="C16" s="170"/>
    </row>
    <row r="17" spans="1:3" ht="18.5" x14ac:dyDescent="0.45">
      <c r="A17" s="92"/>
      <c r="B17" s="99"/>
      <c r="C17" s="170"/>
    </row>
    <row r="18" spans="1:3" ht="18.5" x14ac:dyDescent="0.45">
      <c r="A18" s="100" t="s">
        <v>183</v>
      </c>
      <c r="B18" s="99"/>
      <c r="C18" s="170"/>
    </row>
    <row r="19" spans="1:3" ht="18.5" x14ac:dyDescent="0.45">
      <c r="A19" s="92"/>
      <c r="B19" s="99"/>
      <c r="C19" s="170"/>
    </row>
    <row r="20" spans="1:3" ht="18.5" x14ac:dyDescent="0.45">
      <c r="A20" s="92" t="s">
        <v>84</v>
      </c>
      <c r="B20" s="89">
        <f>'Profit and Loss'!L5</f>
        <v>1014963279.7532471</v>
      </c>
      <c r="C20" s="170" t="s">
        <v>282</v>
      </c>
    </row>
    <row r="21" spans="1:3" ht="32" x14ac:dyDescent="0.45">
      <c r="A21" s="92" t="str">
        <f>A8</f>
        <v>Assumed revenue from households</v>
      </c>
      <c r="B21" s="90">
        <f>B8</f>
        <v>0.7</v>
      </c>
      <c r="C21" s="170" t="s">
        <v>283</v>
      </c>
    </row>
    <row r="22" spans="1:3" ht="18.5" x14ac:dyDescent="0.45">
      <c r="A22" s="92"/>
      <c r="B22" s="92"/>
      <c r="C22" s="170"/>
    </row>
    <row r="23" spans="1:3" ht="18.5" x14ac:dyDescent="0.45">
      <c r="A23" s="92" t="s">
        <v>124</v>
      </c>
      <c r="B23" s="93">
        <f>Assumptions!M142</f>
        <v>362508.87022721785</v>
      </c>
      <c r="C23" s="170" t="s">
        <v>282</v>
      </c>
    </row>
    <row r="24" spans="1:3" ht="18.5" x14ac:dyDescent="0.45">
      <c r="A24" s="92"/>
      <c r="B24" s="92"/>
      <c r="C24" s="170"/>
    </row>
    <row r="25" spans="1:3" ht="18.5" x14ac:dyDescent="0.45">
      <c r="A25" s="92" t="s">
        <v>188</v>
      </c>
      <c r="B25" s="89">
        <f>(B20*B21)/B23</f>
        <v>1959.8811344449393</v>
      </c>
      <c r="C25" s="170"/>
    </row>
    <row r="26" spans="1:3" ht="18.5" x14ac:dyDescent="0.45">
      <c r="A26" s="92"/>
      <c r="B26" s="89"/>
      <c r="C26" s="170"/>
    </row>
    <row r="27" spans="1:3" ht="32" x14ac:dyDescent="0.45">
      <c r="A27" s="92" t="s">
        <v>126</v>
      </c>
      <c r="B27" s="101">
        <f>1.022^11</f>
        <v>1.2704566586717592</v>
      </c>
      <c r="C27" s="170" t="s">
        <v>284</v>
      </c>
    </row>
    <row r="28" spans="1:3" ht="18.5" x14ac:dyDescent="0.45">
      <c r="A28" s="94"/>
      <c r="B28" s="95"/>
      <c r="C28" s="170"/>
    </row>
    <row r="29" spans="1:3" ht="18.5" x14ac:dyDescent="0.45">
      <c r="A29" s="94" t="s">
        <v>185</v>
      </c>
      <c r="B29" s="89">
        <f>B25/B27</f>
        <v>1542.6587920708462</v>
      </c>
      <c r="C29" s="170"/>
    </row>
    <row r="30" spans="1:3" ht="18.5" x14ac:dyDescent="0.45">
      <c r="A30" s="94"/>
      <c r="B30" s="95"/>
      <c r="C30" s="170"/>
    </row>
    <row r="31" spans="1:3" ht="18.5" x14ac:dyDescent="0.45">
      <c r="A31" s="100" t="s">
        <v>191</v>
      </c>
      <c r="B31" s="94"/>
      <c r="C31" s="170"/>
    </row>
    <row r="32" spans="1:3" ht="18.5" x14ac:dyDescent="0.45">
      <c r="A32" s="92"/>
      <c r="B32" s="89"/>
      <c r="C32" s="170"/>
    </row>
    <row r="33" spans="1:3" ht="18.5" x14ac:dyDescent="0.45">
      <c r="A33" s="92" t="s">
        <v>85</v>
      </c>
      <c r="B33" s="89">
        <f>'Profit and Loss'!AF5</f>
        <v>2141632384.1403179</v>
      </c>
      <c r="C33" s="170" t="s">
        <v>282</v>
      </c>
    </row>
    <row r="34" spans="1:3" ht="32" x14ac:dyDescent="0.45">
      <c r="A34" s="92" t="str">
        <f>A21</f>
        <v>Assumed revenue from households</v>
      </c>
      <c r="B34" s="90">
        <f>B21</f>
        <v>0.7</v>
      </c>
      <c r="C34" s="170" t="s">
        <v>283</v>
      </c>
    </row>
    <row r="35" spans="1:3" ht="18.5" x14ac:dyDescent="0.45">
      <c r="A35" s="92"/>
      <c r="B35" s="92"/>
      <c r="C35" s="170"/>
    </row>
    <row r="36" spans="1:3" ht="18.5" x14ac:dyDescent="0.45">
      <c r="A36" s="92" t="s">
        <v>123</v>
      </c>
      <c r="B36" s="93">
        <f>Assumptions!AG142</f>
        <v>465055.39364031394</v>
      </c>
      <c r="C36" s="170" t="s">
        <v>282</v>
      </c>
    </row>
    <row r="37" spans="1:3" ht="18.5" x14ac:dyDescent="0.45">
      <c r="A37" s="92"/>
      <c r="B37" s="92"/>
      <c r="C37" s="170"/>
    </row>
    <row r="38" spans="1:3" ht="18.5" x14ac:dyDescent="0.45">
      <c r="A38" s="92" t="s">
        <v>187</v>
      </c>
      <c r="B38" s="89">
        <f>(B33*B34)/B36</f>
        <v>3223.5787164264107</v>
      </c>
      <c r="C38" s="170"/>
    </row>
    <row r="39" spans="1:3" ht="18.5" x14ac:dyDescent="0.45">
      <c r="A39" s="92"/>
      <c r="B39" s="92"/>
      <c r="C39" s="170"/>
    </row>
    <row r="40" spans="1:3" ht="32" x14ac:dyDescent="0.45">
      <c r="A40" s="92" t="s">
        <v>126</v>
      </c>
      <c r="B40" s="101">
        <f>1.022^31</f>
        <v>1.9632597808456462</v>
      </c>
      <c r="C40" s="170" t="s">
        <v>284</v>
      </c>
    </row>
    <row r="41" spans="1:3" ht="18.5" x14ac:dyDescent="0.45">
      <c r="A41" s="94"/>
      <c r="B41" s="95"/>
      <c r="C41" s="170"/>
    </row>
    <row r="42" spans="1:3" ht="18.5" x14ac:dyDescent="0.45">
      <c r="A42" s="94" t="s">
        <v>186</v>
      </c>
      <c r="B42" s="89">
        <f>B38/B40</f>
        <v>1641.9522000485845</v>
      </c>
      <c r="C42" s="17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68"/>
  </cols>
  <sheetData>
    <row r="1" spans="1:1" x14ac:dyDescent="0.35">
      <c r="A1" s="169"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BF43-D3FD-481F-AEAC-4042EC153BC7}">
  <dimension ref="A1:BD27"/>
  <sheetViews>
    <sheetView zoomScale="60" zoomScaleNormal="60" workbookViewId="0">
      <selection activeCell="L1" sqref="A1:XFD1048576"/>
    </sheetView>
  </sheetViews>
  <sheetFormatPr defaultColWidth="21.4140625" defaultRowHeight="15.5" x14ac:dyDescent="0.35"/>
  <cols>
    <col min="1" max="1" width="25.6640625" style="181" customWidth="1"/>
    <col min="2" max="2" width="28.33203125" style="179" bestFit="1" customWidth="1"/>
    <col min="3" max="3" width="24.25" style="179" bestFit="1" customWidth="1"/>
    <col min="4" max="4" width="53.4140625" style="179" customWidth="1"/>
    <col min="5" max="5" width="21.4140625" style="179"/>
    <col min="6" max="6" width="28.33203125" style="179" bestFit="1" customWidth="1"/>
    <col min="7" max="7" width="24.25" style="179" bestFit="1" customWidth="1"/>
    <col min="8" max="8" width="39.83203125" style="179" bestFit="1" customWidth="1"/>
    <col min="9" max="11" width="21.4140625" style="181"/>
    <col min="12" max="12" width="61.08203125" style="181" customWidth="1"/>
    <col min="13" max="13" width="21.4140625" style="179"/>
    <col min="14" max="14" width="36.25" style="179" bestFit="1" customWidth="1"/>
    <col min="15" max="15" width="12.5" style="179" bestFit="1" customWidth="1"/>
    <col min="16" max="16" width="39.83203125" style="179" bestFit="1" customWidth="1"/>
    <col min="17" max="17" width="21.4140625" style="179"/>
    <col min="18" max="18" width="36.25" style="179" bestFit="1" customWidth="1"/>
    <col min="19" max="19" width="21.4140625" style="179"/>
    <col min="20" max="20" width="39.83203125" style="179" bestFit="1" customWidth="1"/>
    <col min="21" max="21" width="21.4140625" style="179"/>
    <col min="22" max="22" width="26.1640625" style="179" bestFit="1" customWidth="1"/>
    <col min="23" max="23" width="12" style="179" bestFit="1" customWidth="1"/>
    <col min="24" max="24" width="170" style="179" bestFit="1" customWidth="1"/>
    <col min="25" max="25" width="11.5" style="179" customWidth="1"/>
    <col min="26" max="26" width="28" style="179" bestFit="1" customWidth="1"/>
    <col min="27" max="27" width="30.08203125" style="179" customWidth="1"/>
    <col min="28" max="28" width="25.4140625" style="179" customWidth="1"/>
    <col min="29" max="29" width="26.5" style="179" customWidth="1"/>
    <col min="30" max="30" width="23.25" style="179" customWidth="1"/>
    <col min="31" max="31" width="26.83203125" style="179" customWidth="1"/>
    <col min="32" max="32" width="31.6640625" style="179" customWidth="1"/>
    <col min="33" max="41" width="31.6640625" style="181" customWidth="1"/>
    <col min="42" max="42" width="49" style="181" bestFit="1" customWidth="1"/>
    <col min="43" max="43" width="49.5" style="181" bestFit="1" customWidth="1"/>
    <col min="44" max="44" width="49.5" style="181" customWidth="1"/>
    <col min="45" max="50" width="31.6640625" style="181" customWidth="1"/>
    <col min="51" max="51" width="40.5" style="181" customWidth="1"/>
    <col min="52" max="56" width="31.6640625" style="181" customWidth="1"/>
    <col min="57" max="16384" width="21.4140625" style="179"/>
  </cols>
  <sheetData>
    <row r="1" spans="1:56" ht="23.5" customHeight="1" x14ac:dyDescent="0.35"/>
    <row r="3" spans="1:56" s="181" customFormat="1" x14ac:dyDescent="0.35">
      <c r="A3" s="185"/>
      <c r="Z3" s="182"/>
      <c r="AD3" s="182"/>
    </row>
    <row r="4" spans="1:56" s="191" customFormat="1" ht="57" x14ac:dyDescent="0.35">
      <c r="A4" s="207"/>
      <c r="B4" s="199" t="s">
        <v>0</v>
      </c>
      <c r="D4" s="182"/>
      <c r="E4" s="182"/>
      <c r="F4" s="200" t="s">
        <v>108</v>
      </c>
      <c r="G4" s="182"/>
      <c r="H4" s="182"/>
      <c r="I4" s="182"/>
      <c r="J4" s="200" t="s">
        <v>109</v>
      </c>
      <c r="K4" s="182"/>
      <c r="L4" s="182"/>
      <c r="M4" s="182"/>
      <c r="N4" s="200" t="s">
        <v>64</v>
      </c>
      <c r="O4" s="182"/>
      <c r="P4" s="182"/>
      <c r="Q4" s="182"/>
      <c r="R4" s="200" t="s">
        <v>65</v>
      </c>
      <c r="S4" s="182"/>
      <c r="T4" s="182"/>
      <c r="U4" s="182"/>
      <c r="V4" s="200" t="s">
        <v>31</v>
      </c>
      <c r="W4" s="182"/>
      <c r="X4" s="182"/>
      <c r="Y4" s="182"/>
      <c r="Z4" s="200" t="s">
        <v>278</v>
      </c>
      <c r="AA4" s="182"/>
      <c r="AB4" s="182"/>
      <c r="AE4" s="182"/>
      <c r="AF4" s="182"/>
      <c r="AG4" s="182"/>
      <c r="AH4" s="213" t="s">
        <v>235</v>
      </c>
      <c r="AI4" s="182"/>
      <c r="AJ4" s="182"/>
      <c r="AK4" s="182"/>
      <c r="AL4" s="182"/>
      <c r="AM4" s="213" t="s">
        <v>236</v>
      </c>
      <c r="AN4" s="182"/>
      <c r="AO4" s="182"/>
      <c r="AP4" s="182"/>
      <c r="AQ4" s="182"/>
      <c r="AR4" s="182"/>
      <c r="AS4" s="200" t="s">
        <v>279</v>
      </c>
      <c r="AT4" s="182"/>
      <c r="AU4" s="182"/>
      <c r="AV4" s="182"/>
      <c r="AW4" s="182"/>
      <c r="AX4" s="182"/>
      <c r="AY4" s="200" t="s">
        <v>280</v>
      </c>
      <c r="AZ4" s="182"/>
      <c r="BA4" s="182"/>
      <c r="BB4" s="182"/>
      <c r="BC4" s="182"/>
      <c r="BD4" s="182"/>
    </row>
    <row r="5" spans="1:56" ht="31" x14ac:dyDescent="0.35">
      <c r="A5" s="193"/>
      <c r="B5" s="224" t="s">
        <v>226</v>
      </c>
      <c r="C5" s="224" t="s">
        <v>26</v>
      </c>
      <c r="D5" s="224" t="s">
        <v>137</v>
      </c>
      <c r="E5" s="180"/>
      <c r="F5" s="224" t="s">
        <v>226</v>
      </c>
      <c r="G5" s="224" t="s">
        <v>26</v>
      </c>
      <c r="H5" s="224" t="s">
        <v>137</v>
      </c>
      <c r="I5" s="183"/>
      <c r="J5" s="224" t="s">
        <v>226</v>
      </c>
      <c r="K5" s="224" t="s">
        <v>26</v>
      </c>
      <c r="L5" s="224" t="s">
        <v>137</v>
      </c>
      <c r="M5" s="180"/>
      <c r="N5" s="224" t="s">
        <v>226</v>
      </c>
      <c r="O5" s="224" t="s">
        <v>26</v>
      </c>
      <c r="P5" s="224" t="s">
        <v>137</v>
      </c>
      <c r="Q5" s="180"/>
      <c r="R5" s="224" t="s">
        <v>226</v>
      </c>
      <c r="S5" s="224" t="s">
        <v>26</v>
      </c>
      <c r="T5" s="224" t="s">
        <v>137</v>
      </c>
      <c r="U5" s="180"/>
      <c r="V5" s="224" t="s">
        <v>226</v>
      </c>
      <c r="W5" s="224" t="s">
        <v>26</v>
      </c>
      <c r="X5" s="224" t="s">
        <v>137</v>
      </c>
      <c r="Y5" s="180"/>
      <c r="Z5" s="224" t="s">
        <v>226</v>
      </c>
      <c r="AA5" s="224" t="s">
        <v>229</v>
      </c>
      <c r="AB5" s="224" t="s">
        <v>230</v>
      </c>
      <c r="AC5" s="224" t="s">
        <v>231</v>
      </c>
      <c r="AD5" s="224" t="s">
        <v>232</v>
      </c>
      <c r="AE5" s="224" t="s">
        <v>233</v>
      </c>
      <c r="AF5" s="224" t="s">
        <v>234</v>
      </c>
      <c r="AG5" s="183"/>
      <c r="AH5" s="224" t="s">
        <v>226</v>
      </c>
      <c r="AI5" s="224" t="s">
        <v>131</v>
      </c>
      <c r="AJ5" s="224" t="s">
        <v>132</v>
      </c>
      <c r="AK5" s="224" t="s">
        <v>228</v>
      </c>
      <c r="AL5" s="183"/>
      <c r="AM5" s="224" t="s">
        <v>226</v>
      </c>
      <c r="AN5" s="224" t="s">
        <v>172</v>
      </c>
      <c r="AO5" s="224" t="s">
        <v>132</v>
      </c>
      <c r="AP5" s="226" t="s">
        <v>228</v>
      </c>
      <c r="AQ5" s="226"/>
      <c r="AR5" s="180"/>
      <c r="AS5" s="224" t="s">
        <v>226</v>
      </c>
      <c r="AT5" s="224" t="s">
        <v>241</v>
      </c>
      <c r="AU5" s="224" t="s">
        <v>237</v>
      </c>
      <c r="AV5" s="224" t="s">
        <v>238</v>
      </c>
      <c r="AW5" s="224" t="s">
        <v>239</v>
      </c>
      <c r="AX5" s="180"/>
      <c r="AY5" s="224" t="s">
        <v>226</v>
      </c>
      <c r="AZ5" s="224" t="s">
        <v>240</v>
      </c>
      <c r="BA5" s="224" t="s">
        <v>237</v>
      </c>
      <c r="BB5" s="224" t="s">
        <v>238</v>
      </c>
      <c r="BC5" s="224" t="s">
        <v>239</v>
      </c>
      <c r="BD5" s="180"/>
    </row>
    <row r="6" spans="1:56" ht="77.5" x14ac:dyDescent="0.35">
      <c r="A6" s="180"/>
      <c r="B6" s="194" t="s">
        <v>242</v>
      </c>
      <c r="C6" s="198">
        <v>7355000</v>
      </c>
      <c r="D6" s="195" t="s">
        <v>268</v>
      </c>
      <c r="E6" s="186"/>
      <c r="F6" s="194" t="s">
        <v>242</v>
      </c>
      <c r="G6" s="198">
        <v>29346975</v>
      </c>
      <c r="H6" s="195" t="s">
        <v>263</v>
      </c>
      <c r="I6" s="186"/>
      <c r="J6" s="194" t="s">
        <v>242</v>
      </c>
      <c r="K6" s="198">
        <v>6413000</v>
      </c>
      <c r="L6" s="201" t="s">
        <v>285</v>
      </c>
      <c r="M6" s="186"/>
      <c r="N6" s="194" t="s">
        <v>242</v>
      </c>
      <c r="O6" s="203">
        <v>23658</v>
      </c>
      <c r="P6" s="204" t="s">
        <v>269</v>
      </c>
      <c r="Q6" s="180"/>
      <c r="R6" s="194" t="s">
        <v>242</v>
      </c>
      <c r="S6" s="203">
        <v>21990</v>
      </c>
      <c r="T6" s="206" t="s">
        <v>152</v>
      </c>
      <c r="U6" s="186"/>
      <c r="V6" s="194" t="s">
        <v>225</v>
      </c>
      <c r="W6" s="208">
        <v>6.1818243373799042E-3</v>
      </c>
      <c r="X6" s="204" t="s">
        <v>286</v>
      </c>
      <c r="Y6" s="188"/>
      <c r="Z6" s="194" t="s">
        <v>242</v>
      </c>
      <c r="AA6" s="203">
        <v>22824</v>
      </c>
      <c r="AB6" s="206">
        <v>2.7</v>
      </c>
      <c r="AC6" s="203">
        <v>8453.3333333333321</v>
      </c>
      <c r="AD6" s="209">
        <v>6.1818243373799042E-3</v>
      </c>
      <c r="AE6" s="203">
        <v>10170.025304639052</v>
      </c>
      <c r="AF6" s="210"/>
      <c r="AG6" s="189"/>
      <c r="AH6" s="194" t="s">
        <v>242</v>
      </c>
      <c r="AI6" s="214">
        <v>1400361385.6209145</v>
      </c>
      <c r="AJ6" s="214">
        <v>1548825581.5571883</v>
      </c>
      <c r="AK6" s="204" t="s">
        <v>287</v>
      </c>
      <c r="AL6" s="189"/>
      <c r="AM6" s="194" t="s">
        <v>242</v>
      </c>
      <c r="AN6" s="214">
        <v>334847918.33000004</v>
      </c>
      <c r="AO6" s="214">
        <v>419041147.9124999</v>
      </c>
      <c r="AP6" s="210" t="s">
        <v>265</v>
      </c>
      <c r="AQ6" s="210" t="s">
        <v>267</v>
      </c>
      <c r="AR6" s="189"/>
      <c r="AS6" s="215" t="s">
        <v>242</v>
      </c>
      <c r="AT6" s="214">
        <v>419041147.9124999</v>
      </c>
      <c r="AU6" s="216">
        <v>0.1</v>
      </c>
      <c r="AV6" s="214">
        <v>41904114.79124999</v>
      </c>
      <c r="AW6" s="210"/>
      <c r="AX6" s="189"/>
      <c r="AY6" s="215" t="s">
        <v>242</v>
      </c>
      <c r="AZ6" s="214">
        <v>1474593483.5890512</v>
      </c>
      <c r="BA6" s="218">
        <v>0.6</v>
      </c>
      <c r="BB6" s="214">
        <v>884756090.1534307</v>
      </c>
      <c r="BC6" s="210"/>
      <c r="BD6" s="189"/>
    </row>
    <row r="7" spans="1:56" x14ac:dyDescent="0.35">
      <c r="A7" s="180"/>
      <c r="B7" s="194" t="s">
        <v>243</v>
      </c>
      <c r="C7" s="198">
        <v>5689000</v>
      </c>
      <c r="D7" s="195" t="s">
        <v>268</v>
      </c>
      <c r="E7" s="186"/>
      <c r="F7" s="194" t="s">
        <v>243</v>
      </c>
      <c r="G7" s="198">
        <v>15616000</v>
      </c>
      <c r="H7" s="195" t="s">
        <v>263</v>
      </c>
      <c r="I7" s="186"/>
      <c r="J7" s="194" t="s">
        <v>243</v>
      </c>
      <c r="K7" s="198">
        <v>3234000</v>
      </c>
      <c r="L7" s="201" t="s">
        <v>264</v>
      </c>
      <c r="M7" s="186"/>
      <c r="N7" s="194" t="s">
        <v>243</v>
      </c>
      <c r="O7" s="203">
        <v>7210</v>
      </c>
      <c r="P7" s="204" t="s">
        <v>269</v>
      </c>
      <c r="Q7" s="180"/>
      <c r="R7" s="194" t="s">
        <v>243</v>
      </c>
      <c r="S7" s="203">
        <v>6075</v>
      </c>
      <c r="T7" s="206" t="s">
        <v>152</v>
      </c>
      <c r="U7" s="186"/>
      <c r="V7" s="194" t="s">
        <v>39</v>
      </c>
      <c r="W7" s="208">
        <v>1.5246008397444832E-2</v>
      </c>
      <c r="X7" s="204" t="s">
        <v>288</v>
      </c>
      <c r="Y7" s="188"/>
      <c r="Z7" s="194" t="s">
        <v>243</v>
      </c>
      <c r="AA7" s="203">
        <v>6642.5</v>
      </c>
      <c r="AB7" s="206">
        <v>2.7</v>
      </c>
      <c r="AC7" s="203">
        <v>2460.1851851851852</v>
      </c>
      <c r="AD7" s="209">
        <v>1.5246008397444832E-2</v>
      </c>
      <c r="AE7" s="203">
        <v>3873.526388304299</v>
      </c>
      <c r="AF7" s="210"/>
      <c r="AG7" s="189"/>
      <c r="AH7" s="194" t="s">
        <v>243</v>
      </c>
      <c r="AI7" s="214">
        <v>464975000</v>
      </c>
      <c r="AJ7" s="214">
        <v>464975000</v>
      </c>
      <c r="AK7" s="204" t="s">
        <v>287</v>
      </c>
      <c r="AL7" s="189"/>
      <c r="AM7" s="194" t="s">
        <v>243</v>
      </c>
      <c r="AN7" s="214">
        <v>131630199.99999999</v>
      </c>
      <c r="AO7" s="214">
        <v>197445300</v>
      </c>
      <c r="AP7" s="210" t="s">
        <v>265</v>
      </c>
      <c r="AQ7" s="210" t="s">
        <v>267</v>
      </c>
      <c r="AR7" s="189"/>
      <c r="AS7" s="215" t="s">
        <v>243</v>
      </c>
      <c r="AT7" s="214">
        <v>197445300</v>
      </c>
      <c r="AU7" s="216">
        <v>0.1</v>
      </c>
      <c r="AV7" s="214">
        <v>19744530</v>
      </c>
      <c r="AW7" s="210"/>
      <c r="AX7" s="189"/>
      <c r="AY7" s="215" t="s">
        <v>243</v>
      </c>
      <c r="AZ7" s="214">
        <v>464975000</v>
      </c>
      <c r="BA7" s="218">
        <v>0.6</v>
      </c>
      <c r="BB7" s="214">
        <v>278985000</v>
      </c>
      <c r="BC7" s="210"/>
      <c r="BD7" s="189"/>
    </row>
    <row r="8" spans="1:56" x14ac:dyDescent="0.35">
      <c r="A8" s="180"/>
      <c r="B8" s="194" t="s">
        <v>246</v>
      </c>
      <c r="C8" s="198">
        <v>10181000</v>
      </c>
      <c r="D8" s="195" t="s">
        <v>289</v>
      </c>
      <c r="E8" s="186"/>
      <c r="F8" s="194" t="s">
        <v>246</v>
      </c>
      <c r="G8" s="198">
        <v>18944000</v>
      </c>
      <c r="H8" s="195" t="s">
        <v>263</v>
      </c>
      <c r="I8" s="186"/>
      <c r="J8" s="194" t="s">
        <v>246</v>
      </c>
      <c r="K8" s="198">
        <v>5040346.5100000007</v>
      </c>
      <c r="L8" s="201" t="s">
        <v>264</v>
      </c>
      <c r="M8" s="186"/>
      <c r="N8" s="194" t="s">
        <v>246</v>
      </c>
      <c r="O8" s="203">
        <v>20435</v>
      </c>
      <c r="P8" s="204" t="s">
        <v>151</v>
      </c>
      <c r="Q8" s="186"/>
      <c r="R8" s="194" t="s">
        <v>246</v>
      </c>
      <c r="S8" s="203">
        <v>15615</v>
      </c>
      <c r="T8" s="206" t="s">
        <v>152</v>
      </c>
      <c r="U8" s="186"/>
      <c r="V8" s="194" t="s">
        <v>40</v>
      </c>
      <c r="W8" s="208">
        <v>2.1172224835406261E-2</v>
      </c>
      <c r="X8" s="204" t="s">
        <v>266</v>
      </c>
      <c r="Y8" s="188"/>
      <c r="Z8" s="194" t="s">
        <v>246</v>
      </c>
      <c r="AA8" s="203">
        <v>18025</v>
      </c>
      <c r="AB8" s="206">
        <v>2.7</v>
      </c>
      <c r="AC8" s="203">
        <v>6675.9259259259252</v>
      </c>
      <c r="AD8" s="209">
        <v>2.1172224835406261E-2</v>
      </c>
      <c r="AE8" s="203">
        <v>12516.454441137081</v>
      </c>
      <c r="AF8" s="210"/>
      <c r="AG8" s="189"/>
      <c r="AH8" s="194" t="s">
        <v>246</v>
      </c>
      <c r="AI8" s="214">
        <v>1261750000</v>
      </c>
      <c r="AJ8" s="214">
        <v>1261750000</v>
      </c>
      <c r="AK8" s="204" t="s">
        <v>290</v>
      </c>
      <c r="AL8" s="189"/>
      <c r="AM8" s="194" t="s">
        <v>246</v>
      </c>
      <c r="AN8" s="214">
        <v>254840000.00000003</v>
      </c>
      <c r="AO8" s="214">
        <v>509660000.00000006</v>
      </c>
      <c r="AP8" s="210" t="s">
        <v>265</v>
      </c>
      <c r="AQ8" s="210" t="s">
        <v>267</v>
      </c>
      <c r="AR8" s="189"/>
      <c r="AS8" s="215" t="s">
        <v>246</v>
      </c>
      <c r="AT8" s="214">
        <v>509660000.00000006</v>
      </c>
      <c r="AU8" s="216">
        <v>0.1</v>
      </c>
      <c r="AV8" s="214">
        <v>50966000.000000007</v>
      </c>
      <c r="AW8" s="210"/>
      <c r="AX8" s="189"/>
      <c r="AY8" s="215" t="s">
        <v>246</v>
      </c>
      <c r="AZ8" s="214">
        <v>1261750000</v>
      </c>
      <c r="BA8" s="218">
        <v>0.6</v>
      </c>
      <c r="BB8" s="214">
        <v>757050000</v>
      </c>
      <c r="BC8" s="210"/>
      <c r="BD8" s="189"/>
    </row>
    <row r="9" spans="1:56" ht="93" x14ac:dyDescent="0.35">
      <c r="A9" s="180"/>
      <c r="B9" s="194" t="s">
        <v>247</v>
      </c>
      <c r="C9" s="198">
        <v>187884000</v>
      </c>
      <c r="D9" s="195" t="s">
        <v>268</v>
      </c>
      <c r="E9" s="186"/>
      <c r="F9" s="194" t="s">
        <v>247</v>
      </c>
      <c r="G9" s="198">
        <v>1028741617.1857181</v>
      </c>
      <c r="H9" s="195" t="s">
        <v>263</v>
      </c>
      <c r="I9" s="186"/>
      <c r="J9" s="194" t="s">
        <v>247</v>
      </c>
      <c r="K9" s="198">
        <v>85323317.000000015</v>
      </c>
      <c r="L9" s="201" t="s">
        <v>291</v>
      </c>
      <c r="M9" s="186"/>
      <c r="N9" s="194" t="s">
        <v>247</v>
      </c>
      <c r="O9" s="203">
        <v>375200</v>
      </c>
      <c r="P9" s="204" t="s">
        <v>151</v>
      </c>
      <c r="Q9" s="186"/>
      <c r="R9" s="194" t="s">
        <v>247</v>
      </c>
      <c r="S9" s="203">
        <v>394700</v>
      </c>
      <c r="T9" s="206" t="s">
        <v>152</v>
      </c>
      <c r="U9" s="186"/>
      <c r="V9" s="194" t="s">
        <v>86</v>
      </c>
      <c r="W9" s="208">
        <v>9.3685238099892043E-3</v>
      </c>
      <c r="X9" s="204" t="s">
        <v>266</v>
      </c>
      <c r="Y9" s="188"/>
      <c r="Z9" s="194" t="s">
        <v>247</v>
      </c>
      <c r="AA9" s="203">
        <v>384950</v>
      </c>
      <c r="AB9" s="206">
        <v>2.7</v>
      </c>
      <c r="AC9" s="203">
        <v>142574.07407407407</v>
      </c>
      <c r="AD9" s="209">
        <v>9.3685238099892043E-3</v>
      </c>
      <c r="AE9" s="203">
        <v>188596.35129940498</v>
      </c>
      <c r="AF9" s="210"/>
      <c r="AG9" s="189"/>
      <c r="AH9" s="194" t="s">
        <v>247</v>
      </c>
      <c r="AI9" s="214">
        <v>4967950882.2276325</v>
      </c>
      <c r="AJ9" s="214">
        <v>5692563678.019454</v>
      </c>
      <c r="AK9" s="204" t="s">
        <v>287</v>
      </c>
      <c r="AL9" s="189"/>
      <c r="AM9" s="194" t="s">
        <v>247</v>
      </c>
      <c r="AN9" s="214">
        <v>7249480337.5199986</v>
      </c>
      <c r="AO9" s="214">
        <v>10209886396.230003</v>
      </c>
      <c r="AP9" s="210" t="s">
        <v>265</v>
      </c>
      <c r="AQ9" s="210" t="s">
        <v>267</v>
      </c>
      <c r="AR9" s="189"/>
      <c r="AS9" s="215" t="s">
        <v>247</v>
      </c>
      <c r="AT9" s="214">
        <v>10209886396.230003</v>
      </c>
      <c r="AU9" s="216">
        <v>0.1</v>
      </c>
      <c r="AV9" s="214">
        <v>1020988639.6230004</v>
      </c>
      <c r="AW9" s="210"/>
      <c r="AX9" s="189"/>
      <c r="AY9" s="215" t="s">
        <v>247</v>
      </c>
      <c r="AZ9" s="214">
        <v>5330257280.1235428</v>
      </c>
      <c r="BA9" s="218">
        <v>0.6</v>
      </c>
      <c r="BB9" s="214">
        <v>3198154368.0741258</v>
      </c>
      <c r="BC9" s="210"/>
      <c r="BD9" s="189"/>
    </row>
    <row r="10" spans="1:56" x14ac:dyDescent="0.35">
      <c r="A10" s="180"/>
      <c r="B10" s="194" t="s">
        <v>248</v>
      </c>
      <c r="C10" s="198">
        <v>11124000</v>
      </c>
      <c r="D10" s="195" t="s">
        <v>268</v>
      </c>
      <c r="E10" s="181"/>
      <c r="F10" s="194" t="s">
        <v>248</v>
      </c>
      <c r="G10" s="198">
        <v>11378000</v>
      </c>
      <c r="H10" s="195" t="s">
        <v>263</v>
      </c>
      <c r="J10" s="194" t="s">
        <v>248</v>
      </c>
      <c r="K10" s="198">
        <v>9206000</v>
      </c>
      <c r="L10" s="201" t="s">
        <v>264</v>
      </c>
      <c r="M10" s="181"/>
      <c r="N10" s="194" t="s">
        <v>248</v>
      </c>
      <c r="O10" s="203">
        <v>14595</v>
      </c>
      <c r="P10" s="204" t="s">
        <v>151</v>
      </c>
      <c r="Q10" s="181"/>
      <c r="R10" s="194" t="s">
        <v>248</v>
      </c>
      <c r="S10" s="203">
        <v>10803</v>
      </c>
      <c r="T10" s="206" t="s">
        <v>152</v>
      </c>
      <c r="U10" s="181"/>
      <c r="V10" s="194" t="s">
        <v>41</v>
      </c>
      <c r="W10" s="208">
        <v>0</v>
      </c>
      <c r="X10" s="204" t="s">
        <v>266</v>
      </c>
      <c r="Y10" s="188"/>
      <c r="Z10" s="194" t="s">
        <v>248</v>
      </c>
      <c r="AA10" s="203">
        <v>12699</v>
      </c>
      <c r="AB10" s="206">
        <v>2.7</v>
      </c>
      <c r="AC10" s="203">
        <v>4703.333333333333</v>
      </c>
      <c r="AD10" s="209">
        <v>0</v>
      </c>
      <c r="AE10" s="203">
        <v>4703.333333333333</v>
      </c>
      <c r="AF10" s="210"/>
      <c r="AG10" s="189"/>
      <c r="AH10" s="194" t="s">
        <v>248</v>
      </c>
      <c r="AI10" s="214">
        <v>888930000</v>
      </c>
      <c r="AJ10" s="214">
        <v>888930000</v>
      </c>
      <c r="AK10" s="204" t="s">
        <v>287</v>
      </c>
      <c r="AL10" s="189"/>
      <c r="AM10" s="194" t="s">
        <v>248</v>
      </c>
      <c r="AN10" s="214">
        <v>250930070.45000002</v>
      </c>
      <c r="AO10" s="214">
        <v>501860140.90000004</v>
      </c>
      <c r="AP10" s="210" t="s">
        <v>265</v>
      </c>
      <c r="AQ10" s="210" t="s">
        <v>267</v>
      </c>
      <c r="AR10" s="189"/>
      <c r="AS10" s="215" t="s">
        <v>248</v>
      </c>
      <c r="AT10" s="214">
        <v>501860140.90000004</v>
      </c>
      <c r="AU10" s="216">
        <v>0.1</v>
      </c>
      <c r="AV10" s="214">
        <v>50186014.090000004</v>
      </c>
      <c r="AW10" s="210"/>
      <c r="AX10" s="189"/>
      <c r="AY10" s="215" t="s">
        <v>248</v>
      </c>
      <c r="AZ10" s="214">
        <v>888930000</v>
      </c>
      <c r="BA10" s="218">
        <v>0.6</v>
      </c>
      <c r="BB10" s="214">
        <v>533358000</v>
      </c>
      <c r="BC10" s="210"/>
      <c r="BD10" s="189"/>
    </row>
    <row r="11" spans="1:56" x14ac:dyDescent="0.35">
      <c r="A11" s="180"/>
      <c r="B11" s="194" t="s">
        <v>249</v>
      </c>
      <c r="C11" s="198">
        <v>67543632.870000005</v>
      </c>
      <c r="D11" s="195" t="s">
        <v>289</v>
      </c>
      <c r="E11" s="181"/>
      <c r="F11" s="194" t="s">
        <v>249</v>
      </c>
      <c r="G11" s="198">
        <v>99516000</v>
      </c>
      <c r="H11" s="195" t="s">
        <v>263</v>
      </c>
      <c r="J11" s="194" t="s">
        <v>249</v>
      </c>
      <c r="K11" s="198">
        <v>35685570</v>
      </c>
      <c r="L11" s="201" t="s">
        <v>264</v>
      </c>
      <c r="M11" s="181"/>
      <c r="N11" s="194" t="s">
        <v>249</v>
      </c>
      <c r="O11" s="203">
        <v>110473</v>
      </c>
      <c r="P11" s="204" t="s">
        <v>151</v>
      </c>
      <c r="Q11" s="181"/>
      <c r="R11" s="194" t="s">
        <v>249</v>
      </c>
      <c r="S11" s="203">
        <v>132497</v>
      </c>
      <c r="T11" s="206" t="s">
        <v>152</v>
      </c>
      <c r="U11" s="181"/>
      <c r="V11" s="194" t="s">
        <v>42</v>
      </c>
      <c r="W11" s="208">
        <v>6.630123469996585E-3</v>
      </c>
      <c r="X11" s="204" t="s">
        <v>266</v>
      </c>
      <c r="Y11" s="188"/>
      <c r="Z11" s="194" t="s">
        <v>249</v>
      </c>
      <c r="AA11" s="203">
        <v>121485</v>
      </c>
      <c r="AB11" s="206">
        <v>2.7</v>
      </c>
      <c r="AC11" s="203">
        <v>44994.444444444438</v>
      </c>
      <c r="AD11" s="209">
        <v>6.630123469996585E-3</v>
      </c>
      <c r="AE11" s="203">
        <v>54860.096881743048</v>
      </c>
      <c r="AF11" s="210"/>
      <c r="AG11" s="189"/>
      <c r="AH11" s="194" t="s">
        <v>249</v>
      </c>
      <c r="AI11" s="214">
        <v>1995125286.818198</v>
      </c>
      <c r="AJ11" s="214">
        <v>3531729513.583127</v>
      </c>
      <c r="AK11" s="204" t="s">
        <v>292</v>
      </c>
      <c r="AL11" s="189"/>
      <c r="AM11" s="194" t="s">
        <v>249</v>
      </c>
      <c r="AN11" s="214">
        <v>5958370000.0000019</v>
      </c>
      <c r="AO11" s="214">
        <v>6092500000</v>
      </c>
      <c r="AP11" s="210" t="s">
        <v>265</v>
      </c>
      <c r="AQ11" s="210" t="s">
        <v>267</v>
      </c>
      <c r="AR11" s="189"/>
      <c r="AS11" s="215" t="s">
        <v>249</v>
      </c>
      <c r="AT11" s="214">
        <v>6092500000</v>
      </c>
      <c r="AU11" s="216">
        <v>0.1</v>
      </c>
      <c r="AV11" s="214">
        <v>609250000</v>
      </c>
      <c r="AW11" s="210"/>
      <c r="AX11" s="189"/>
      <c r="AY11" s="215" t="s">
        <v>249</v>
      </c>
      <c r="AZ11" s="214">
        <v>2763427400.2006626</v>
      </c>
      <c r="BA11" s="218">
        <v>0.6</v>
      </c>
      <c r="BB11" s="214">
        <v>1658056440.1203976</v>
      </c>
      <c r="BC11" s="210"/>
      <c r="BD11" s="189"/>
    </row>
    <row r="12" spans="1:56" x14ac:dyDescent="0.35">
      <c r="A12" s="180"/>
      <c r="B12" s="194" t="s">
        <v>250</v>
      </c>
      <c r="C12" s="198">
        <v>6912741.7217391301</v>
      </c>
      <c r="D12" s="195" t="s">
        <v>268</v>
      </c>
      <c r="E12" s="181"/>
      <c r="F12" s="194" t="s">
        <v>250</v>
      </c>
      <c r="G12" s="198">
        <v>9043000</v>
      </c>
      <c r="H12" s="195" t="s">
        <v>263</v>
      </c>
      <c r="J12" s="194" t="s">
        <v>250</v>
      </c>
      <c r="K12" s="198">
        <v>3057000</v>
      </c>
      <c r="L12" s="201" t="s">
        <v>264</v>
      </c>
      <c r="M12" s="181"/>
      <c r="N12" s="194" t="s">
        <v>250</v>
      </c>
      <c r="O12" s="203">
        <v>9870</v>
      </c>
      <c r="P12" s="204" t="s">
        <v>151</v>
      </c>
      <c r="Q12" s="181"/>
      <c r="R12" s="194" t="s">
        <v>250</v>
      </c>
      <c r="S12" s="203">
        <v>9672</v>
      </c>
      <c r="T12" s="206" t="s">
        <v>152</v>
      </c>
      <c r="U12" s="181"/>
      <c r="V12" s="194" t="s">
        <v>44</v>
      </c>
      <c r="W12" s="208">
        <v>1.5054854111855587E-3</v>
      </c>
      <c r="X12" s="204" t="s">
        <v>266</v>
      </c>
      <c r="Y12" s="188"/>
      <c r="Z12" s="194" t="s">
        <v>250</v>
      </c>
      <c r="AA12" s="203">
        <v>9771</v>
      </c>
      <c r="AB12" s="206">
        <v>2.7</v>
      </c>
      <c r="AC12" s="203">
        <v>3618.8888888888887</v>
      </c>
      <c r="AD12" s="209">
        <v>1.5054854111855587E-3</v>
      </c>
      <c r="AE12" s="203">
        <v>3785.9530095524428</v>
      </c>
      <c r="AF12" s="210"/>
      <c r="AG12" s="189"/>
      <c r="AH12" s="194" t="s">
        <v>250</v>
      </c>
      <c r="AI12" s="214">
        <v>206705206.65358207</v>
      </c>
      <c r="AJ12" s="214">
        <v>450359640.55307162</v>
      </c>
      <c r="AK12" s="204" t="s">
        <v>287</v>
      </c>
      <c r="AL12" s="189"/>
      <c r="AM12" s="194" t="s">
        <v>250</v>
      </c>
      <c r="AN12" s="214">
        <v>153725000</v>
      </c>
      <c r="AO12" s="214">
        <v>205714699.99999997</v>
      </c>
      <c r="AP12" s="210" t="s">
        <v>265</v>
      </c>
      <c r="AQ12" s="210" t="s">
        <v>267</v>
      </c>
      <c r="AR12" s="189"/>
      <c r="AS12" s="215" t="s">
        <v>250</v>
      </c>
      <c r="AT12" s="214">
        <v>205714699.99999997</v>
      </c>
      <c r="AU12" s="216">
        <v>0.1</v>
      </c>
      <c r="AV12" s="214">
        <v>20571470</v>
      </c>
      <c r="AW12" s="210"/>
      <c r="AX12" s="189"/>
      <c r="AY12" s="215" t="s">
        <v>250</v>
      </c>
      <c r="AZ12" s="214">
        <v>328532423.60332686</v>
      </c>
      <c r="BA12" s="218">
        <v>0.6</v>
      </c>
      <c r="BB12" s="214">
        <v>197119454.1619961</v>
      </c>
      <c r="BC12" s="210"/>
      <c r="BD12" s="189"/>
    </row>
    <row r="13" spans="1:56" x14ac:dyDescent="0.35">
      <c r="A13" s="180"/>
      <c r="B13" s="194" t="s">
        <v>251</v>
      </c>
      <c r="C13" s="198">
        <v>6354000</v>
      </c>
      <c r="D13" s="195" t="s">
        <v>245</v>
      </c>
      <c r="E13" s="181"/>
      <c r="F13" s="194" t="s">
        <v>251</v>
      </c>
      <c r="G13" s="198">
        <v>0</v>
      </c>
      <c r="H13" s="195" t="s">
        <v>263</v>
      </c>
      <c r="J13" s="194" t="s">
        <v>251</v>
      </c>
      <c r="K13" s="198">
        <v>3365000</v>
      </c>
      <c r="L13" s="201" t="s">
        <v>264</v>
      </c>
      <c r="M13" s="181"/>
      <c r="N13" s="194" t="s">
        <v>251</v>
      </c>
      <c r="O13" s="203">
        <v>9797.06</v>
      </c>
      <c r="P13" s="204" t="s">
        <v>269</v>
      </c>
      <c r="Q13" s="181"/>
      <c r="R13" s="194" t="s">
        <v>251</v>
      </c>
      <c r="S13" s="203">
        <v>10882.41</v>
      </c>
      <c r="T13" s="206" t="s">
        <v>152</v>
      </c>
      <c r="U13" s="181"/>
      <c r="V13" s="194" t="s">
        <v>45</v>
      </c>
      <c r="W13" s="208">
        <v>0</v>
      </c>
      <c r="X13" s="204" t="s">
        <v>266</v>
      </c>
      <c r="Y13" s="188"/>
      <c r="Z13" s="194" t="s">
        <v>251</v>
      </c>
      <c r="AA13" s="203">
        <v>10339.735000000001</v>
      </c>
      <c r="AB13" s="206">
        <v>2.7</v>
      </c>
      <c r="AC13" s="203">
        <v>3829.5314814814815</v>
      </c>
      <c r="AD13" s="209">
        <v>0</v>
      </c>
      <c r="AE13" s="203">
        <v>3829.5314814814815</v>
      </c>
      <c r="AF13" s="210"/>
      <c r="AG13" s="189"/>
      <c r="AH13" s="194" t="s">
        <v>251</v>
      </c>
      <c r="AI13" s="214">
        <v>723781450</v>
      </c>
      <c r="AJ13" s="214">
        <v>723781450</v>
      </c>
      <c r="AK13" s="204" t="s">
        <v>181</v>
      </c>
      <c r="AL13" s="189"/>
      <c r="AM13" s="194" t="s">
        <v>251</v>
      </c>
      <c r="AN13" s="214">
        <v>249594999.99999997</v>
      </c>
      <c r="AO13" s="214">
        <v>374393999.99999994</v>
      </c>
      <c r="AP13" s="210" t="s">
        <v>265</v>
      </c>
      <c r="AQ13" s="210" t="s">
        <v>267</v>
      </c>
      <c r="AR13" s="189"/>
      <c r="AS13" s="215" t="s">
        <v>251</v>
      </c>
      <c r="AT13" s="214">
        <v>374393999.99999994</v>
      </c>
      <c r="AU13" s="216">
        <v>0.1</v>
      </c>
      <c r="AV13" s="214">
        <v>37439399.999999993</v>
      </c>
      <c r="AW13" s="210"/>
      <c r="AX13" s="189"/>
      <c r="AY13" s="215" t="s">
        <v>251</v>
      </c>
      <c r="AZ13" s="214">
        <v>723781450</v>
      </c>
      <c r="BA13" s="218">
        <v>0.6</v>
      </c>
      <c r="BB13" s="214">
        <v>434268870</v>
      </c>
      <c r="BC13" s="210"/>
      <c r="BD13" s="189"/>
    </row>
    <row r="14" spans="1:56" x14ac:dyDescent="0.35">
      <c r="A14" s="180"/>
      <c r="B14" s="194" t="s">
        <v>252</v>
      </c>
      <c r="C14" s="198">
        <v>9344000</v>
      </c>
      <c r="D14" s="195" t="s">
        <v>245</v>
      </c>
      <c r="E14" s="181"/>
      <c r="F14" s="194" t="s">
        <v>252</v>
      </c>
      <c r="G14" s="198">
        <v>20734000</v>
      </c>
      <c r="H14" s="195" t="s">
        <v>263</v>
      </c>
      <c r="J14" s="194" t="s">
        <v>252</v>
      </c>
      <c r="K14" s="198">
        <v>6408000</v>
      </c>
      <c r="L14" s="201" t="s">
        <v>264</v>
      </c>
      <c r="M14" s="181"/>
      <c r="N14" s="194" t="s">
        <v>252</v>
      </c>
      <c r="O14" s="203">
        <v>15194</v>
      </c>
      <c r="P14" s="204" t="s">
        <v>151</v>
      </c>
      <c r="Q14" s="181"/>
      <c r="R14" s="194" t="s">
        <v>252</v>
      </c>
      <c r="S14" s="203">
        <v>4710</v>
      </c>
      <c r="T14" s="206" t="s">
        <v>152</v>
      </c>
      <c r="U14" s="181"/>
      <c r="V14" s="194" t="s">
        <v>46</v>
      </c>
      <c r="W14" s="208">
        <v>4.0000000000000001E-3</v>
      </c>
      <c r="X14" s="204" t="s">
        <v>293</v>
      </c>
      <c r="Y14" s="188"/>
      <c r="Z14" s="194" t="s">
        <v>252</v>
      </c>
      <c r="AA14" s="203">
        <v>9952</v>
      </c>
      <c r="AB14" s="206">
        <v>2.7</v>
      </c>
      <c r="AC14" s="203">
        <v>3685.9259259259256</v>
      </c>
      <c r="AD14" s="209">
        <v>4.0000000000000001E-3</v>
      </c>
      <c r="AE14" s="203">
        <v>4154.8752387127533</v>
      </c>
      <c r="AF14" s="210"/>
      <c r="AG14" s="189"/>
      <c r="AH14" s="194" t="s">
        <v>252</v>
      </c>
      <c r="AI14" s="214">
        <v>696640000</v>
      </c>
      <c r="AJ14" s="214">
        <v>696640000</v>
      </c>
      <c r="AK14" s="204" t="s">
        <v>290</v>
      </c>
      <c r="AL14" s="189"/>
      <c r="AM14" s="194" t="s">
        <v>252</v>
      </c>
      <c r="AN14" s="214">
        <v>137344179.51999995</v>
      </c>
      <c r="AO14" s="214">
        <v>151231999.99999997</v>
      </c>
      <c r="AP14" s="210" t="s">
        <v>265</v>
      </c>
      <c r="AQ14" s="210" t="s">
        <v>267</v>
      </c>
      <c r="AR14" s="189"/>
      <c r="AS14" s="215" t="s">
        <v>252</v>
      </c>
      <c r="AT14" s="214">
        <v>151231999.99999997</v>
      </c>
      <c r="AU14" s="216">
        <v>0.1</v>
      </c>
      <c r="AV14" s="214">
        <v>15123199.999999998</v>
      </c>
      <c r="AW14" s="210"/>
      <c r="AX14" s="189"/>
      <c r="AY14" s="215" t="s">
        <v>252</v>
      </c>
      <c r="AZ14" s="214">
        <v>696640000</v>
      </c>
      <c r="BA14" s="218">
        <v>0.6</v>
      </c>
      <c r="BB14" s="214">
        <v>417984000</v>
      </c>
      <c r="BC14" s="210"/>
      <c r="BD14" s="189"/>
    </row>
    <row r="15" spans="1:56" x14ac:dyDescent="0.35">
      <c r="A15" s="180"/>
      <c r="B15" s="194" t="s">
        <v>253</v>
      </c>
      <c r="C15" s="198">
        <v>20708000</v>
      </c>
      <c r="D15" s="195" t="s">
        <v>268</v>
      </c>
      <c r="E15" s="181"/>
      <c r="F15" s="194" t="s">
        <v>253</v>
      </c>
      <c r="G15" s="198">
        <v>38556000</v>
      </c>
      <c r="H15" s="195" t="s">
        <v>263</v>
      </c>
      <c r="J15" s="194" t="s">
        <v>253</v>
      </c>
      <c r="K15" s="198">
        <v>10019317.389999999</v>
      </c>
      <c r="L15" s="201" t="s">
        <v>264</v>
      </c>
      <c r="M15" s="181"/>
      <c r="N15" s="194" t="s">
        <v>253</v>
      </c>
      <c r="O15" s="203">
        <v>45889.599999999999</v>
      </c>
      <c r="P15" s="204" t="s">
        <v>151</v>
      </c>
      <c r="Q15" s="181"/>
      <c r="R15" s="194" t="s">
        <v>253</v>
      </c>
      <c r="S15" s="203">
        <v>48281.599999999999</v>
      </c>
      <c r="T15" s="206" t="s">
        <v>152</v>
      </c>
      <c r="U15" s="181"/>
      <c r="V15" s="194" t="s">
        <v>47</v>
      </c>
      <c r="W15" s="208">
        <v>5.0963689319001304E-3</v>
      </c>
      <c r="X15" s="204" t="s">
        <v>266</v>
      </c>
      <c r="Y15" s="188"/>
      <c r="Z15" s="194" t="s">
        <v>253</v>
      </c>
      <c r="AA15" s="203">
        <v>47085.599999999999</v>
      </c>
      <c r="AB15" s="206">
        <v>2.7</v>
      </c>
      <c r="AC15" s="203">
        <v>17439.111111111109</v>
      </c>
      <c r="AD15" s="209">
        <v>5.0963689319001304E-3</v>
      </c>
      <c r="AE15" s="203">
        <v>20312.129922718308</v>
      </c>
      <c r="AF15" s="210"/>
      <c r="AG15" s="189"/>
      <c r="AH15" s="194" t="s">
        <v>253</v>
      </c>
      <c r="AI15" s="214">
        <v>604628997.22469735</v>
      </c>
      <c r="AJ15" s="214">
        <v>2007277855.9584754</v>
      </c>
      <c r="AK15" s="204" t="s">
        <v>294</v>
      </c>
      <c r="AL15" s="189"/>
      <c r="AM15" s="194" t="s">
        <v>253</v>
      </c>
      <c r="AN15" s="214">
        <v>958340470.00000012</v>
      </c>
      <c r="AO15" s="214">
        <v>1437510704.9999998</v>
      </c>
      <c r="AP15" s="210" t="s">
        <v>265</v>
      </c>
      <c r="AQ15" s="210" t="s">
        <v>267</v>
      </c>
      <c r="AR15" s="189"/>
      <c r="AS15" s="215" t="s">
        <v>253</v>
      </c>
      <c r="AT15" s="214">
        <v>1437510704.9999998</v>
      </c>
      <c r="AU15" s="216">
        <v>0.1</v>
      </c>
      <c r="AV15" s="214">
        <v>143751070.49999997</v>
      </c>
      <c r="AW15" s="210"/>
      <c r="AX15" s="189"/>
      <c r="AY15" s="215" t="s">
        <v>253</v>
      </c>
      <c r="AZ15" s="214">
        <v>1305953426.5915864</v>
      </c>
      <c r="BA15" s="218">
        <v>0.6</v>
      </c>
      <c r="BB15" s="214">
        <v>783572055.95495176</v>
      </c>
      <c r="BC15" s="210"/>
      <c r="BD15" s="189"/>
    </row>
    <row r="16" spans="1:56" x14ac:dyDescent="0.35">
      <c r="A16" s="180"/>
      <c r="B16" s="194" t="s">
        <v>254</v>
      </c>
      <c r="C16" s="198">
        <v>2375000</v>
      </c>
      <c r="D16" s="195" t="s">
        <v>245</v>
      </c>
      <c r="E16" s="181"/>
      <c r="F16" s="194" t="s">
        <v>254</v>
      </c>
      <c r="G16" s="198">
        <v>1441000</v>
      </c>
      <c r="H16" s="195" t="s">
        <v>263</v>
      </c>
      <c r="J16" s="194" t="s">
        <v>254</v>
      </c>
      <c r="K16" s="198">
        <v>1683000</v>
      </c>
      <c r="L16" s="201" t="s">
        <v>264</v>
      </c>
      <c r="M16" s="181"/>
      <c r="N16" s="194" t="s">
        <v>254</v>
      </c>
      <c r="O16" s="203">
        <v>4000</v>
      </c>
      <c r="P16" s="204" t="s">
        <v>269</v>
      </c>
      <c r="Q16" s="181"/>
      <c r="R16" s="194" t="s">
        <v>254</v>
      </c>
      <c r="S16" s="203">
        <v>4000</v>
      </c>
      <c r="T16" s="206" t="s">
        <v>152</v>
      </c>
      <c r="U16" s="181"/>
      <c r="V16" s="194" t="s">
        <v>48</v>
      </c>
      <c r="W16" s="208">
        <v>0</v>
      </c>
      <c r="X16" s="204" t="s">
        <v>266</v>
      </c>
      <c r="Y16" s="188"/>
      <c r="Z16" s="194" t="s">
        <v>254</v>
      </c>
      <c r="AA16" s="203">
        <v>4000</v>
      </c>
      <c r="AB16" s="206">
        <v>2.7</v>
      </c>
      <c r="AC16" s="203">
        <v>1481.4814814814813</v>
      </c>
      <c r="AD16" s="209">
        <v>0</v>
      </c>
      <c r="AE16" s="203">
        <v>1481.4814814814813</v>
      </c>
      <c r="AF16" s="210"/>
      <c r="AG16" s="189"/>
      <c r="AH16" s="194" t="s">
        <v>254</v>
      </c>
      <c r="AI16" s="214">
        <v>280000000</v>
      </c>
      <c r="AJ16" s="214">
        <v>280000000</v>
      </c>
      <c r="AK16" s="204" t="s">
        <v>181</v>
      </c>
      <c r="AL16" s="189"/>
      <c r="AM16" s="194" t="s">
        <v>254</v>
      </c>
      <c r="AN16" s="214">
        <v>50350000</v>
      </c>
      <c r="AO16" s="214">
        <v>68100000</v>
      </c>
      <c r="AP16" s="210" t="s">
        <v>265</v>
      </c>
      <c r="AQ16" s="210" t="s">
        <v>267</v>
      </c>
      <c r="AR16" s="189"/>
      <c r="AS16" s="215" t="s">
        <v>254</v>
      </c>
      <c r="AT16" s="214">
        <v>68100000</v>
      </c>
      <c r="AU16" s="216">
        <v>0.1</v>
      </c>
      <c r="AV16" s="214">
        <v>6810000</v>
      </c>
      <c r="AW16" s="210"/>
      <c r="AX16" s="189"/>
      <c r="AY16" s="215" t="s">
        <v>254</v>
      </c>
      <c r="AZ16" s="214">
        <v>280000000</v>
      </c>
      <c r="BA16" s="218">
        <v>0.6</v>
      </c>
      <c r="BB16" s="214">
        <v>168000000</v>
      </c>
      <c r="BC16" s="210"/>
      <c r="BD16" s="189"/>
    </row>
    <row r="17" spans="1:56" x14ac:dyDescent="0.35">
      <c r="A17" s="180"/>
      <c r="B17" s="194" t="s">
        <v>255</v>
      </c>
      <c r="C17" s="198">
        <v>4846000</v>
      </c>
      <c r="D17" s="195" t="s">
        <v>268</v>
      </c>
      <c r="E17" s="181"/>
      <c r="F17" s="194" t="s">
        <v>255</v>
      </c>
      <c r="G17" s="198">
        <v>289000</v>
      </c>
      <c r="H17" s="195" t="s">
        <v>263</v>
      </c>
      <c r="J17" s="194" t="s">
        <v>255</v>
      </c>
      <c r="K17" s="198">
        <v>1291380</v>
      </c>
      <c r="L17" s="201" t="s">
        <v>264</v>
      </c>
      <c r="M17" s="181"/>
      <c r="N17" s="194" t="s">
        <v>255</v>
      </c>
      <c r="O17" s="203">
        <v>3548</v>
      </c>
      <c r="P17" s="204" t="s">
        <v>151</v>
      </c>
      <c r="Q17" s="181"/>
      <c r="R17" s="194" t="s">
        <v>255</v>
      </c>
      <c r="S17" s="203">
        <v>3548</v>
      </c>
      <c r="T17" s="206" t="s">
        <v>152</v>
      </c>
      <c r="U17" s="181"/>
      <c r="V17" s="194" t="s">
        <v>49</v>
      </c>
      <c r="W17" s="208">
        <v>1.8228635248301872E-2</v>
      </c>
      <c r="X17" s="204" t="s">
        <v>266</v>
      </c>
      <c r="Y17" s="188"/>
      <c r="Z17" s="194" t="s">
        <v>255</v>
      </c>
      <c r="AA17" s="203">
        <v>3548</v>
      </c>
      <c r="AB17" s="206">
        <v>2.7</v>
      </c>
      <c r="AC17" s="203">
        <v>1314.0740740740739</v>
      </c>
      <c r="AD17" s="209">
        <v>1.8228635248301872E-2</v>
      </c>
      <c r="AE17" s="203">
        <v>2259.3267173619643</v>
      </c>
      <c r="AF17" s="210"/>
      <c r="AG17" s="189"/>
      <c r="AH17" s="194" t="s">
        <v>255</v>
      </c>
      <c r="AI17" s="214">
        <v>248360000</v>
      </c>
      <c r="AJ17" s="214">
        <v>248360000</v>
      </c>
      <c r="AK17" s="204" t="s">
        <v>287</v>
      </c>
      <c r="AL17" s="189"/>
      <c r="AM17" s="194" t="s">
        <v>255</v>
      </c>
      <c r="AN17" s="214">
        <v>97969999.999999985</v>
      </c>
      <c r="AO17" s="214">
        <v>122430000.00000001</v>
      </c>
      <c r="AP17" s="210" t="s">
        <v>265</v>
      </c>
      <c r="AQ17" s="210" t="s">
        <v>267</v>
      </c>
      <c r="AR17" s="189"/>
      <c r="AS17" s="215" t="s">
        <v>255</v>
      </c>
      <c r="AT17" s="214">
        <v>122430000.00000001</v>
      </c>
      <c r="AU17" s="216">
        <v>0.1</v>
      </c>
      <c r="AV17" s="214">
        <v>12243000.000000002</v>
      </c>
      <c r="AW17" s="210"/>
      <c r="AX17" s="189"/>
      <c r="AY17" s="215" t="s">
        <v>255</v>
      </c>
      <c r="AZ17" s="214">
        <v>248360000</v>
      </c>
      <c r="BA17" s="218">
        <v>0.6</v>
      </c>
      <c r="BB17" s="214">
        <v>149016000</v>
      </c>
      <c r="BC17" s="210"/>
      <c r="BD17" s="189"/>
    </row>
    <row r="18" spans="1:56" x14ac:dyDescent="0.35">
      <c r="A18" s="180"/>
      <c r="B18" s="194" t="s">
        <v>256</v>
      </c>
      <c r="C18" s="198">
        <v>36607300</v>
      </c>
      <c r="D18" s="195" t="s">
        <v>268</v>
      </c>
      <c r="E18" s="181"/>
      <c r="F18" s="194" t="s">
        <v>256</v>
      </c>
      <c r="G18" s="198">
        <v>74433000</v>
      </c>
      <c r="H18" s="195" t="s">
        <v>263</v>
      </c>
      <c r="J18" s="194" t="s">
        <v>256</v>
      </c>
      <c r="K18" s="198">
        <v>17786552.340000004</v>
      </c>
      <c r="L18" s="201" t="s">
        <v>264</v>
      </c>
      <c r="M18" s="181"/>
      <c r="N18" s="194" t="s">
        <v>256</v>
      </c>
      <c r="O18" s="203">
        <v>36000</v>
      </c>
      <c r="P18" s="204" t="s">
        <v>151</v>
      </c>
      <c r="Q18" s="181"/>
      <c r="R18" s="194" t="s">
        <v>256</v>
      </c>
      <c r="S18" s="203">
        <v>36000</v>
      </c>
      <c r="T18" s="206" t="s">
        <v>295</v>
      </c>
      <c r="U18" s="181"/>
      <c r="V18" s="194" t="s">
        <v>88</v>
      </c>
      <c r="W18" s="208">
        <v>3.0277059704020504E-2</v>
      </c>
      <c r="X18" s="204" t="s">
        <v>266</v>
      </c>
      <c r="Y18" s="188"/>
      <c r="Z18" s="194" t="s">
        <v>256</v>
      </c>
      <c r="AA18" s="203">
        <v>36000</v>
      </c>
      <c r="AB18" s="206">
        <v>2.7</v>
      </c>
      <c r="AC18" s="203">
        <v>13333.333333333332</v>
      </c>
      <c r="AD18" s="209">
        <v>3.0277059704020504E-2</v>
      </c>
      <c r="AE18" s="203">
        <v>32625.684545801392</v>
      </c>
      <c r="AF18" s="210"/>
      <c r="AG18" s="189"/>
      <c r="AH18" s="194" t="s">
        <v>256</v>
      </c>
      <c r="AI18" s="214">
        <v>3144271886.9625125</v>
      </c>
      <c r="AJ18" s="214">
        <v>3395795623.526413</v>
      </c>
      <c r="AK18" s="204" t="s">
        <v>290</v>
      </c>
      <c r="AL18" s="189"/>
      <c r="AM18" s="194" t="s">
        <v>256</v>
      </c>
      <c r="AN18" s="214">
        <v>1070245842.9999999</v>
      </c>
      <c r="AO18" s="214">
        <v>2140491685.9999998</v>
      </c>
      <c r="AP18" s="210" t="s">
        <v>265</v>
      </c>
      <c r="AQ18" s="210" t="s">
        <v>267</v>
      </c>
      <c r="AR18" s="189"/>
      <c r="AS18" s="215" t="s">
        <v>256</v>
      </c>
      <c r="AT18" s="214">
        <v>2140491685.9999998</v>
      </c>
      <c r="AU18" s="216">
        <v>0.1</v>
      </c>
      <c r="AV18" s="214">
        <v>214049168.59999999</v>
      </c>
      <c r="AW18" s="210"/>
      <c r="AX18" s="189"/>
      <c r="AY18" s="215" t="s">
        <v>256</v>
      </c>
      <c r="AZ18" s="214">
        <v>3270033755.244463</v>
      </c>
      <c r="BA18" s="218">
        <v>0.6</v>
      </c>
      <c r="BB18" s="214">
        <v>1962020253.1466777</v>
      </c>
      <c r="BC18" s="210"/>
      <c r="BD18" s="189"/>
    </row>
    <row r="19" spans="1:56" ht="77.5" x14ac:dyDescent="0.35">
      <c r="A19" s="180"/>
      <c r="B19" s="194" t="s">
        <v>257</v>
      </c>
      <c r="C19" s="198">
        <v>29720508</v>
      </c>
      <c r="D19" s="195" t="s">
        <v>268</v>
      </c>
      <c r="E19" s="181"/>
      <c r="F19" s="194" t="s">
        <v>257</v>
      </c>
      <c r="G19" s="198">
        <v>14704000</v>
      </c>
      <c r="H19" s="195" t="s">
        <v>263</v>
      </c>
      <c r="J19" s="194" t="s">
        <v>257</v>
      </c>
      <c r="K19" s="198">
        <v>15515000</v>
      </c>
      <c r="L19" s="201" t="s">
        <v>285</v>
      </c>
      <c r="M19" s="181"/>
      <c r="N19" s="194" t="s">
        <v>257</v>
      </c>
      <c r="O19" s="203">
        <v>52327.6</v>
      </c>
      <c r="P19" s="204" t="s">
        <v>151</v>
      </c>
      <c r="Q19" s="181"/>
      <c r="R19" s="194" t="s">
        <v>257</v>
      </c>
      <c r="S19" s="203">
        <v>42174.700000000004</v>
      </c>
      <c r="T19" s="206" t="s">
        <v>152</v>
      </c>
      <c r="U19" s="181"/>
      <c r="V19" s="194" t="s">
        <v>50</v>
      </c>
      <c r="W19" s="208">
        <v>3.3952713779962895E-2</v>
      </c>
      <c r="X19" s="204" t="s">
        <v>266</v>
      </c>
      <c r="Y19" s="188"/>
      <c r="Z19" s="194" t="s">
        <v>257</v>
      </c>
      <c r="AA19" s="203">
        <v>47251.15</v>
      </c>
      <c r="AB19" s="206">
        <v>2.7</v>
      </c>
      <c r="AC19" s="203">
        <v>17500.425925925927</v>
      </c>
      <c r="AD19" s="209">
        <v>3.3952713779962895E-2</v>
      </c>
      <c r="AE19" s="203">
        <v>47650.662327842991</v>
      </c>
      <c r="AF19" s="210"/>
      <c r="AG19" s="189"/>
      <c r="AH19" s="194" t="s">
        <v>257</v>
      </c>
      <c r="AI19" s="214">
        <v>1770369955.3435953</v>
      </c>
      <c r="AJ19" s="214">
        <v>1848813063.362865</v>
      </c>
      <c r="AK19" s="204" t="s">
        <v>294</v>
      </c>
      <c r="AL19" s="189"/>
      <c r="AM19" s="194" t="s">
        <v>257</v>
      </c>
      <c r="AN19" s="214">
        <v>568083388.66999996</v>
      </c>
      <c r="AO19" s="214">
        <v>852125083.005</v>
      </c>
      <c r="AP19" s="210" t="s">
        <v>265</v>
      </c>
      <c r="AQ19" s="210" t="s">
        <v>267</v>
      </c>
      <c r="AR19" s="189"/>
      <c r="AS19" s="215" t="s">
        <v>257</v>
      </c>
      <c r="AT19" s="214">
        <v>852125083.005</v>
      </c>
      <c r="AU19" s="216">
        <v>0.1</v>
      </c>
      <c r="AV19" s="214">
        <v>85212508.300500005</v>
      </c>
      <c r="AW19" s="210"/>
      <c r="AX19" s="189"/>
      <c r="AY19" s="215" t="s">
        <v>257</v>
      </c>
      <c r="AZ19" s="214">
        <v>1809591509.35323</v>
      </c>
      <c r="BA19" s="218">
        <v>0.6</v>
      </c>
      <c r="BB19" s="214">
        <v>1085754905.611938</v>
      </c>
      <c r="BC19" s="210"/>
      <c r="BD19" s="189"/>
    </row>
    <row r="20" spans="1:56" x14ac:dyDescent="0.35">
      <c r="A20" s="180"/>
      <c r="B20" s="194" t="s">
        <v>258</v>
      </c>
      <c r="C20" s="198">
        <v>8764000</v>
      </c>
      <c r="D20" s="195" t="s">
        <v>296</v>
      </c>
      <c r="E20" s="181"/>
      <c r="F20" s="194" t="s">
        <v>258</v>
      </c>
      <c r="G20" s="198">
        <v>20190000</v>
      </c>
      <c r="H20" s="195" t="s">
        <v>263</v>
      </c>
      <c r="J20" s="194" t="s">
        <v>258</v>
      </c>
      <c r="K20" s="198">
        <v>7921561.3099999996</v>
      </c>
      <c r="L20" s="201" t="s">
        <v>264</v>
      </c>
      <c r="M20" s="181"/>
      <c r="N20" s="194" t="s">
        <v>258</v>
      </c>
      <c r="O20" s="203">
        <v>10683</v>
      </c>
      <c r="P20" s="204" t="s">
        <v>151</v>
      </c>
      <c r="Q20" s="181"/>
      <c r="R20" s="194" t="s">
        <v>258</v>
      </c>
      <c r="S20" s="203">
        <v>12420</v>
      </c>
      <c r="T20" s="206" t="s">
        <v>152</v>
      </c>
      <c r="U20" s="181"/>
      <c r="V20" s="194" t="s">
        <v>43</v>
      </c>
      <c r="W20" s="208">
        <v>1.0796054985407588E-2</v>
      </c>
      <c r="X20" s="204" t="s">
        <v>266</v>
      </c>
      <c r="Y20" s="188"/>
      <c r="Z20" s="194" t="s">
        <v>258</v>
      </c>
      <c r="AA20" s="203">
        <v>11551.5</v>
      </c>
      <c r="AB20" s="206">
        <v>2.7</v>
      </c>
      <c r="AC20" s="203">
        <v>4278.333333333333</v>
      </c>
      <c r="AD20" s="209">
        <v>1.0796054985407588E-2</v>
      </c>
      <c r="AE20" s="203">
        <v>5904.4678997677511</v>
      </c>
      <c r="AF20" s="210"/>
      <c r="AG20" s="189"/>
      <c r="AH20" s="194" t="s">
        <v>258</v>
      </c>
      <c r="AI20" s="214">
        <v>808605000</v>
      </c>
      <c r="AJ20" s="214">
        <v>808605000</v>
      </c>
      <c r="AK20" s="204" t="s">
        <v>294</v>
      </c>
      <c r="AL20" s="189"/>
      <c r="AM20" s="194" t="s">
        <v>258</v>
      </c>
      <c r="AN20" s="214">
        <v>270075999.99999994</v>
      </c>
      <c r="AO20" s="214">
        <v>357583000</v>
      </c>
      <c r="AP20" s="210" t="s">
        <v>265</v>
      </c>
      <c r="AQ20" s="210" t="s">
        <v>267</v>
      </c>
      <c r="AR20" s="189"/>
      <c r="AS20" s="215" t="s">
        <v>258</v>
      </c>
      <c r="AT20" s="214">
        <v>357583000</v>
      </c>
      <c r="AU20" s="216">
        <v>0.1</v>
      </c>
      <c r="AV20" s="214">
        <v>35758300</v>
      </c>
      <c r="AW20" s="210"/>
      <c r="AX20" s="189"/>
      <c r="AY20" s="215" t="s">
        <v>258</v>
      </c>
      <c r="AZ20" s="214">
        <v>808605000</v>
      </c>
      <c r="BA20" s="218">
        <v>0.6</v>
      </c>
      <c r="BB20" s="214">
        <v>485163000</v>
      </c>
      <c r="BC20" s="210"/>
      <c r="BD20" s="189"/>
    </row>
    <row r="21" spans="1:56" x14ac:dyDescent="0.35">
      <c r="A21" s="180"/>
      <c r="B21" s="194" t="s">
        <v>259</v>
      </c>
      <c r="C21" s="198">
        <v>22061000</v>
      </c>
      <c r="D21" s="195" t="s">
        <v>268</v>
      </c>
      <c r="E21" s="181"/>
      <c r="F21" s="194" t="s">
        <v>259</v>
      </c>
      <c r="G21" s="198">
        <v>56896000</v>
      </c>
      <c r="H21" s="195" t="s">
        <v>263</v>
      </c>
      <c r="J21" s="194" t="s">
        <v>259</v>
      </c>
      <c r="K21" s="198">
        <v>10869506.178599998</v>
      </c>
      <c r="L21" s="201" t="s">
        <v>264</v>
      </c>
      <c r="M21" s="181"/>
      <c r="N21" s="194" t="s">
        <v>259</v>
      </c>
      <c r="O21" s="203">
        <v>44556</v>
      </c>
      <c r="P21" s="204" t="s">
        <v>151</v>
      </c>
      <c r="Q21" s="181"/>
      <c r="R21" s="194" t="s">
        <v>259</v>
      </c>
      <c r="S21" s="203">
        <v>36087</v>
      </c>
      <c r="T21" s="206" t="s">
        <v>152</v>
      </c>
      <c r="U21" s="181"/>
      <c r="V21" s="194" t="s">
        <v>51</v>
      </c>
      <c r="W21" s="208">
        <v>5.4531533357162765E-3</v>
      </c>
      <c r="X21" s="204" t="s">
        <v>266</v>
      </c>
      <c r="Y21" s="188"/>
      <c r="Z21" s="194" t="s">
        <v>259</v>
      </c>
      <c r="AA21" s="203">
        <v>40321.5</v>
      </c>
      <c r="AB21" s="206">
        <v>2.7</v>
      </c>
      <c r="AC21" s="203">
        <v>14933.888888888889</v>
      </c>
      <c r="AD21" s="209">
        <v>5.4531533357162765E-3</v>
      </c>
      <c r="AE21" s="203">
        <v>17580.374845303431</v>
      </c>
      <c r="AF21" s="210"/>
      <c r="AG21" s="189"/>
      <c r="AH21" s="194" t="s">
        <v>259</v>
      </c>
      <c r="AI21" s="214">
        <v>942007084.59107387</v>
      </c>
      <c r="AJ21" s="214">
        <v>947230847.76671886</v>
      </c>
      <c r="AK21" s="204" t="s">
        <v>287</v>
      </c>
      <c r="AL21" s="189"/>
      <c r="AM21" s="194" t="s">
        <v>259</v>
      </c>
      <c r="AN21" s="214">
        <v>831929855.5098896</v>
      </c>
      <c r="AO21" s="214">
        <v>1100635884.5348566</v>
      </c>
      <c r="AP21" s="210" t="s">
        <v>265</v>
      </c>
      <c r="AQ21" s="210" t="s">
        <v>267</v>
      </c>
      <c r="AR21" s="189"/>
      <c r="AS21" s="215" t="s">
        <v>259</v>
      </c>
      <c r="AT21" s="214">
        <v>1100635884.5348566</v>
      </c>
      <c r="AU21" s="216">
        <v>0.1</v>
      </c>
      <c r="AV21" s="214">
        <v>110063588.45348567</v>
      </c>
      <c r="AW21" s="210"/>
      <c r="AX21" s="189"/>
      <c r="AY21" s="215" t="s">
        <v>259</v>
      </c>
      <c r="AZ21" s="214">
        <v>944618966.17889643</v>
      </c>
      <c r="BA21" s="218">
        <v>0.6</v>
      </c>
      <c r="BB21" s="214">
        <v>566771379.70733786</v>
      </c>
      <c r="BC21" s="210"/>
      <c r="BD21" s="189"/>
    </row>
    <row r="22" spans="1:56" ht="93" x14ac:dyDescent="0.35">
      <c r="A22" s="180"/>
      <c r="B22" s="194" t="s">
        <v>260</v>
      </c>
      <c r="C22" s="198">
        <v>28718000</v>
      </c>
      <c r="D22" s="195" t="s">
        <v>245</v>
      </c>
      <c r="E22" s="181"/>
      <c r="F22" s="194" t="s">
        <v>260</v>
      </c>
      <c r="G22" s="198">
        <v>72106000</v>
      </c>
      <c r="H22" s="195" t="s">
        <v>263</v>
      </c>
      <c r="J22" s="194" t="s">
        <v>260</v>
      </c>
      <c r="K22" s="198">
        <v>14050000</v>
      </c>
      <c r="L22" s="201" t="s">
        <v>297</v>
      </c>
      <c r="M22" s="181"/>
      <c r="N22" s="194" t="s">
        <v>260</v>
      </c>
      <c r="O22" s="203">
        <v>51970</v>
      </c>
      <c r="P22" s="204" t="s">
        <v>151</v>
      </c>
      <c r="Q22" s="181"/>
      <c r="R22" s="194" t="s">
        <v>260</v>
      </c>
      <c r="S22" s="203">
        <v>45170</v>
      </c>
      <c r="T22" s="206" t="s">
        <v>152</v>
      </c>
      <c r="U22" s="181"/>
      <c r="V22" s="194" t="s">
        <v>87</v>
      </c>
      <c r="W22" s="208">
        <v>2.4949913630393006E-2</v>
      </c>
      <c r="X22" s="204" t="s">
        <v>266</v>
      </c>
      <c r="Y22" s="188"/>
      <c r="Z22" s="194" t="s">
        <v>260</v>
      </c>
      <c r="AA22" s="203">
        <v>48570</v>
      </c>
      <c r="AB22" s="206">
        <v>2.7</v>
      </c>
      <c r="AC22" s="203">
        <v>17988.888888888887</v>
      </c>
      <c r="AD22" s="209">
        <v>2.4949913630393006E-2</v>
      </c>
      <c r="AE22" s="203">
        <v>37677.635013950385</v>
      </c>
      <c r="AF22" s="210"/>
      <c r="AG22" s="189"/>
      <c r="AH22" s="194" t="s">
        <v>260</v>
      </c>
      <c r="AI22" s="214">
        <v>1085423539.3083088</v>
      </c>
      <c r="AJ22" s="214">
        <v>1112855018.4552987</v>
      </c>
      <c r="AK22" s="204" t="s">
        <v>180</v>
      </c>
      <c r="AL22" s="189"/>
      <c r="AM22" s="194" t="s">
        <v>260</v>
      </c>
      <c r="AN22" s="214">
        <v>759742481.87999916</v>
      </c>
      <c r="AO22" s="214">
        <v>1519484963.7599983</v>
      </c>
      <c r="AP22" s="210" t="s">
        <v>265</v>
      </c>
      <c r="AQ22" s="210" t="s">
        <v>267</v>
      </c>
      <c r="AR22" s="189"/>
      <c r="AS22" s="215" t="s">
        <v>260</v>
      </c>
      <c r="AT22" s="214">
        <v>1519484963.7599983</v>
      </c>
      <c r="AU22" s="216">
        <v>0.1</v>
      </c>
      <c r="AV22" s="214">
        <v>151948496.37599984</v>
      </c>
      <c r="AW22" s="210"/>
      <c r="AX22" s="189"/>
      <c r="AY22" s="215" t="s">
        <v>260</v>
      </c>
      <c r="AZ22" s="214">
        <v>1099139278.8818038</v>
      </c>
      <c r="BA22" s="218">
        <v>0.6</v>
      </c>
      <c r="BB22" s="214">
        <v>659483567.32908225</v>
      </c>
      <c r="BC22" s="210"/>
      <c r="BD22" s="189"/>
    </row>
    <row r="23" spans="1:56" x14ac:dyDescent="0.35">
      <c r="A23" s="180"/>
      <c r="B23" s="194" t="s">
        <v>261</v>
      </c>
      <c r="C23" s="198">
        <v>3094000</v>
      </c>
      <c r="D23" s="195" t="s">
        <v>298</v>
      </c>
      <c r="E23" s="181"/>
      <c r="F23" s="194" t="s">
        <v>261</v>
      </c>
      <c r="G23" s="198">
        <v>4076000</v>
      </c>
      <c r="H23" s="195" t="s">
        <v>263</v>
      </c>
      <c r="J23" s="194" t="s">
        <v>261</v>
      </c>
      <c r="K23" s="198">
        <v>2146000</v>
      </c>
      <c r="L23" s="201" t="s">
        <v>264</v>
      </c>
      <c r="M23" s="181"/>
      <c r="N23" s="194" t="s">
        <v>261</v>
      </c>
      <c r="O23" s="203">
        <v>6569</v>
      </c>
      <c r="P23" s="204" t="s">
        <v>151</v>
      </c>
      <c r="Q23" s="181"/>
      <c r="R23" s="194" t="s">
        <v>261</v>
      </c>
      <c r="S23" s="203">
        <v>3194</v>
      </c>
      <c r="T23" s="206" t="s">
        <v>152</v>
      </c>
      <c r="U23" s="181"/>
      <c r="V23" s="194" t="s">
        <v>52</v>
      </c>
      <c r="W23" s="208">
        <v>7.2358865554094098E-3</v>
      </c>
      <c r="X23" s="204" t="s">
        <v>266</v>
      </c>
      <c r="Y23" s="188"/>
      <c r="Z23" s="194" t="s">
        <v>261</v>
      </c>
      <c r="AA23" s="203">
        <v>4881.5</v>
      </c>
      <c r="AB23" s="206">
        <v>2.7</v>
      </c>
      <c r="AC23" s="203">
        <v>1807.9629629629628</v>
      </c>
      <c r="AD23" s="209">
        <v>7.2358865554094098E-3</v>
      </c>
      <c r="AE23" s="203">
        <v>2244.5291594081809</v>
      </c>
      <c r="AF23" s="210"/>
      <c r="AG23" s="189"/>
      <c r="AH23" s="194" t="s">
        <v>261</v>
      </c>
      <c r="AI23" s="214">
        <v>341705000</v>
      </c>
      <c r="AJ23" s="214">
        <v>341705000</v>
      </c>
      <c r="AK23" s="204" t="s">
        <v>299</v>
      </c>
      <c r="AL23" s="189"/>
      <c r="AM23" s="194" t="s">
        <v>261</v>
      </c>
      <c r="AN23" s="214">
        <v>61344137.999999985</v>
      </c>
      <c r="AO23" s="214">
        <v>75463566.800000027</v>
      </c>
      <c r="AP23" s="210" t="s">
        <v>265</v>
      </c>
      <c r="AQ23" s="210" t="s">
        <v>267</v>
      </c>
      <c r="AR23" s="189"/>
      <c r="AS23" s="215" t="s">
        <v>261</v>
      </c>
      <c r="AT23" s="214">
        <v>75463566.800000027</v>
      </c>
      <c r="AU23" s="216">
        <v>0.1</v>
      </c>
      <c r="AV23" s="214">
        <v>7546356.6800000034</v>
      </c>
      <c r="AW23" s="210"/>
      <c r="AX23" s="189"/>
      <c r="AY23" s="215" t="s">
        <v>261</v>
      </c>
      <c r="AZ23" s="214">
        <v>341705000</v>
      </c>
      <c r="BA23" s="218">
        <v>0.6</v>
      </c>
      <c r="BB23" s="214">
        <v>205023000</v>
      </c>
      <c r="BC23" s="210"/>
      <c r="BD23" s="189"/>
    </row>
    <row r="24" spans="1:56" x14ac:dyDescent="0.35">
      <c r="A24" s="180"/>
      <c r="B24" s="194" t="s">
        <v>262</v>
      </c>
      <c r="C24" s="198">
        <v>10476000</v>
      </c>
      <c r="D24" s="195" t="s">
        <v>268</v>
      </c>
      <c r="E24" s="181"/>
      <c r="F24" s="194" t="s">
        <v>262</v>
      </c>
      <c r="G24" s="198">
        <v>0</v>
      </c>
      <c r="H24" s="195" t="s">
        <v>263</v>
      </c>
      <c r="J24" s="194" t="s">
        <v>262</v>
      </c>
      <c r="K24" s="198">
        <v>7754000</v>
      </c>
      <c r="L24" s="201" t="s">
        <v>264</v>
      </c>
      <c r="M24" s="181"/>
      <c r="N24" s="194" t="s">
        <v>262</v>
      </c>
      <c r="O24" s="203">
        <v>22147</v>
      </c>
      <c r="P24" s="204" t="s">
        <v>151</v>
      </c>
      <c r="Q24" s="181"/>
      <c r="R24" s="194" t="s">
        <v>262</v>
      </c>
      <c r="S24" s="203">
        <v>15100</v>
      </c>
      <c r="T24" s="206" t="s">
        <v>152</v>
      </c>
      <c r="U24" s="181"/>
      <c r="V24" s="194" t="s">
        <v>53</v>
      </c>
      <c r="W24" s="208">
        <v>3.0000000000000001E-3</v>
      </c>
      <c r="X24" s="204" t="s">
        <v>293</v>
      </c>
      <c r="Y24" s="188"/>
      <c r="Z24" s="194" t="s">
        <v>262</v>
      </c>
      <c r="AA24" s="203">
        <v>18623.5</v>
      </c>
      <c r="AB24" s="206">
        <v>2.7</v>
      </c>
      <c r="AC24" s="203">
        <v>6897.5925925925922</v>
      </c>
      <c r="AD24" s="209">
        <v>3.0000000000000001E-3</v>
      </c>
      <c r="AE24" s="203">
        <v>7546.151668209548</v>
      </c>
      <c r="AF24" s="210"/>
      <c r="AG24" s="189"/>
      <c r="AH24" s="194" t="s">
        <v>262</v>
      </c>
      <c r="AI24" s="214">
        <v>1303645000</v>
      </c>
      <c r="AJ24" s="214">
        <v>1303645000</v>
      </c>
      <c r="AK24" s="204" t="s">
        <v>294</v>
      </c>
      <c r="AL24" s="189"/>
      <c r="AM24" s="194" t="s">
        <v>262</v>
      </c>
      <c r="AN24" s="214">
        <v>244066904.23189995</v>
      </c>
      <c r="AO24" s="214">
        <v>660636499.69570005</v>
      </c>
      <c r="AP24" s="210" t="s">
        <v>265</v>
      </c>
      <c r="AQ24" s="210" t="s">
        <v>267</v>
      </c>
      <c r="AR24" s="189"/>
      <c r="AS24" s="215" t="s">
        <v>262</v>
      </c>
      <c r="AT24" s="214">
        <v>660636499.69570005</v>
      </c>
      <c r="AU24" s="216">
        <v>0.1</v>
      </c>
      <c r="AV24" s="214">
        <v>66063649.969570011</v>
      </c>
      <c r="AW24" s="210"/>
      <c r="AX24" s="189"/>
      <c r="AY24" s="215" t="s">
        <v>262</v>
      </c>
      <c r="AZ24" s="214">
        <v>1303645000</v>
      </c>
      <c r="BA24" s="218">
        <v>0.6</v>
      </c>
      <c r="BB24" s="214">
        <v>782187000</v>
      </c>
      <c r="BC24" s="210"/>
      <c r="BD24" s="189"/>
    </row>
    <row r="25" spans="1:56" x14ac:dyDescent="0.35">
      <c r="A25" s="180"/>
      <c r="B25" s="194" t="s">
        <v>244</v>
      </c>
      <c r="C25" s="198">
        <v>6378000</v>
      </c>
      <c r="D25" s="195" t="s">
        <v>245</v>
      </c>
      <c r="E25" s="181"/>
      <c r="F25" s="194" t="s">
        <v>244</v>
      </c>
      <c r="G25" s="198">
        <v>7113000</v>
      </c>
      <c r="H25" s="195" t="s">
        <v>263</v>
      </c>
      <c r="J25" s="194" t="s">
        <v>244</v>
      </c>
      <c r="K25" s="198">
        <v>3043000</v>
      </c>
      <c r="L25" s="201" t="s">
        <v>264</v>
      </c>
      <c r="M25" s="181"/>
      <c r="N25" s="194" t="s">
        <v>244</v>
      </c>
      <c r="O25" s="203">
        <v>5598</v>
      </c>
      <c r="P25" s="204" t="s">
        <v>151</v>
      </c>
      <c r="Q25" s="181"/>
      <c r="R25" s="194" t="s">
        <v>244</v>
      </c>
      <c r="S25" s="203">
        <v>5661</v>
      </c>
      <c r="T25" s="206" t="s">
        <v>152</v>
      </c>
      <c r="U25" s="181"/>
      <c r="V25" s="194" t="s">
        <v>54</v>
      </c>
      <c r="W25" s="208">
        <v>1.5246008397444799E-2</v>
      </c>
      <c r="X25" s="204" t="s">
        <v>288</v>
      </c>
      <c r="Y25" s="188"/>
      <c r="Z25" s="194" t="s">
        <v>244</v>
      </c>
      <c r="AA25" s="203">
        <v>5629.5</v>
      </c>
      <c r="AB25" s="206">
        <v>2.7</v>
      </c>
      <c r="AC25" s="203">
        <v>2085</v>
      </c>
      <c r="AD25" s="209">
        <v>1.5246008397444799E-2</v>
      </c>
      <c r="AE25" s="203">
        <v>3282.8026801594356</v>
      </c>
      <c r="AF25" s="210"/>
      <c r="AG25" s="189"/>
      <c r="AH25" s="194" t="s">
        <v>244</v>
      </c>
      <c r="AI25" s="214">
        <v>394065000</v>
      </c>
      <c r="AJ25" s="214">
        <v>394065000</v>
      </c>
      <c r="AK25" s="204" t="s">
        <v>287</v>
      </c>
      <c r="AL25" s="189"/>
      <c r="AM25" s="194" t="s">
        <v>244</v>
      </c>
      <c r="AN25" s="214">
        <v>116154000.00000001</v>
      </c>
      <c r="AO25" s="214">
        <v>174230900</v>
      </c>
      <c r="AP25" s="210" t="s">
        <v>265</v>
      </c>
      <c r="AQ25" s="210" t="s">
        <v>267</v>
      </c>
      <c r="AR25" s="189"/>
      <c r="AS25" s="215" t="s">
        <v>244</v>
      </c>
      <c r="AT25" s="214">
        <v>174230900</v>
      </c>
      <c r="AU25" s="216">
        <v>0.1</v>
      </c>
      <c r="AV25" s="214">
        <v>17423090</v>
      </c>
      <c r="AW25" s="210"/>
      <c r="AX25" s="189"/>
      <c r="AY25" s="215" t="s">
        <v>244</v>
      </c>
      <c r="AZ25" s="214">
        <v>394065000</v>
      </c>
      <c r="BA25" s="218">
        <v>0.6</v>
      </c>
      <c r="BB25" s="214">
        <v>236439000</v>
      </c>
      <c r="BC25" s="210"/>
      <c r="BD25" s="189"/>
    </row>
    <row r="26" spans="1:56" x14ac:dyDescent="0.35">
      <c r="A26" s="180"/>
      <c r="B26" s="194"/>
      <c r="C26" s="198"/>
      <c r="D26" s="195"/>
      <c r="E26" s="181"/>
      <c r="F26" s="194"/>
      <c r="G26" s="198"/>
      <c r="H26" s="195"/>
      <c r="J26" s="194"/>
      <c r="K26" s="202"/>
      <c r="L26" s="201"/>
      <c r="M26" s="181"/>
      <c r="N26" s="194"/>
      <c r="O26" s="203"/>
      <c r="P26" s="204"/>
      <c r="Q26" s="181"/>
      <c r="R26" s="194"/>
      <c r="S26" s="203"/>
      <c r="T26" s="206"/>
      <c r="U26" s="181"/>
      <c r="V26" s="184"/>
      <c r="W26" s="178"/>
      <c r="X26" s="187"/>
      <c r="Y26" s="188"/>
      <c r="Z26" s="194"/>
      <c r="AA26" s="203"/>
      <c r="AB26" s="206"/>
      <c r="AC26" s="203"/>
      <c r="AD26" s="209"/>
      <c r="AE26" s="203"/>
      <c r="AF26" s="210"/>
      <c r="AG26" s="189"/>
      <c r="AH26" s="194"/>
      <c r="AI26" s="214"/>
      <c r="AJ26" s="214"/>
      <c r="AK26" s="204"/>
      <c r="AL26" s="189"/>
      <c r="AM26" s="194"/>
      <c r="AN26" s="214"/>
      <c r="AO26" s="214"/>
      <c r="AP26" s="210"/>
      <c r="AQ26" s="210"/>
      <c r="AR26" s="189"/>
      <c r="AS26" s="215"/>
      <c r="AT26" s="214"/>
      <c r="AU26" s="216"/>
      <c r="AV26" s="214"/>
      <c r="AW26" s="210"/>
      <c r="AX26" s="189"/>
      <c r="AY26" s="215"/>
      <c r="AZ26" s="214"/>
      <c r="BA26" s="218"/>
      <c r="BB26" s="219"/>
      <c r="BC26" s="210"/>
      <c r="BD26" s="189"/>
    </row>
    <row r="27" spans="1:56" x14ac:dyDescent="0.35">
      <c r="B27" s="196" t="s">
        <v>227</v>
      </c>
      <c r="C27" s="198">
        <v>486135182.59173912</v>
      </c>
      <c r="D27" s="197" t="s">
        <v>270</v>
      </c>
      <c r="F27" s="196" t="s">
        <v>227</v>
      </c>
      <c r="G27" s="198">
        <v>1523123592.1857181</v>
      </c>
      <c r="H27" s="197" t="s">
        <v>270</v>
      </c>
      <c r="J27" s="196" t="s">
        <v>227</v>
      </c>
      <c r="K27" s="198">
        <v>249811550.72860003</v>
      </c>
      <c r="L27" s="197" t="s">
        <v>270</v>
      </c>
      <c r="N27" s="196" t="s">
        <v>227</v>
      </c>
      <c r="O27" s="205">
        <v>869720.26</v>
      </c>
      <c r="P27" s="197" t="s">
        <v>270</v>
      </c>
      <c r="R27" s="196" t="s">
        <v>227</v>
      </c>
      <c r="S27" s="205">
        <v>858580.71</v>
      </c>
      <c r="T27" s="197" t="s">
        <v>270</v>
      </c>
      <c r="V27" s="190"/>
      <c r="W27" s="190"/>
      <c r="X27" s="190"/>
      <c r="Y27" s="190"/>
      <c r="Z27" s="196" t="s">
        <v>227</v>
      </c>
      <c r="AA27" s="205">
        <v>864150.48499999999</v>
      </c>
      <c r="AB27" s="206">
        <v>2.7</v>
      </c>
      <c r="AC27" s="205">
        <v>320055.73518518516</v>
      </c>
      <c r="AD27" s="211"/>
      <c r="AE27" s="205">
        <v>465055.39364031336</v>
      </c>
      <c r="AF27" s="212">
        <v>1.2533270336853253E-2</v>
      </c>
      <c r="AG27" s="192"/>
      <c r="AH27" s="196" t="s">
        <v>227</v>
      </c>
      <c r="AI27" s="198">
        <v>23529300674.750511</v>
      </c>
      <c r="AJ27" s="198">
        <v>27947907272.782612</v>
      </c>
      <c r="AK27" s="197" t="s">
        <v>270</v>
      </c>
      <c r="AL27" s="192"/>
      <c r="AM27" s="196" t="s">
        <v>227</v>
      </c>
      <c r="AN27" s="214">
        <v>19749065787.111782</v>
      </c>
      <c r="AO27" s="214">
        <v>27170425973.838058</v>
      </c>
      <c r="AP27" s="197"/>
      <c r="AQ27" s="206"/>
      <c r="AR27" s="192"/>
      <c r="AS27" s="215" t="s">
        <v>61</v>
      </c>
      <c r="AT27" s="214">
        <v>27170425973.838058</v>
      </c>
      <c r="AU27" s="197"/>
      <c r="AV27" s="214">
        <v>2717042597.3838058</v>
      </c>
      <c r="AW27" s="217">
        <v>9.9999999999999992E-2</v>
      </c>
      <c r="AX27" s="192"/>
      <c r="AY27" s="215" t="s">
        <v>61</v>
      </c>
      <c r="AZ27" s="214">
        <v>25738603973.766563</v>
      </c>
      <c r="BA27" s="197"/>
      <c r="BB27" s="214">
        <v>15443162384.259937</v>
      </c>
      <c r="BC27" s="217">
        <v>0.6</v>
      </c>
      <c r="BD27" s="192"/>
    </row>
  </sheetData>
  <mergeCells count="1">
    <mergeCell ref="AP5:AQ5"/>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202"/>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7" bestFit="1" customWidth="1"/>
    <col min="4" max="4" width="29.58203125" style="108"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6" t="s">
        <v>164</v>
      </c>
    </row>
    <row r="2" spans="1:33" ht="26.5" thickBot="1" x14ac:dyDescent="0.4">
      <c r="A2" s="109"/>
      <c r="B2" s="109"/>
      <c r="D2" s="110"/>
    </row>
    <row r="3" spans="1:33" s="112" customFormat="1" ht="21.5" thickBot="1" x14ac:dyDescent="0.4">
      <c r="A3" s="84"/>
      <c r="B3" s="84"/>
      <c r="C3" s="111"/>
      <c r="D3" s="227" t="s">
        <v>27</v>
      </c>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row>
    <row r="4" spans="1:33" s="118" customFormat="1" ht="16" thickBot="1" x14ac:dyDescent="0.4">
      <c r="A4" s="113" t="s">
        <v>25</v>
      </c>
      <c r="B4" s="113" t="s">
        <v>200</v>
      </c>
      <c r="C4" s="114" t="s">
        <v>26</v>
      </c>
      <c r="D4" s="115">
        <v>2022</v>
      </c>
      <c r="E4" s="116">
        <f t="shared" ref="E4:AG4" si="0">D4+1</f>
        <v>2023</v>
      </c>
      <c r="F4" s="117">
        <f t="shared" si="0"/>
        <v>2024</v>
      </c>
      <c r="G4" s="116">
        <f t="shared" si="0"/>
        <v>2025</v>
      </c>
      <c r="H4" s="117">
        <f t="shared" si="0"/>
        <v>2026</v>
      </c>
      <c r="I4" s="116">
        <f t="shared" si="0"/>
        <v>2027</v>
      </c>
      <c r="J4" s="117">
        <f t="shared" si="0"/>
        <v>2028</v>
      </c>
      <c r="K4" s="116">
        <f t="shared" si="0"/>
        <v>2029</v>
      </c>
      <c r="L4" s="117">
        <f t="shared" si="0"/>
        <v>2030</v>
      </c>
      <c r="M4" s="116">
        <f t="shared" si="0"/>
        <v>2031</v>
      </c>
      <c r="N4" s="117">
        <f t="shared" si="0"/>
        <v>2032</v>
      </c>
      <c r="O4" s="116">
        <f t="shared" si="0"/>
        <v>2033</v>
      </c>
      <c r="P4" s="117">
        <f t="shared" si="0"/>
        <v>2034</v>
      </c>
      <c r="Q4" s="116">
        <f t="shared" si="0"/>
        <v>2035</v>
      </c>
      <c r="R4" s="117">
        <f t="shared" si="0"/>
        <v>2036</v>
      </c>
      <c r="S4" s="116">
        <f t="shared" si="0"/>
        <v>2037</v>
      </c>
      <c r="T4" s="117">
        <f t="shared" si="0"/>
        <v>2038</v>
      </c>
      <c r="U4" s="116">
        <f t="shared" si="0"/>
        <v>2039</v>
      </c>
      <c r="V4" s="117">
        <f t="shared" si="0"/>
        <v>2040</v>
      </c>
      <c r="W4" s="116">
        <f t="shared" si="0"/>
        <v>2041</v>
      </c>
      <c r="X4" s="117">
        <f t="shared" si="0"/>
        <v>2042</v>
      </c>
      <c r="Y4" s="116">
        <f t="shared" si="0"/>
        <v>2043</v>
      </c>
      <c r="Z4" s="117">
        <f t="shared" si="0"/>
        <v>2044</v>
      </c>
      <c r="AA4" s="116">
        <f t="shared" si="0"/>
        <v>2045</v>
      </c>
      <c r="AB4" s="117">
        <f t="shared" si="0"/>
        <v>2046</v>
      </c>
      <c r="AC4" s="116">
        <f t="shared" si="0"/>
        <v>2047</v>
      </c>
      <c r="AD4" s="117">
        <f t="shared" si="0"/>
        <v>2048</v>
      </c>
      <c r="AE4" s="116">
        <f t="shared" si="0"/>
        <v>2049</v>
      </c>
      <c r="AF4" s="117">
        <f t="shared" si="0"/>
        <v>2050</v>
      </c>
      <c r="AG4" s="116">
        <f t="shared" si="0"/>
        <v>2051</v>
      </c>
    </row>
    <row r="5" spans="1:33" s="118" customFormat="1" x14ac:dyDescent="0.35">
      <c r="A5" s="119"/>
      <c r="B5" s="119"/>
      <c r="C5" s="120"/>
      <c r="D5" s="121"/>
      <c r="E5" s="122"/>
      <c r="F5" s="121"/>
      <c r="G5" s="122"/>
      <c r="H5" s="121"/>
      <c r="I5" s="122"/>
      <c r="J5" s="121"/>
      <c r="K5" s="122"/>
      <c r="L5" s="121"/>
      <c r="M5" s="122"/>
      <c r="N5" s="121"/>
      <c r="O5" s="122"/>
      <c r="P5" s="121"/>
      <c r="Q5" s="122"/>
      <c r="R5" s="121"/>
      <c r="S5" s="122"/>
      <c r="T5" s="121"/>
      <c r="U5" s="122"/>
      <c r="V5" s="121"/>
      <c r="W5" s="122"/>
      <c r="X5" s="121"/>
      <c r="Y5" s="122"/>
      <c r="Z5" s="121"/>
      <c r="AA5" s="122"/>
      <c r="AB5" s="121"/>
      <c r="AC5" s="122"/>
      <c r="AD5" s="121"/>
      <c r="AE5" s="122"/>
      <c r="AF5" s="121"/>
      <c r="AG5" s="122"/>
    </row>
    <row r="6" spans="1:33" s="118" customFormat="1" x14ac:dyDescent="0.35">
      <c r="A6" s="123" t="s">
        <v>28</v>
      </c>
      <c r="B6" s="123"/>
      <c r="C6" s="114"/>
      <c r="D6" s="115"/>
      <c r="E6" s="116"/>
      <c r="F6" s="115"/>
      <c r="G6" s="116"/>
      <c r="H6" s="115"/>
      <c r="I6" s="116"/>
      <c r="J6" s="115"/>
      <c r="K6" s="116"/>
      <c r="L6" s="115"/>
      <c r="M6" s="116"/>
      <c r="N6" s="115"/>
      <c r="O6" s="116"/>
      <c r="P6" s="115"/>
      <c r="Q6" s="116"/>
      <c r="R6" s="115"/>
      <c r="S6" s="116"/>
      <c r="T6" s="115"/>
      <c r="U6" s="116"/>
      <c r="V6" s="115"/>
      <c r="W6" s="116"/>
      <c r="X6" s="115"/>
      <c r="Y6" s="116"/>
      <c r="Z6" s="115"/>
      <c r="AA6" s="116"/>
      <c r="AB6" s="115"/>
      <c r="AC6" s="116"/>
      <c r="AD6" s="115"/>
      <c r="AE6" s="116"/>
      <c r="AF6" s="115"/>
      <c r="AG6" s="116"/>
    </row>
    <row r="7" spans="1:33" s="118" customFormat="1" x14ac:dyDescent="0.35">
      <c r="A7" s="123"/>
      <c r="B7" s="123"/>
      <c r="C7" s="114"/>
      <c r="D7" s="115"/>
      <c r="E7" s="116"/>
      <c r="F7" s="115"/>
      <c r="G7" s="116"/>
      <c r="H7" s="115"/>
      <c r="I7" s="116"/>
      <c r="J7" s="115"/>
      <c r="K7" s="116"/>
      <c r="L7" s="115"/>
      <c r="M7" s="116"/>
      <c r="N7" s="115"/>
      <c r="O7" s="116"/>
      <c r="P7" s="115"/>
      <c r="Q7" s="116"/>
      <c r="R7" s="115"/>
      <c r="S7" s="116"/>
      <c r="T7" s="115"/>
      <c r="U7" s="116"/>
      <c r="V7" s="115"/>
      <c r="W7" s="116"/>
      <c r="X7" s="115"/>
      <c r="Y7" s="116"/>
      <c r="Z7" s="115"/>
      <c r="AA7" s="116"/>
      <c r="AB7" s="115"/>
      <c r="AC7" s="116"/>
      <c r="AD7" s="115"/>
      <c r="AE7" s="116"/>
      <c r="AF7" s="115"/>
      <c r="AG7" s="116"/>
    </row>
    <row r="8" spans="1:33" x14ac:dyDescent="0.35">
      <c r="A8" s="77" t="s">
        <v>29</v>
      </c>
      <c r="B8" s="77"/>
      <c r="C8" s="124"/>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18" customFormat="1" x14ac:dyDescent="0.35">
      <c r="A9" s="78" t="s">
        <v>81</v>
      </c>
      <c r="B9" s="78" t="s">
        <v>149</v>
      </c>
      <c r="C9" s="125">
        <v>2.1999999999999999E-2</v>
      </c>
      <c r="D9" s="126">
        <f t="shared" ref="D9:AG9" si="1">(1+$C$9)^D8</f>
        <v>1.022</v>
      </c>
      <c r="E9" s="126">
        <f t="shared" si="1"/>
        <v>1.044484</v>
      </c>
      <c r="F9" s="126">
        <f t="shared" si="1"/>
        <v>1.067462648</v>
      </c>
      <c r="G9" s="126">
        <f t="shared" si="1"/>
        <v>1.090946826256</v>
      </c>
      <c r="H9" s="126">
        <f t="shared" si="1"/>
        <v>1.114947656433632</v>
      </c>
      <c r="I9" s="126">
        <f t="shared" si="1"/>
        <v>1.1394765048751718</v>
      </c>
      <c r="J9" s="126">
        <f t="shared" si="1"/>
        <v>1.1645449879824257</v>
      </c>
      <c r="K9" s="126">
        <f t="shared" si="1"/>
        <v>1.1901649777180392</v>
      </c>
      <c r="L9" s="126">
        <f t="shared" si="1"/>
        <v>1.216348607227836</v>
      </c>
      <c r="M9" s="126">
        <f t="shared" si="1"/>
        <v>1.2431082765868484</v>
      </c>
      <c r="N9" s="126">
        <f t="shared" si="1"/>
        <v>1.2704566586717592</v>
      </c>
      <c r="O9" s="126">
        <f t="shared" si="1"/>
        <v>1.2984067051625379</v>
      </c>
      <c r="P9" s="126">
        <f t="shared" si="1"/>
        <v>1.3269716526761137</v>
      </c>
      <c r="Q9" s="126">
        <f t="shared" si="1"/>
        <v>1.356165029034988</v>
      </c>
      <c r="R9" s="126">
        <f t="shared" si="1"/>
        <v>1.386000659673758</v>
      </c>
      <c r="S9" s="126">
        <f t="shared" si="1"/>
        <v>1.4164926741865806</v>
      </c>
      <c r="T9" s="126">
        <f t="shared" si="1"/>
        <v>1.4476555130186854</v>
      </c>
      <c r="U9" s="126">
        <f t="shared" si="1"/>
        <v>1.4795039343050964</v>
      </c>
      <c r="V9" s="126">
        <f t="shared" si="1"/>
        <v>1.5120530208598086</v>
      </c>
      <c r="W9" s="126">
        <f t="shared" si="1"/>
        <v>1.5453181873187245</v>
      </c>
      <c r="X9" s="126">
        <f t="shared" si="1"/>
        <v>1.5793151874397364</v>
      </c>
      <c r="Y9" s="126">
        <f t="shared" si="1"/>
        <v>1.6140601215634105</v>
      </c>
      <c r="Z9" s="126">
        <f t="shared" si="1"/>
        <v>1.6495694442378055</v>
      </c>
      <c r="AA9" s="126">
        <f t="shared" si="1"/>
        <v>1.6858599720110374</v>
      </c>
      <c r="AB9" s="126">
        <f t="shared" si="1"/>
        <v>1.7229488913952802</v>
      </c>
      <c r="AC9" s="126">
        <f t="shared" si="1"/>
        <v>1.7608537670059765</v>
      </c>
      <c r="AD9" s="126">
        <f t="shared" si="1"/>
        <v>1.799592549880108</v>
      </c>
      <c r="AE9" s="126">
        <f t="shared" si="1"/>
        <v>1.8391835859774703</v>
      </c>
      <c r="AF9" s="126">
        <f t="shared" si="1"/>
        <v>1.8796456248689748</v>
      </c>
      <c r="AG9" s="126">
        <f t="shared" si="1"/>
        <v>1.920997828616092</v>
      </c>
    </row>
    <row r="10" spans="1:33" s="118" customFormat="1" x14ac:dyDescent="0.35">
      <c r="A10" s="78"/>
      <c r="B10" s="78"/>
      <c r="C10" s="125"/>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row>
    <row r="11" spans="1:33" s="118" customFormat="1" x14ac:dyDescent="0.35">
      <c r="A11" s="77" t="s">
        <v>82</v>
      </c>
      <c r="B11" s="78" t="s">
        <v>271</v>
      </c>
      <c r="C11" s="125">
        <v>0</v>
      </c>
      <c r="D11" s="126">
        <f t="shared" ref="D11:AG11" si="2">(1+$C$9+$C$11)^D8</f>
        <v>1.022</v>
      </c>
      <c r="E11" s="126">
        <f t="shared" si="2"/>
        <v>1.044484</v>
      </c>
      <c r="F11" s="126">
        <f t="shared" si="2"/>
        <v>1.067462648</v>
      </c>
      <c r="G11" s="126">
        <f t="shared" si="2"/>
        <v>1.090946826256</v>
      </c>
      <c r="H11" s="126">
        <f t="shared" si="2"/>
        <v>1.114947656433632</v>
      </c>
      <c r="I11" s="126">
        <f t="shared" si="2"/>
        <v>1.1394765048751718</v>
      </c>
      <c r="J11" s="126">
        <f t="shared" si="2"/>
        <v>1.1645449879824257</v>
      </c>
      <c r="K11" s="126">
        <f t="shared" si="2"/>
        <v>1.1901649777180392</v>
      </c>
      <c r="L11" s="126">
        <f t="shared" si="2"/>
        <v>1.216348607227836</v>
      </c>
      <c r="M11" s="126">
        <f t="shared" si="2"/>
        <v>1.2431082765868484</v>
      </c>
      <c r="N11" s="126">
        <f t="shared" si="2"/>
        <v>1.2704566586717592</v>
      </c>
      <c r="O11" s="126">
        <f t="shared" si="2"/>
        <v>1.2984067051625379</v>
      </c>
      <c r="P11" s="126">
        <f t="shared" si="2"/>
        <v>1.3269716526761137</v>
      </c>
      <c r="Q11" s="126">
        <f t="shared" si="2"/>
        <v>1.356165029034988</v>
      </c>
      <c r="R11" s="126">
        <f t="shared" si="2"/>
        <v>1.386000659673758</v>
      </c>
      <c r="S11" s="126">
        <f t="shared" si="2"/>
        <v>1.4164926741865806</v>
      </c>
      <c r="T11" s="126">
        <f t="shared" si="2"/>
        <v>1.4476555130186854</v>
      </c>
      <c r="U11" s="126">
        <f t="shared" si="2"/>
        <v>1.4795039343050964</v>
      </c>
      <c r="V11" s="126">
        <f t="shared" si="2"/>
        <v>1.5120530208598086</v>
      </c>
      <c r="W11" s="126">
        <f t="shared" si="2"/>
        <v>1.5453181873187245</v>
      </c>
      <c r="X11" s="126">
        <f t="shared" si="2"/>
        <v>1.5793151874397364</v>
      </c>
      <c r="Y11" s="126">
        <f t="shared" si="2"/>
        <v>1.6140601215634105</v>
      </c>
      <c r="Z11" s="126">
        <f t="shared" si="2"/>
        <v>1.6495694442378055</v>
      </c>
      <c r="AA11" s="126">
        <f t="shared" si="2"/>
        <v>1.6858599720110374</v>
      </c>
      <c r="AB11" s="126">
        <f t="shared" si="2"/>
        <v>1.7229488913952802</v>
      </c>
      <c r="AC11" s="126">
        <f t="shared" si="2"/>
        <v>1.7608537670059765</v>
      </c>
      <c r="AD11" s="126">
        <f t="shared" si="2"/>
        <v>1.799592549880108</v>
      </c>
      <c r="AE11" s="126">
        <f t="shared" si="2"/>
        <v>1.8391835859774703</v>
      </c>
      <c r="AF11" s="126">
        <f t="shared" si="2"/>
        <v>1.8796456248689748</v>
      </c>
      <c r="AG11" s="126">
        <f t="shared" si="2"/>
        <v>1.920997828616092</v>
      </c>
    </row>
    <row r="12" spans="1:33" s="118" customFormat="1" x14ac:dyDescent="0.35">
      <c r="A12" s="77"/>
      <c r="B12" s="77"/>
      <c r="C12" s="125"/>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row>
    <row r="13" spans="1:33" s="118" customFormat="1" x14ac:dyDescent="0.35">
      <c r="A13" s="77" t="s">
        <v>31</v>
      </c>
      <c r="B13" s="104" t="s">
        <v>272</v>
      </c>
      <c r="C13" s="125">
        <f>'Data sheet'!AF27</f>
        <v>1.2533270336853253E-2</v>
      </c>
      <c r="D13" s="126">
        <f t="shared" ref="D13:AG13" si="3">(1+$C$13)^D8</f>
        <v>1.0125332703368533</v>
      </c>
      <c r="E13" s="126">
        <f t="shared" si="3"/>
        <v>1.0252236235390431</v>
      </c>
      <c r="F13" s="126">
        <f t="shared" si="3"/>
        <v>1.0380730283685862</v>
      </c>
      <c r="G13" s="126">
        <f t="shared" si="3"/>
        <v>1.0510834782625256</v>
      </c>
      <c r="H13" s="126">
        <f t="shared" si="3"/>
        <v>1.0642569916421898</v>
      </c>
      <c r="I13" s="126">
        <f t="shared" si="3"/>
        <v>1.0775956122263275</v>
      </c>
      <c r="J13" s="126">
        <f t="shared" si="3"/>
        <v>1.091101409348167</v>
      </c>
      <c r="K13" s="126">
        <f t="shared" si="3"/>
        <v>1.1047764782764491</v>
      </c>
      <c r="L13" s="126">
        <f t="shared" si="3"/>
        <v>1.1186229405404846</v>
      </c>
      <c r="M13" s="126">
        <f t="shared" si="3"/>
        <v>1.132642944259284</v>
      </c>
      <c r="N13" s="126">
        <f t="shared" si="3"/>
        <v>1.146838664474815</v>
      </c>
      <c r="O13" s="126">
        <f t="shared" si="3"/>
        <v>1.1612123034894337</v>
      </c>
      <c r="P13" s="126">
        <f t="shared" si="3"/>
        <v>1.1757660912075467</v>
      </c>
      <c r="Q13" s="126">
        <f t="shared" si="3"/>
        <v>1.1905022854815561</v>
      </c>
      <c r="R13" s="126">
        <f t="shared" si="3"/>
        <v>1.2054231724621383</v>
      </c>
      <c r="S13" s="126">
        <f t="shared" si="3"/>
        <v>1.2205310669529135</v>
      </c>
      <c r="T13" s="126">
        <f t="shared" si="3"/>
        <v>1.2358283127695622</v>
      </c>
      <c r="U13" s="126">
        <f t="shared" si="3"/>
        <v>1.2513172831034403</v>
      </c>
      <c r="V13" s="126">
        <f t="shared" si="3"/>
        <v>1.2670003808897525</v>
      </c>
      <c r="W13" s="126">
        <f t="shared" si="3"/>
        <v>1.2828800391803397</v>
      </c>
      <c r="X13" s="126">
        <f t="shared" si="3"/>
        <v>1.2989587215211398</v>
      </c>
      <c r="Y13" s="126">
        <f t="shared" si="3"/>
        <v>1.3152389223343774</v>
      </c>
      <c r="Z13" s="126">
        <f t="shared" si="3"/>
        <v>1.3317231673055459</v>
      </c>
      <c r="AA13" s="126">
        <f t="shared" si="3"/>
        <v>1.3484140137752367</v>
      </c>
      <c r="AB13" s="126">
        <f t="shared" si="3"/>
        <v>1.3653140511358832</v>
      </c>
      <c r="AC13" s="126">
        <f t="shared" si="3"/>
        <v>1.3824259012334732</v>
      </c>
      <c r="AD13" s="126">
        <f t="shared" si="3"/>
        <v>1.3997522187743003</v>
      </c>
      <c r="AE13" s="126">
        <f t="shared" si="3"/>
        <v>1.4172956917368089</v>
      </c>
      <c r="AF13" s="126">
        <f t="shared" si="3"/>
        <v>1.4350590417886036</v>
      </c>
      <c r="AG13" s="126">
        <f t="shared" si="3"/>
        <v>1.4530450247086857</v>
      </c>
    </row>
    <row r="14" spans="1:33" ht="16" thickBot="1" x14ac:dyDescent="0.4">
      <c r="A14" s="79"/>
      <c r="B14" s="79"/>
      <c r="C14" s="127"/>
      <c r="D14" s="162"/>
      <c r="E14" s="129"/>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row>
    <row r="15" spans="1:33" x14ac:dyDescent="0.35">
      <c r="A15" s="80" t="s">
        <v>197</v>
      </c>
      <c r="B15" s="173" t="s">
        <v>198</v>
      </c>
      <c r="C15" s="131"/>
      <c r="D15" s="132"/>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row>
    <row r="16" spans="1:33" x14ac:dyDescent="0.35">
      <c r="A16" s="77"/>
      <c r="B16" s="77"/>
      <c r="C16" s="124"/>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150</v>
      </c>
      <c r="B17" s="77" t="s">
        <v>174</v>
      </c>
      <c r="C17" s="134">
        <f>AVERAGE(C69:C70)</f>
        <v>23459745880.474922</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147</v>
      </c>
      <c r="C18" s="134">
        <f>C17/2</f>
        <v>11729872940.237461</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4"/>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83</v>
      </c>
      <c r="B20" s="104" t="s">
        <v>272</v>
      </c>
      <c r="C20" s="135">
        <f>'Data sheet'!G27</f>
        <v>1523123592.1857181</v>
      </c>
      <c r="D20" s="138"/>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5"/>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6" customFormat="1" x14ac:dyDescent="0.35">
      <c r="A22" s="80" t="s">
        <v>162</v>
      </c>
      <c r="B22" s="173" t="s">
        <v>198</v>
      </c>
      <c r="C22" s="131"/>
      <c r="D22" s="132"/>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row>
    <row r="23" spans="1:33" x14ac:dyDescent="0.35">
      <c r="A23" s="77"/>
      <c r="B23" s="77"/>
      <c r="C23" s="124"/>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104" t="s">
        <v>272</v>
      </c>
      <c r="C24" s="134">
        <f>'Data sheet'!C27</f>
        <v>486135182.59173912</v>
      </c>
      <c r="D24" s="138"/>
      <c r="E24" s="16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104" t="s">
        <v>272</v>
      </c>
      <c r="C25" s="134">
        <f>'Data sheet'!K27</f>
        <v>249811550.72860003</v>
      </c>
      <c r="D25" s="138"/>
      <c r="E25" s="16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149</v>
      </c>
      <c r="C26" s="137">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63</v>
      </c>
      <c r="B27" s="78" t="s">
        <v>149</v>
      </c>
      <c r="C27" s="137">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4"/>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6" customFormat="1" x14ac:dyDescent="0.35">
      <c r="A29" s="80" t="s">
        <v>201</v>
      </c>
      <c r="B29" s="80"/>
      <c r="C29" s="131"/>
      <c r="D29" s="132"/>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row>
    <row r="30" spans="1:33" s="73" customFormat="1" x14ac:dyDescent="0.35">
      <c r="A30" s="86"/>
      <c r="B30" s="86"/>
      <c r="C30" s="124"/>
      <c r="D30" s="72"/>
    </row>
    <row r="31" spans="1:33" s="73" customFormat="1" x14ac:dyDescent="0.35">
      <c r="A31" s="174" t="s">
        <v>202</v>
      </c>
      <c r="B31" s="174" t="s">
        <v>174</v>
      </c>
      <c r="C31" s="71">
        <f>C136</f>
        <v>864150.48499999999</v>
      </c>
      <c r="D31" s="72"/>
    </row>
    <row r="32" spans="1:33" x14ac:dyDescent="0.35">
      <c r="A32" s="77" t="s">
        <v>203</v>
      </c>
      <c r="B32" s="77" t="s">
        <v>211</v>
      </c>
      <c r="C32" s="71">
        <v>4344965.8520436771</v>
      </c>
      <c r="D32" s="72"/>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77" t="s">
        <v>204</v>
      </c>
      <c r="B33" s="77" t="s">
        <v>110</v>
      </c>
      <c r="C33" s="146">
        <f>C31/C32</f>
        <v>0.1988854491442188</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77"/>
      <c r="B34" s="77"/>
      <c r="C34" s="124"/>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s="73" customFormat="1" x14ac:dyDescent="0.35">
      <c r="A35" s="77" t="s">
        <v>205</v>
      </c>
      <c r="B35" s="174" t="s">
        <v>147</v>
      </c>
      <c r="C35" s="134">
        <v>3000000000</v>
      </c>
      <c r="D35" s="72"/>
    </row>
    <row r="36" spans="1:33" x14ac:dyDescent="0.35">
      <c r="A36" s="77"/>
      <c r="B36" s="77"/>
      <c r="C36" s="124"/>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77" t="s">
        <v>206</v>
      </c>
      <c r="B37" s="77" t="s">
        <v>110</v>
      </c>
      <c r="C37" s="134">
        <f>C35*$C$33</f>
        <v>596656347.43265641</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77"/>
      <c r="B38" s="77"/>
      <c r="C38" s="124"/>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77" t="s">
        <v>221</v>
      </c>
      <c r="B39" s="77"/>
      <c r="C39" s="124">
        <v>30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77"/>
      <c r="B40" s="77"/>
      <c r="C40" s="124"/>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77" t="s">
        <v>208</v>
      </c>
      <c r="B41" s="174" t="s">
        <v>147</v>
      </c>
      <c r="C41" s="134">
        <v>1000000000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77"/>
      <c r="B42" s="77"/>
      <c r="C42" s="124"/>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76" t="s">
        <v>209</v>
      </c>
      <c r="B43" s="77" t="s">
        <v>110</v>
      </c>
      <c r="C43" s="134">
        <f>C41*$C$33</f>
        <v>198885449.1442188</v>
      </c>
    </row>
    <row r="44" spans="1:33" x14ac:dyDescent="0.35">
      <c r="B44" s="77"/>
      <c r="C44" s="124"/>
    </row>
    <row r="45" spans="1:33" x14ac:dyDescent="0.35">
      <c r="A45" s="76" t="s">
        <v>210</v>
      </c>
      <c r="B45" s="77" t="s">
        <v>147</v>
      </c>
      <c r="C45" s="124">
        <v>5</v>
      </c>
    </row>
    <row r="46" spans="1:33" x14ac:dyDescent="0.35">
      <c r="B46" s="77"/>
      <c r="C46" s="124"/>
    </row>
    <row r="47" spans="1:33" x14ac:dyDescent="0.35">
      <c r="A47" s="76" t="s">
        <v>207</v>
      </c>
      <c r="B47" s="77" t="s">
        <v>110</v>
      </c>
      <c r="C47" s="134">
        <f>SUM(D47:H47)</f>
        <v>198885449.1442188</v>
      </c>
      <c r="D47" s="108">
        <f>$C$43/$C$45</f>
        <v>39777089.828843758</v>
      </c>
      <c r="E47" s="108">
        <f t="shared" ref="E47:H47" si="4">$C$43/$C$45</f>
        <v>39777089.828843758</v>
      </c>
      <c r="F47" s="108">
        <f t="shared" si="4"/>
        <v>39777089.828843758</v>
      </c>
      <c r="G47" s="108">
        <f t="shared" si="4"/>
        <v>39777089.828843758</v>
      </c>
      <c r="H47" s="108">
        <f t="shared" si="4"/>
        <v>39777089.828843758</v>
      </c>
    </row>
    <row r="48" spans="1:33" s="73" customFormat="1" ht="16" thickBot="1" x14ac:dyDescent="0.4">
      <c r="A48" s="86"/>
      <c r="B48" s="86"/>
      <c r="C48" s="124"/>
      <c r="D48" s="72"/>
    </row>
    <row r="49" spans="1:33" s="136" customFormat="1" x14ac:dyDescent="0.35">
      <c r="A49" s="80" t="s">
        <v>69</v>
      </c>
      <c r="B49" s="80"/>
      <c r="C49" s="131"/>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row>
    <row r="50" spans="1:33" x14ac:dyDescent="0.35">
      <c r="A50" s="77"/>
      <c r="B50" s="77"/>
      <c r="C50" s="124"/>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t="s">
        <v>70</v>
      </c>
      <c r="B51" s="70" t="s">
        <v>214</v>
      </c>
      <c r="C51" s="125">
        <v>-0.53292664124841238</v>
      </c>
      <c r="D51" s="138"/>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71</v>
      </c>
      <c r="B52" s="70" t="s">
        <v>213</v>
      </c>
      <c r="C52" s="125">
        <v>-0.5</v>
      </c>
      <c r="D52" s="138"/>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81" t="s">
        <v>127</v>
      </c>
      <c r="B53" s="82" t="s">
        <v>273</v>
      </c>
      <c r="C53" s="220">
        <v>-4.0499999999999998E-3</v>
      </c>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25"/>
      <c r="D54" s="72"/>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69" t="s">
        <v>72</v>
      </c>
      <c r="B55" s="69" t="s">
        <v>212</v>
      </c>
      <c r="C55" s="125">
        <v>-7.4166383091688215E-2</v>
      </c>
      <c r="D55" s="72"/>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73</v>
      </c>
      <c r="B56" s="69" t="s">
        <v>212</v>
      </c>
      <c r="C56" s="125">
        <v>-4.0801241070379857E-2</v>
      </c>
      <c r="D56" s="72"/>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74</v>
      </c>
      <c r="B57" s="69" t="s">
        <v>212</v>
      </c>
      <c r="C57" s="125">
        <v>-3.2979980187538116E-2</v>
      </c>
      <c r="D57" s="72"/>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c r="B58" s="69"/>
      <c r="C58" s="125"/>
      <c r="D58" s="72"/>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t="s">
        <v>75</v>
      </c>
      <c r="B59" s="69" t="s">
        <v>212</v>
      </c>
      <c r="C59" s="125">
        <v>-6.8850084905162312E-2</v>
      </c>
      <c r="D59" s="72"/>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69" t="s">
        <v>76</v>
      </c>
      <c r="B60" s="69" t="s">
        <v>212</v>
      </c>
      <c r="C60" s="125">
        <v>-3.6911957664870432E-2</v>
      </c>
      <c r="D60" s="72"/>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77</v>
      </c>
      <c r="B61" s="69" t="s">
        <v>212</v>
      </c>
      <c r="C61" s="125">
        <v>-2.9247758199096863E-2</v>
      </c>
      <c r="D61" s="72"/>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c r="B62" s="69"/>
      <c r="C62" s="125"/>
      <c r="D62" s="72"/>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78</v>
      </c>
      <c r="B63" s="69" t="s">
        <v>110</v>
      </c>
      <c r="C63" s="139">
        <v>1</v>
      </c>
      <c r="D63" s="39">
        <v>1</v>
      </c>
      <c r="E63" s="39">
        <v>1</v>
      </c>
      <c r="F63" s="39">
        <v>1</v>
      </c>
      <c r="G63" s="39">
        <v>1</v>
      </c>
      <c r="H63" s="39">
        <f>G63*(1+$C$55)</f>
        <v>0.92583361690831179</v>
      </c>
      <c r="I63" s="39">
        <f t="shared" ref="I63:L63" si="5">H63*(1+$C$55)</f>
        <v>0.8571678861975266</v>
      </c>
      <c r="J63" s="39">
        <f t="shared" si="5"/>
        <v>0.79359484437590821</v>
      </c>
      <c r="K63" s="39">
        <f t="shared" si="5"/>
        <v>0.73473678512833596</v>
      </c>
      <c r="L63" s="39">
        <f t="shared" si="5"/>
        <v>0.68024401525095235</v>
      </c>
      <c r="M63" s="39">
        <f>L63*(1+$C$56)</f>
        <v>0.65248921519801506</v>
      </c>
      <c r="N63" s="39">
        <f t="shared" ref="N63:Q63" si="6">M63*(1+$C$56)</f>
        <v>0.62586684543289783</v>
      </c>
      <c r="O63" s="39">
        <f t="shared" si="6"/>
        <v>0.60033070139443201</v>
      </c>
      <c r="P63" s="39">
        <f t="shared" si="6"/>
        <v>0.57583646372488762</v>
      </c>
      <c r="Q63" s="39">
        <f t="shared" si="6"/>
        <v>0.55234162135133347</v>
      </c>
      <c r="R63" s="39">
        <f>Q63*(1+$C$57)</f>
        <v>0.53412540562241384</v>
      </c>
      <c r="S63" s="39">
        <f t="shared" ref="S63:V63" si="7">R63*(1+$C$57)</f>
        <v>0.51650996032732588</v>
      </c>
      <c r="T63" s="39">
        <f t="shared" si="7"/>
        <v>0.49947547206906456</v>
      </c>
      <c r="U63" s="39">
        <f t="shared" si="7"/>
        <v>0.48300278089606558</v>
      </c>
      <c r="V63" s="39">
        <f t="shared" si="7"/>
        <v>0.46707335875158751</v>
      </c>
      <c r="W63" s="39">
        <f t="shared" ref="W63:AG64" si="8">V63</f>
        <v>0.46707335875158751</v>
      </c>
      <c r="X63" s="39">
        <f t="shared" si="8"/>
        <v>0.46707335875158751</v>
      </c>
      <c r="Y63" s="39">
        <f t="shared" si="8"/>
        <v>0.46707335875158751</v>
      </c>
      <c r="Z63" s="39">
        <f t="shared" si="8"/>
        <v>0.46707335875158751</v>
      </c>
      <c r="AA63" s="39">
        <f t="shared" si="8"/>
        <v>0.46707335875158751</v>
      </c>
      <c r="AB63" s="39">
        <f t="shared" si="8"/>
        <v>0.46707335875158751</v>
      </c>
      <c r="AC63" s="39">
        <f t="shared" si="8"/>
        <v>0.46707335875158751</v>
      </c>
      <c r="AD63" s="39">
        <f t="shared" si="8"/>
        <v>0.46707335875158751</v>
      </c>
      <c r="AE63" s="39">
        <f t="shared" si="8"/>
        <v>0.46707335875158751</v>
      </c>
      <c r="AF63" s="39">
        <f t="shared" si="8"/>
        <v>0.46707335875158751</v>
      </c>
      <c r="AG63" s="39">
        <f t="shared" si="8"/>
        <v>0.46707335875158751</v>
      </c>
    </row>
    <row r="64" spans="1:33" x14ac:dyDescent="0.35">
      <c r="A64" s="69" t="s">
        <v>79</v>
      </c>
      <c r="B64" s="69" t="s">
        <v>110</v>
      </c>
      <c r="C64" s="139">
        <v>1</v>
      </c>
      <c r="D64" s="39">
        <v>1</v>
      </c>
      <c r="E64" s="39">
        <v>1</v>
      </c>
      <c r="F64" s="39">
        <v>1</v>
      </c>
      <c r="G64" s="39">
        <v>1</v>
      </c>
      <c r="H64" s="39">
        <f>G64*(1+$C$59)</f>
        <v>0.93114991509483769</v>
      </c>
      <c r="I64" s="39">
        <f t="shared" ref="I64:L64" si="9">H64*(1+$C$59)</f>
        <v>0.86704016438112341</v>
      </c>
      <c r="J64" s="39">
        <f t="shared" si="9"/>
        <v>0.8073443754472972</v>
      </c>
      <c r="K64" s="39">
        <f t="shared" si="9"/>
        <v>0.75175864665004555</v>
      </c>
      <c r="L64" s="39">
        <f t="shared" si="9"/>
        <v>0.7</v>
      </c>
      <c r="M64" s="39">
        <f>L64*(1+$C$60)</f>
        <v>0.6741616296345907</v>
      </c>
      <c r="N64" s="39">
        <f t="shared" ref="N64:Q64" si="10">M64*(1+$C$60)</f>
        <v>0.64927700410223865</v>
      </c>
      <c r="O64" s="39">
        <f t="shared" si="10"/>
        <v>0.62531091881404288</v>
      </c>
      <c r="P64" s="39">
        <f t="shared" si="10"/>
        <v>0.6022294686513977</v>
      </c>
      <c r="Q64" s="39">
        <f t="shared" si="10"/>
        <v>0.57999999999999985</v>
      </c>
      <c r="R64" s="39">
        <f>Q64*(1+$C$61)</f>
        <v>0.56303630024452367</v>
      </c>
      <c r="S64" s="39">
        <f t="shared" ref="S64:V64" si="11">R64*(1+$C$61)</f>
        <v>0.54656875067765776</v>
      </c>
      <c r="T64" s="39">
        <f t="shared" si="11"/>
        <v>0.53058284001865519</v>
      </c>
      <c r="U64" s="39">
        <f t="shared" si="11"/>
        <v>0.51506448140919947</v>
      </c>
      <c r="V64" s="39">
        <f t="shared" si="11"/>
        <v>0.5</v>
      </c>
      <c r="W64" s="39">
        <f t="shared" si="8"/>
        <v>0.5</v>
      </c>
      <c r="X64" s="39">
        <f t="shared" si="8"/>
        <v>0.5</v>
      </c>
      <c r="Y64" s="39">
        <f t="shared" si="8"/>
        <v>0.5</v>
      </c>
      <c r="Z64" s="39">
        <f t="shared" si="8"/>
        <v>0.5</v>
      </c>
      <c r="AA64" s="39">
        <f t="shared" si="8"/>
        <v>0.5</v>
      </c>
      <c r="AB64" s="39">
        <f t="shared" si="8"/>
        <v>0.5</v>
      </c>
      <c r="AC64" s="39">
        <f t="shared" si="8"/>
        <v>0.5</v>
      </c>
      <c r="AD64" s="39">
        <f t="shared" si="8"/>
        <v>0.5</v>
      </c>
      <c r="AE64" s="39">
        <f t="shared" si="8"/>
        <v>0.5</v>
      </c>
      <c r="AF64" s="39">
        <f t="shared" si="8"/>
        <v>0.5</v>
      </c>
      <c r="AG64" s="39">
        <f t="shared" si="8"/>
        <v>0.5</v>
      </c>
    </row>
    <row r="65" spans="1:33" x14ac:dyDescent="0.35">
      <c r="A65" s="69" t="s">
        <v>111</v>
      </c>
      <c r="B65" s="69" t="s">
        <v>110</v>
      </c>
      <c r="C65" s="139">
        <v>1</v>
      </c>
      <c r="D65" s="39">
        <f>C65*(1+$C$53)</f>
        <v>0.99595</v>
      </c>
      <c r="E65" s="39">
        <f>D65*(1+$C$53)</f>
        <v>0.99191640250000002</v>
      </c>
      <c r="F65" s="39">
        <f t="shared" ref="F65:AG65" si="12">E65*(1+$C$53)</f>
        <v>0.98789914106987498</v>
      </c>
      <c r="G65" s="39">
        <f t="shared" si="12"/>
        <v>0.98389814954854193</v>
      </c>
      <c r="H65" s="39">
        <f t="shared" si="12"/>
        <v>0.97991336204287038</v>
      </c>
      <c r="I65" s="39">
        <f t="shared" si="12"/>
        <v>0.97594471292659679</v>
      </c>
      <c r="J65" s="39">
        <f t="shared" si="12"/>
        <v>0.97199213683924413</v>
      </c>
      <c r="K65" s="39">
        <f t="shared" si="12"/>
        <v>0.96805556868504516</v>
      </c>
      <c r="L65" s="39">
        <f t="shared" si="12"/>
        <v>0.96413494363187069</v>
      </c>
      <c r="M65" s="39">
        <f t="shared" si="12"/>
        <v>0.96023019711016167</v>
      </c>
      <c r="N65" s="39">
        <f t="shared" si="12"/>
        <v>0.95634126481186554</v>
      </c>
      <c r="O65" s="39">
        <f t="shared" si="12"/>
        <v>0.95246808268937744</v>
      </c>
      <c r="P65" s="39">
        <f t="shared" si="12"/>
        <v>0.94861058695448541</v>
      </c>
      <c r="Q65" s="39">
        <f t="shared" si="12"/>
        <v>0.94476871407731977</v>
      </c>
      <c r="R65" s="39">
        <f t="shared" si="12"/>
        <v>0.94094240078530667</v>
      </c>
      <c r="S65" s="39">
        <f t="shared" si="12"/>
        <v>0.93713158406212616</v>
      </c>
      <c r="T65" s="39">
        <f t="shared" si="12"/>
        <v>0.93333620114667459</v>
      </c>
      <c r="U65" s="39">
        <f t="shared" si="12"/>
        <v>0.92955618953203056</v>
      </c>
      <c r="V65" s="39">
        <f t="shared" si="12"/>
        <v>0.92579148696442581</v>
      </c>
      <c r="W65" s="39">
        <f t="shared" si="12"/>
        <v>0.92204203144221986</v>
      </c>
      <c r="X65" s="39">
        <f t="shared" si="12"/>
        <v>0.91830776121487889</v>
      </c>
      <c r="Y65" s="39">
        <f t="shared" si="12"/>
        <v>0.91458861478195863</v>
      </c>
      <c r="Z65" s="39">
        <f t="shared" si="12"/>
        <v>0.91088453089209165</v>
      </c>
      <c r="AA65" s="39">
        <f t="shared" si="12"/>
        <v>0.90719544854197864</v>
      </c>
      <c r="AB65" s="39">
        <f t="shared" si="12"/>
        <v>0.90352130697538369</v>
      </c>
      <c r="AC65" s="39">
        <f t="shared" si="12"/>
        <v>0.89986204568213335</v>
      </c>
      <c r="AD65" s="39">
        <f t="shared" si="12"/>
        <v>0.89621760439712073</v>
      </c>
      <c r="AE65" s="39">
        <f t="shared" si="12"/>
        <v>0.89258792309931234</v>
      </c>
      <c r="AF65" s="39">
        <f t="shared" si="12"/>
        <v>0.88897294201076016</v>
      </c>
      <c r="AG65" s="39">
        <f t="shared" si="12"/>
        <v>0.88537260159561659</v>
      </c>
    </row>
    <row r="66" spans="1:33" ht="16" thickBot="1" x14ac:dyDescent="0.4">
      <c r="A66" s="83"/>
      <c r="B66" s="83"/>
      <c r="C66" s="140"/>
      <c r="D66" s="128"/>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row>
    <row r="67" spans="1:33" x14ac:dyDescent="0.35">
      <c r="A67" s="84" t="s">
        <v>163</v>
      </c>
      <c r="B67" s="84"/>
      <c r="C67" s="131"/>
      <c r="D67" s="132"/>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row>
    <row r="68" spans="1:33" x14ac:dyDescent="0.35">
      <c r="A68" s="69"/>
      <c r="B68" s="69"/>
      <c r="C68" s="124"/>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t="s">
        <v>129</v>
      </c>
      <c r="B69" s="104" t="s">
        <v>272</v>
      </c>
      <c r="C69" s="71">
        <f>'Data sheet'!AN27</f>
        <v>19749065787.111782</v>
      </c>
      <c r="D69" s="138"/>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69" t="s">
        <v>130</v>
      </c>
      <c r="B70" s="104" t="s">
        <v>272</v>
      </c>
      <c r="C70" s="71">
        <f>'Data sheet'!AO27</f>
        <v>27170425973.838058</v>
      </c>
      <c r="D70" s="138"/>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69"/>
      <c r="B71" s="69"/>
      <c r="C71" s="124"/>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175" t="s">
        <v>143</v>
      </c>
      <c r="B72" s="176" t="s">
        <v>274</v>
      </c>
      <c r="C72" s="141">
        <v>0.1</v>
      </c>
      <c r="D72" s="176"/>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175" t="s">
        <v>144</v>
      </c>
      <c r="B73" s="176" t="s">
        <v>274</v>
      </c>
      <c r="C73" s="141">
        <f>1-C72</f>
        <v>0.9</v>
      </c>
      <c r="D73" s="176"/>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175"/>
      <c r="B74" s="175"/>
      <c r="C74" s="141"/>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x14ac:dyDescent="0.35">
      <c r="A75" s="177" t="s">
        <v>142</v>
      </c>
      <c r="B75" s="177"/>
      <c r="C75" s="141"/>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175" t="s">
        <v>131</v>
      </c>
      <c r="B76" s="176" t="s">
        <v>175</v>
      </c>
      <c r="C76" s="71">
        <v>23.939688236227312</v>
      </c>
      <c r="D76" s="72"/>
      <c r="E76" s="73"/>
      <c r="F76" s="74"/>
      <c r="G76" s="73"/>
      <c r="H76" s="75"/>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175" t="s">
        <v>132</v>
      </c>
      <c r="B77" s="176" t="s">
        <v>175</v>
      </c>
      <c r="C77" s="71">
        <v>33.857631051616707</v>
      </c>
      <c r="D77" s="72"/>
      <c r="E77" s="73"/>
      <c r="F77" s="74"/>
      <c r="G77" s="73"/>
      <c r="H77" s="75"/>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175" t="s">
        <v>133</v>
      </c>
      <c r="B78" s="175" t="s">
        <v>110</v>
      </c>
      <c r="C78" s="71">
        <f>AVERAGE(C76:C77)</f>
        <v>28.898659643922009</v>
      </c>
      <c r="D78" s="72"/>
      <c r="E78" s="73"/>
      <c r="F78" s="74"/>
      <c r="G78" s="73"/>
      <c r="H78" s="75"/>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175"/>
      <c r="B79" s="175"/>
      <c r="C79" s="71"/>
      <c r="D79" s="72"/>
      <c r="E79" s="73"/>
      <c r="F79" s="74"/>
      <c r="G79" s="73"/>
      <c r="H79" s="75"/>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177" t="s">
        <v>140</v>
      </c>
      <c r="B80" s="177"/>
      <c r="C80" s="71"/>
      <c r="D80" s="72"/>
      <c r="E80" s="73"/>
      <c r="F80" s="74"/>
      <c r="G80" s="73"/>
      <c r="H80" s="75"/>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175" t="s">
        <v>131</v>
      </c>
      <c r="B81" s="176" t="s">
        <v>138</v>
      </c>
      <c r="C81" s="71">
        <v>84.01794006534017</v>
      </c>
      <c r="D81" s="72"/>
      <c r="E81" s="73"/>
      <c r="F81" s="74"/>
      <c r="G81" s="73"/>
      <c r="H81" s="75"/>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175" t="s">
        <v>132</v>
      </c>
      <c r="B82" s="176" t="s">
        <v>138</v>
      </c>
      <c r="C82" s="71">
        <v>111.79379467063849</v>
      </c>
      <c r="D82" s="72"/>
      <c r="E82" s="73"/>
      <c r="F82" s="74"/>
      <c r="G82" s="73"/>
      <c r="H82" s="75"/>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175" t="s">
        <v>133</v>
      </c>
      <c r="B83" s="175" t="s">
        <v>110</v>
      </c>
      <c r="C83" s="71">
        <f>AVERAGE(C81:C82)</f>
        <v>97.90586736798933</v>
      </c>
      <c r="D83" s="72"/>
      <c r="E83" s="73"/>
      <c r="F83" s="74"/>
      <c r="G83" s="73"/>
      <c r="H83" s="75"/>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175"/>
      <c r="B84" s="175"/>
      <c r="C84" s="124"/>
      <c r="D84" s="72"/>
      <c r="E84" s="73"/>
      <c r="F84" s="74"/>
      <c r="G84" s="73"/>
      <c r="H84" s="75"/>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177" t="s">
        <v>139</v>
      </c>
      <c r="B85" s="177"/>
      <c r="C85" s="124"/>
      <c r="D85" s="72"/>
      <c r="E85" s="73"/>
      <c r="F85" s="74"/>
      <c r="G85" s="73"/>
      <c r="H85" s="75"/>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175" t="s">
        <v>131</v>
      </c>
      <c r="B86" s="175" t="s">
        <v>110</v>
      </c>
      <c r="C86" s="71">
        <f>C69*C72/C77</f>
        <v>58329732.983987853</v>
      </c>
      <c r="D86" s="72"/>
      <c r="E86" s="73"/>
      <c r="F86" s="74"/>
      <c r="G86" s="73"/>
      <c r="H86" s="75"/>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175" t="s">
        <v>132</v>
      </c>
      <c r="B87" s="175" t="s">
        <v>110</v>
      </c>
      <c r="C87" s="71">
        <f>C70*C72/C76</f>
        <v>113495320.84850527</v>
      </c>
      <c r="D87" s="72"/>
      <c r="E87" s="73"/>
      <c r="F87" s="74"/>
      <c r="G87" s="73"/>
      <c r="H87" s="75"/>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175" t="s">
        <v>133</v>
      </c>
      <c r="B88" s="175" t="s">
        <v>110</v>
      </c>
      <c r="C88" s="142">
        <f>AVERAGE(C86:C87)</f>
        <v>85912526.916246563</v>
      </c>
      <c r="D88" s="72"/>
      <c r="E88" s="73"/>
      <c r="F88" s="74"/>
      <c r="G88" s="73"/>
      <c r="H88" s="75"/>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175"/>
      <c r="B89" s="175"/>
      <c r="C89" s="124"/>
      <c r="D89" s="72"/>
      <c r="E89" s="73"/>
      <c r="F89" s="74"/>
      <c r="G89" s="73"/>
      <c r="H89" s="75"/>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177" t="s">
        <v>141</v>
      </c>
      <c r="B90" s="177"/>
      <c r="C90" s="124"/>
      <c r="D90" s="72"/>
      <c r="E90" s="73"/>
      <c r="F90" s="74"/>
      <c r="G90" s="73"/>
      <c r="H90" s="75"/>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175" t="s">
        <v>131</v>
      </c>
      <c r="B91" s="175" t="s">
        <v>110</v>
      </c>
      <c r="C91" s="71">
        <f>C69*C73/C82</f>
        <v>158990570.63735941</v>
      </c>
      <c r="D91" s="72"/>
      <c r="E91" s="73"/>
      <c r="F91" s="74"/>
      <c r="G91" s="73"/>
      <c r="H91" s="75"/>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175" t="s">
        <v>132</v>
      </c>
      <c r="B92" s="175" t="s">
        <v>110</v>
      </c>
      <c r="C92" s="71">
        <f>C70*C73/C81</f>
        <v>291049546.76866663</v>
      </c>
      <c r="D92" s="72"/>
      <c r="E92" s="73"/>
      <c r="F92" s="74"/>
      <c r="G92" s="73"/>
      <c r="H92" s="75"/>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175" t="s">
        <v>133</v>
      </c>
      <c r="B93" s="175" t="s">
        <v>110</v>
      </c>
      <c r="C93" s="142">
        <f>AVERAGE(C91:C92)</f>
        <v>225020058.703013</v>
      </c>
      <c r="D93" s="72"/>
      <c r="E93" s="73"/>
      <c r="F93" s="74"/>
      <c r="G93" s="73"/>
      <c r="H93" s="75"/>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175"/>
      <c r="B94" s="175"/>
      <c r="C94" s="142"/>
      <c r="D94" s="72"/>
      <c r="E94" s="73"/>
      <c r="F94" s="74"/>
      <c r="G94" s="73"/>
      <c r="H94" s="75"/>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134</v>
      </c>
      <c r="B95" s="70" t="s">
        <v>211</v>
      </c>
      <c r="C95" s="71">
        <f>C87+C93</f>
        <v>338515379.55151826</v>
      </c>
      <c r="D95" s="72"/>
      <c r="E95" s="73"/>
      <c r="F95" s="74"/>
      <c r="G95" s="73"/>
      <c r="H95" s="75"/>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c r="B96" s="69"/>
      <c r="C96" s="222"/>
      <c r="D96" s="143"/>
      <c r="E96" s="143"/>
      <c r="F96" s="144"/>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t="s">
        <v>155</v>
      </c>
      <c r="B97" s="176" t="s">
        <v>274</v>
      </c>
      <c r="C97" s="223">
        <f>'Data sheet'!AI27</f>
        <v>23529300674.750511</v>
      </c>
      <c r="D97" s="143"/>
      <c r="E97" s="145"/>
      <c r="F97" s="144"/>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156</v>
      </c>
      <c r="B98" s="176" t="s">
        <v>274</v>
      </c>
      <c r="C98" s="223">
        <f>'Data sheet'!AJ27</f>
        <v>27947907272.782612</v>
      </c>
      <c r="D98" s="143"/>
      <c r="E98" s="143"/>
      <c r="F98" s="144"/>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223"/>
      <c r="D99" s="143"/>
      <c r="E99" s="143"/>
      <c r="F99" s="144"/>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215</v>
      </c>
      <c r="B100" s="176" t="s">
        <v>274</v>
      </c>
      <c r="C100" s="71">
        <f>AVERAGE(C97:C98)</f>
        <v>25738603973.766563</v>
      </c>
      <c r="D100" s="164"/>
      <c r="E100" s="165"/>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71"/>
      <c r="D101" s="143"/>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67</v>
      </c>
      <c r="B102" s="69"/>
      <c r="C102" s="124">
        <v>30</v>
      </c>
      <c r="D102" s="143"/>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124"/>
      <c r="D103" s="143"/>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x14ac:dyDescent="0.35">
      <c r="A104" s="69" t="s">
        <v>68</v>
      </c>
      <c r="B104" s="69" t="s">
        <v>110</v>
      </c>
      <c r="C104" s="71">
        <f>C100/C102</f>
        <v>857953465.7922188</v>
      </c>
      <c r="D104" s="143"/>
      <c r="E104" s="73"/>
      <c r="F104" s="74"/>
      <c r="G104" s="73"/>
      <c r="H104" s="75"/>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x14ac:dyDescent="0.35">
      <c r="A105" s="69"/>
      <c r="B105" s="69"/>
      <c r="C105" s="71"/>
      <c r="D105" s="143"/>
      <c r="E105" s="73"/>
      <c r="F105" s="74"/>
      <c r="G105" s="73"/>
      <c r="H105" s="75"/>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216</v>
      </c>
      <c r="B106" s="69"/>
      <c r="C106" s="71"/>
      <c r="D106" s="143"/>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217</v>
      </c>
      <c r="B107" s="69"/>
      <c r="C107" s="146">
        <v>0.2</v>
      </c>
      <c r="D107" s="143"/>
      <c r="E107" s="73"/>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t="s">
        <v>218</v>
      </c>
      <c r="B108" s="69"/>
      <c r="C108" s="146">
        <v>1.2</v>
      </c>
      <c r="D108" s="143"/>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219</v>
      </c>
      <c r="B109" s="69"/>
      <c r="C109" s="146">
        <v>1.6</v>
      </c>
      <c r="D109" s="143"/>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71"/>
      <c r="D110" s="143"/>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ht="31" x14ac:dyDescent="0.35">
      <c r="A111" s="69" t="s">
        <v>56</v>
      </c>
      <c r="B111" s="70" t="s">
        <v>276</v>
      </c>
      <c r="C111" s="146">
        <v>0.6</v>
      </c>
      <c r="D111" s="72"/>
      <c r="E111" s="73"/>
      <c r="F111" s="74"/>
      <c r="G111" s="73"/>
      <c r="H111" s="75"/>
      <c r="I111" s="73"/>
      <c r="J111" s="73"/>
      <c r="K111" s="73"/>
      <c r="L111" s="145"/>
      <c r="M111" s="73"/>
      <c r="N111" s="73"/>
      <c r="O111" s="73"/>
      <c r="P111" s="73"/>
      <c r="Q111" s="73"/>
      <c r="R111" s="73"/>
      <c r="S111" s="73"/>
      <c r="T111" s="73"/>
      <c r="U111" s="73"/>
      <c r="V111" s="73"/>
      <c r="W111" s="73"/>
      <c r="X111" s="73"/>
      <c r="Y111" s="73"/>
      <c r="Z111" s="73"/>
      <c r="AA111" s="73"/>
      <c r="AB111" s="73"/>
      <c r="AC111" s="73"/>
      <c r="AD111" s="73"/>
      <c r="AE111" s="73"/>
      <c r="AF111" s="73"/>
      <c r="AG111" s="73"/>
    </row>
    <row r="112" spans="1:33" ht="31" x14ac:dyDescent="0.35">
      <c r="A112" s="69" t="s">
        <v>57</v>
      </c>
      <c r="B112" s="70" t="s">
        <v>275</v>
      </c>
      <c r="C112" s="146">
        <f>1-C111</f>
        <v>0.4</v>
      </c>
      <c r="D112" s="72"/>
      <c r="E112" s="73"/>
      <c r="F112" s="74"/>
      <c r="G112" s="73"/>
      <c r="H112" s="75"/>
      <c r="I112" s="73"/>
      <c r="J112" s="73"/>
      <c r="K112" s="73"/>
      <c r="L112" s="147"/>
      <c r="M112" s="73"/>
      <c r="N112" s="73"/>
      <c r="O112" s="73"/>
      <c r="P112" s="73"/>
      <c r="Q112" s="73"/>
      <c r="R112" s="73"/>
      <c r="S112" s="73"/>
      <c r="T112" s="73"/>
      <c r="U112" s="73"/>
      <c r="V112" s="73"/>
      <c r="W112" s="73"/>
      <c r="X112" s="73"/>
      <c r="Y112" s="73"/>
      <c r="Z112" s="73"/>
      <c r="AA112" s="73"/>
      <c r="AB112" s="73"/>
      <c r="AC112" s="73"/>
      <c r="AD112" s="73"/>
      <c r="AE112" s="73"/>
      <c r="AF112" s="73"/>
      <c r="AG112" s="73"/>
    </row>
    <row r="113" spans="1:33" x14ac:dyDescent="0.35">
      <c r="A113" s="69" t="s">
        <v>58</v>
      </c>
      <c r="B113" s="69" t="s">
        <v>173</v>
      </c>
      <c r="C113" s="142">
        <v>30</v>
      </c>
      <c r="D113" s="72"/>
      <c r="E113" s="73"/>
      <c r="F113" s="74"/>
      <c r="G113" s="73"/>
      <c r="H113" s="75"/>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row>
    <row r="114" spans="1:33" x14ac:dyDescent="0.35">
      <c r="A114" s="69" t="s">
        <v>59</v>
      </c>
      <c r="B114" s="69" t="s">
        <v>173</v>
      </c>
      <c r="C114" s="142">
        <v>100</v>
      </c>
      <c r="D114" s="72"/>
      <c r="E114" s="145"/>
      <c r="F114" s="74"/>
      <c r="G114" s="73"/>
      <c r="H114" s="75"/>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row>
    <row r="115" spans="1:33" x14ac:dyDescent="0.35">
      <c r="A115" s="69"/>
      <c r="B115" s="69"/>
      <c r="C115" s="124"/>
      <c r="D115" s="72"/>
      <c r="E115" s="73"/>
      <c r="F115" s="74"/>
      <c r="G115" s="73"/>
      <c r="H115" s="75"/>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row>
    <row r="116" spans="1:33" x14ac:dyDescent="0.35">
      <c r="A116" s="69" t="s">
        <v>135</v>
      </c>
      <c r="B116" s="69" t="s">
        <v>277</v>
      </c>
      <c r="C116" s="137">
        <v>0</v>
      </c>
      <c r="D116" s="72"/>
      <c r="E116" s="73"/>
      <c r="F116" s="74"/>
      <c r="G116" s="73"/>
      <c r="H116" s="75"/>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row>
    <row r="117" spans="1:33" x14ac:dyDescent="0.35">
      <c r="A117" s="69"/>
      <c r="B117" s="69"/>
      <c r="C117" s="146"/>
      <c r="D117" s="72"/>
      <c r="E117" s="73"/>
      <c r="F117" s="74"/>
      <c r="G117" s="73"/>
      <c r="H117" s="75"/>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row>
    <row r="118" spans="1:33" x14ac:dyDescent="0.35">
      <c r="A118" s="69" t="s">
        <v>89</v>
      </c>
      <c r="B118" s="69" t="s">
        <v>148</v>
      </c>
      <c r="C118" s="71"/>
      <c r="D118" s="145">
        <f t="shared" ref="D118:AG118" si="13">$C$95</f>
        <v>338515379.55151826</v>
      </c>
      <c r="E118" s="145">
        <f t="shared" si="13"/>
        <v>338515379.55151826</v>
      </c>
      <c r="F118" s="145">
        <f t="shared" si="13"/>
        <v>338515379.55151826</v>
      </c>
      <c r="G118" s="145">
        <f t="shared" si="13"/>
        <v>338515379.55151826</v>
      </c>
      <c r="H118" s="145">
        <f t="shared" si="13"/>
        <v>338515379.55151826</v>
      </c>
      <c r="I118" s="145">
        <f t="shared" si="13"/>
        <v>338515379.55151826</v>
      </c>
      <c r="J118" s="145">
        <f t="shared" si="13"/>
        <v>338515379.55151826</v>
      </c>
      <c r="K118" s="145">
        <f t="shared" si="13"/>
        <v>338515379.55151826</v>
      </c>
      <c r="L118" s="145">
        <f t="shared" si="13"/>
        <v>338515379.55151826</v>
      </c>
      <c r="M118" s="145">
        <f t="shared" si="13"/>
        <v>338515379.55151826</v>
      </c>
      <c r="N118" s="145">
        <f t="shared" si="13"/>
        <v>338515379.55151826</v>
      </c>
      <c r="O118" s="145">
        <f t="shared" si="13"/>
        <v>338515379.55151826</v>
      </c>
      <c r="P118" s="145">
        <f t="shared" si="13"/>
        <v>338515379.55151826</v>
      </c>
      <c r="Q118" s="145">
        <f t="shared" si="13"/>
        <v>338515379.55151826</v>
      </c>
      <c r="R118" s="145">
        <f t="shared" si="13"/>
        <v>338515379.55151826</v>
      </c>
      <c r="S118" s="145">
        <f t="shared" si="13"/>
        <v>338515379.55151826</v>
      </c>
      <c r="T118" s="145">
        <f t="shared" si="13"/>
        <v>338515379.55151826</v>
      </c>
      <c r="U118" s="145">
        <f t="shared" si="13"/>
        <v>338515379.55151826</v>
      </c>
      <c r="V118" s="145">
        <f t="shared" si="13"/>
        <v>338515379.55151826</v>
      </c>
      <c r="W118" s="145">
        <f t="shared" si="13"/>
        <v>338515379.55151826</v>
      </c>
      <c r="X118" s="145">
        <f t="shared" si="13"/>
        <v>338515379.55151826</v>
      </c>
      <c r="Y118" s="145">
        <f t="shared" si="13"/>
        <v>338515379.55151826</v>
      </c>
      <c r="Z118" s="145">
        <f t="shared" si="13"/>
        <v>338515379.55151826</v>
      </c>
      <c r="AA118" s="145">
        <f t="shared" si="13"/>
        <v>338515379.55151826</v>
      </c>
      <c r="AB118" s="145">
        <f t="shared" si="13"/>
        <v>338515379.55151826</v>
      </c>
      <c r="AC118" s="145">
        <f t="shared" si="13"/>
        <v>338515379.55151826</v>
      </c>
      <c r="AD118" s="145">
        <f t="shared" si="13"/>
        <v>338515379.55151826</v>
      </c>
      <c r="AE118" s="145">
        <f t="shared" si="13"/>
        <v>338515379.55151826</v>
      </c>
      <c r="AF118" s="145">
        <f t="shared" si="13"/>
        <v>338515379.55151826</v>
      </c>
      <c r="AG118" s="145">
        <f t="shared" si="13"/>
        <v>338515379.55151826</v>
      </c>
    </row>
    <row r="119" spans="1:33" x14ac:dyDescent="0.35">
      <c r="A119" s="69"/>
      <c r="B119" s="69"/>
      <c r="C119" s="71"/>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row>
    <row r="120" spans="1:33" s="148" customFormat="1" x14ac:dyDescent="0.35">
      <c r="A120" s="69" t="s">
        <v>90</v>
      </c>
      <c r="B120" s="69" t="s">
        <v>110</v>
      </c>
      <c r="C120" s="71">
        <f>SUM(D120:AG120)</f>
        <v>25738603973.766571</v>
      </c>
      <c r="D120" s="145">
        <f>$C$104*$C$107</f>
        <v>171590693.15844378</v>
      </c>
      <c r="E120" s="145">
        <f t="shared" ref="E120:L120" si="14">$C$104*$C$107</f>
        <v>171590693.15844378</v>
      </c>
      <c r="F120" s="145">
        <f t="shared" si="14"/>
        <v>171590693.15844378</v>
      </c>
      <c r="G120" s="145">
        <f t="shared" si="14"/>
        <v>171590693.15844378</v>
      </c>
      <c r="H120" s="145">
        <f t="shared" si="14"/>
        <v>171590693.15844378</v>
      </c>
      <c r="I120" s="145">
        <f t="shared" si="14"/>
        <v>171590693.15844378</v>
      </c>
      <c r="J120" s="145">
        <f t="shared" si="14"/>
        <v>171590693.15844378</v>
      </c>
      <c r="K120" s="145">
        <f t="shared" si="14"/>
        <v>171590693.15844378</v>
      </c>
      <c r="L120" s="145">
        <f t="shared" si="14"/>
        <v>171590693.15844378</v>
      </c>
      <c r="M120" s="145">
        <f>$C$104*$C$107</f>
        <v>171590693.15844378</v>
      </c>
      <c r="N120" s="145">
        <f t="shared" ref="N120:W120" si="15">$C$104*$C$108</f>
        <v>1029544158.9506625</v>
      </c>
      <c r="O120" s="145">
        <f t="shared" si="15"/>
        <v>1029544158.9506625</v>
      </c>
      <c r="P120" s="145">
        <f t="shared" si="15"/>
        <v>1029544158.9506625</v>
      </c>
      <c r="Q120" s="145">
        <f t="shared" si="15"/>
        <v>1029544158.9506625</v>
      </c>
      <c r="R120" s="145">
        <f t="shared" si="15"/>
        <v>1029544158.9506625</v>
      </c>
      <c r="S120" s="145">
        <f t="shared" si="15"/>
        <v>1029544158.9506625</v>
      </c>
      <c r="T120" s="145">
        <f t="shared" si="15"/>
        <v>1029544158.9506625</v>
      </c>
      <c r="U120" s="145">
        <f t="shared" si="15"/>
        <v>1029544158.9506625</v>
      </c>
      <c r="V120" s="145">
        <f t="shared" si="15"/>
        <v>1029544158.9506625</v>
      </c>
      <c r="W120" s="145">
        <f t="shared" si="15"/>
        <v>1029544158.9506625</v>
      </c>
      <c r="X120" s="145">
        <f>$C$104*$C$109</f>
        <v>1372725545.2675502</v>
      </c>
      <c r="Y120" s="145">
        <f t="shared" ref="Y120:AG120" si="16">$C$104*$C$109</f>
        <v>1372725545.2675502</v>
      </c>
      <c r="Z120" s="145">
        <f t="shared" si="16"/>
        <v>1372725545.2675502</v>
      </c>
      <c r="AA120" s="145">
        <f t="shared" si="16"/>
        <v>1372725545.2675502</v>
      </c>
      <c r="AB120" s="145">
        <f t="shared" si="16"/>
        <v>1372725545.2675502</v>
      </c>
      <c r="AC120" s="145">
        <f t="shared" si="16"/>
        <v>1372725545.2675502</v>
      </c>
      <c r="AD120" s="145">
        <f t="shared" si="16"/>
        <v>1372725545.2675502</v>
      </c>
      <c r="AE120" s="145">
        <f t="shared" si="16"/>
        <v>1372725545.2675502</v>
      </c>
      <c r="AF120" s="145">
        <f t="shared" si="16"/>
        <v>1372725545.2675502</v>
      </c>
      <c r="AG120" s="145">
        <f t="shared" si="16"/>
        <v>1372725545.2675502</v>
      </c>
    </row>
    <row r="121" spans="1:33" s="148" customFormat="1" x14ac:dyDescent="0.35">
      <c r="A121" s="69"/>
      <c r="B121" s="69"/>
      <c r="C121" s="149">
        <f>C120-C100</f>
        <v>0</v>
      </c>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row>
    <row r="122" spans="1:33" s="148" customFormat="1" x14ac:dyDescent="0.35">
      <c r="A122" s="69" t="s">
        <v>112</v>
      </c>
      <c r="B122" s="69" t="s">
        <v>110</v>
      </c>
      <c r="C122" s="124"/>
      <c r="D122" s="145">
        <f>(D120*D$64)-D120</f>
        <v>0</v>
      </c>
      <c r="E122" s="145">
        <f t="shared" ref="E122:AG122" si="17">(E120*E$64)-E120</f>
        <v>0</v>
      </c>
      <c r="F122" s="145">
        <f t="shared" si="17"/>
        <v>0</v>
      </c>
      <c r="G122" s="145">
        <f t="shared" si="17"/>
        <v>0</v>
      </c>
      <c r="H122" s="145">
        <f>(H120*H$64)-H120</f>
        <v>-11814033.792894512</v>
      </c>
      <c r="I122" s="145">
        <f t="shared" si="17"/>
        <v>-22814670.356075764</v>
      </c>
      <c r="J122" s="145">
        <f t="shared" si="17"/>
        <v>-33057912.157871187</v>
      </c>
      <c r="K122" s="145">
        <f t="shared" si="17"/>
        <v>-42595905.891908854</v>
      </c>
      <c r="L122" s="145">
        <f t="shared" si="17"/>
        <v>-51477207.947533146</v>
      </c>
      <c r="M122" s="145">
        <f t="shared" si="17"/>
        <v>-55910831.828618303</v>
      </c>
      <c r="N122" s="145">
        <f t="shared" si="17"/>
        <v>-361084811.8362174</v>
      </c>
      <c r="O122" s="145">
        <f t="shared" si="17"/>
        <v>-385758954.95759273</v>
      </c>
      <c r="P122" s="145">
        <f t="shared" si="17"/>
        <v>-409522327.15265489</v>
      </c>
      <c r="Q122" s="145">
        <f t="shared" si="17"/>
        <v>-432408546.75927842</v>
      </c>
      <c r="R122" s="145">
        <f t="shared" si="17"/>
        <v>-449873424.75672174</v>
      </c>
      <c r="S122" s="145">
        <f t="shared" si="17"/>
        <v>-466827494.22551894</v>
      </c>
      <c r="T122" s="145">
        <f t="shared" si="17"/>
        <v>-483285695.17000222</v>
      </c>
      <c r="U122" s="145">
        <f t="shared" si="17"/>
        <v>-499262530.63286906</v>
      </c>
      <c r="V122" s="145">
        <f t="shared" si="17"/>
        <v>-514772079.47533125</v>
      </c>
      <c r="W122" s="145">
        <f t="shared" si="17"/>
        <v>-514772079.47533125</v>
      </c>
      <c r="X122" s="145">
        <f t="shared" si="17"/>
        <v>-686362772.63377512</v>
      </c>
      <c r="Y122" s="145">
        <f t="shared" si="17"/>
        <v>-686362772.63377512</v>
      </c>
      <c r="Z122" s="145">
        <f t="shared" si="17"/>
        <v>-686362772.63377512</v>
      </c>
      <c r="AA122" s="145">
        <f t="shared" si="17"/>
        <v>-686362772.63377512</v>
      </c>
      <c r="AB122" s="145">
        <f t="shared" si="17"/>
        <v>-686362772.63377512</v>
      </c>
      <c r="AC122" s="145">
        <f t="shared" si="17"/>
        <v>-686362772.63377512</v>
      </c>
      <c r="AD122" s="145">
        <f t="shared" si="17"/>
        <v>-686362772.63377512</v>
      </c>
      <c r="AE122" s="145">
        <f t="shared" si="17"/>
        <v>-686362772.63377512</v>
      </c>
      <c r="AF122" s="145">
        <f t="shared" si="17"/>
        <v>-686362772.63377512</v>
      </c>
      <c r="AG122" s="145">
        <f t="shared" si="17"/>
        <v>-686362772.63377512</v>
      </c>
    </row>
    <row r="123" spans="1:33" s="148" customFormat="1" x14ac:dyDescent="0.35">
      <c r="A123" s="69" t="s">
        <v>113</v>
      </c>
      <c r="B123" s="69" t="s">
        <v>110</v>
      </c>
      <c r="C123" s="124"/>
      <c r="D123" s="145">
        <f t="shared" ref="D123:AG123" si="18">(D120*D$65)-D120</f>
        <v>-694942.30729168653</v>
      </c>
      <c r="E123" s="145">
        <f t="shared" si="18"/>
        <v>-1387070.0982388556</v>
      </c>
      <c r="F123" s="145">
        <f t="shared" si="18"/>
        <v>-2076394.7716327012</v>
      </c>
      <c r="G123" s="145">
        <f t="shared" si="18"/>
        <v>-2762927.6800992787</v>
      </c>
      <c r="H123" s="145">
        <f t="shared" si="18"/>
        <v>-3446680.1302865744</v>
      </c>
      <c r="I123" s="145">
        <f t="shared" si="18"/>
        <v>-4127663.3830506206</v>
      </c>
      <c r="J123" s="145">
        <f t="shared" si="18"/>
        <v>-4805888.6536409557</v>
      </c>
      <c r="K123" s="145">
        <f t="shared" si="18"/>
        <v>-5481367.1118853986</v>
      </c>
      <c r="L123" s="145">
        <f t="shared" si="18"/>
        <v>-6154109.8823739588</v>
      </c>
      <c r="M123" s="145">
        <f t="shared" si="18"/>
        <v>-6824128.0446420312</v>
      </c>
      <c r="N123" s="145">
        <f t="shared" si="18"/>
        <v>-44948595.800117612</v>
      </c>
      <c r="O123" s="145">
        <f t="shared" si="18"/>
        <v>-48936207.830877304</v>
      </c>
      <c r="P123" s="145">
        <f t="shared" si="18"/>
        <v>-52907670.032912493</v>
      </c>
      <c r="Q123" s="145">
        <f t="shared" si="18"/>
        <v>-56863047.813029408</v>
      </c>
      <c r="R123" s="145">
        <f t="shared" si="18"/>
        <v>-60802406.313136697</v>
      </c>
      <c r="S123" s="145">
        <f t="shared" si="18"/>
        <v>-64725810.411318779</v>
      </c>
      <c r="T123" s="145">
        <f t="shared" si="18"/>
        <v>-68633324.722903013</v>
      </c>
      <c r="U123" s="145">
        <f t="shared" si="18"/>
        <v>-72525013.601525426</v>
      </c>
      <c r="V123" s="145">
        <f t="shared" si="18"/>
        <v>-76400941.140189528</v>
      </c>
      <c r="W123" s="145">
        <f t="shared" si="18"/>
        <v>-80261171.172321916</v>
      </c>
      <c r="X123" s="145">
        <f t="shared" si="18"/>
        <v>-112141023.03043222</v>
      </c>
      <c r="Y123" s="145">
        <f t="shared" si="18"/>
        <v>-117246390.3454926</v>
      </c>
      <c r="Z123" s="145">
        <f t="shared" si="18"/>
        <v>-122331080.9229269</v>
      </c>
      <c r="AA123" s="145">
        <f t="shared" si="18"/>
        <v>-127395178.50352287</v>
      </c>
      <c r="AB123" s="145">
        <f t="shared" si="18"/>
        <v>-132438766.48891711</v>
      </c>
      <c r="AC123" s="145">
        <f t="shared" si="18"/>
        <v>-137461927.94297051</v>
      </c>
      <c r="AD123" s="145">
        <f t="shared" si="18"/>
        <v>-142464745.59313512</v>
      </c>
      <c r="AE123" s="145">
        <f t="shared" si="18"/>
        <v>-147447301.83181643</v>
      </c>
      <c r="AF123" s="145">
        <f t="shared" si="18"/>
        <v>-152409678.71773124</v>
      </c>
      <c r="AG123" s="145">
        <f t="shared" si="18"/>
        <v>-157351957.97725797</v>
      </c>
    </row>
    <row r="124" spans="1:33" s="148" customFormat="1" x14ac:dyDescent="0.35">
      <c r="A124" s="69"/>
      <c r="B124" s="69"/>
      <c r="C124" s="124"/>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c r="AA124" s="145"/>
      <c r="AB124" s="145"/>
      <c r="AC124" s="145"/>
      <c r="AD124" s="145"/>
      <c r="AE124" s="145"/>
      <c r="AF124" s="145"/>
      <c r="AG124" s="145"/>
    </row>
    <row r="125" spans="1:33" s="148" customFormat="1" x14ac:dyDescent="0.35">
      <c r="A125" s="69" t="s">
        <v>114</v>
      </c>
      <c r="B125" s="69" t="s">
        <v>110</v>
      </c>
      <c r="C125" s="124"/>
      <c r="D125" s="145">
        <f>D120+D122+D123</f>
        <v>170895750.85115209</v>
      </c>
      <c r="E125" s="145">
        <f t="shared" ref="E125:AG125" si="19">E120+E122+E123</f>
        <v>170203623.06020492</v>
      </c>
      <c r="F125" s="145">
        <f>F120+F122+F123</f>
        <v>169514298.38681108</v>
      </c>
      <c r="G125" s="145">
        <f t="shared" si="19"/>
        <v>168827765.4783445</v>
      </c>
      <c r="H125" s="145">
        <f t="shared" si="19"/>
        <v>156329979.23526269</v>
      </c>
      <c r="I125" s="145">
        <f t="shared" si="19"/>
        <v>144648359.41931739</v>
      </c>
      <c r="J125" s="145">
        <f t="shared" si="19"/>
        <v>133726892.34693164</v>
      </c>
      <c r="K125" s="145">
        <f t="shared" si="19"/>
        <v>123513420.15464953</v>
      </c>
      <c r="L125" s="145">
        <f t="shared" si="19"/>
        <v>113959375.32853667</v>
      </c>
      <c r="M125" s="145">
        <f t="shared" si="19"/>
        <v>108855733.28518344</v>
      </c>
      <c r="N125" s="145">
        <f t="shared" si="19"/>
        <v>623510751.31432748</v>
      </c>
      <c r="O125" s="145">
        <f t="shared" si="19"/>
        <v>594848996.16219246</v>
      </c>
      <c r="P125" s="145">
        <f t="shared" si="19"/>
        <v>567114161.76509511</v>
      </c>
      <c r="Q125" s="145">
        <f t="shared" si="19"/>
        <v>540272564.37835467</v>
      </c>
      <c r="R125" s="145">
        <f t="shared" si="19"/>
        <v>518868327.88080406</v>
      </c>
      <c r="S125" s="145">
        <f t="shared" si="19"/>
        <v>497990854.31382477</v>
      </c>
      <c r="T125" s="145">
        <f t="shared" si="19"/>
        <v>477625139.05775726</v>
      </c>
      <c r="U125" s="145">
        <f t="shared" si="19"/>
        <v>457756614.716268</v>
      </c>
      <c r="V125" s="145">
        <f t="shared" si="19"/>
        <v>438371138.33514172</v>
      </c>
      <c r="W125" s="145">
        <f t="shared" si="19"/>
        <v>434510908.30300933</v>
      </c>
      <c r="X125" s="145">
        <f t="shared" si="19"/>
        <v>574221749.60334289</v>
      </c>
      <c r="Y125" s="145">
        <f t="shared" si="19"/>
        <v>569116382.28828251</v>
      </c>
      <c r="Z125" s="145">
        <f t="shared" si="19"/>
        <v>564031691.71084821</v>
      </c>
      <c r="AA125" s="145">
        <f t="shared" si="19"/>
        <v>558967594.13025224</v>
      </c>
      <c r="AB125" s="145">
        <f t="shared" si="19"/>
        <v>553924006.144858</v>
      </c>
      <c r="AC125" s="145">
        <f t="shared" si="19"/>
        <v>548900844.6908046</v>
      </c>
      <c r="AD125" s="145">
        <f t="shared" si="19"/>
        <v>543898027.04064</v>
      </c>
      <c r="AE125" s="145">
        <f t="shared" si="19"/>
        <v>538915470.80195868</v>
      </c>
      <c r="AF125" s="145">
        <f t="shared" si="19"/>
        <v>533953093.91604388</v>
      </c>
      <c r="AG125" s="145">
        <f t="shared" si="19"/>
        <v>529010814.65651715</v>
      </c>
    </row>
    <row r="126" spans="1:33" s="148" customFormat="1" x14ac:dyDescent="0.35">
      <c r="A126" s="69"/>
      <c r="B126" s="69"/>
      <c r="C126" s="124"/>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row>
    <row r="127" spans="1:33" s="148" customFormat="1" x14ac:dyDescent="0.35">
      <c r="A127" s="69" t="s">
        <v>91</v>
      </c>
      <c r="B127" s="69" t="s">
        <v>110</v>
      </c>
      <c r="C127" s="124"/>
      <c r="D127" s="145">
        <f>(SUM($D$125:D125)*$C$111/$C$113)+(SUM($D$125:D125)*$C$112/$C$114)</f>
        <v>4101498.0204276503</v>
      </c>
      <c r="E127" s="145">
        <f>(SUM($D$125:E125)*$C$111/$C$113)+(SUM($D$125:E125)*$C$112/$C$114)</f>
        <v>8186384.9738725685</v>
      </c>
      <c r="F127" s="145">
        <f>(SUM($D$125:F125)*$C$111/$C$113)+(SUM($D$125:F125)*$C$112/$C$114)</f>
        <v>12254728.135156035</v>
      </c>
      <c r="G127" s="145">
        <f>(SUM($D$125:G125)*$C$111/$C$113)+(SUM($D$125:G125)*$C$112/$C$114)</f>
        <v>16306594.506636303</v>
      </c>
      <c r="H127" s="145">
        <f>(SUM($D$125:H125)*$C$111/$C$113)+(SUM($D$125:H125)*$C$112/$C$114)</f>
        <v>20058514.008282606</v>
      </c>
      <c r="I127" s="145">
        <f>(SUM($D$125:I125)*$C$111/$C$113)+(SUM($D$125:I125)*$C$112/$C$114)</f>
        <v>23530074.634346224</v>
      </c>
      <c r="J127" s="145">
        <f>(SUM($D$125:J125)*$C$111/$C$113)+(SUM($D$125:J125)*$C$112/$C$114)</f>
        <v>26739520.05067258</v>
      </c>
      <c r="K127" s="145">
        <f>(SUM($D$125:K125)*$C$111/$C$113)+(SUM($D$125:K125)*$C$112/$C$114)</f>
        <v>29703842.13438417</v>
      </c>
      <c r="L127" s="145">
        <f>(SUM($D$125:L125)*$C$111/$C$113)+(SUM($D$125:L125)*$C$112/$C$114)</f>
        <v>32438867.142269049</v>
      </c>
      <c r="M127" s="145">
        <f>(SUM($D$125:M125)*$C$111/$C$113)+(SUM($D$125:M125)*$C$112/$C$114)</f>
        <v>35051404.741113454</v>
      </c>
      <c r="N127" s="145">
        <f>(SUM($D$125:N125)*$C$111/$C$113)+(SUM($D$125:N125)*$C$112/$C$114)</f>
        <v>50015662.772657312</v>
      </c>
      <c r="O127" s="145">
        <f>(SUM($D$125:O125)*$C$111/$C$113)+(SUM($D$125:O125)*$C$112/$C$114)</f>
        <v>64292038.680549942</v>
      </c>
      <c r="P127" s="145">
        <f>(SUM($D$125:P125)*$C$111/$C$113)+(SUM($D$125:P125)*$C$112/$C$114)</f>
        <v>77902778.562912226</v>
      </c>
      <c r="Q127" s="145">
        <f>(SUM($D$125:Q125)*$C$111/$C$113)+(SUM($D$125:Q125)*$C$112/$C$114)</f>
        <v>90869320.107992724</v>
      </c>
      <c r="R127" s="145">
        <f>(SUM($D$125:R125)*$C$111/$C$113)+(SUM($D$125:R125)*$C$112/$C$114)</f>
        <v>103322159.97713202</v>
      </c>
      <c r="S127" s="145">
        <f>(SUM($D$125:S125)*$C$111/$C$113)+(SUM($D$125:S125)*$C$112/$C$114)</f>
        <v>115273940.48066381</v>
      </c>
      <c r="T127" s="145">
        <f>(SUM($D$125:T125)*$C$111/$C$113)+(SUM($D$125:T125)*$C$112/$C$114)</f>
        <v>126736943.81805</v>
      </c>
      <c r="U127" s="145">
        <f>(SUM($D$125:U125)*$C$111/$C$113)+(SUM($D$125:U125)*$C$112/$C$114)</f>
        <v>137723102.57124043</v>
      </c>
      <c r="V127" s="145">
        <f>(SUM($D$125:V125)*$C$111/$C$113)+(SUM($D$125:V125)*$C$112/$C$114)</f>
        <v>148244009.89128381</v>
      </c>
      <c r="W127" s="145">
        <f>(SUM($D$125:W125)*$C$111/$C$113)+(SUM($D$125:W125)*$C$112/$C$114)</f>
        <v>158672271.69055605</v>
      </c>
      <c r="X127" s="145">
        <f>(SUM($D$125:X125)*$C$111/$C$113)+(SUM($D$125:X125)*$C$112/$C$114)</f>
        <v>172453593.68103626</v>
      </c>
      <c r="Y127" s="145">
        <f>(SUM($D$125:Y125)*$C$111/$C$113)+(SUM($D$125:Y125)*$C$112/$C$114)</f>
        <v>186112386.85595506</v>
      </c>
      <c r="Z127" s="145">
        <f>(SUM($D$125:Z125)*$C$111/$C$113)+(SUM($D$125:Z125)*$C$112/$C$114)</f>
        <v>199649147.4570154</v>
      </c>
      <c r="AA127" s="145">
        <f>(SUM($D$125:AA125)*$C$111/$C$113)+(SUM($D$125:AA125)*$C$112/$C$114)</f>
        <v>213064369.71614146</v>
      </c>
      <c r="AB127" s="145">
        <f>(SUM($D$125:AB125)*$C$111/$C$113)+(SUM($D$125:AB125)*$C$112/$C$114)</f>
        <v>226358545.86361802</v>
      </c>
      <c r="AC127" s="145">
        <f>(SUM($D$125:AC125)*$C$111/$C$113)+(SUM($D$125:AC125)*$C$112/$C$114)</f>
        <v>239532166.13619736</v>
      </c>
      <c r="AD127" s="145">
        <f>(SUM($D$125:AD125)*$C$111/$C$113)+(SUM($D$125:AD125)*$C$112/$C$114)</f>
        <v>252585718.7851727</v>
      </c>
      <c r="AE127" s="145">
        <f>(SUM($D$125:AE125)*$C$111/$C$113)+(SUM($D$125:AE125)*$C$112/$C$114)</f>
        <v>265519690.08441973</v>
      </c>
      <c r="AF127" s="145">
        <f>(SUM($D$125:AF125)*$C$111/$C$113)+(SUM($D$125:AF125)*$C$112/$C$114)</f>
        <v>278334564.33840477</v>
      </c>
      <c r="AG127" s="145">
        <f>(SUM($D$125:AG125)*$C$111/$C$113)+(SUM($D$125:AG125)*$C$112/$C$114)</f>
        <v>291030823.89016116</v>
      </c>
    </row>
    <row r="128" spans="1:33" s="148" customFormat="1" x14ac:dyDescent="0.35">
      <c r="A128" s="85"/>
      <c r="B128" s="85"/>
      <c r="C128" s="124"/>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row>
    <row r="129" spans="1:33" x14ac:dyDescent="0.35">
      <c r="A129" s="69" t="s">
        <v>115</v>
      </c>
      <c r="B129" s="69" t="s">
        <v>110</v>
      </c>
      <c r="C129" s="124"/>
      <c r="D129" s="72">
        <f>(SUM($D$125:D125)*$C$116)</f>
        <v>0</v>
      </c>
      <c r="E129" s="72">
        <f>(SUM($D$125:E125)*$C$116)</f>
        <v>0</v>
      </c>
      <c r="F129" s="72">
        <f>(SUM($D$125:F125)*$C$116)</f>
        <v>0</v>
      </c>
      <c r="G129" s="72">
        <f>(SUM($D$125:G125)*$C$116)</f>
        <v>0</v>
      </c>
      <c r="H129" s="72">
        <f>(SUM($D$125:H125)*$C$116)</f>
        <v>0</v>
      </c>
      <c r="I129" s="72">
        <f>(SUM($D$125:I125)*$C$116)</f>
        <v>0</v>
      </c>
      <c r="J129" s="72">
        <f>(SUM($D$125:J125)*$C$116)</f>
        <v>0</v>
      </c>
      <c r="K129" s="72">
        <f>(SUM($D$125:K125)*$C$116)</f>
        <v>0</v>
      </c>
      <c r="L129" s="72">
        <f>(SUM($D$125:L125)*$C$116)</f>
        <v>0</v>
      </c>
      <c r="M129" s="72">
        <f>(SUM($D$125:M125)*$C$116)</f>
        <v>0</v>
      </c>
      <c r="N129" s="72">
        <f>(SUM($D$125:N125)*$C$116)</f>
        <v>0</v>
      </c>
      <c r="O129" s="72">
        <f>(SUM($D$125:O125)*$C$116)</f>
        <v>0</v>
      </c>
      <c r="P129" s="72">
        <f>(SUM($D$125:P125)*$C$116)</f>
        <v>0</v>
      </c>
      <c r="Q129" s="72">
        <f>(SUM($D$125:Q125)*$C$116)</f>
        <v>0</v>
      </c>
      <c r="R129" s="72">
        <f>(SUM($D$125:R125)*$C$116)</f>
        <v>0</v>
      </c>
      <c r="S129" s="72">
        <f>(SUM($D$125:S125)*$C$116)</f>
        <v>0</v>
      </c>
      <c r="T129" s="72">
        <f>(SUM($D$125:T125)*$C$116)</f>
        <v>0</v>
      </c>
      <c r="U129" s="72">
        <f>(SUM($D$125:U125)*$C$116)</f>
        <v>0</v>
      </c>
      <c r="V129" s="72">
        <f>(SUM($D$125:V125)*$C$116)</f>
        <v>0</v>
      </c>
      <c r="W129" s="72">
        <f>(SUM($D$125:W125)*$C$116)</f>
        <v>0</v>
      </c>
      <c r="X129" s="72">
        <f>(SUM($D$125:X125)*$C$116)</f>
        <v>0</v>
      </c>
      <c r="Y129" s="72">
        <f>(SUM($D$125:Y125)*$C$116)</f>
        <v>0</v>
      </c>
      <c r="Z129" s="72">
        <f>(SUM($D$125:Z125)*$C$116)</f>
        <v>0</v>
      </c>
      <c r="AA129" s="72">
        <f>(SUM($D$125:AA125)*$C$116)</f>
        <v>0</v>
      </c>
      <c r="AB129" s="72">
        <f>(SUM($D$125:AB125)*$C$116)</f>
        <v>0</v>
      </c>
      <c r="AC129" s="72">
        <f>(SUM($D$125:AC125)*$C$116)</f>
        <v>0</v>
      </c>
      <c r="AD129" s="72">
        <f>(SUM($D$125:AD125)*$C$116)</f>
        <v>0</v>
      </c>
      <c r="AE129" s="72">
        <f>(SUM($D$125:AE125)*$C$116)</f>
        <v>0</v>
      </c>
      <c r="AF129" s="72">
        <f>(SUM($D$125:AF125)*$C$116)</f>
        <v>0</v>
      </c>
      <c r="AG129" s="72">
        <f>(SUM($D$125:AG125)*$C$116)</f>
        <v>0</v>
      </c>
    </row>
    <row r="130" spans="1:33" ht="16" thickBot="1" x14ac:dyDescent="0.4">
      <c r="A130" s="83"/>
      <c r="B130" s="83"/>
      <c r="C130" s="127"/>
      <c r="D130" s="128"/>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row>
    <row r="131" spans="1:33" s="136" customFormat="1" x14ac:dyDescent="0.35">
      <c r="A131" s="80" t="s">
        <v>66</v>
      </c>
      <c r="B131" s="80"/>
      <c r="C131" s="131"/>
      <c r="D131" s="132"/>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row>
    <row r="132" spans="1:33" s="73" customFormat="1" x14ac:dyDescent="0.35">
      <c r="A132" s="86"/>
      <c r="B132" s="86"/>
      <c r="C132" s="124"/>
      <c r="D132" s="72"/>
    </row>
    <row r="133" spans="1:33" s="73" customFormat="1" x14ac:dyDescent="0.35">
      <c r="A133" s="77" t="s">
        <v>158</v>
      </c>
      <c r="B133" s="77" t="s">
        <v>272</v>
      </c>
      <c r="C133" s="225">
        <f>'Data sheet'!O27</f>
        <v>869720.26</v>
      </c>
      <c r="D133" s="138"/>
    </row>
    <row r="134" spans="1:33" x14ac:dyDescent="0.35">
      <c r="A134" s="77" t="s">
        <v>157</v>
      </c>
      <c r="B134" s="77" t="s">
        <v>272</v>
      </c>
      <c r="C134" s="225">
        <f>'Data sheet'!S27</f>
        <v>858580.71</v>
      </c>
      <c r="D134" s="138"/>
      <c r="E134" s="73"/>
      <c r="F134" s="73"/>
      <c r="G134" s="73"/>
      <c r="H134" s="73"/>
      <c r="I134" s="73"/>
      <c r="J134" s="73"/>
      <c r="K134" s="73"/>
      <c r="L134" s="73"/>
      <c r="M134" s="73"/>
      <c r="N134" s="73"/>
      <c r="O134" s="73"/>
      <c r="P134" s="73"/>
      <c r="Q134" s="150"/>
      <c r="R134" s="73"/>
      <c r="S134" s="73"/>
      <c r="T134" s="73"/>
      <c r="U134" s="73"/>
      <c r="V134" s="73"/>
      <c r="W134" s="73"/>
      <c r="X134" s="73"/>
      <c r="Y134" s="73"/>
      <c r="Z134" s="73"/>
      <c r="AA134" s="73"/>
      <c r="AB134" s="73"/>
      <c r="AC134" s="73"/>
      <c r="AD134" s="73"/>
      <c r="AE134" s="73"/>
      <c r="AF134" s="73"/>
      <c r="AG134" s="73"/>
    </row>
    <row r="135" spans="1:33" x14ac:dyDescent="0.35">
      <c r="A135" s="77"/>
      <c r="B135" s="77"/>
      <c r="C135" s="124"/>
      <c r="D135" s="72"/>
      <c r="E135" s="73"/>
      <c r="F135" s="73"/>
      <c r="G135" s="73"/>
      <c r="H135" s="73"/>
      <c r="I135" s="73"/>
      <c r="J135" s="73"/>
      <c r="K135" s="73"/>
      <c r="L135" s="73"/>
      <c r="M135" s="73"/>
      <c r="N135" s="73"/>
      <c r="O135" s="73"/>
      <c r="P135" s="73"/>
      <c r="Q135" s="150"/>
      <c r="R135" s="73"/>
      <c r="S135" s="73"/>
      <c r="T135" s="73"/>
      <c r="U135" s="73"/>
      <c r="V135" s="73"/>
      <c r="W135" s="73"/>
      <c r="X135" s="73"/>
      <c r="Y135" s="73"/>
      <c r="Z135" s="73"/>
      <c r="AA135" s="73"/>
      <c r="AB135" s="73"/>
      <c r="AC135" s="73"/>
      <c r="AD135" s="73"/>
      <c r="AE135" s="73"/>
      <c r="AF135" s="73"/>
      <c r="AG135" s="73"/>
    </row>
    <row r="136" spans="1:33" x14ac:dyDescent="0.35">
      <c r="A136" s="77" t="s">
        <v>136</v>
      </c>
      <c r="B136" s="77" t="s">
        <v>110</v>
      </c>
      <c r="C136" s="71">
        <f>AVERAGE(C133:C134)</f>
        <v>864150.48499999999</v>
      </c>
      <c r="D136" s="72"/>
      <c r="E136" s="73"/>
      <c r="F136" s="73"/>
      <c r="G136" s="73"/>
      <c r="H136" s="73"/>
      <c r="I136" s="73"/>
      <c r="J136" s="73"/>
      <c r="K136" s="73"/>
      <c r="L136" s="73"/>
      <c r="M136" s="73"/>
      <c r="N136" s="73"/>
      <c r="O136" s="73"/>
      <c r="P136" s="73"/>
      <c r="Q136" s="150"/>
      <c r="R136" s="73"/>
      <c r="S136" s="73"/>
      <c r="T136" s="73"/>
      <c r="U136" s="73"/>
      <c r="V136" s="73"/>
      <c r="W136" s="73"/>
      <c r="X136" s="73"/>
      <c r="Y136" s="73"/>
      <c r="Z136" s="73"/>
      <c r="AA136" s="73"/>
      <c r="AB136" s="73"/>
      <c r="AC136" s="73"/>
      <c r="AD136" s="73"/>
      <c r="AE136" s="73"/>
      <c r="AF136" s="73"/>
      <c r="AG136" s="73"/>
    </row>
    <row r="137" spans="1:33" x14ac:dyDescent="0.35">
      <c r="A137" s="77"/>
      <c r="B137" s="77"/>
      <c r="C137" s="124"/>
      <c r="D137" s="72"/>
      <c r="E137" s="73"/>
      <c r="F137" s="73"/>
      <c r="G137" s="73"/>
      <c r="H137" s="73"/>
      <c r="I137" s="73"/>
      <c r="J137" s="73"/>
      <c r="K137" s="73"/>
      <c r="L137" s="73"/>
      <c r="M137" s="73"/>
      <c r="N137" s="73"/>
      <c r="O137" s="73"/>
      <c r="P137" s="73"/>
      <c r="Q137" s="150"/>
      <c r="R137" s="73"/>
      <c r="S137" s="73"/>
      <c r="T137" s="73"/>
      <c r="U137" s="73"/>
      <c r="V137" s="73"/>
      <c r="W137" s="73"/>
      <c r="X137" s="73"/>
      <c r="Y137" s="73"/>
      <c r="Z137" s="73"/>
      <c r="AA137" s="73"/>
      <c r="AB137" s="73"/>
      <c r="AC137" s="73"/>
      <c r="AD137" s="73"/>
      <c r="AE137" s="73"/>
      <c r="AF137" s="73"/>
      <c r="AG137" s="73"/>
    </row>
    <row r="138" spans="1:33" x14ac:dyDescent="0.35">
      <c r="A138" s="77" t="s">
        <v>146</v>
      </c>
      <c r="B138" s="77" t="s">
        <v>145</v>
      </c>
      <c r="C138" s="124">
        <v>2.7</v>
      </c>
      <c r="D138" s="72"/>
      <c r="E138" s="73"/>
      <c r="F138" s="73"/>
      <c r="G138" s="73"/>
      <c r="H138" s="73"/>
      <c r="I138" s="73"/>
      <c r="J138" s="73"/>
      <c r="K138" s="73"/>
      <c r="L138" s="73"/>
      <c r="M138" s="73"/>
      <c r="N138" s="73"/>
      <c r="O138" s="73"/>
      <c r="P138" s="73"/>
      <c r="Q138" s="150"/>
      <c r="R138" s="73"/>
      <c r="S138" s="73"/>
      <c r="T138" s="73"/>
      <c r="U138" s="73"/>
      <c r="V138" s="73"/>
      <c r="W138" s="73"/>
      <c r="X138" s="73"/>
      <c r="Y138" s="73"/>
      <c r="Z138" s="73"/>
      <c r="AA138" s="73"/>
      <c r="AB138" s="73"/>
      <c r="AC138" s="73"/>
      <c r="AD138" s="73"/>
      <c r="AE138" s="73"/>
      <c r="AF138" s="73"/>
      <c r="AG138" s="73"/>
    </row>
    <row r="139" spans="1:33" x14ac:dyDescent="0.35">
      <c r="A139" s="77"/>
      <c r="B139" s="77"/>
      <c r="C139" s="124"/>
      <c r="D139" s="72"/>
      <c r="E139" s="73"/>
      <c r="F139" s="73"/>
      <c r="G139" s="73"/>
      <c r="H139" s="73"/>
      <c r="I139" s="73"/>
      <c r="J139" s="73"/>
      <c r="K139" s="73"/>
      <c r="L139" s="73"/>
      <c r="M139" s="73"/>
      <c r="N139" s="73"/>
      <c r="O139" s="73"/>
      <c r="P139" s="73"/>
      <c r="Q139" s="150"/>
      <c r="R139" s="73"/>
      <c r="S139" s="73"/>
      <c r="T139" s="73"/>
      <c r="U139" s="73"/>
      <c r="V139" s="73"/>
      <c r="W139" s="73"/>
      <c r="X139" s="73"/>
      <c r="Y139" s="73"/>
      <c r="Z139" s="73"/>
      <c r="AA139" s="73"/>
      <c r="AB139" s="73"/>
      <c r="AC139" s="73"/>
      <c r="AD139" s="73"/>
      <c r="AE139" s="73"/>
      <c r="AF139" s="73"/>
      <c r="AG139" s="73"/>
    </row>
    <row r="140" spans="1:33" x14ac:dyDescent="0.35">
      <c r="A140" s="77" t="s">
        <v>159</v>
      </c>
      <c r="B140" s="77" t="s">
        <v>160</v>
      </c>
      <c r="C140" s="141">
        <v>0.7</v>
      </c>
      <c r="D140" s="72"/>
      <c r="E140" s="73"/>
      <c r="F140" s="73"/>
      <c r="G140" s="73"/>
      <c r="H140" s="73"/>
      <c r="I140" s="73"/>
      <c r="J140" s="73"/>
      <c r="K140" s="73"/>
      <c r="L140" s="73"/>
      <c r="M140" s="73"/>
      <c r="N140" s="73"/>
      <c r="O140" s="73"/>
      <c r="P140" s="73"/>
      <c r="Q140" s="150"/>
      <c r="R140" s="73"/>
      <c r="S140" s="73"/>
      <c r="T140" s="73"/>
      <c r="U140" s="73"/>
      <c r="V140" s="73"/>
      <c r="W140" s="73"/>
      <c r="X140" s="73"/>
      <c r="Y140" s="73"/>
      <c r="Z140" s="73"/>
      <c r="AA140" s="73"/>
      <c r="AB140" s="73"/>
      <c r="AC140" s="73"/>
      <c r="AD140" s="73"/>
      <c r="AE140" s="73"/>
      <c r="AF140" s="73"/>
      <c r="AG140" s="73"/>
    </row>
    <row r="141" spans="1:33" x14ac:dyDescent="0.35">
      <c r="A141" s="77"/>
      <c r="B141" s="77"/>
      <c r="C141" s="124"/>
      <c r="D141" s="72"/>
      <c r="E141" s="73"/>
      <c r="F141" s="73"/>
      <c r="G141" s="73"/>
      <c r="H141" s="73"/>
      <c r="I141" s="73"/>
      <c r="J141" s="73"/>
      <c r="K141" s="73"/>
      <c r="L141" s="73"/>
      <c r="M141" s="73"/>
      <c r="N141" s="73"/>
      <c r="O141" s="73"/>
      <c r="P141" s="73"/>
      <c r="Q141" s="150"/>
      <c r="R141" s="73"/>
      <c r="S141" s="73"/>
      <c r="T141" s="73"/>
      <c r="U141" s="73"/>
      <c r="V141" s="73"/>
      <c r="W141" s="73"/>
      <c r="X141" s="73"/>
      <c r="Y141" s="73"/>
      <c r="Z141" s="73"/>
      <c r="AA141" s="73"/>
      <c r="AB141" s="73"/>
      <c r="AC141" s="73"/>
      <c r="AD141" s="73"/>
      <c r="AE141" s="73"/>
      <c r="AF141" s="73"/>
      <c r="AG141" s="73"/>
    </row>
    <row r="142" spans="1:33" ht="16" thickBot="1" x14ac:dyDescent="0.4">
      <c r="A142" s="79" t="s">
        <v>122</v>
      </c>
      <c r="B142" s="79" t="s">
        <v>110</v>
      </c>
      <c r="C142" s="151">
        <f>C136/C138</f>
        <v>320055.73518518516</v>
      </c>
      <c r="D142" s="152">
        <f t="shared" ref="D142:AG142" si="20">$C$142*D13</f>
        <v>324067.08023712138</v>
      </c>
      <c r="E142" s="152">
        <f t="shared" si="20"/>
        <v>328128.70056100795</v>
      </c>
      <c r="F142" s="152">
        <f t="shared" si="20"/>
        <v>332241.22627041943</v>
      </c>
      <c r="G142" s="152">
        <f t="shared" si="20"/>
        <v>336405.2953763142</v>
      </c>
      <c r="H142" s="152">
        <f t="shared" si="20"/>
        <v>340621.5538860145</v>
      </c>
      <c r="I142" s="152">
        <f t="shared" si="20"/>
        <v>344890.65590342693</v>
      </c>
      <c r="J142" s="152">
        <f t="shared" si="20"/>
        <v>349213.26373051928</v>
      </c>
      <c r="K142" s="152">
        <f t="shared" si="20"/>
        <v>353590.04797006864</v>
      </c>
      <c r="L142" s="152">
        <f t="shared" si="20"/>
        <v>358021.68762969848</v>
      </c>
      <c r="M142" s="152">
        <f t="shared" si="20"/>
        <v>362508.87022721785</v>
      </c>
      <c r="N142" s="152">
        <f t="shared" si="20"/>
        <v>367052.29189728282</v>
      </c>
      <c r="O142" s="152">
        <f t="shared" si="20"/>
        <v>371652.65749939304</v>
      </c>
      <c r="P142" s="152">
        <f t="shared" si="20"/>
        <v>376310.68072724284</v>
      </c>
      <c r="Q142" s="152">
        <f t="shared" si="20"/>
        <v>381027.08421944262</v>
      </c>
      <c r="R142" s="152">
        <f t="shared" si="20"/>
        <v>385802.59967162792</v>
      </c>
      <c r="S142" s="152">
        <f t="shared" si="20"/>
        <v>390637.96794997319</v>
      </c>
      <c r="T142" s="152">
        <f t="shared" si="20"/>
        <v>395533.93920612917</v>
      </c>
      <c r="U142" s="152">
        <f t="shared" si="20"/>
        <v>400491.27299360005</v>
      </c>
      <c r="V142" s="152">
        <f t="shared" si="20"/>
        <v>405510.73838557937</v>
      </c>
      <c r="W142" s="152">
        <f t="shared" si="20"/>
        <v>410593.11409426277</v>
      </c>
      <c r="X142" s="152">
        <f t="shared" si="20"/>
        <v>415739.18859165657</v>
      </c>
      <c r="Y142" s="152">
        <f t="shared" si="20"/>
        <v>420949.7602318998</v>
      </c>
      <c r="Z142" s="152">
        <f t="shared" si="20"/>
        <v>426225.63737511978</v>
      </c>
      <c r="AA142" s="152">
        <f t="shared" si="20"/>
        <v>431567.6385128398</v>
      </c>
      <c r="AB142" s="152">
        <f t="shared" si="20"/>
        <v>436976.5923949586</v>
      </c>
      <c r="AC142" s="152">
        <f t="shared" si="20"/>
        <v>442453.33815832145</v>
      </c>
      <c r="AD142" s="152">
        <f t="shared" si="20"/>
        <v>447998.72545690282</v>
      </c>
      <c r="AE142" s="152">
        <f t="shared" si="20"/>
        <v>453613.61459361995</v>
      </c>
      <c r="AF142" s="152">
        <f t="shared" si="20"/>
        <v>459298.87665379886</v>
      </c>
      <c r="AG142" s="152">
        <f t="shared" si="20"/>
        <v>465055.39364031394</v>
      </c>
    </row>
    <row r="145" spans="3:33" x14ac:dyDescent="0.35">
      <c r="C145" s="221"/>
    </row>
    <row r="147" spans="3:33" x14ac:dyDescent="0.35">
      <c r="C147" s="221"/>
    </row>
    <row r="153" spans="3:33" x14ac:dyDescent="0.35">
      <c r="D153" s="153"/>
    </row>
    <row r="160" spans="3:33" x14ac:dyDescent="0.35">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c r="AF160" s="154"/>
      <c r="AG160" s="154"/>
    </row>
    <row r="163" spans="4:33" x14ac:dyDescent="0.35">
      <c r="D163" s="155"/>
    </row>
    <row r="166" spans="4:33" x14ac:dyDescent="0.35">
      <c r="D166" s="156"/>
    </row>
    <row r="169" spans="4:33" x14ac:dyDescent="0.35">
      <c r="D169" s="153"/>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row>
    <row r="170" spans="4:33" x14ac:dyDescent="0.35">
      <c r="D170" s="153"/>
    </row>
    <row r="173" spans="4:33" x14ac:dyDescent="0.35">
      <c r="M173" s="158"/>
    </row>
    <row r="181" spans="4:4" x14ac:dyDescent="0.35">
      <c r="D181" s="159"/>
    </row>
    <row r="182" spans="4:4" x14ac:dyDescent="0.35">
      <c r="D182" s="159"/>
    </row>
    <row r="183" spans="4:4" x14ac:dyDescent="0.35">
      <c r="D183" s="153"/>
    </row>
    <row r="184" spans="4:4" x14ac:dyDescent="0.35">
      <c r="D184" s="153"/>
    </row>
    <row r="186" spans="4:4" x14ac:dyDescent="0.35">
      <c r="D186" s="160"/>
    </row>
    <row r="187" spans="4:4" x14ac:dyDescent="0.35">
      <c r="D187" s="159"/>
    </row>
    <row r="188" spans="4:4" x14ac:dyDescent="0.35">
      <c r="D188" s="159"/>
    </row>
    <row r="193" spans="4:4" x14ac:dyDescent="0.35">
      <c r="D193" s="161"/>
    </row>
    <row r="202" spans="4:4" x14ac:dyDescent="0.35">
      <c r="D202" s="153"/>
    </row>
  </sheetData>
  <mergeCells count="1">
    <mergeCell ref="D3:A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14.08203125" style="63" bestFit="1" customWidth="1"/>
    <col min="3" max="3" width="5.5" style="63"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128</v>
      </c>
      <c r="B4" s="35"/>
      <c r="C4" s="34"/>
      <c r="D4" s="53"/>
      <c r="E4" s="65">
        <v>0.15</v>
      </c>
      <c r="F4" s="65">
        <v>0.14000000000000001</v>
      </c>
      <c r="G4" s="65">
        <v>0.1</v>
      </c>
      <c r="H4" s="65">
        <v>0.05</v>
      </c>
      <c r="I4" s="65">
        <v>0.04</v>
      </c>
      <c r="J4" s="65">
        <v>0.04</v>
      </c>
      <c r="K4" s="65">
        <v>0.03</v>
      </c>
      <c r="L4" s="65">
        <v>0.03</v>
      </c>
      <c r="M4" s="65">
        <v>0.03</v>
      </c>
      <c r="N4" s="65">
        <v>0.03</v>
      </c>
      <c r="O4" s="65">
        <v>0.03</v>
      </c>
      <c r="P4" s="65">
        <v>0.03</v>
      </c>
      <c r="Q4" s="65">
        <v>0.03</v>
      </c>
      <c r="R4" s="65">
        <v>0.03</v>
      </c>
      <c r="S4" s="65">
        <v>0.03</v>
      </c>
      <c r="T4" s="65">
        <v>0.03</v>
      </c>
      <c r="U4" s="65">
        <v>0.03</v>
      </c>
      <c r="V4" s="65">
        <v>0.03</v>
      </c>
      <c r="W4" s="65">
        <v>2.1999999999999999E-2</v>
      </c>
      <c r="X4" s="65">
        <v>2.1999999999999999E-2</v>
      </c>
      <c r="Y4" s="65">
        <v>2.1999999999999999E-2</v>
      </c>
      <c r="Z4" s="65">
        <v>2.1999999999999999E-2</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55</v>
      </c>
      <c r="B6" s="68">
        <f ca="1">MAX(E6:AH6)</f>
        <v>6.4235563979690227</v>
      </c>
      <c r="C6" s="25"/>
      <c r="D6" s="25"/>
      <c r="E6" s="27">
        <f>'Debt worksheet'!C5/'Profit and Loss'!C5</f>
        <v>2.6907351330922316</v>
      </c>
      <c r="F6" s="28">
        <f ca="1">'Debt worksheet'!D5/'Profit and Loss'!D5</f>
        <v>3.8312372065581783</v>
      </c>
      <c r="G6" s="28">
        <f ca="1">'Debt worksheet'!E5/'Profit and Loss'!E5</f>
        <v>3.8944813016782818</v>
      </c>
      <c r="H6" s="28">
        <f ca="1">'Debt worksheet'!F5/'Profit and Loss'!F5</f>
        <v>4.0383751002184436</v>
      </c>
      <c r="I6" s="28">
        <f ca="1">'Debt worksheet'!G5/'Profit and Loss'!G5</f>
        <v>4.1766440751061156</v>
      </c>
      <c r="J6" s="28">
        <f ca="1">'Debt worksheet'!H5/'Profit and Loss'!H5</f>
        <v>4.2401224033212088</v>
      </c>
      <c r="K6" s="28">
        <f ca="1">'Debt worksheet'!I5/'Profit and Loss'!I5</f>
        <v>4.172636444683306</v>
      </c>
      <c r="L6" s="28">
        <f ca="1">'Debt worksheet'!J5/'Profit and Loss'!J5</f>
        <v>4.0543632109370087</v>
      </c>
      <c r="M6" s="28">
        <f ca="1">'Debt worksheet'!K5/'Profit and Loss'!K5</f>
        <v>3.888983104455328</v>
      </c>
      <c r="N6" s="28">
        <f ca="1">'Debt worksheet'!L5/'Profit and Loss'!L5</f>
        <v>3.6798970017704118</v>
      </c>
      <c r="O6" s="28">
        <f ca="1">'Debt worksheet'!M5/'Profit and Loss'!M5</f>
        <v>3.4428402630429344</v>
      </c>
      <c r="P6" s="28">
        <f ca="1">'Debt worksheet'!N5/'Profit and Loss'!N5</f>
        <v>3.812925096325368</v>
      </c>
      <c r="Q6" s="28">
        <f ca="1">'Debt worksheet'!O5/'Profit and Loss'!O5</f>
        <v>4.125982539886361</v>
      </c>
      <c r="R6" s="28">
        <f ca="1">'Debt worksheet'!P5/'Profit and Loss'!P5</f>
        <v>4.3843710008631849</v>
      </c>
      <c r="S6" s="28">
        <f ca="1">'Debt worksheet'!Q5/'Profit and Loss'!Q5</f>
        <v>4.5903576339914611</v>
      </c>
      <c r="T6" s="28">
        <f ca="1">'Debt worksheet'!R5/'Profit and Loss'!R5</f>
        <v>4.7526995893930479</v>
      </c>
      <c r="U6" s="28">
        <f ca="1">'Debt worksheet'!S5/'Profit and Loss'!S5</f>
        <v>4.8728935461173251</v>
      </c>
      <c r="V6" s="28">
        <f ca="1">'Debt worksheet'!T5/'Profit and Loss'!T5</f>
        <v>4.9523953538549348</v>
      </c>
      <c r="W6" s="28">
        <f ca="1">'Debt worksheet'!U5/'Profit and Loss'!U5</f>
        <v>5.0317021104060204</v>
      </c>
      <c r="X6" s="28">
        <f ca="1">'Debt worksheet'!V5/'Profit and Loss'!V5</f>
        <v>5.081290822532833</v>
      </c>
      <c r="Y6" s="28">
        <f ca="1">'Debt worksheet'!W5/'Profit and Loss'!W5</f>
        <v>5.1223893789059849</v>
      </c>
      <c r="Z6" s="28">
        <f ca="1">'Debt worksheet'!X5/'Profit and Loss'!X5</f>
        <v>5.3023148879538207</v>
      </c>
      <c r="AA6" s="28">
        <f ca="1">'Debt worksheet'!Y5/'Profit and Loss'!Y5</f>
        <v>5.4737483169589964</v>
      </c>
      <c r="AB6" s="28">
        <f ca="1">'Debt worksheet'!Z5/'Profit and Loss'!Z5</f>
        <v>5.6365281428776033</v>
      </c>
      <c r="AC6" s="28">
        <f ca="1">'Debt worksheet'!AA5/'Profit and Loss'!AA5</f>
        <v>5.7905020295395619</v>
      </c>
      <c r="AD6" s="28">
        <f ca="1">'Debt worksheet'!AB5/'Profit and Loss'!AB5</f>
        <v>5.9355265262221844</v>
      </c>
      <c r="AE6" s="28">
        <f ca="1">'Debt worksheet'!AC5/'Profit and Loss'!AC5</f>
        <v>6.0714667745087159</v>
      </c>
      <c r="AF6" s="28">
        <f ca="1">'Debt worksheet'!AD5/'Profit and Loss'!AD5</f>
        <v>6.1981962232235945</v>
      </c>
      <c r="AG6" s="28">
        <f ca="1">'Debt worksheet'!AE5/'Profit and Loss'!AE5</f>
        <v>6.3155963512411102</v>
      </c>
      <c r="AH6" s="28">
        <f ca="1">'Debt worksheet'!AF5/'Profit and Loss'!AF5</f>
        <v>6.4235563979690227</v>
      </c>
      <c r="AI6" s="31"/>
    </row>
    <row r="7" spans="1:35" ht="21" x14ac:dyDescent="0.5">
      <c r="A7" s="19" t="s">
        <v>38</v>
      </c>
      <c r="B7" s="26">
        <f ca="1">MIN('Price and Financial ratios'!E7:AH7)</f>
        <v>9.892760941063504E-2</v>
      </c>
      <c r="C7" s="26"/>
      <c r="D7" s="26"/>
      <c r="E7" s="56">
        <f ca="1">'Cash Flow'!C7/'Debt worksheet'!C5</f>
        <v>0.11850516678218216</v>
      </c>
      <c r="F7" s="32">
        <f ca="1">'Cash Flow'!D7/'Debt worksheet'!D5</f>
        <v>9.892760941063504E-2</v>
      </c>
      <c r="G7" s="32">
        <f ca="1">'Cash Flow'!E7/'Debt worksheet'!E5</f>
        <v>0.10689937362077714</v>
      </c>
      <c r="H7" s="32">
        <f ca="1">'Cash Flow'!F7/'Debt worksheet'!F5</f>
        <v>0.10563914168816604</v>
      </c>
      <c r="I7" s="32">
        <f ca="1">'Cash Flow'!G7/'Debt worksheet'!G5</f>
        <v>0.11034029830163217</v>
      </c>
      <c r="J7" s="32">
        <f ca="1">'Cash Flow'!H7/'Debt worksheet'!H5</f>
        <v>0.12967325450579986</v>
      </c>
      <c r="K7" s="32">
        <f ca="1">'Cash Flow'!I7/'Debt worksheet'!I5</f>
        <v>0.13910051915533245</v>
      </c>
      <c r="L7" s="32">
        <f ca="1">'Cash Flow'!J7/'Debt worksheet'!J5</f>
        <v>0.15061932223244223</v>
      </c>
      <c r="M7" s="17">
        <f ca="1">'Cash Flow'!K7/'Debt worksheet'!K5</f>
        <v>0.16472696856122834</v>
      </c>
      <c r="N7" s="17">
        <f ca="1">'Cash Flow'!L7/'Debt worksheet'!L5</f>
        <v>0.17989443332753555</v>
      </c>
      <c r="O7" s="17">
        <f ca="1">'Cash Flow'!M7/'Debt worksheet'!M5</f>
        <v>0.19188370871263502</v>
      </c>
      <c r="P7" s="17">
        <f ca="1">'Cash Flow'!N7/'Debt worksheet'!N5</f>
        <v>0.17330179690633601</v>
      </c>
      <c r="Q7" s="17">
        <f ca="1">'Cash Flow'!O7/'Debt worksheet'!O5</f>
        <v>0.160547970073668</v>
      </c>
      <c r="R7" s="17">
        <f ca="1">'Cash Flow'!P7/'Debt worksheet'!P5</f>
        <v>0.15178022301682098</v>
      </c>
      <c r="S7" s="17">
        <f ca="1">'Cash Flow'!Q7/'Debt worksheet'!Q5</f>
        <v>0.14556136258553784</v>
      </c>
      <c r="T7" s="17">
        <f ca="1">'Cash Flow'!R7/'Debt worksheet'!R5</f>
        <v>0.14141585836502518</v>
      </c>
      <c r="U7" s="17">
        <f ca="1">'Cash Flow'!S7/'Debt worksheet'!S5</f>
        <v>0.13897399556740017</v>
      </c>
      <c r="V7" s="17">
        <f ca="1">'Cash Flow'!T7/'Debt worksheet'!T5</f>
        <v>0.13800077278374909</v>
      </c>
      <c r="W7" s="17">
        <f ca="1">'Cash Flow'!U7/'Debt worksheet'!U5</f>
        <v>0.13674311354626523</v>
      </c>
      <c r="X7" s="17">
        <f ca="1">'Cash Flow'!V7/'Debt worksheet'!V5</f>
        <v>0.13535593784344377</v>
      </c>
      <c r="Y7" s="17">
        <f ca="1">'Cash Flow'!W7/'Debt worksheet'!W5</f>
        <v>0.13323511421305353</v>
      </c>
      <c r="Z7" s="17">
        <f ca="1">'Cash Flow'!X7/'Debt worksheet'!X5</f>
        <v>0.1277713681869086</v>
      </c>
      <c r="AA7" s="17">
        <f ca="1">'Cash Flow'!Y7/'Debt worksheet'!Y5</f>
        <v>0.12291292864861708</v>
      </c>
      <c r="AB7" s="17">
        <f ca="1">'Cash Flow'!Z7/'Debt worksheet'!Z5</f>
        <v>0.11858698826902182</v>
      </c>
      <c r="AC7" s="17">
        <f ca="1">'Cash Flow'!AA7/'Debt worksheet'!AA5</f>
        <v>0.11473316493654995</v>
      </c>
      <c r="AD7" s="17">
        <f ca="1">'Cash Flow'!AB7/'Debt worksheet'!AB5</f>
        <v>0.11130108178946151</v>
      </c>
      <c r="AE7" s="17">
        <f ca="1">'Cash Flow'!AC7/'Debt worksheet'!AC5</f>
        <v>0.10824850420378836</v>
      </c>
      <c r="AF7" s="17">
        <f ca="1">'Cash Flow'!AD7/'Debt worksheet'!AD5</f>
        <v>0.10553989143847872</v>
      </c>
      <c r="AG7" s="17">
        <f ca="1">'Cash Flow'!AE7/'Debt worksheet'!AE5</f>
        <v>0.10314526098637027</v>
      </c>
      <c r="AH7" s="17">
        <f ca="1">'Cash Flow'!AF7/'Debt worksheet'!AF5</f>
        <v>0.10103929164411062</v>
      </c>
      <c r="AI7" s="29"/>
    </row>
    <row r="8" spans="1:35" ht="21" x14ac:dyDescent="0.5">
      <c r="A8" s="19" t="s">
        <v>33</v>
      </c>
      <c r="B8" s="26">
        <f ca="1">MAX('Price and Financial ratios'!E8:AH8)</f>
        <v>0.52473305348773536</v>
      </c>
      <c r="C8" s="26"/>
      <c r="D8" s="171"/>
      <c r="E8" s="17">
        <f>'Balance Sheet'!B11/'Balance Sheet'!B8</f>
        <v>0.13384545437941067</v>
      </c>
      <c r="F8" s="17">
        <f ca="1">'Balance Sheet'!C11/'Balance Sheet'!C8</f>
        <v>0.22394706692006358</v>
      </c>
      <c r="G8" s="17">
        <f ca="1">'Balance Sheet'!D11/'Balance Sheet'!D8</f>
        <v>0.24991280118066347</v>
      </c>
      <c r="H8" s="17">
        <f ca="1">'Balance Sheet'!E11/'Balance Sheet'!E8</f>
        <v>0.27159247567634148</v>
      </c>
      <c r="I8" s="17">
        <f ca="1">'Balance Sheet'!F11/'Balance Sheet'!F8</f>
        <v>0.2915999095121472</v>
      </c>
      <c r="J8" s="17">
        <f ca="1">'Balance Sheet'!G11/'Balance Sheet'!G8</f>
        <v>0.30768403959185825</v>
      </c>
      <c r="K8" s="17">
        <f ca="1">'Balance Sheet'!H11/'Balance Sheet'!H8</f>
        <v>0.31202948066830466</v>
      </c>
      <c r="L8" s="17">
        <f ca="1">'Balance Sheet'!I11/'Balance Sheet'!I8</f>
        <v>0.31277193291704014</v>
      </c>
      <c r="M8" s="17">
        <f ca="1">'Balance Sheet'!J11/'Balance Sheet'!J8</f>
        <v>0.30981279918255</v>
      </c>
      <c r="N8" s="17">
        <f ca="1">'Balance Sheet'!K11/'Balance Sheet'!K8</f>
        <v>0.30302511031417595</v>
      </c>
      <c r="O8" s="17">
        <f ca="1">'Balance Sheet'!L11/'Balance Sheet'!L8</f>
        <v>0.29358229311900746</v>
      </c>
      <c r="P8" s="17">
        <f ca="1">'Balance Sheet'!M11/'Balance Sheet'!M8</f>
        <v>0.31998572445872098</v>
      </c>
      <c r="Q8" s="17">
        <f ca="1">'Balance Sheet'!N11/'Balance Sheet'!N8</f>
        <v>0.34242692284498122</v>
      </c>
      <c r="R8" s="17">
        <f ca="1">'Balance Sheet'!O11/'Balance Sheet'!O8</f>
        <v>0.36139445752204402</v>
      </c>
      <c r="S8" s="17">
        <f ca="1">'Balance Sheet'!P11/'Balance Sheet'!P8</f>
        <v>0.37724566983424157</v>
      </c>
      <c r="T8" s="17">
        <f ca="1">'Balance Sheet'!Q11/'Balance Sheet'!Q8</f>
        <v>0.39061761099838782</v>
      </c>
      <c r="U8" s="17">
        <f ca="1">'Balance Sheet'!R11/'Balance Sheet'!R8</f>
        <v>0.4016490389096587</v>
      </c>
      <c r="V8" s="17">
        <f ca="1">'Balance Sheet'!S11/'Balance Sheet'!S8</f>
        <v>0.41043047163406182</v>
      </c>
      <c r="W8" s="17">
        <f ca="1">'Balance Sheet'!T11/'Balance Sheet'!T8</f>
        <v>0.41701243773265889</v>
      </c>
      <c r="X8" s="17">
        <f ca="1">'Balance Sheet'!U11/'Balance Sheet'!U8</f>
        <v>0.4220753830247938</v>
      </c>
      <c r="Y8" s="17">
        <f ca="1">'Balance Sheet'!V11/'Balance Sheet'!V8</f>
        <v>0.42694283474438927</v>
      </c>
      <c r="Z8" s="17">
        <f ca="1">'Balance Sheet'!W11/'Balance Sheet'!W8</f>
        <v>0.43871100930635198</v>
      </c>
      <c r="AA8" s="17">
        <f ca="1">'Balance Sheet'!X11/'Balance Sheet'!X8</f>
        <v>0.45024161779736721</v>
      </c>
      <c r="AB8" s="17">
        <f ca="1">'Balance Sheet'!Y11/'Balance Sheet'!Y8</f>
        <v>0.46154402318026577</v>
      </c>
      <c r="AC8" s="17">
        <f ca="1">'Balance Sheet'!Z11/'Balance Sheet'!Z8</f>
        <v>0.47262443845761809</v>
      </c>
      <c r="AD8" s="17">
        <f ca="1">'Balance Sheet'!AA11/'Balance Sheet'!AA8</f>
        <v>0.48348628707732699</v>
      </c>
      <c r="AE8" s="17">
        <f ca="1">'Balance Sheet'!AB11/'Balance Sheet'!AB8</f>
        <v>0.49413048595478326</v>
      </c>
      <c r="AF8" s="17">
        <f ca="1">'Balance Sheet'!AC11/'Balance Sheet'!AC8</f>
        <v>0.50455566648630801</v>
      </c>
      <c r="AG8" s="17">
        <f ca="1">'Balance Sheet'!AD11/'Balance Sheet'!AD8</f>
        <v>0.51475834526695552</v>
      </c>
      <c r="AH8" s="17">
        <f ca="1">'Balance Sheet'!AE11/'Balance Sheet'!AE8</f>
        <v>0.52473305348773536</v>
      </c>
      <c r="AI8" s="29"/>
    </row>
    <row r="9" spans="1:35" ht="21.5" thickBot="1" x14ac:dyDescent="0.55000000000000004">
      <c r="A9" s="20" t="s">
        <v>32</v>
      </c>
      <c r="B9" s="21">
        <f ca="1">MIN('Price and Financial ratios'!E9:AH9)</f>
        <v>3.0600938019854054</v>
      </c>
      <c r="C9" s="21"/>
      <c r="D9" s="172"/>
      <c r="E9" s="21">
        <f ca="1">('Cash Flow'!C7+'Profit and Loss'!C8)/('Profit and Loss'!C8)</f>
        <v>3.0600938019854054</v>
      </c>
      <c r="F9" s="21">
        <f ca="1">('Cash Flow'!D7+'Profit and Loss'!D8)/('Profit and Loss'!D8)</f>
        <v>3.4965306437155426</v>
      </c>
      <c r="G9" s="21">
        <f ca="1">('Cash Flow'!E7+'Profit and Loss'!E8)/('Profit and Loss'!E8)</f>
        <v>3.7704574357332548</v>
      </c>
      <c r="H9" s="21">
        <f ca="1">('Cash Flow'!F7+'Profit and Loss'!F8)/('Profit and Loss'!F8)</f>
        <v>3.7713626918416674</v>
      </c>
      <c r="I9" s="21">
        <f ca="1">('Cash Flow'!G7+'Profit and Loss'!G8)/('Profit and Loss'!G8)</f>
        <v>3.9489848465677886</v>
      </c>
      <c r="J9" s="21">
        <f ca="1">('Cash Flow'!H7+'Profit and Loss'!H8)/('Profit and Loss'!H8)</f>
        <v>4.6099707773987113</v>
      </c>
      <c r="K9" s="21">
        <f ca="1">('Cash Flow'!I7+'Profit and Loss'!I8)/('Profit and Loss'!I8)</f>
        <v>4.9219501922169488</v>
      </c>
      <c r="L9" s="21">
        <f ca="1">('Cash Flow'!J7+'Profit and Loss'!J8)/('Profit and Loss'!J8)</f>
        <v>5.3018247474356377</v>
      </c>
      <c r="M9" s="21">
        <f ca="1">('Cash Flow'!K7+'Profit and Loss'!K8)/('Profit and Loss'!K8)</f>
        <v>5.7692548278427287</v>
      </c>
      <c r="N9" s="21">
        <f ca="1">('Cash Flow'!L7+'Profit and Loss'!L8)/('Profit and Loss'!L8)</f>
        <v>6.2677110329839065</v>
      </c>
      <c r="O9" s="21">
        <f ca="1">('Cash Flow'!M7+'Profit and Loss'!M8)/('Profit and Loss'!M8)</f>
        <v>5.7465945028204901</v>
      </c>
      <c r="P9" s="21">
        <f ca="1">('Cash Flow'!N7+'Profit and Loss'!N8)/('Profit and Loss'!N8)</f>
        <v>5.3875227595030655</v>
      </c>
      <c r="Q9" s="21">
        <f ca="1">('Cash Flow'!O7+'Profit and Loss'!O8)/('Profit and Loss'!O8)</f>
        <v>5.1391421028639881</v>
      </c>
      <c r="R9" s="21">
        <f ca="1">('Cash Flow'!P7+'Profit and Loss'!P8)/('Profit and Loss'!P8)</f>
        <v>4.9715623875111392</v>
      </c>
      <c r="S9" s="21">
        <f ca="1">('Cash Flow'!Q7+'Profit and Loss'!Q8)/('Profit and Loss'!Q8)</f>
        <v>4.8515691497634688</v>
      </c>
      <c r="T9" s="21">
        <f ca="1">('Cash Flow'!R7+'Profit and Loss'!R8)/('Profit and Loss'!R8)</f>
        <v>4.7786527477124512</v>
      </c>
      <c r="U9" s="21">
        <f ca="1">('Cash Flow'!S7+'Profit and Loss'!S8)/('Profit and Loss'!S8)</f>
        <v>4.7461968018004921</v>
      </c>
      <c r="V9" s="21">
        <f ca="1">('Cash Flow'!T7+'Profit and Loss'!T8)/('Profit and Loss'!T8)</f>
        <v>4.7501933681952107</v>
      </c>
      <c r="W9" s="21">
        <f ca="1">('Cash Flow'!U7+'Profit and Loss'!U8)/('Profit and Loss'!U8)</f>
        <v>4.7386782508423133</v>
      </c>
      <c r="X9" s="21">
        <f ca="1">('Cash Flow'!V7+'Profit and Loss'!V8)/('Profit and Loss'!V8)</f>
        <v>4.7072385582127811</v>
      </c>
      <c r="Y9" s="21">
        <f ca="1">('Cash Flow'!W7+'Profit and Loss'!W8)/('Profit and Loss'!W8)</f>
        <v>4.5538371977439907</v>
      </c>
      <c r="Z9" s="21">
        <f ca="1">('Cash Flow'!X7+'Profit and Loss'!X8)/('Profit and Loss'!X8)</f>
        <v>4.417322717222544</v>
      </c>
      <c r="AA9" s="21">
        <f ca="1">('Cash Flow'!Y7+'Profit and Loss'!Y8)/('Profit and Loss'!Y8)</f>
        <v>4.2956605174818732</v>
      </c>
      <c r="AB9" s="21">
        <f ca="1">('Cash Flow'!Z7+'Profit and Loss'!Z8)/('Profit and Loss'!Z8)</f>
        <v>4.1871628791682802</v>
      </c>
      <c r="AC9" s="21">
        <f ca="1">('Cash Flow'!AA7+'Profit and Loss'!AA8)/('Profit and Loss'!AA8)</f>
        <v>4.0904213771411877</v>
      </c>
      <c r="AD9" s="21">
        <f ca="1">('Cash Flow'!AB7+'Profit and Loss'!AB8)/('Profit and Loss'!AB8)</f>
        <v>4.0042548462770515</v>
      </c>
      <c r="AE9" s="21">
        <f ca="1">('Cash Flow'!AC7+'Profit and Loss'!AC8)/('Profit and Loss'!AC8)</f>
        <v>3.9276689249614085</v>
      </c>
      <c r="AF9" s="21">
        <f ca="1">('Cash Flow'!AD7+'Profit and Loss'!AD8)/('Profit and Loss'!AD8)</f>
        <v>3.8598243291821657</v>
      </c>
      <c r="AG9" s="21">
        <f ca="1">('Cash Flow'!AE7+'Profit and Loss'!AE8)/('Profit and Loss'!AE8)</f>
        <v>3.8000117909883269</v>
      </c>
      <c r="AH9" s="21">
        <f ca="1">('Cash Flow'!AF7+'Profit and Loss'!AF8)/('Profit and Loss'!AF8)</f>
        <v>3.7476321444341147</v>
      </c>
      <c r="AI9" s="30"/>
    </row>
    <row r="11" spans="1:35" ht="26" x14ac:dyDescent="0.6">
      <c r="A11" s="13"/>
      <c r="E11" s="39"/>
    </row>
    <row r="12" spans="1:35" x14ac:dyDescent="0.35">
      <c r="A12" s="14"/>
      <c r="E12" s="39"/>
    </row>
    <row r="13" spans="1:35" ht="18.5" x14ac:dyDescent="0.45">
      <c r="A13" s="87"/>
      <c r="B13" s="88"/>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88"/>
      <c r="B14" s="8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88"/>
      <c r="B15" s="89"/>
      <c r="E15" s="39"/>
    </row>
    <row r="16" spans="1:35" ht="18.5" x14ac:dyDescent="0.45">
      <c r="A16" s="88"/>
      <c r="B16" s="90"/>
      <c r="E16" s="39"/>
    </row>
    <row r="17" spans="1:5" ht="18.5" x14ac:dyDescent="0.45">
      <c r="A17" s="88"/>
      <c r="B17" s="91"/>
      <c r="E17" s="39"/>
    </row>
    <row r="18" spans="1:5" ht="18.5" x14ac:dyDescent="0.45">
      <c r="A18" s="92"/>
      <c r="B18" s="93"/>
      <c r="E18" s="39"/>
    </row>
    <row r="19" spans="1:5" ht="18.5" x14ac:dyDescent="0.45">
      <c r="A19" s="92"/>
      <c r="B19" s="92"/>
    </row>
    <row r="20" spans="1:5" ht="18.5" x14ac:dyDescent="0.45">
      <c r="A20" s="92"/>
      <c r="B20" s="89"/>
    </row>
    <row r="21" spans="1:5" ht="18.5" x14ac:dyDescent="0.45">
      <c r="A21" s="94"/>
      <c r="B21" s="95"/>
    </row>
    <row r="22" spans="1:5" ht="18.5" x14ac:dyDescent="0.45">
      <c r="A22" s="92"/>
      <c r="B22" s="96"/>
    </row>
    <row r="23" spans="1:5" ht="18.5" x14ac:dyDescent="0.45">
      <c r="A23" s="94"/>
      <c r="B23" s="97"/>
    </row>
    <row r="24" spans="1:5" ht="18.5" x14ac:dyDescent="0.45">
      <c r="A24" s="94"/>
      <c r="B24" s="98"/>
    </row>
    <row r="25" spans="1:5" ht="18.5" x14ac:dyDescent="0.45">
      <c r="A25" s="92"/>
      <c r="B25" s="99"/>
    </row>
    <row r="26" spans="1:5" ht="18.5" x14ac:dyDescent="0.45">
      <c r="A26" s="100"/>
      <c r="B26" s="99"/>
    </row>
    <row r="27" spans="1:5" ht="18.5" x14ac:dyDescent="0.45">
      <c r="A27" s="92"/>
      <c r="B27" s="99"/>
    </row>
    <row r="28" spans="1:5" ht="18.5" x14ac:dyDescent="0.45">
      <c r="A28" s="92"/>
      <c r="B28" s="89"/>
    </row>
    <row r="29" spans="1:5" ht="18.5" x14ac:dyDescent="0.45">
      <c r="A29" s="92"/>
      <c r="B29" s="90"/>
    </row>
    <row r="30" spans="1:5" ht="18.5" x14ac:dyDescent="0.45">
      <c r="A30" s="92"/>
      <c r="B30" s="92"/>
    </row>
    <row r="31" spans="1:5" ht="18.5" x14ac:dyDescent="0.45">
      <c r="A31" s="92"/>
      <c r="B31" s="93"/>
    </row>
    <row r="32" spans="1:5" ht="18.5" x14ac:dyDescent="0.45">
      <c r="A32" s="92"/>
      <c r="B32" s="92"/>
    </row>
    <row r="33" spans="1:5" ht="18.5" x14ac:dyDescent="0.45">
      <c r="A33" s="92"/>
      <c r="B33" s="89"/>
    </row>
    <row r="34" spans="1:5" ht="18.5" x14ac:dyDescent="0.45">
      <c r="A34" s="92"/>
      <c r="B34" s="89"/>
    </row>
    <row r="35" spans="1:5" ht="18.5" x14ac:dyDescent="0.45">
      <c r="A35" s="92"/>
      <c r="B35" s="101"/>
    </row>
    <row r="36" spans="1:5" ht="18.5" x14ac:dyDescent="0.45">
      <c r="A36" s="94"/>
      <c r="B36" s="95"/>
    </row>
    <row r="37" spans="1:5" ht="18.5" x14ac:dyDescent="0.45">
      <c r="A37" s="94"/>
      <c r="B37" s="89"/>
    </row>
    <row r="38" spans="1:5" ht="18.5" x14ac:dyDescent="0.45">
      <c r="A38" s="94"/>
      <c r="B38" s="95"/>
    </row>
    <row r="39" spans="1:5" ht="18.5" x14ac:dyDescent="0.45">
      <c r="A39" s="100"/>
      <c r="B39" s="94"/>
    </row>
    <row r="40" spans="1:5" ht="18.5" x14ac:dyDescent="0.45">
      <c r="A40" s="92"/>
      <c r="B40" s="89"/>
      <c r="D40" s="67"/>
    </row>
    <row r="41" spans="1:5" ht="18.5" x14ac:dyDescent="0.45">
      <c r="A41" s="92"/>
      <c r="B41" s="89"/>
      <c r="D41" s="5"/>
    </row>
    <row r="42" spans="1:5" ht="18.5" x14ac:dyDescent="0.45">
      <c r="A42" s="92"/>
      <c r="B42" s="90"/>
      <c r="D42" s="3"/>
    </row>
    <row r="43" spans="1:5" ht="18.5" x14ac:dyDescent="0.45">
      <c r="A43" s="92"/>
      <c r="B43" s="92"/>
    </row>
    <row r="44" spans="1:5" ht="18.5" x14ac:dyDescent="0.45">
      <c r="A44" s="92"/>
      <c r="B44" s="93"/>
      <c r="D44" s="5"/>
    </row>
    <row r="45" spans="1:5" ht="18.5" x14ac:dyDescent="0.45">
      <c r="A45" s="92"/>
      <c r="B45" s="92"/>
      <c r="E45" s="1"/>
    </row>
    <row r="46" spans="1:5" ht="18.5" x14ac:dyDescent="0.45">
      <c r="A46" s="92"/>
      <c r="B46" s="89"/>
      <c r="D46" s="41"/>
      <c r="E46" s="1"/>
    </row>
    <row r="47" spans="1:5" ht="18.5" x14ac:dyDescent="0.45">
      <c r="A47" s="92"/>
      <c r="B47" s="92"/>
    </row>
    <row r="48" spans="1:5" ht="18.5" x14ac:dyDescent="0.45">
      <c r="A48" s="92"/>
      <c r="B48" s="101"/>
      <c r="D48" s="8"/>
    </row>
    <row r="49" spans="1:3" ht="18.5" x14ac:dyDescent="0.45">
      <c r="A49" s="94"/>
      <c r="B49" s="95"/>
    </row>
    <row r="50" spans="1:3" ht="18.5" x14ac:dyDescent="0.45">
      <c r="A50" s="94"/>
      <c r="B50" s="89"/>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68"/>
  </cols>
  <sheetData>
    <row r="1" spans="1:1" x14ac:dyDescent="0.35">
      <c r="A1" s="169"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165</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94</v>
      </c>
      <c r="C5" s="1">
        <f>Assumptions!D118</f>
        <v>338515379.55151826</v>
      </c>
      <c r="D5" s="1">
        <f>Assumptions!E118</f>
        <v>338515379.55151826</v>
      </c>
      <c r="E5" s="1">
        <f>Assumptions!F118</f>
        <v>338515379.55151826</v>
      </c>
      <c r="F5" s="1">
        <f>Assumptions!G118</f>
        <v>338515379.55151826</v>
      </c>
      <c r="G5" s="1">
        <f>Assumptions!H118</f>
        <v>338515379.55151826</v>
      </c>
      <c r="H5" s="1">
        <f>Assumptions!I118</f>
        <v>338515379.55151826</v>
      </c>
      <c r="I5" s="1">
        <f>Assumptions!J118</f>
        <v>338515379.55151826</v>
      </c>
      <c r="J5" s="1">
        <f>Assumptions!K118</f>
        <v>338515379.55151826</v>
      </c>
      <c r="K5" s="1">
        <f>Assumptions!L118</f>
        <v>338515379.55151826</v>
      </c>
      <c r="L5" s="1">
        <f>Assumptions!M118</f>
        <v>338515379.55151826</v>
      </c>
      <c r="M5" s="1">
        <f>Assumptions!N118</f>
        <v>338515379.55151826</v>
      </c>
      <c r="N5" s="1">
        <f>Assumptions!O118</f>
        <v>338515379.55151826</v>
      </c>
      <c r="O5" s="1">
        <f>Assumptions!P118</f>
        <v>338515379.55151826</v>
      </c>
      <c r="P5" s="1">
        <f>Assumptions!Q118</f>
        <v>338515379.55151826</v>
      </c>
      <c r="Q5" s="1">
        <f>Assumptions!R118</f>
        <v>338515379.55151826</v>
      </c>
      <c r="R5" s="1">
        <f>Assumptions!S118</f>
        <v>338515379.55151826</v>
      </c>
      <c r="S5" s="1">
        <f>Assumptions!T118</f>
        <v>338515379.55151826</v>
      </c>
      <c r="T5" s="1">
        <f>Assumptions!U118</f>
        <v>338515379.55151826</v>
      </c>
      <c r="U5" s="1">
        <f>Assumptions!V118</f>
        <v>338515379.55151826</v>
      </c>
      <c r="V5" s="1">
        <f>Assumptions!W118</f>
        <v>338515379.55151826</v>
      </c>
      <c r="W5" s="1">
        <f>Assumptions!X118</f>
        <v>338515379.55151826</v>
      </c>
      <c r="X5" s="1">
        <f>Assumptions!Y118</f>
        <v>338515379.55151826</v>
      </c>
      <c r="Y5" s="1">
        <f>Assumptions!Z118</f>
        <v>338515379.55151826</v>
      </c>
      <c r="Z5" s="1">
        <f>Assumptions!AA118</f>
        <v>338515379.55151826</v>
      </c>
      <c r="AA5" s="1">
        <f>Assumptions!AB118</f>
        <v>338515379.55151826</v>
      </c>
      <c r="AB5" s="1">
        <f>Assumptions!AC118</f>
        <v>338515379.55151826</v>
      </c>
      <c r="AC5" s="1">
        <f>Assumptions!AD118</f>
        <v>338515379.55151826</v>
      </c>
      <c r="AD5" s="1">
        <f>Assumptions!AE118</f>
        <v>338515379.55151826</v>
      </c>
      <c r="AE5" s="1">
        <f>Assumptions!AF118</f>
        <v>338515379.55151826</v>
      </c>
      <c r="AF5" s="1">
        <f>Assumptions!AG118</f>
        <v>338515379.55151826</v>
      </c>
    </row>
    <row r="6" spans="1:32" x14ac:dyDescent="0.35">
      <c r="A6" t="s">
        <v>90</v>
      </c>
      <c r="C6" s="1">
        <f>Assumptions!D120</f>
        <v>171590693.15844378</v>
      </c>
      <c r="D6" s="1">
        <f>Assumptions!E120</f>
        <v>171590693.15844378</v>
      </c>
      <c r="E6" s="1">
        <f>Assumptions!F120</f>
        <v>171590693.15844378</v>
      </c>
      <c r="F6" s="1">
        <f>Assumptions!G120</f>
        <v>171590693.15844378</v>
      </c>
      <c r="G6" s="1">
        <f>Assumptions!H120</f>
        <v>171590693.15844378</v>
      </c>
      <c r="H6" s="1">
        <f>Assumptions!I120</f>
        <v>171590693.15844378</v>
      </c>
      <c r="I6" s="1">
        <f>Assumptions!J120</f>
        <v>171590693.15844378</v>
      </c>
      <c r="J6" s="1">
        <f>Assumptions!K120</f>
        <v>171590693.15844378</v>
      </c>
      <c r="K6" s="1">
        <f>Assumptions!L120</f>
        <v>171590693.15844378</v>
      </c>
      <c r="L6" s="1">
        <f>Assumptions!M120</f>
        <v>171590693.15844378</v>
      </c>
      <c r="M6" s="1">
        <f>Assumptions!N120</f>
        <v>1029544158.9506625</v>
      </c>
      <c r="N6" s="1">
        <f>Assumptions!O120</f>
        <v>1029544158.9506625</v>
      </c>
      <c r="O6" s="1">
        <f>Assumptions!P120</f>
        <v>1029544158.9506625</v>
      </c>
      <c r="P6" s="1">
        <f>Assumptions!Q120</f>
        <v>1029544158.9506625</v>
      </c>
      <c r="Q6" s="1">
        <f>Assumptions!R120</f>
        <v>1029544158.9506625</v>
      </c>
      <c r="R6" s="1">
        <f>Assumptions!S120</f>
        <v>1029544158.9506625</v>
      </c>
      <c r="S6" s="1">
        <f>Assumptions!T120</f>
        <v>1029544158.9506625</v>
      </c>
      <c r="T6" s="1">
        <f>Assumptions!U120</f>
        <v>1029544158.9506625</v>
      </c>
      <c r="U6" s="1">
        <f>Assumptions!V120</f>
        <v>1029544158.9506625</v>
      </c>
      <c r="V6" s="1">
        <f>Assumptions!W120</f>
        <v>1029544158.9506625</v>
      </c>
      <c r="W6" s="1">
        <f>Assumptions!X120</f>
        <v>1372725545.2675502</v>
      </c>
      <c r="X6" s="1">
        <f>Assumptions!Y120</f>
        <v>1372725545.2675502</v>
      </c>
      <c r="Y6" s="1">
        <f>Assumptions!Z120</f>
        <v>1372725545.2675502</v>
      </c>
      <c r="Z6" s="1">
        <f>Assumptions!AA120</f>
        <v>1372725545.2675502</v>
      </c>
      <c r="AA6" s="1">
        <f>Assumptions!AB120</f>
        <v>1372725545.2675502</v>
      </c>
      <c r="AB6" s="1">
        <f>Assumptions!AC120</f>
        <v>1372725545.2675502</v>
      </c>
      <c r="AC6" s="1">
        <f>Assumptions!AD120</f>
        <v>1372725545.2675502</v>
      </c>
      <c r="AD6" s="1">
        <f>Assumptions!AE120</f>
        <v>1372725545.2675502</v>
      </c>
      <c r="AE6" s="1">
        <f>Assumptions!AF120</f>
        <v>1372725545.2675502</v>
      </c>
      <c r="AF6" s="1">
        <f>Assumptions!AG120</f>
        <v>1372725545.2675502</v>
      </c>
    </row>
    <row r="7" spans="1:32" x14ac:dyDescent="0.35">
      <c r="A7" t="s">
        <v>95</v>
      </c>
      <c r="C7" s="1">
        <f>Assumptions!D127</f>
        <v>4101498.0204276503</v>
      </c>
      <c r="D7" s="1">
        <f>Assumptions!E127</f>
        <v>8186384.9738725685</v>
      </c>
      <c r="E7" s="1">
        <f>Assumptions!F127</f>
        <v>12254728.135156035</v>
      </c>
      <c r="F7" s="1">
        <f>Assumptions!G127</f>
        <v>16306594.506636303</v>
      </c>
      <c r="G7" s="1">
        <f>Assumptions!H127</f>
        <v>20058514.008282606</v>
      </c>
      <c r="H7" s="1">
        <f>Assumptions!I127</f>
        <v>23530074.634346224</v>
      </c>
      <c r="I7" s="1">
        <f>Assumptions!J127</f>
        <v>26739520.05067258</v>
      </c>
      <c r="J7" s="1">
        <f>Assumptions!K127</f>
        <v>29703842.13438417</v>
      </c>
      <c r="K7" s="1">
        <f>Assumptions!L127</f>
        <v>32438867.142269049</v>
      </c>
      <c r="L7" s="1">
        <f>Assumptions!M127</f>
        <v>35051404.741113454</v>
      </c>
      <c r="M7" s="1">
        <f>Assumptions!N127</f>
        <v>50015662.772657312</v>
      </c>
      <c r="N7" s="1">
        <f>Assumptions!O127</f>
        <v>64292038.680549942</v>
      </c>
      <c r="O7" s="1">
        <f>Assumptions!P127</f>
        <v>77902778.562912226</v>
      </c>
      <c r="P7" s="1">
        <f>Assumptions!Q127</f>
        <v>90869320.107992724</v>
      </c>
      <c r="Q7" s="1">
        <f>Assumptions!R127</f>
        <v>103322159.97713202</v>
      </c>
      <c r="R7" s="1">
        <f>Assumptions!S127</f>
        <v>115273940.48066381</v>
      </c>
      <c r="S7" s="1">
        <f>Assumptions!T127</f>
        <v>126736943.81805</v>
      </c>
      <c r="T7" s="1">
        <f>Assumptions!U127</f>
        <v>137723102.57124043</v>
      </c>
      <c r="U7" s="1">
        <f>Assumptions!V127</f>
        <v>148244009.89128381</v>
      </c>
      <c r="V7" s="1">
        <f>Assumptions!W127</f>
        <v>158672271.69055605</v>
      </c>
      <c r="W7" s="1">
        <f>Assumptions!X127</f>
        <v>172453593.68103626</v>
      </c>
      <c r="X7" s="1">
        <f>Assumptions!Y127</f>
        <v>186112386.85595506</v>
      </c>
      <c r="Y7" s="1">
        <f>Assumptions!Z127</f>
        <v>199649147.4570154</v>
      </c>
      <c r="Z7" s="1">
        <f>Assumptions!AA127</f>
        <v>213064369.71614146</v>
      </c>
      <c r="AA7" s="1">
        <f>Assumptions!AB127</f>
        <v>226358545.86361802</v>
      </c>
      <c r="AB7" s="1">
        <f>Assumptions!AC127</f>
        <v>239532166.13619736</v>
      </c>
      <c r="AC7" s="1">
        <f>Assumptions!AD127</f>
        <v>252585718.7851727</v>
      </c>
      <c r="AD7" s="1">
        <f>Assumptions!AE127</f>
        <v>265519690.08441973</v>
      </c>
      <c r="AE7" s="1">
        <f>Assumptions!AF127</f>
        <v>278334564.33840477</v>
      </c>
      <c r="AF7" s="1">
        <f>Assumptions!AG127</f>
        <v>291030823.89016116</v>
      </c>
    </row>
    <row r="9" spans="1:32" x14ac:dyDescent="0.35">
      <c r="A9" t="s">
        <v>116</v>
      </c>
      <c r="C9" s="42">
        <f>Assumptions!D11</f>
        <v>1.022</v>
      </c>
      <c r="D9" s="42">
        <f>Assumptions!E11</f>
        <v>1.044484</v>
      </c>
      <c r="E9" s="42">
        <f>Assumptions!F11</f>
        <v>1.067462648</v>
      </c>
      <c r="F9" s="42">
        <f>Assumptions!G11</f>
        <v>1.090946826256</v>
      </c>
      <c r="G9" s="42">
        <f>Assumptions!H11</f>
        <v>1.114947656433632</v>
      </c>
      <c r="H9" s="42">
        <f>Assumptions!I11</f>
        <v>1.1394765048751718</v>
      </c>
      <c r="I9" s="42">
        <f>Assumptions!J11</f>
        <v>1.1645449879824257</v>
      </c>
      <c r="J9" s="42">
        <f>Assumptions!K11</f>
        <v>1.1901649777180392</v>
      </c>
      <c r="K9" s="42">
        <f>Assumptions!L11</f>
        <v>1.216348607227836</v>
      </c>
      <c r="L9" s="42">
        <f>Assumptions!M11</f>
        <v>1.2431082765868484</v>
      </c>
      <c r="M9" s="42">
        <f>Assumptions!N11</f>
        <v>1.2704566586717592</v>
      </c>
      <c r="N9" s="42">
        <f>Assumptions!O11</f>
        <v>1.2984067051625379</v>
      </c>
      <c r="O9" s="42">
        <f>Assumptions!P11</f>
        <v>1.3269716526761137</v>
      </c>
      <c r="P9" s="42">
        <f>Assumptions!Q11</f>
        <v>1.356165029034988</v>
      </c>
      <c r="Q9" s="42">
        <f>Assumptions!R11</f>
        <v>1.386000659673758</v>
      </c>
      <c r="R9" s="42">
        <f>Assumptions!S11</f>
        <v>1.4164926741865806</v>
      </c>
      <c r="S9" s="42">
        <f>Assumptions!T11</f>
        <v>1.4476555130186854</v>
      </c>
      <c r="T9" s="42">
        <f>Assumptions!U11</f>
        <v>1.4795039343050964</v>
      </c>
      <c r="U9" s="42">
        <f>Assumptions!V11</f>
        <v>1.5120530208598086</v>
      </c>
      <c r="V9" s="42">
        <f>Assumptions!W11</f>
        <v>1.5453181873187245</v>
      </c>
      <c r="W9" s="42">
        <f>Assumptions!X11</f>
        <v>1.5793151874397364</v>
      </c>
      <c r="X9" s="42">
        <f>Assumptions!Y11</f>
        <v>1.6140601215634105</v>
      </c>
      <c r="Y9" s="42">
        <f>Assumptions!Z11</f>
        <v>1.6495694442378055</v>
      </c>
      <c r="Z9" s="42">
        <f>Assumptions!AA11</f>
        <v>1.6858599720110374</v>
      </c>
      <c r="AA9" s="42">
        <f>Assumptions!AB11</f>
        <v>1.7229488913952802</v>
      </c>
      <c r="AB9" s="42">
        <f>Assumptions!AC11</f>
        <v>1.7608537670059765</v>
      </c>
      <c r="AC9" s="42">
        <f>Assumptions!AD11</f>
        <v>1.799592549880108</v>
      </c>
      <c r="AD9" s="42">
        <f>Assumptions!AE11</f>
        <v>1.8391835859774703</v>
      </c>
      <c r="AE9" s="42">
        <f>Assumptions!AF11</f>
        <v>1.8796456248689748</v>
      </c>
      <c r="AF9" s="42">
        <f>Assumptions!AG11</f>
        <v>1.920997828616092</v>
      </c>
    </row>
    <row r="11" spans="1:32" x14ac:dyDescent="0.35">
      <c r="A11" t="s">
        <v>92</v>
      </c>
      <c r="C11" s="1">
        <f>C5*C$9</f>
        <v>345962717.90165168</v>
      </c>
      <c r="D11" s="1">
        <f>D5*D$9</f>
        <v>353573897.69548798</v>
      </c>
      <c r="E11" s="1">
        <f t="shared" ref="D11:AF13" si="1">E5*E$9</f>
        <v>361352523.44478875</v>
      </c>
      <c r="F11" s="1">
        <f t="shared" si="1"/>
        <v>369302278.96057409</v>
      </c>
      <c r="G11" s="1">
        <f t="shared" si="1"/>
        <v>377426929.09770674</v>
      </c>
      <c r="H11" s="1">
        <f t="shared" si="1"/>
        <v>385730321.53785622</v>
      </c>
      <c r="I11" s="1">
        <f t="shared" si="1"/>
        <v>394216388.61168909</v>
      </c>
      <c r="J11" s="1">
        <f t="shared" si="1"/>
        <v>402889149.16114634</v>
      </c>
      <c r="K11" s="1">
        <f t="shared" si="1"/>
        <v>411752710.4426915</v>
      </c>
      <c r="L11" s="1">
        <f t="shared" si="1"/>
        <v>420811270.07243073</v>
      </c>
      <c r="M11" s="1">
        <f t="shared" si="1"/>
        <v>430069118.01402426</v>
      </c>
      <c r="N11" s="1">
        <f t="shared" si="1"/>
        <v>439530638.61033279</v>
      </c>
      <c r="O11" s="1">
        <f t="shared" si="1"/>
        <v>449200312.65976012</v>
      </c>
      <c r="P11" s="1">
        <f t="shared" si="1"/>
        <v>459082719.53827477</v>
      </c>
      <c r="Q11" s="1">
        <f t="shared" si="1"/>
        <v>469182539.36811686</v>
      </c>
      <c r="R11" s="1">
        <f t="shared" si="1"/>
        <v>479504555.23421544</v>
      </c>
      <c r="S11" s="1">
        <f t="shared" si="1"/>
        <v>490053655.44936818</v>
      </c>
      <c r="T11" s="1">
        <f t="shared" si="1"/>
        <v>500834835.86925423</v>
      </c>
      <c r="U11" s="1">
        <f t="shared" si="1"/>
        <v>511853202.25837791</v>
      </c>
      <c r="V11" s="1">
        <f t="shared" si="1"/>
        <v>523113972.70806223</v>
      </c>
      <c r="W11" s="1">
        <f t="shared" si="1"/>
        <v>534622480.10763961</v>
      </c>
      <c r="X11" s="1">
        <f t="shared" si="1"/>
        <v>546384174.67000759</v>
      </c>
      <c r="Y11" s="1">
        <f t="shared" si="1"/>
        <v>558404626.51274776</v>
      </c>
      <c r="Z11" s="1">
        <f t="shared" si="1"/>
        <v>570689528.29602826</v>
      </c>
      <c r="AA11" s="1">
        <f t="shared" si="1"/>
        <v>583244697.91854084</v>
      </c>
      <c r="AB11" s="1">
        <f t="shared" si="1"/>
        <v>596076081.27274883</v>
      </c>
      <c r="AC11" s="1">
        <f t="shared" si="1"/>
        <v>609189755.06074929</v>
      </c>
      <c r="AD11" s="1">
        <f t="shared" si="1"/>
        <v>622591929.67208576</v>
      </c>
      <c r="AE11" s="1">
        <f t="shared" si="1"/>
        <v>636288952.12487173</v>
      </c>
      <c r="AF11" s="1">
        <f t="shared" si="1"/>
        <v>650287309.0716188</v>
      </c>
    </row>
    <row r="12" spans="1:32" x14ac:dyDescent="0.35">
      <c r="A12" t="s">
        <v>93</v>
      </c>
      <c r="C12" s="1">
        <f t="shared" ref="C12:R12" si="2">C6*C$9</f>
        <v>175365688.40792954</v>
      </c>
      <c r="D12" s="1">
        <f t="shared" si="2"/>
        <v>179223733.55290398</v>
      </c>
      <c r="E12" s="1">
        <f t="shared" si="2"/>
        <v>183166655.69106787</v>
      </c>
      <c r="F12" s="1">
        <f t="shared" si="2"/>
        <v>187196322.11627138</v>
      </c>
      <c r="G12" s="1">
        <f t="shared" si="2"/>
        <v>191314641.20282936</v>
      </c>
      <c r="H12" s="1">
        <f t="shared" si="2"/>
        <v>195523563.30929157</v>
      </c>
      <c r="I12" s="1">
        <f t="shared" si="2"/>
        <v>199825081.70209602</v>
      </c>
      <c r="J12" s="1">
        <f t="shared" si="2"/>
        <v>204221233.49954215</v>
      </c>
      <c r="K12" s="1">
        <f t="shared" si="2"/>
        <v>208714100.63653207</v>
      </c>
      <c r="L12" s="1">
        <f t="shared" si="2"/>
        <v>213305810.85053578</v>
      </c>
      <c r="M12" s="1">
        <f t="shared" si="2"/>
        <v>1307991232.1354852</v>
      </c>
      <c r="N12" s="1">
        <f t="shared" si="2"/>
        <v>1336767039.242466</v>
      </c>
      <c r="O12" s="1">
        <f t="shared" si="2"/>
        <v>1366175914.1058002</v>
      </c>
      <c r="P12" s="1">
        <f t="shared" si="2"/>
        <v>1396231784.2161276</v>
      </c>
      <c r="Q12" s="1">
        <f t="shared" si="2"/>
        <v>1426948883.4688826</v>
      </c>
      <c r="R12" s="1">
        <f t="shared" si="2"/>
        <v>1458341758.9051979</v>
      </c>
      <c r="S12" s="1">
        <f t="shared" si="1"/>
        <v>1490425277.6011124</v>
      </c>
      <c r="T12" s="1">
        <f t="shared" si="1"/>
        <v>1523214633.7083366</v>
      </c>
      <c r="U12" s="1">
        <f t="shared" si="1"/>
        <v>1556725355.6499202</v>
      </c>
      <c r="V12" s="1">
        <f t="shared" si="1"/>
        <v>1590973313.4742186</v>
      </c>
      <c r="W12" s="1">
        <f t="shared" si="1"/>
        <v>2167966301.8275356</v>
      </c>
      <c r="X12" s="1">
        <f t="shared" si="1"/>
        <v>2215661560.467741</v>
      </c>
      <c r="Y12" s="1">
        <f t="shared" si="1"/>
        <v>2264406114.7980313</v>
      </c>
      <c r="Z12" s="1">
        <f t="shared" si="1"/>
        <v>2314223049.3235884</v>
      </c>
      <c r="AA12" s="1">
        <f t="shared" si="1"/>
        <v>2365135956.4087071</v>
      </c>
      <c r="AB12" s="1">
        <f t="shared" si="1"/>
        <v>2417168947.4496989</v>
      </c>
      <c r="AC12" s="1">
        <f t="shared" si="1"/>
        <v>2470346664.2935925</v>
      </c>
      <c r="AD12" s="1">
        <f t="shared" si="1"/>
        <v>2524694290.9080515</v>
      </c>
      <c r="AE12" s="1">
        <f t="shared" si="1"/>
        <v>2580237565.3080287</v>
      </c>
      <c r="AF12" s="1">
        <f t="shared" si="1"/>
        <v>2637002791.7448049</v>
      </c>
    </row>
    <row r="13" spans="1:32" x14ac:dyDescent="0.35">
      <c r="A13" t="s">
        <v>96</v>
      </c>
      <c r="C13" s="1">
        <f>C7*C$9</f>
        <v>4191730.9768770589</v>
      </c>
      <c r="D13" s="1">
        <f t="shared" si="1"/>
        <v>8550548.1230503153</v>
      </c>
      <c r="E13" s="1">
        <f t="shared" si="1"/>
        <v>13081464.545673763</v>
      </c>
      <c r="F13" s="1">
        <f t="shared" si="1"/>
        <v>17789627.524058398</v>
      </c>
      <c r="G13" s="1">
        <f t="shared" si="1"/>
        <v>22364193.185075868</v>
      </c>
      <c r="H13" s="1">
        <f t="shared" si="1"/>
        <v>26811967.203796774</v>
      </c>
      <c r="I13" s="1">
        <f t="shared" si="1"/>
        <v>31139374.056066331</v>
      </c>
      <c r="J13" s="1">
        <f t="shared" si="1"/>
        <v>35352472.612009488</v>
      </c>
      <c r="K13" s="1">
        <f t="shared" si="1"/>
        <v>39456970.868547767</v>
      </c>
      <c r="L13" s="1">
        <f t="shared" si="1"/>
        <v>43572691.339673631</v>
      </c>
      <c r="M13" s="1">
        <f t="shared" si="1"/>
        <v>63542731.807403706</v>
      </c>
      <c r="N13" s="1">
        <f t="shared" si="1"/>
        <v>83477214.111395285</v>
      </c>
      <c r="O13" s="1">
        <f t="shared" si="1"/>
        <v>103374778.81768896</v>
      </c>
      <c r="P13" s="1">
        <f t="shared" si="1"/>
        <v>123233794.14264557</v>
      </c>
      <c r="Q13" s="1">
        <f t="shared" si="1"/>
        <v>143204581.88722253</v>
      </c>
      <c r="R13" s="1">
        <f t="shared" si="1"/>
        <v>163284692.21548021</v>
      </c>
      <c r="S13" s="1">
        <f t="shared" si="1"/>
        <v>183471435.42133948</v>
      </c>
      <c r="T13" s="1">
        <f t="shared" si="1"/>
        <v>203761872.09885454</v>
      </c>
      <c r="U13" s="1">
        <f t="shared" si="1"/>
        <v>224152802.98048705</v>
      </c>
      <c r="V13" s="1">
        <f t="shared" si="1"/>
        <v>245199147.26659423</v>
      </c>
      <c r="W13" s="1">
        <f t="shared" si="1"/>
        <v>272358579.62902194</v>
      </c>
      <c r="X13" s="1">
        <f t="shared" si="1"/>
        <v>300396581.75317931</v>
      </c>
      <c r="Y13" s="1">
        <f t="shared" si="1"/>
        <v>329335133.21322054</v>
      </c>
      <c r="Z13" s="1">
        <f t="shared" si="1"/>
        <v>359196692.36620361</v>
      </c>
      <c r="AA13" s="1">
        <f t="shared" si="1"/>
        <v>390004205.65356833</v>
      </c>
      <c r="AB13" s="1">
        <f t="shared" si="1"/>
        <v>421781117.0600245</v>
      </c>
      <c r="AC13" s="1">
        <f t="shared" si="1"/>
        <v>454551377.73190886</v>
      </c>
      <c r="AD13" s="1">
        <f t="shared" si="1"/>
        <v>488339455.75708967</v>
      </c>
      <c r="AE13" s="1">
        <f t="shared" si="1"/>
        <v>523170346.1084947</v>
      </c>
      <c r="AF13" s="1">
        <f t="shared" si="1"/>
        <v>559069580.75335181</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103</v>
      </c>
      <c r="C15" s="38">
        <f>Assumptions!D64</f>
        <v>1</v>
      </c>
      <c r="D15" s="38">
        <f>Assumptions!E64</f>
        <v>1</v>
      </c>
      <c r="E15" s="38">
        <f>Assumptions!F64</f>
        <v>1</v>
      </c>
      <c r="F15" s="38">
        <f>Assumptions!G64</f>
        <v>1</v>
      </c>
      <c r="G15" s="38">
        <f>Assumptions!H64</f>
        <v>0.93114991509483769</v>
      </c>
      <c r="H15" s="38">
        <f>Assumptions!I64</f>
        <v>0.86704016438112341</v>
      </c>
      <c r="I15" s="38">
        <f>Assumptions!J64</f>
        <v>0.8073443754472972</v>
      </c>
      <c r="J15" s="38">
        <f>Assumptions!K64</f>
        <v>0.75175864665004555</v>
      </c>
      <c r="K15" s="38">
        <f>Assumptions!L64</f>
        <v>0.7</v>
      </c>
      <c r="L15" s="38">
        <f>Assumptions!M64</f>
        <v>0.6741616296345907</v>
      </c>
      <c r="M15" s="38">
        <f>Assumptions!N64</f>
        <v>0.64927700410223865</v>
      </c>
      <c r="N15" s="38">
        <f>Assumptions!O64</f>
        <v>0.62531091881404288</v>
      </c>
      <c r="O15" s="38">
        <f>Assumptions!P64</f>
        <v>0.6022294686513977</v>
      </c>
      <c r="P15" s="38">
        <f>Assumptions!Q64</f>
        <v>0.57999999999999985</v>
      </c>
      <c r="Q15" s="38">
        <f>Assumptions!R64</f>
        <v>0.56303630024452367</v>
      </c>
      <c r="R15" s="38">
        <f>Assumptions!S64</f>
        <v>0.54656875067765776</v>
      </c>
      <c r="S15" s="38">
        <f>Assumptions!T64</f>
        <v>0.53058284001865519</v>
      </c>
      <c r="T15" s="38">
        <f>Assumptions!U64</f>
        <v>0.51506448140919947</v>
      </c>
      <c r="U15" s="38">
        <f>Assumptions!V64</f>
        <v>0.5</v>
      </c>
      <c r="V15" s="38">
        <f>Assumptions!W64</f>
        <v>0.5</v>
      </c>
      <c r="W15" s="38">
        <f>Assumptions!X64</f>
        <v>0.5</v>
      </c>
      <c r="X15" s="38">
        <f>Assumptions!Y64</f>
        <v>0.5</v>
      </c>
      <c r="Y15" s="38">
        <f>Assumptions!Z64</f>
        <v>0.5</v>
      </c>
      <c r="Z15" s="38">
        <f>Assumptions!AA64</f>
        <v>0.5</v>
      </c>
      <c r="AA15" s="38">
        <f>Assumptions!AB64</f>
        <v>0.5</v>
      </c>
      <c r="AB15" s="38">
        <f>Assumptions!AC64</f>
        <v>0.5</v>
      </c>
      <c r="AC15" s="38">
        <f>Assumptions!AD64</f>
        <v>0.5</v>
      </c>
      <c r="AD15" s="38">
        <f>Assumptions!AE64</f>
        <v>0.5</v>
      </c>
      <c r="AE15" s="38">
        <f>Assumptions!AF64</f>
        <v>0.5</v>
      </c>
      <c r="AF15" s="38">
        <f>Assumptions!AG64</f>
        <v>0.5</v>
      </c>
    </row>
    <row r="16" spans="1:32" x14ac:dyDescent="0.35">
      <c r="A16" t="s">
        <v>80</v>
      </c>
      <c r="C16" s="45">
        <f>Assumptions!D65</f>
        <v>0.99595</v>
      </c>
      <c r="D16" s="45">
        <f>Assumptions!E65</f>
        <v>0.99191640250000002</v>
      </c>
      <c r="E16" s="45">
        <f>Assumptions!F65</f>
        <v>0.98789914106987498</v>
      </c>
      <c r="F16" s="45">
        <f>Assumptions!G65</f>
        <v>0.98389814954854193</v>
      </c>
      <c r="G16" s="45">
        <f>Assumptions!H65</f>
        <v>0.97991336204287038</v>
      </c>
      <c r="H16" s="45">
        <f>Assumptions!I65</f>
        <v>0.97594471292659679</v>
      </c>
      <c r="I16" s="45">
        <f>Assumptions!J65</f>
        <v>0.97199213683924413</v>
      </c>
      <c r="J16" s="45">
        <f>Assumptions!K65</f>
        <v>0.96805556868504516</v>
      </c>
      <c r="K16" s="45">
        <f>Assumptions!L65</f>
        <v>0.96413494363187069</v>
      </c>
      <c r="L16" s="45">
        <f>Assumptions!M65</f>
        <v>0.96023019711016167</v>
      </c>
      <c r="M16" s="45">
        <f>Assumptions!N65</f>
        <v>0.95634126481186554</v>
      </c>
      <c r="N16" s="45">
        <f>Assumptions!O65</f>
        <v>0.95246808268937744</v>
      </c>
      <c r="O16" s="45">
        <f>Assumptions!P65</f>
        <v>0.94861058695448541</v>
      </c>
      <c r="P16" s="45">
        <f>Assumptions!Q65</f>
        <v>0.94476871407731977</v>
      </c>
      <c r="Q16" s="45">
        <f>Assumptions!R65</f>
        <v>0.94094240078530667</v>
      </c>
      <c r="R16" s="45">
        <f>Assumptions!S65</f>
        <v>0.93713158406212616</v>
      </c>
      <c r="S16" s="45">
        <f>Assumptions!T65</f>
        <v>0.93333620114667459</v>
      </c>
      <c r="T16" s="45">
        <f>Assumptions!U65</f>
        <v>0.92955618953203056</v>
      </c>
      <c r="U16" s="45">
        <f>Assumptions!V65</f>
        <v>0.92579148696442581</v>
      </c>
      <c r="V16" s="45">
        <f>Assumptions!W65</f>
        <v>0.92204203144221986</v>
      </c>
      <c r="W16" s="45">
        <f>Assumptions!X65</f>
        <v>0.91830776121487889</v>
      </c>
      <c r="X16" s="45">
        <f>Assumptions!Y65</f>
        <v>0.91458861478195863</v>
      </c>
      <c r="Y16" s="45">
        <f>Assumptions!Z65</f>
        <v>0.91088453089209165</v>
      </c>
      <c r="Z16" s="45">
        <f>Assumptions!AA65</f>
        <v>0.90719544854197864</v>
      </c>
      <c r="AA16" s="45">
        <f>Assumptions!AB65</f>
        <v>0.90352130697538369</v>
      </c>
      <c r="AB16" s="45">
        <f>Assumptions!AC65</f>
        <v>0.89986204568213335</v>
      </c>
      <c r="AC16" s="45">
        <f>Assumptions!AD65</f>
        <v>0.89621760439712073</v>
      </c>
      <c r="AD16" s="45">
        <f>Assumptions!AE65</f>
        <v>0.89258792309931234</v>
      </c>
      <c r="AE16" s="45">
        <f>Assumptions!AF65</f>
        <v>0.88897294201076016</v>
      </c>
      <c r="AF16" s="45">
        <f>Assumptions!AG65</f>
        <v>0.88537260159561659</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100</v>
      </c>
      <c r="C18" s="1">
        <f>(C11*C16)-C11</f>
        <v>-1401149.0075016618</v>
      </c>
      <c r="D18" s="1">
        <f t="shared" ref="D18:AF18" si="3">(D11*D16)-D11</f>
        <v>-2858149.0754764676</v>
      </c>
      <c r="E18" s="1">
        <f t="shared" si="3"/>
        <v>-4372675.9102500677</v>
      </c>
      <c r="F18" s="1">
        <f t="shared" si="3"/>
        <v>-5946450.0672057867</v>
      </c>
      <c r="G18" s="1">
        <f t="shared" si="3"/>
        <v>-7581238.0800568461</v>
      </c>
      <c r="H18" s="1">
        <f t="shared" si="3"/>
        <v>-9278853.6175092459</v>
      </c>
      <c r="I18" s="1">
        <f t="shared" si="3"/>
        <v>-11041158.667963564</v>
      </c>
      <c r="J18" s="1">
        <f t="shared" si="3"/>
        <v>-12870064.752918839</v>
      </c>
      <c r="K18" s="1">
        <f t="shared" si="3"/>
        <v>-14767534.169757128</v>
      </c>
      <c r="L18" s="1">
        <f t="shared" si="3"/>
        <v>-16735581.264603078</v>
      </c>
      <c r="M18" s="1">
        <f t="shared" si="3"/>
        <v>-18776273.735968828</v>
      </c>
      <c r="N18" s="1">
        <f t="shared" si="3"/>
        <v>-20891733.969911456</v>
      </c>
      <c r="O18" s="1">
        <f t="shared" si="3"/>
        <v>-23084140.407446682</v>
      </c>
      <c r="P18" s="1">
        <f t="shared" si="3"/>
        <v>-25355728.944980085</v>
      </c>
      <c r="Q18" s="1">
        <f t="shared" si="3"/>
        <v>-27708794.368534327</v>
      </c>
      <c r="R18" s="1">
        <f t="shared" si="3"/>
        <v>-30145691.822569847</v>
      </c>
      <c r="S18" s="1">
        <f t="shared" si="3"/>
        <v>-32668838.314213514</v>
      </c>
      <c r="T18" s="1">
        <f t="shared" si="3"/>
        <v>-35280714.253730297</v>
      </c>
      <c r="U18" s="1">
        <f t="shared" si="3"/>
        <v>-37983865.0320912</v>
      </c>
      <c r="V18" s="1">
        <f t="shared" si="3"/>
        <v>-40780902.636510551</v>
      </c>
      <c r="W18" s="1">
        <f t="shared" si="3"/>
        <v>-43674507.304846942</v>
      </c>
      <c r="X18" s="1">
        <f t="shared" si="3"/>
        <v>-46667429.219781637</v>
      </c>
      <c r="Y18" s="1">
        <f t="shared" si="3"/>
        <v>-49762490.243709862</v>
      </c>
      <c r="Z18" s="1">
        <f t="shared" si="3"/>
        <v>-52962585.695302665</v>
      </c>
      <c r="AA18" s="1">
        <f t="shared" si="3"/>
        <v>-56270686.16871798</v>
      </c>
      <c r="AB18" s="1">
        <f t="shared" si="3"/>
        <v>-59689839.396463513</v>
      </c>
      <c r="AC18" s="1">
        <f t="shared" si="3"/>
        <v>-63223172.156935811</v>
      </c>
      <c r="AD18" s="1">
        <f t="shared" si="3"/>
        <v>-66873892.227685571</v>
      </c>
      <c r="AE18" s="1">
        <f t="shared" si="3"/>
        <v>-70645290.385480762</v>
      </c>
      <c r="AF18" s="1">
        <f t="shared" si="3"/>
        <v>-74540742.454266906</v>
      </c>
    </row>
    <row r="20" spans="1:32" x14ac:dyDescent="0.35">
      <c r="A20" t="s">
        <v>97</v>
      </c>
      <c r="C20" s="1">
        <f>(C12*C15)-C12</f>
        <v>0</v>
      </c>
      <c r="D20" s="1">
        <f t="shared" ref="D20:AF20" si="4">(D12*D15)-D12</f>
        <v>0</v>
      </c>
      <c r="E20" s="1">
        <f t="shared" si="4"/>
        <v>0</v>
      </c>
      <c r="F20" s="1">
        <f t="shared" si="4"/>
        <v>0</v>
      </c>
      <c r="G20" s="1">
        <f t="shared" si="4"/>
        <v>-13172029.290415466</v>
      </c>
      <c r="H20" s="1">
        <f t="shared" si="4"/>
        <v>-25996780.83722043</v>
      </c>
      <c r="I20" s="1">
        <f t="shared" si="4"/>
        <v>-38497425.916612178</v>
      </c>
      <c r="J20" s="1">
        <f t="shared" si="4"/>
        <v>-50696155.386723399</v>
      </c>
      <c r="K20" s="1">
        <f t="shared" si="4"/>
        <v>-62614230.190959632</v>
      </c>
      <c r="L20" s="1">
        <f t="shared" si="4"/>
        <v>-69503217.797010809</v>
      </c>
      <c r="M20" s="1">
        <f t="shared" si="4"/>
        <v>-458742603.54256153</v>
      </c>
      <c r="N20" s="1">
        <f t="shared" si="4"/>
        <v>-500872013.69343185</v>
      </c>
      <c r="O20" s="1">
        <f t="shared" si="4"/>
        <v>-543424519.2695266</v>
      </c>
      <c r="P20" s="1">
        <f t="shared" si="4"/>
        <v>-586417349.37077379</v>
      </c>
      <c r="Q20" s="1">
        <f t="shared" si="4"/>
        <v>-623524863.48250902</v>
      </c>
      <c r="R20" s="1">
        <f t="shared" si="4"/>
        <v>-661257725.67932594</v>
      </c>
      <c r="S20" s="1">
        <f t="shared" si="4"/>
        <v>-699631200.97592163</v>
      </c>
      <c r="T20" s="1">
        <f t="shared" si="4"/>
        <v>-738660878.32244849</v>
      </c>
      <c r="U20" s="1">
        <f t="shared" si="4"/>
        <v>-778362677.82496011</v>
      </c>
      <c r="V20" s="1">
        <f t="shared" si="4"/>
        <v>-795486656.7371093</v>
      </c>
      <c r="W20" s="1">
        <f t="shared" si="4"/>
        <v>-1083983150.9137678</v>
      </c>
      <c r="X20" s="1">
        <f t="shared" si="4"/>
        <v>-1107830780.2338705</v>
      </c>
      <c r="Y20" s="1">
        <f t="shared" si="4"/>
        <v>-1132203057.3990157</v>
      </c>
      <c r="Z20" s="1">
        <f t="shared" si="4"/>
        <v>-1157111524.6617942</v>
      </c>
      <c r="AA20" s="1">
        <f t="shared" si="4"/>
        <v>-1182567978.2043536</v>
      </c>
      <c r="AB20" s="1">
        <f t="shared" si="4"/>
        <v>-1208584473.7248495</v>
      </c>
      <c r="AC20" s="1">
        <f t="shared" si="4"/>
        <v>-1235173332.1467962</v>
      </c>
      <c r="AD20" s="1">
        <f t="shared" si="4"/>
        <v>-1262347145.4540257</v>
      </c>
      <c r="AE20" s="1">
        <f t="shared" si="4"/>
        <v>-1290118782.6540143</v>
      </c>
      <c r="AF20" s="1">
        <f t="shared" si="4"/>
        <v>-1318501395.8724024</v>
      </c>
    </row>
    <row r="21" spans="1:32" x14ac:dyDescent="0.35">
      <c r="A21" t="s">
        <v>98</v>
      </c>
      <c r="C21" s="1">
        <f>(C12*C16)-C12</f>
        <v>-710231.03805211186</v>
      </c>
      <c r="D21" s="1">
        <f t="shared" ref="D21:AF21" si="5">(D12*D16)-D12</f>
        <v>-1448772.5244889259</v>
      </c>
      <c r="E21" s="1">
        <f t="shared" si="5"/>
        <v>-2216473.8612203896</v>
      </c>
      <c r="F21" s="1">
        <f t="shared" si="5"/>
        <v>-3014207.18377918</v>
      </c>
      <c r="G21" s="1">
        <f t="shared" si="5"/>
        <v>-3842867.9337393939</v>
      </c>
      <c r="H21" s="1">
        <f t="shared" si="5"/>
        <v>-4703375.445019722</v>
      </c>
      <c r="I21" s="1">
        <f t="shared" si="5"/>
        <v>-5596673.5443991721</v>
      </c>
      <c r="J21" s="1">
        <f t="shared" si="5"/>
        <v>-6523731.1665814817</v>
      </c>
      <c r="K21" s="1">
        <f t="shared" si="5"/>
        <v>-7485542.9841526449</v>
      </c>
      <c r="L21" s="1">
        <f t="shared" si="5"/>
        <v>-8483130.0527829528</v>
      </c>
      <c r="M21" s="1">
        <f t="shared" si="5"/>
        <v>-57105242.832204819</v>
      </c>
      <c r="N21" s="1">
        <f t="shared" si="5"/>
        <v>-63539100.372838736</v>
      </c>
      <c r="O21" s="1">
        <f t="shared" si="5"/>
        <v>-70206978.342816353</v>
      </c>
      <c r="P21" s="1">
        <f t="shared" si="5"/>
        <v>-77115676.888374805</v>
      </c>
      <c r="Q21" s="1">
        <f t="shared" si="5"/>
        <v>-84272175.259759426</v>
      </c>
      <c r="R21" s="1">
        <f t="shared" si="5"/>
        <v>-91683636.278422594</v>
      </c>
      <c r="S21" s="1">
        <f t="shared" si="5"/>
        <v>-99357410.911912203</v>
      </c>
      <c r="T21" s="1">
        <f t="shared" si="5"/>
        <v>-107301042.95898747</v>
      </c>
      <c r="U21" s="1">
        <f t="shared" si="5"/>
        <v>-115522273.84755588</v>
      </c>
      <c r="V21" s="1">
        <f t="shared" si="5"/>
        <v>-124029047.54809046</v>
      </c>
      <c r="W21" s="1">
        <f t="shared" si="5"/>
        <v>-177106020.80699086</v>
      </c>
      <c r="X21" s="1">
        <f t="shared" si="5"/>
        <v>-189242723.05391693</v>
      </c>
      <c r="Y21" s="1">
        <f t="shared" si="5"/>
        <v>-201793613.17104268</v>
      </c>
      <c r="Z21" s="1">
        <f t="shared" si="5"/>
        <v>-214770432.06629014</v>
      </c>
      <c r="AA21" s="1">
        <f t="shared" si="5"/>
        <v>-228185225.89983797</v>
      </c>
      <c r="AB21" s="1">
        <f t="shared" si="5"/>
        <v>-242050353.63828373</v>
      </c>
      <c r="AC21" s="1">
        <f t="shared" si="5"/>
        <v>-256378494.78997087</v>
      </c>
      <c r="AD21" s="1">
        <f t="shared" si="5"/>
        <v>-271182657.32574272</v>
      </c>
      <c r="AE21" s="1">
        <f t="shared" si="5"/>
        <v>-286476185.78946972</v>
      </c>
      <c r="AF21" s="1">
        <f t="shared" si="5"/>
        <v>-302272769.60280323</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99</v>
      </c>
      <c r="C23" s="1">
        <f>(C13*C16)-C13</f>
        <v>-16976.510456352029</v>
      </c>
      <c r="D23" s="1">
        <f t="shared" ref="D23:AF23" si="6">(D13*D16)-D13</f>
        <v>-69119.18943111971</v>
      </c>
      <c r="E23" s="1">
        <f t="shared" si="6"/>
        <v>-158296.95706663094</v>
      </c>
      <c r="F23" s="1">
        <f t="shared" si="6"/>
        <v>-286445.92197953165</v>
      </c>
      <c r="G23" s="1">
        <f t="shared" si="6"/>
        <v>-449221.45171192288</v>
      </c>
      <c r="H23" s="1">
        <f t="shared" si="6"/>
        <v>-644969.56809000298</v>
      </c>
      <c r="I23" s="1">
        <f t="shared" si="6"/>
        <v>-872147.32747389749</v>
      </c>
      <c r="J23" s="1">
        <f t="shared" si="6"/>
        <v>-1129314.6331681609</v>
      </c>
      <c r="K23" s="1">
        <f t="shared" si="6"/>
        <v>-1415126.4843161032</v>
      </c>
      <c r="L23" s="1">
        <f t="shared" si="6"/>
        <v>-1732877.3459585831</v>
      </c>
      <c r="M23" s="1">
        <f t="shared" si="6"/>
        <v>-2774195.3011100888</v>
      </c>
      <c r="N23" s="1">
        <f t="shared" si="6"/>
        <v>-3967832.03846398</v>
      </c>
      <c r="O23" s="1">
        <f t="shared" si="6"/>
        <v>-5312369.2071509361</v>
      </c>
      <c r="P23" s="1">
        <f t="shared" si="6"/>
        <v>-6806360.9196291715</v>
      </c>
      <c r="Q23" s="1">
        <f t="shared" si="6"/>
        <v>-8457318.8028033078</v>
      </c>
      <c r="R23" s="1">
        <f t="shared" si="6"/>
        <v>-10265449.946490526</v>
      </c>
      <c r="S23" s="1">
        <f t="shared" si="6"/>
        <v>-12230902.866259068</v>
      </c>
      <c r="T23" s="1">
        <f t="shared" si="6"/>
        <v>-14353762.69873035</v>
      </c>
      <c r="U23" s="1">
        <f t="shared" si="6"/>
        <v>-16634046.201937973</v>
      </c>
      <c r="V23" s="1">
        <f t="shared" si="6"/>
        <v>-19115227.413003653</v>
      </c>
      <c r="W23" s="1">
        <f t="shared" si="6"/>
        <v>-22249582.12223047</v>
      </c>
      <c r="X23" s="1">
        <f t="shared" si="6"/>
        <v>-25657288.162303627</v>
      </c>
      <c r="Y23" s="1">
        <f t="shared" si="6"/>
        <v>-29348854.890011609</v>
      </c>
      <c r="Z23" s="1">
        <f t="shared" si="6"/>
        <v>-33335087.920250416</v>
      </c>
      <c r="AA23" s="1">
        <f t="shared" si="6"/>
        <v>-37627096.035559952</v>
      </c>
      <c r="AB23" s="1">
        <f t="shared" si="6"/>
        <v>-42236298.232295513</v>
      </c>
      <c r="AC23" s="1">
        <f t="shared" si="6"/>
        <v>-47174430.905606747</v>
      </c>
      <c r="AD23" s="1">
        <f t="shared" si="6"/>
        <v>-52453555.175420463</v>
      </c>
      <c r="AE23" s="1">
        <f t="shared" si="6"/>
        <v>-58086064.355638504</v>
      </c>
      <c r="AF23" s="1">
        <f t="shared" si="6"/>
        <v>-64084691.568786085</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121</v>
      </c>
      <c r="C25" s="40">
        <f>SUM(C11:C13,C18:C23)</f>
        <v>523391780.73044813</v>
      </c>
      <c r="D25" s="40">
        <f>SUM(D11:D13,D18:D23)</f>
        <v>536972138.58204591</v>
      </c>
      <c r="E25" s="40">
        <f t="shared" ref="E25:AF25" si="7">SUM(E11:E13,E18:E23)</f>
        <v>550853196.95299327</v>
      </c>
      <c r="F25" s="40">
        <f t="shared" si="7"/>
        <v>565041125.4279393</v>
      </c>
      <c r="G25" s="40">
        <f t="shared" si="7"/>
        <v>566060406.72968841</v>
      </c>
      <c r="H25" s="40">
        <f t="shared" si="7"/>
        <v>567441872.58310521</v>
      </c>
      <c r="I25" s="40">
        <f t="shared" si="7"/>
        <v>569173438.91340268</v>
      </c>
      <c r="J25" s="40">
        <f t="shared" si="7"/>
        <v>571243589.33330607</v>
      </c>
      <c r="K25" s="40">
        <f t="shared" si="7"/>
        <v>573641348.11858594</v>
      </c>
      <c r="L25" s="40">
        <f t="shared" si="7"/>
        <v>581234965.80228484</v>
      </c>
      <c r="M25" s="40">
        <f t="shared" si="7"/>
        <v>1264204766.545068</v>
      </c>
      <c r="N25" s="40">
        <f t="shared" si="7"/>
        <v>1270504211.8895481</v>
      </c>
      <c r="O25" s="40">
        <f t="shared" si="7"/>
        <v>1276722998.3563085</v>
      </c>
      <c r="P25" s="40">
        <f t="shared" si="7"/>
        <v>1282853181.7732902</v>
      </c>
      <c r="Q25" s="40">
        <f t="shared" si="7"/>
        <v>1295372852.8106158</v>
      </c>
      <c r="R25" s="40">
        <f t="shared" si="7"/>
        <v>1307778502.6280847</v>
      </c>
      <c r="S25" s="40">
        <f t="shared" si="7"/>
        <v>1320062015.4035134</v>
      </c>
      <c r="T25" s="40">
        <f t="shared" si="7"/>
        <v>1332214943.4425488</v>
      </c>
      <c r="U25" s="40">
        <f t="shared" si="7"/>
        <v>1344228497.9822397</v>
      </c>
      <c r="V25" s="40">
        <f t="shared" si="7"/>
        <v>1379874599.1141613</v>
      </c>
      <c r="W25" s="40">
        <f t="shared" si="7"/>
        <v>1647934100.4163616</v>
      </c>
      <c r="X25" s="40">
        <f t="shared" si="7"/>
        <v>1693044096.2210553</v>
      </c>
      <c r="Y25" s="40">
        <f t="shared" si="7"/>
        <v>1739037858.8202198</v>
      </c>
      <c r="Z25" s="40">
        <f t="shared" si="7"/>
        <v>1785929639.6421831</v>
      </c>
      <c r="AA25" s="40">
        <f t="shared" si="7"/>
        <v>1833733873.6723471</v>
      </c>
      <c r="AB25" s="40">
        <f t="shared" si="7"/>
        <v>1882465180.7905803</v>
      </c>
      <c r="AC25" s="40">
        <f t="shared" si="7"/>
        <v>1932138367.0869408</v>
      </c>
      <c r="AD25" s="40">
        <f t="shared" si="7"/>
        <v>1982768426.1543524</v>
      </c>
      <c r="AE25" s="40">
        <f t="shared" si="7"/>
        <v>2034370540.3567915</v>
      </c>
      <c r="AF25" s="40">
        <f t="shared" si="7"/>
        <v>2086960082.0715165</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3W2DU3RAJ5R2-1900874439-935</_dlc_DocId>
    <_dlc_DocIdUrl xmlns="f54e2983-00ce-40fc-8108-18f351fc47bf">
      <Url>https://dia.cohesion.net.nz/Sites/LGV/TWRP/CAE/_layouts/15/DocIdRedir.aspx?ID=3W2DU3RAJ5R2-1900874439-935</Url>
      <Description>3W2DU3RAJ5R2-1900874439-935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D3A0A-56A4-42EF-9D4F-E487D9FF7D50}"/>
</file>

<file path=customXml/itemProps2.xml><?xml version="1.0" encoding="utf-8"?>
<ds:datastoreItem xmlns:ds="http://schemas.openxmlformats.org/officeDocument/2006/customXml" ds:itemID="{CBCC2D2A-763C-48F8-A3E5-6B0A81386C39}">
  <ds:schemaRefs>
    <ds:schemaRef ds:uri="08a23fc5-e034-477c-ac83-93bc1440f322"/>
    <ds:schemaRef ds:uri="http://schemas.microsoft.com/office/2006/documentManagement/types"/>
    <ds:schemaRef ds:uri="http://schemas.microsoft.com/sharepoint/v3"/>
    <ds:schemaRef ds:uri="http://purl.org/dc/elements/1.1/"/>
    <ds:schemaRef ds:uri="http://schemas.openxmlformats.org/package/2006/metadata/core-properties"/>
    <ds:schemaRef ds:uri="http://schemas.microsoft.com/office/infopath/2007/PartnerControls"/>
    <ds:schemaRef ds:uri="http://purl.org/dc/terms/"/>
    <ds:schemaRef ds:uri="65b6d800-2dda-48d6-88d8-9e2b35e6f7ea"/>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89F5E350-B93E-423E-AD8B-1FF99984F9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Model overview and manual</vt:lpstr>
      <vt:lpstr>Model output==&gt;</vt:lpstr>
      <vt:lpstr>Average cost per household</vt:lpstr>
      <vt:lpstr>Input sheets ===&gt;</vt:lpstr>
      <vt:lpstr>Data sheet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2021-07-20T13:27:33Z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dd6ad8f8-8812-4f06-ac82-c94b189d9932</vt:lpwstr>
  </property>
  <property fmtid="{D5CDD505-2E9C-101B-9397-08002B2CF9AE}" pid="10" name="TaxKeyword">
    <vt:lpwstr/>
  </property>
  <property fmtid="{D5CDD505-2E9C-101B-9397-08002B2CF9AE}" pid="11" name="DIAAdministrationDocumentType">
    <vt:lpwstr/>
  </property>
  <property fmtid="{D5CDD505-2E9C-101B-9397-08002B2CF9AE}" pid="12" name="ld855601a22744588946efdda84ef6c0">
    <vt:lpwstr/>
  </property>
  <property fmtid="{D5CDD505-2E9C-101B-9397-08002B2CF9AE}" pid="13" name="le8f14e3a5174dcd8947229fe72147e2">
    <vt:lpwstr/>
  </property>
  <property fmtid="{D5CDD505-2E9C-101B-9397-08002B2CF9AE}" pid="14" name="DIABriefingType">
    <vt:lpwstr/>
  </property>
  <property fmtid="{D5CDD505-2E9C-101B-9397-08002B2CF9AE}" pid="15" name="h6a4697b39e74ba095548f0435f03d14">
    <vt:lpwstr/>
  </property>
  <property fmtid="{D5CDD505-2E9C-101B-9397-08002B2CF9AE}" pid="16" name="DIABriefingAudience">
    <vt:lpwstr/>
  </property>
  <property fmtid="{D5CDD505-2E9C-101B-9397-08002B2CF9AE}" pid="17" name="C3Topic">
    <vt:lpwstr/>
  </property>
  <property fmtid="{D5CDD505-2E9C-101B-9397-08002B2CF9AE}" pid="18" name="DIAMediaDocumentType">
    <vt:lpwstr/>
  </property>
  <property fmtid="{D5CDD505-2E9C-101B-9397-08002B2CF9AE}" pid="19" name="DIAReportDocumentType">
    <vt:lpwstr/>
  </property>
  <property fmtid="{D5CDD505-2E9C-101B-9397-08002B2CF9AE}" pid="20" name="b6dab2e87b6a495ebad2906ab9494053">
    <vt:lpwstr/>
  </property>
  <property fmtid="{D5CDD505-2E9C-101B-9397-08002B2CF9AE}" pid="21" name="o548e6814ab94c938ba56a3d768e8f45">
    <vt:lpwstr/>
  </property>
  <property fmtid="{D5CDD505-2E9C-101B-9397-08002B2CF9AE}" pid="22" name="DIAMeetingDocumentType">
    <vt:lpwstr/>
  </property>
  <property fmtid="{D5CDD505-2E9C-101B-9397-08002B2CF9AE}" pid="23" name="_docset_NoMedatataSyncRequired">
    <vt:lpwstr>False</vt:lpwstr>
  </property>
  <property fmtid="{D5CDD505-2E9C-101B-9397-08002B2CF9AE}" pid="24" name="DIAPlanningDocumentType">
    <vt:lpwstr/>
  </property>
  <property fmtid="{D5CDD505-2E9C-101B-9397-08002B2CF9AE}" pid="25" name="a5be7c9889484186a869be5aa1b9c3a4">
    <vt:lpwstr/>
  </property>
</Properties>
</file>