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63" documentId="8_{8AABF3C7-9D66-4CB8-8685-4ED9B8005D6D}" xr6:coauthVersionLast="47" xr6:coauthVersionMax="47" xr10:uidLastSave="{229BBE4D-8A59-4AB2-B9BA-19668416E5EE}"/>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Data sheet" sheetId="27" r:id="rId5"/>
    <sheet name="Assumptions" sheetId="2" r:id="rId6"/>
    <sheet name="Price and Financial ratios" sheetId="7" r:id="rId7"/>
    <sheet name="Processing sheets ===&gt;" sheetId="23" r:id="rId8"/>
    <sheet name="Investment" sheetId="9" r:id="rId9"/>
    <sheet name="Profit and Loss" sheetId="8" r:id="rId10"/>
    <sheet name="Balance Sheet" sheetId="5" r:id="rId11"/>
    <sheet name="Cash Flow" sheetId="4" r:id="rId12"/>
    <sheet name="Depreciation" sheetId="6" r:id="rId13"/>
    <sheet name="Debt worksheet" sheetId="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xlnm._FilterDatabase" localSheetId="4" hidden="1">'Data sheet'!$A$5:$BD$5</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5" hidden="1">Assumptions!#REF!</definedName>
    <definedName name="solver_adj" localSheetId="6" hidden="1">'Price and Financial ratios'!$F$4</definedName>
    <definedName name="solver_cvg" localSheetId="5" hidden="1">0.0001</definedName>
    <definedName name="solver_cvg" localSheetId="6" hidden="1">0.0001</definedName>
    <definedName name="solver_drv" localSheetId="5" hidden="1">1</definedName>
    <definedName name="solver_drv" localSheetId="6" hidden="1">1</definedName>
    <definedName name="solver_eng" localSheetId="5" hidden="1">1</definedName>
    <definedName name="solver_eng" localSheetId="6" hidden="1">1</definedName>
    <definedName name="solver_est" localSheetId="5" hidden="1">1</definedName>
    <definedName name="solver_est" localSheetId="6" hidden="1">1</definedName>
    <definedName name="solver_itr" localSheetId="5" hidden="1">2147483647</definedName>
    <definedName name="solver_itr" localSheetId="6" hidden="1">2147483647</definedName>
    <definedName name="solver_mip" localSheetId="5" hidden="1">2147483647</definedName>
    <definedName name="solver_mip" localSheetId="6" hidden="1">2147483647</definedName>
    <definedName name="solver_mni" localSheetId="5" hidden="1">30</definedName>
    <definedName name="solver_mni" localSheetId="6" hidden="1">30</definedName>
    <definedName name="solver_mrt" localSheetId="5" hidden="1">0.075</definedName>
    <definedName name="solver_mrt" localSheetId="6" hidden="1">0.075</definedName>
    <definedName name="solver_msl" localSheetId="5" hidden="1">2</definedName>
    <definedName name="solver_msl" localSheetId="6" hidden="1">2</definedName>
    <definedName name="solver_neg" localSheetId="5" hidden="1">1</definedName>
    <definedName name="solver_neg" localSheetId="6" hidden="1">1</definedName>
    <definedName name="solver_nod" localSheetId="5" hidden="1">2147483647</definedName>
    <definedName name="solver_nod" localSheetId="6" hidden="1">2147483647</definedName>
    <definedName name="solver_num" localSheetId="5" hidden="1">0</definedName>
    <definedName name="solver_num" localSheetId="6" hidden="1">0</definedName>
    <definedName name="solver_nwt" localSheetId="5" hidden="1">1</definedName>
    <definedName name="solver_nwt" localSheetId="6" hidden="1">1</definedName>
    <definedName name="solver_opt" localSheetId="5" hidden="1">Assumptions!$C$120</definedName>
    <definedName name="solver_opt" localSheetId="6" hidden="1">'Price and Financial ratios'!$F$6</definedName>
    <definedName name="solver_pre" localSheetId="5" hidden="1">0.000001</definedName>
    <definedName name="solver_pre" localSheetId="6" hidden="1">0.000001</definedName>
    <definedName name="solver_rbv" localSheetId="5" hidden="1">1</definedName>
    <definedName name="solver_rbv" localSheetId="6" hidden="1">1</definedName>
    <definedName name="solver_rlx" localSheetId="5" hidden="1">2</definedName>
    <definedName name="solver_rlx" localSheetId="6" hidden="1">2</definedName>
    <definedName name="solver_rsd" localSheetId="5" hidden="1">0</definedName>
    <definedName name="solver_rsd" localSheetId="6" hidden="1">0</definedName>
    <definedName name="solver_scl" localSheetId="5" hidden="1">1</definedName>
    <definedName name="solver_scl" localSheetId="6" hidden="1">1</definedName>
    <definedName name="solver_sho" localSheetId="5" hidden="1">2</definedName>
    <definedName name="solver_sho" localSheetId="6" hidden="1">2</definedName>
    <definedName name="solver_ssz" localSheetId="5" hidden="1">100</definedName>
    <definedName name="solver_ssz" localSheetId="6" hidden="1">100</definedName>
    <definedName name="solver_tim" localSheetId="5" hidden="1">2147483647</definedName>
    <definedName name="solver_tim" localSheetId="6" hidden="1">2147483647</definedName>
    <definedName name="solver_tol" localSheetId="5" hidden="1">0.01</definedName>
    <definedName name="solver_tol" localSheetId="6" hidden="1">0.01</definedName>
    <definedName name="solver_typ" localSheetId="5" hidden="1">3</definedName>
    <definedName name="solver_typ" localSheetId="6" hidden="1">3</definedName>
    <definedName name="solver_val" localSheetId="5" hidden="1">563251470</definedName>
    <definedName name="solver_val" localSheetId="6" hidden="1">2.5</definedName>
    <definedName name="solver_ver" localSheetId="5" hidden="1">3</definedName>
    <definedName name="solver_ver" localSheetId="6"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4" i="2" l="1"/>
  <c r="C133" i="2"/>
  <c r="C98" i="2"/>
  <c r="C97" i="2"/>
  <c r="C100" i="2" s="1"/>
  <c r="C70" i="2"/>
  <c r="C69" i="2"/>
  <c r="C25" i="2"/>
  <c r="C24" i="2"/>
  <c r="C20" i="2"/>
  <c r="C13" i="2"/>
  <c r="C104" i="2" l="1"/>
  <c r="C73" i="2"/>
  <c r="C78" i="2"/>
  <c r="C112" i="2"/>
  <c r="C83" i="2"/>
  <c r="D6" i="3"/>
  <c r="E6" i="3"/>
  <c r="F6" i="3"/>
  <c r="G6" i="3"/>
  <c r="H6" i="3"/>
  <c r="I6" i="3"/>
  <c r="J6" i="3"/>
  <c r="K6" i="3"/>
  <c r="L6" i="3"/>
  <c r="M6" i="3"/>
  <c r="N6" i="3"/>
  <c r="O6" i="3"/>
  <c r="P6" i="3"/>
  <c r="Q6" i="3"/>
  <c r="R6" i="3"/>
  <c r="S6" i="3"/>
  <c r="T6" i="3"/>
  <c r="U6" i="3"/>
  <c r="V6" i="3"/>
  <c r="W6" i="3"/>
  <c r="X6" i="3"/>
  <c r="Y6" i="3"/>
  <c r="Z6" i="3"/>
  <c r="AA6" i="3"/>
  <c r="AB6" i="3"/>
  <c r="AC6" i="3"/>
  <c r="AD6" i="3"/>
  <c r="AE6" i="3"/>
  <c r="AF6" i="3"/>
  <c r="D65" i="2"/>
  <c r="C16" i="9" s="1"/>
  <c r="H64" i="2"/>
  <c r="H63" i="2"/>
  <c r="I63" i="2" s="1"/>
  <c r="A11" i="19"/>
  <c r="A9" i="19"/>
  <c r="B40" i="21"/>
  <c r="B27" i="21"/>
  <c r="A21" i="21"/>
  <c r="A34" i="21"/>
  <c r="B8" i="21"/>
  <c r="B21" i="21"/>
  <c r="B34" i="21" s="1"/>
  <c r="D11" i="2"/>
  <c r="C9" i="9" s="1"/>
  <c r="F9" i="2"/>
  <c r="E9" i="2"/>
  <c r="D9" i="2"/>
  <c r="G11" i="2"/>
  <c r="F9" i="9"/>
  <c r="V9" i="2"/>
  <c r="U13" i="8" s="1"/>
  <c r="E11" i="2"/>
  <c r="D9" i="9"/>
  <c r="F11" i="2"/>
  <c r="E9" i="9" s="1"/>
  <c r="H11" i="2"/>
  <c r="G9" i="9"/>
  <c r="I11" i="2"/>
  <c r="H9" i="9" s="1"/>
  <c r="B11" i="5"/>
  <c r="C22" i="6" s="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L11" i="2"/>
  <c r="K9" i="9"/>
  <c r="M11" i="2"/>
  <c r="L9" i="9" s="1"/>
  <c r="N11" i="2"/>
  <c r="M9" i="9" s="1"/>
  <c r="O11" i="2"/>
  <c r="N9" i="9" s="1"/>
  <c r="P11" i="2"/>
  <c r="O9" i="9"/>
  <c r="Q11" i="2"/>
  <c r="P9" i="9" s="1"/>
  <c r="R11" i="2"/>
  <c r="Q9" i="9"/>
  <c r="S11" i="2"/>
  <c r="R9" i="9" s="1"/>
  <c r="T11" i="2"/>
  <c r="S9" i="9"/>
  <c r="U11" i="2"/>
  <c r="T9" i="9" s="1"/>
  <c r="V11" i="2"/>
  <c r="U9" i="9"/>
  <c r="W11" i="2"/>
  <c r="V9" i="9" s="1"/>
  <c r="X11" i="2"/>
  <c r="W9" i="9"/>
  <c r="Y11" i="2"/>
  <c r="X9" i="9" s="1"/>
  <c r="Z11" i="2"/>
  <c r="Y9" i="9"/>
  <c r="AA11" i="2"/>
  <c r="Z9" i="9" s="1"/>
  <c r="AB11" i="2"/>
  <c r="AA9" i="9"/>
  <c r="AC11" i="2"/>
  <c r="AB9" i="9" s="1"/>
  <c r="AD11" i="2"/>
  <c r="AC9" i="9" s="1"/>
  <c r="AE11" i="2"/>
  <c r="AD9" i="9" s="1"/>
  <c r="AF11" i="2"/>
  <c r="AE9" i="9"/>
  <c r="AG11" i="2"/>
  <c r="AF9" i="9" s="1"/>
  <c r="J11" i="2"/>
  <c r="I9" i="9" s="1"/>
  <c r="K11" i="2"/>
  <c r="J9" i="9" s="1"/>
  <c r="E4" i="2"/>
  <c r="F4" i="2"/>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G9" i="2"/>
  <c r="AF7" i="3"/>
  <c r="AF9" i="2"/>
  <c r="AE7" i="3" s="1"/>
  <c r="AE9" i="2"/>
  <c r="AD13" i="8" s="1"/>
  <c r="AD9" i="2"/>
  <c r="AC7" i="3" s="1"/>
  <c r="AC9" i="2"/>
  <c r="AB7" i="3" s="1"/>
  <c r="AB9" i="2"/>
  <c r="AA13" i="8"/>
  <c r="AA9" i="2"/>
  <c r="Z13" i="8" s="1"/>
  <c r="Z9" i="2"/>
  <c r="Y7" i="3"/>
  <c r="Y9" i="2"/>
  <c r="X13" i="8" s="1"/>
  <c r="X7" i="3"/>
  <c r="X9" i="2"/>
  <c r="W7" i="3" s="1"/>
  <c r="W9" i="2"/>
  <c r="V13" i="8"/>
  <c r="U9" i="2"/>
  <c r="T13" i="8" s="1"/>
  <c r="T9" i="2"/>
  <c r="S13" i="8"/>
  <c r="S7" i="3"/>
  <c r="S9" i="2"/>
  <c r="R7" i="3" s="1"/>
  <c r="R9" i="2"/>
  <c r="Q7" i="3"/>
  <c r="Q13" i="8"/>
  <c r="Q9" i="2"/>
  <c r="P13" i="8"/>
  <c r="P9" i="2"/>
  <c r="O7" i="3" s="1"/>
  <c r="O9" i="2"/>
  <c r="N13" i="8"/>
  <c r="N9" i="2"/>
  <c r="M7" i="3" s="1"/>
  <c r="M9" i="2"/>
  <c r="L13" i="8" s="1"/>
  <c r="L9" i="2"/>
  <c r="K7" i="3" s="1"/>
  <c r="K9" i="2"/>
  <c r="J7" i="3"/>
  <c r="J9" i="2"/>
  <c r="I13" i="8" s="1"/>
  <c r="I9" i="2"/>
  <c r="H7" i="3" s="1"/>
  <c r="H9" i="2"/>
  <c r="G9" i="2"/>
  <c r="J13" i="8"/>
  <c r="Y13" i="8"/>
  <c r="V7" i="3"/>
  <c r="N7" i="3"/>
  <c r="C17" i="8"/>
  <c r="B7" i="21"/>
  <c r="K13" i="8"/>
  <c r="O13" i="8"/>
  <c r="C86" i="2"/>
  <c r="T7" i="3"/>
  <c r="R13" i="8"/>
  <c r="U7" i="3"/>
  <c r="AF13" i="8"/>
  <c r="P7" i="3"/>
  <c r="AA7" i="3"/>
  <c r="AE13" i="8"/>
  <c r="E65" i="2"/>
  <c r="D17" i="8" s="1"/>
  <c r="I7" i="3"/>
  <c r="C92" i="2"/>
  <c r="C87" i="2"/>
  <c r="C17" i="2"/>
  <c r="C6" i="6" s="1"/>
  <c r="C91" i="2"/>
  <c r="C136" i="2"/>
  <c r="C142" i="2" s="1"/>
  <c r="C5" i="3"/>
  <c r="G16" i="8"/>
  <c r="G15" i="9"/>
  <c r="I64" i="2"/>
  <c r="J64" i="2" s="1"/>
  <c r="F65" i="2"/>
  <c r="G65" i="2" s="1"/>
  <c r="H15" i="9"/>
  <c r="Y13" i="2"/>
  <c r="X12" i="8" s="1"/>
  <c r="AG13" i="2"/>
  <c r="AF12" i="8" s="1"/>
  <c r="M13" i="2"/>
  <c r="X13" i="2"/>
  <c r="W12" i="8" s="1"/>
  <c r="D13" i="2"/>
  <c r="C12" i="8" s="1"/>
  <c r="AE13" i="2"/>
  <c r="S13" i="2"/>
  <c r="R12" i="8" s="1"/>
  <c r="AA13" i="2"/>
  <c r="Z12" i="8" s="1"/>
  <c r="U13" i="2"/>
  <c r="T12" i="8" s="1"/>
  <c r="AC13" i="2"/>
  <c r="AB12" i="8"/>
  <c r="N13" i="2"/>
  <c r="M12" i="8" s="1"/>
  <c r="K13" i="2"/>
  <c r="J12" i="8" s="1"/>
  <c r="I13" i="2"/>
  <c r="Z13" i="2"/>
  <c r="Y12" i="8" s="1"/>
  <c r="W13" i="2"/>
  <c r="V12" i="8" s="1"/>
  <c r="R13" i="2"/>
  <c r="Q12" i="8" s="1"/>
  <c r="H13" i="2"/>
  <c r="G12" i="8"/>
  <c r="AF13" i="2"/>
  <c r="AE12" i="8" s="1"/>
  <c r="J13" i="2"/>
  <c r="I12" i="8"/>
  <c r="T13" i="2"/>
  <c r="S12" i="8" s="1"/>
  <c r="O13" i="2"/>
  <c r="N12" i="8" s="1"/>
  <c r="V13" i="2"/>
  <c r="U12" i="8" s="1"/>
  <c r="C5" i="8"/>
  <c r="D5" i="8" s="1"/>
  <c r="E5" i="8" s="1"/>
  <c r="F5" i="8" s="1"/>
  <c r="G5" i="8" s="1"/>
  <c r="H5" i="8" s="1"/>
  <c r="I5" i="8" s="1"/>
  <c r="J5" i="8" s="1"/>
  <c r="K5" i="8" s="1"/>
  <c r="L5" i="8" s="1"/>
  <c r="AB13" i="2"/>
  <c r="AA12" i="8" s="1"/>
  <c r="L13" i="2"/>
  <c r="K12" i="8" s="1"/>
  <c r="AD13" i="2"/>
  <c r="AC12" i="8" s="1"/>
  <c r="F13" i="2"/>
  <c r="E12" i="8" s="1"/>
  <c r="Q13" i="2"/>
  <c r="P13" i="2"/>
  <c r="O12" i="8" s="1"/>
  <c r="E13" i="2"/>
  <c r="D12" i="8" s="1"/>
  <c r="G13" i="2"/>
  <c r="F12" i="8" s="1"/>
  <c r="G19" i="8"/>
  <c r="H16" i="8" l="1"/>
  <c r="J63" i="2"/>
  <c r="K64" i="2"/>
  <c r="I15" i="9"/>
  <c r="F17" i="8"/>
  <c r="H65" i="2"/>
  <c r="F16" i="9"/>
  <c r="H12" i="8"/>
  <c r="E17" i="8"/>
  <c r="M13" i="8"/>
  <c r="AD12" i="8"/>
  <c r="E16" i="9"/>
  <c r="AB13" i="8"/>
  <c r="AC13" i="8"/>
  <c r="L12" i="8"/>
  <c r="AD7" i="3"/>
  <c r="W13" i="8"/>
  <c r="Z7" i="3"/>
  <c r="H13" i="8"/>
  <c r="D16" i="9"/>
  <c r="L7" i="3"/>
  <c r="AE120" i="2"/>
  <c r="AF120" i="2"/>
  <c r="S120" i="2"/>
  <c r="W120" i="2"/>
  <c r="T120" i="2"/>
  <c r="Q120" i="2"/>
  <c r="I120" i="2"/>
  <c r="J120" i="2"/>
  <c r="J122" i="2" s="1"/>
  <c r="AD120" i="2"/>
  <c r="L120" i="2"/>
  <c r="N120" i="2"/>
  <c r="M6" i="9" s="1"/>
  <c r="M12" i="9" s="1"/>
  <c r="K120" i="2"/>
  <c r="O120" i="2"/>
  <c r="F120" i="2"/>
  <c r="E6" i="9" s="1"/>
  <c r="E12" i="9" s="1"/>
  <c r="E20" i="9" s="1"/>
  <c r="X120" i="2"/>
  <c r="W6" i="9" s="1"/>
  <c r="W12" i="9" s="1"/>
  <c r="H120" i="2"/>
  <c r="H122" i="2" s="1"/>
  <c r="R120" i="2"/>
  <c r="AB120" i="2"/>
  <c r="AA6" i="9" s="1"/>
  <c r="AA12" i="9" s="1"/>
  <c r="AC120" i="2"/>
  <c r="AG120" i="2"/>
  <c r="Z120" i="2"/>
  <c r="G120" i="2"/>
  <c r="AA120" i="2"/>
  <c r="V120" i="2"/>
  <c r="U6" i="9" s="1"/>
  <c r="U12" i="9" s="1"/>
  <c r="U120" i="2"/>
  <c r="P120" i="2"/>
  <c r="D120" i="2"/>
  <c r="E120" i="2"/>
  <c r="M120" i="2"/>
  <c r="Y120" i="2"/>
  <c r="C88" i="2"/>
  <c r="C93" i="2"/>
  <c r="C95" i="2" s="1"/>
  <c r="I118" i="2" s="1"/>
  <c r="C18" i="2"/>
  <c r="C7" i="6" s="1"/>
  <c r="E6" i="7"/>
  <c r="V142" i="2"/>
  <c r="X142" i="2"/>
  <c r="AG142" i="2"/>
  <c r="B36" i="21" s="1"/>
  <c r="AC142" i="2"/>
  <c r="B10" i="21"/>
  <c r="B12" i="21" s="1"/>
  <c r="B16" i="21" s="1"/>
  <c r="R142" i="2"/>
  <c r="Z142" i="2"/>
  <c r="H142" i="2"/>
  <c r="U142" i="2"/>
  <c r="J142" i="2"/>
  <c r="G142" i="2"/>
  <c r="P142" i="2"/>
  <c r="AF142" i="2"/>
  <c r="D142" i="2"/>
  <c r="E142" i="2"/>
  <c r="AB142" i="2"/>
  <c r="O142" i="2"/>
  <c r="F142" i="2"/>
  <c r="Q142" i="2"/>
  <c r="W142" i="2"/>
  <c r="C31" i="2"/>
  <c r="B6" i="5"/>
  <c r="H19" i="8"/>
  <c r="N142" i="2"/>
  <c r="L142" i="2"/>
  <c r="Y142" i="2"/>
  <c r="S142" i="2"/>
  <c r="AE142" i="2"/>
  <c r="I142" i="2"/>
  <c r="P12" i="8"/>
  <c r="AD142" i="2"/>
  <c r="M142" i="2"/>
  <c r="B23" i="21" s="1"/>
  <c r="F20" i="8"/>
  <c r="F19" i="8"/>
  <c r="D19" i="8"/>
  <c r="D20" i="8"/>
  <c r="C20" i="8"/>
  <c r="C19" i="8"/>
  <c r="M5" i="8"/>
  <c r="B20" i="21"/>
  <c r="E20" i="8"/>
  <c r="E19" i="8"/>
  <c r="T142" i="2"/>
  <c r="K142" i="2"/>
  <c r="AA142" i="2"/>
  <c r="K63" i="2" l="1"/>
  <c r="I16" i="8"/>
  <c r="I19" i="8" s="1"/>
  <c r="L64" i="2"/>
  <c r="J15" i="9"/>
  <c r="I65" i="2"/>
  <c r="G17" i="8"/>
  <c r="G20" i="8" s="1"/>
  <c r="G16" i="9"/>
  <c r="J6" i="9"/>
  <c r="J12" i="9" s="1"/>
  <c r="AD6" i="9"/>
  <c r="AD12" i="9" s="1"/>
  <c r="Q6" i="9"/>
  <c r="Q12" i="9" s="1"/>
  <c r="K6" i="9"/>
  <c r="K12" i="9" s="1"/>
  <c r="F123" i="2"/>
  <c r="AF6" i="9"/>
  <c r="AF12" i="9" s="1"/>
  <c r="F122" i="2"/>
  <c r="E21" i="9"/>
  <c r="K122" i="2"/>
  <c r="I122" i="2"/>
  <c r="H6" i="9"/>
  <c r="H12" i="9" s="1"/>
  <c r="P6" i="9"/>
  <c r="P12" i="9" s="1"/>
  <c r="C120" i="2"/>
  <c r="C121" i="2" s="1"/>
  <c r="Y6" i="9"/>
  <c r="Y12" i="9" s="1"/>
  <c r="N6" i="9"/>
  <c r="N12" i="9" s="1"/>
  <c r="S6" i="9"/>
  <c r="S12" i="9" s="1"/>
  <c r="V6" i="9"/>
  <c r="V12" i="9" s="1"/>
  <c r="G6" i="9"/>
  <c r="G12" i="9" s="1"/>
  <c r="H123" i="2"/>
  <c r="H125" i="2" s="1"/>
  <c r="AB6" i="9"/>
  <c r="AB12" i="9" s="1"/>
  <c r="R6" i="9"/>
  <c r="R12" i="9" s="1"/>
  <c r="I6" i="9"/>
  <c r="I12" i="9" s="1"/>
  <c r="AE6" i="9"/>
  <c r="AE12" i="9" s="1"/>
  <c r="AC6" i="9"/>
  <c r="AC12" i="9" s="1"/>
  <c r="T6" i="9"/>
  <c r="T12" i="9" s="1"/>
  <c r="Z6" i="9"/>
  <c r="Z12" i="9" s="1"/>
  <c r="F6" i="9"/>
  <c r="F12" i="9" s="1"/>
  <c r="G123" i="2"/>
  <c r="G122" i="2"/>
  <c r="X6" i="9"/>
  <c r="X12" i="9" s="1"/>
  <c r="D123" i="2"/>
  <c r="D122" i="2"/>
  <c r="C6" i="9"/>
  <c r="C12" i="9" s="1"/>
  <c r="O6" i="9"/>
  <c r="O12" i="9" s="1"/>
  <c r="L6" i="9"/>
  <c r="L12" i="9" s="1"/>
  <c r="D6" i="9"/>
  <c r="D12" i="9" s="1"/>
  <c r="E122" i="2"/>
  <c r="E123" i="2"/>
  <c r="AE118" i="2"/>
  <c r="AD8" i="6" s="1"/>
  <c r="AF118" i="2"/>
  <c r="AE8" i="6" s="1"/>
  <c r="AA118" i="2"/>
  <c r="Z8" i="6" s="1"/>
  <c r="F118" i="2"/>
  <c r="E5" i="9" s="1"/>
  <c r="E11" i="9" s="1"/>
  <c r="O118" i="2"/>
  <c r="N8" i="6" s="1"/>
  <c r="J118" i="2"/>
  <c r="I5" i="9" s="1"/>
  <c r="I11" i="9" s="1"/>
  <c r="L118" i="2"/>
  <c r="K5" i="9" s="1"/>
  <c r="K11" i="9" s="1"/>
  <c r="V118" i="2"/>
  <c r="U8" i="6" s="1"/>
  <c r="U118" i="2"/>
  <c r="T8" i="6" s="1"/>
  <c r="E118" i="2"/>
  <c r="D8" i="6" s="1"/>
  <c r="T118" i="2"/>
  <c r="S5" i="9" s="1"/>
  <c r="S11" i="9" s="1"/>
  <c r="AD118" i="2"/>
  <c r="AC8" i="6" s="1"/>
  <c r="Q118" i="2"/>
  <c r="P5" i="9" s="1"/>
  <c r="P11" i="9" s="1"/>
  <c r="S118" i="2"/>
  <c r="R8" i="6" s="1"/>
  <c r="G118" i="2"/>
  <c r="F8" i="6" s="1"/>
  <c r="AB118" i="2"/>
  <c r="AA8" i="6" s="1"/>
  <c r="N118" i="2"/>
  <c r="M8" i="6" s="1"/>
  <c r="W118" i="2"/>
  <c r="V8" i="6" s="1"/>
  <c r="D118" i="2"/>
  <c r="C5" i="9" s="1"/>
  <c r="C11" i="9" s="1"/>
  <c r="P118" i="2"/>
  <c r="O8" i="6" s="1"/>
  <c r="AG118" i="2"/>
  <c r="AF8" i="6" s="1"/>
  <c r="K118" i="2"/>
  <c r="J8" i="6" s="1"/>
  <c r="Y118" i="2"/>
  <c r="X5" i="9" s="1"/>
  <c r="X11" i="9" s="1"/>
  <c r="H118" i="2"/>
  <c r="G8" i="6" s="1"/>
  <c r="R118" i="2"/>
  <c r="AC118" i="2"/>
  <c r="AB8" i="6" s="1"/>
  <c r="M118" i="2"/>
  <c r="L8" i="6" s="1"/>
  <c r="X118" i="2"/>
  <c r="W5" i="9" s="1"/>
  <c r="W11" i="9" s="1"/>
  <c r="Z118" i="2"/>
  <c r="Y5" i="9" s="1"/>
  <c r="Y11" i="9" s="1"/>
  <c r="B25" i="21"/>
  <c r="B29" i="21" s="1"/>
  <c r="C33" i="2"/>
  <c r="AA5" i="9"/>
  <c r="AA11" i="9" s="1"/>
  <c r="K8" i="6"/>
  <c r="M5" i="9"/>
  <c r="M11" i="9" s="1"/>
  <c r="Q8" i="6"/>
  <c r="Q5" i="9"/>
  <c r="Q11" i="9" s="1"/>
  <c r="H8" i="6"/>
  <c r="H5" i="9"/>
  <c r="H11" i="9" s="1"/>
  <c r="N5" i="8"/>
  <c r="H16" i="9" l="1"/>
  <c r="J65" i="2"/>
  <c r="H17" i="8"/>
  <c r="I123" i="2"/>
  <c r="I125" i="2" s="1"/>
  <c r="L63" i="2"/>
  <c r="J16" i="8"/>
  <c r="J19" i="8" s="1"/>
  <c r="E8" i="6"/>
  <c r="M64" i="2"/>
  <c r="K15" i="9"/>
  <c r="K20" i="9" s="1"/>
  <c r="G5" i="9"/>
  <c r="G11" i="9" s="1"/>
  <c r="Z5" i="9"/>
  <c r="Z11" i="9" s="1"/>
  <c r="L122" i="2"/>
  <c r="J20" i="9"/>
  <c r="G125" i="2"/>
  <c r="D125" i="2"/>
  <c r="D129" i="2" s="1"/>
  <c r="C14" i="8" s="1"/>
  <c r="F125" i="2"/>
  <c r="I20" i="9"/>
  <c r="H21" i="9"/>
  <c r="H20" i="9"/>
  <c r="E125" i="2"/>
  <c r="E129" i="2" s="1"/>
  <c r="D14" i="8" s="1"/>
  <c r="G21" i="9"/>
  <c r="G20" i="9"/>
  <c r="F20" i="9"/>
  <c r="F21" i="9"/>
  <c r="C20" i="9"/>
  <c r="C21" i="9"/>
  <c r="D21" i="9"/>
  <c r="D20" i="9"/>
  <c r="W8" i="6"/>
  <c r="O5" i="9"/>
  <c r="O11" i="9" s="1"/>
  <c r="T5" i="9"/>
  <c r="T11" i="9" s="1"/>
  <c r="Y8" i="6"/>
  <c r="C8" i="6"/>
  <c r="AD5" i="9"/>
  <c r="AD11" i="9" s="1"/>
  <c r="AF5" i="9"/>
  <c r="AF11" i="9" s="1"/>
  <c r="N5" i="9"/>
  <c r="N11" i="9" s="1"/>
  <c r="S8" i="6"/>
  <c r="L5" i="9"/>
  <c r="L11" i="9" s="1"/>
  <c r="AC5" i="9"/>
  <c r="AC11" i="9" s="1"/>
  <c r="P8" i="6"/>
  <c r="AE5" i="9"/>
  <c r="AE11" i="9" s="1"/>
  <c r="R5" i="9"/>
  <c r="R11" i="9" s="1"/>
  <c r="D5" i="9"/>
  <c r="D11" i="9" s="1"/>
  <c r="AB5" i="9"/>
  <c r="AB11" i="9" s="1"/>
  <c r="U5" i="9"/>
  <c r="U11" i="9" s="1"/>
  <c r="V5" i="9"/>
  <c r="V11" i="9" s="1"/>
  <c r="I8" i="6"/>
  <c r="F5" i="9"/>
  <c r="F11" i="9" s="1"/>
  <c r="F18" i="9" s="1"/>
  <c r="X8" i="6"/>
  <c r="J5" i="9"/>
  <c r="J11" i="9" s="1"/>
  <c r="C43" i="2"/>
  <c r="C37" i="2"/>
  <c r="C18" i="9"/>
  <c r="D18" i="9"/>
  <c r="H18" i="9"/>
  <c r="G18" i="9"/>
  <c r="E18" i="9"/>
  <c r="O5" i="8"/>
  <c r="K16" i="8" l="1"/>
  <c r="K19" i="8" s="1"/>
  <c r="M63" i="2"/>
  <c r="H20" i="8"/>
  <c r="H22" i="8"/>
  <c r="N64" i="2"/>
  <c r="L15" i="9"/>
  <c r="L20" i="9" s="1"/>
  <c r="M122" i="2"/>
  <c r="K65" i="2"/>
  <c r="I16" i="9"/>
  <c r="I17" i="8"/>
  <c r="J123" i="2"/>
  <c r="J125" i="2" s="1"/>
  <c r="D47" i="2"/>
  <c r="E47" i="2"/>
  <c r="F47" i="2"/>
  <c r="G47" i="2"/>
  <c r="H47" i="2"/>
  <c r="D127" i="2"/>
  <c r="C7" i="9" s="1"/>
  <c r="C13" i="9" s="1"/>
  <c r="C23" i="9" s="1"/>
  <c r="F127" i="2"/>
  <c r="E9" i="6" s="1"/>
  <c r="E7" i="8" s="1"/>
  <c r="I129" i="2"/>
  <c r="H14" i="8" s="1"/>
  <c r="H25" i="8" s="1"/>
  <c r="J129" i="2"/>
  <c r="I14" i="8" s="1"/>
  <c r="I25" i="8" s="1"/>
  <c r="I127" i="2"/>
  <c r="H7" i="9" s="1"/>
  <c r="H13" i="9" s="1"/>
  <c r="H23" i="9" s="1"/>
  <c r="G127" i="2"/>
  <c r="F9" i="6" s="1"/>
  <c r="F7" i="8" s="1"/>
  <c r="H129" i="2"/>
  <c r="G14" i="8" s="1"/>
  <c r="G25" i="8" s="1"/>
  <c r="F129" i="2"/>
  <c r="E14" i="8" s="1"/>
  <c r="E25" i="8" s="1"/>
  <c r="E127" i="2"/>
  <c r="D7" i="9" s="1"/>
  <c r="D13" i="9" s="1"/>
  <c r="D23" i="9" s="1"/>
  <c r="G129" i="2"/>
  <c r="F14" i="8" s="1"/>
  <c r="J127" i="2"/>
  <c r="H127" i="2"/>
  <c r="G9" i="6" s="1"/>
  <c r="D25" i="8"/>
  <c r="D24" i="8"/>
  <c r="C24" i="8"/>
  <c r="C25" i="8"/>
  <c r="H24" i="8"/>
  <c r="Q9" i="4"/>
  <c r="Q8" i="3" s="1"/>
  <c r="AB9" i="4"/>
  <c r="AB8" i="3" s="1"/>
  <c r="C9" i="4"/>
  <c r="C8" i="3" s="1"/>
  <c r="F9" i="4"/>
  <c r="F8" i="3" s="1"/>
  <c r="AC9" i="4"/>
  <c r="AC8" i="3" s="1"/>
  <c r="D9" i="4"/>
  <c r="D8" i="3" s="1"/>
  <c r="Y9" i="4"/>
  <c r="Y8" i="3" s="1"/>
  <c r="E9" i="4"/>
  <c r="E8" i="3" s="1"/>
  <c r="M9" i="4"/>
  <c r="M8" i="3" s="1"/>
  <c r="AA9" i="4"/>
  <c r="AA8" i="3" s="1"/>
  <c r="AF9" i="4"/>
  <c r="AF8" i="3" s="1"/>
  <c r="P9" i="4"/>
  <c r="P8" i="3" s="1"/>
  <c r="K9" i="4"/>
  <c r="K8" i="3" s="1"/>
  <c r="S9" i="4"/>
  <c r="S8" i="3" s="1"/>
  <c r="O9" i="4"/>
  <c r="O8" i="3" s="1"/>
  <c r="J9" i="4"/>
  <c r="J8" i="3" s="1"/>
  <c r="I9" i="4"/>
  <c r="I8" i="3" s="1"/>
  <c r="R9" i="4"/>
  <c r="R8" i="3" s="1"/>
  <c r="L9" i="4"/>
  <c r="L8" i="3" s="1"/>
  <c r="W9" i="4"/>
  <c r="W8" i="3" s="1"/>
  <c r="U9" i="4"/>
  <c r="U8" i="3" s="1"/>
  <c r="N9" i="4"/>
  <c r="N8" i="3" s="1"/>
  <c r="AD9" i="4"/>
  <c r="AD8" i="3" s="1"/>
  <c r="X9" i="4"/>
  <c r="X8" i="3" s="1"/>
  <c r="H9" i="4"/>
  <c r="H8" i="3" s="1"/>
  <c r="Z9" i="4"/>
  <c r="Z8" i="3" s="1"/>
  <c r="G9" i="4"/>
  <c r="G8" i="3" s="1"/>
  <c r="T9" i="4"/>
  <c r="T8" i="3" s="1"/>
  <c r="V9" i="4"/>
  <c r="V8" i="3" s="1"/>
  <c r="C6" i="3"/>
  <c r="AE9" i="4"/>
  <c r="AE8" i="3" s="1"/>
  <c r="P5" i="8"/>
  <c r="C9" i="6" l="1"/>
  <c r="C10" i="6" s="1"/>
  <c r="I22" i="8"/>
  <c r="I20" i="8"/>
  <c r="J17" i="8"/>
  <c r="J16" i="9"/>
  <c r="L65" i="2"/>
  <c r="K123" i="2"/>
  <c r="K125" i="2" s="1"/>
  <c r="I21" i="9"/>
  <c r="I18" i="9"/>
  <c r="N63" i="2"/>
  <c r="L16" i="8"/>
  <c r="L19" i="8" s="1"/>
  <c r="O64" i="2"/>
  <c r="M15" i="9"/>
  <c r="M20" i="9" s="1"/>
  <c r="N122" i="2"/>
  <c r="C47" i="2"/>
  <c r="F6" i="4"/>
  <c r="H9" i="6"/>
  <c r="H7" i="8" s="1"/>
  <c r="D9" i="6"/>
  <c r="E10" i="6" s="1"/>
  <c r="E24" i="8"/>
  <c r="F7" i="9"/>
  <c r="F13" i="9" s="1"/>
  <c r="F23" i="9" s="1"/>
  <c r="E6" i="4"/>
  <c r="E7" i="9"/>
  <c r="E13" i="9" s="1"/>
  <c r="G24" i="8"/>
  <c r="I24" i="8"/>
  <c r="C25" i="9"/>
  <c r="H25" i="9"/>
  <c r="H18" i="6" s="1"/>
  <c r="G7" i="9"/>
  <c r="G13" i="9" s="1"/>
  <c r="I9" i="6"/>
  <c r="I7" i="9"/>
  <c r="I13" i="9" s="1"/>
  <c r="F24" i="8"/>
  <c r="F25" i="8"/>
  <c r="H27" i="8"/>
  <c r="H6" i="8" s="1"/>
  <c r="C6" i="4"/>
  <c r="C12" i="6"/>
  <c r="G6" i="4"/>
  <c r="G7" i="8"/>
  <c r="F10" i="6"/>
  <c r="D25" i="9"/>
  <c r="D7" i="8"/>
  <c r="C13" i="8"/>
  <c r="C7" i="3"/>
  <c r="G13" i="8"/>
  <c r="G7" i="3"/>
  <c r="D7" i="3"/>
  <c r="D13" i="8"/>
  <c r="F13" i="8"/>
  <c r="F7" i="3"/>
  <c r="E7" i="3"/>
  <c r="E13" i="8"/>
  <c r="Q5" i="8"/>
  <c r="L127" i="2" l="1"/>
  <c r="D10" i="6"/>
  <c r="G10" i="6"/>
  <c r="P64" i="2"/>
  <c r="N15" i="9"/>
  <c r="N20" i="9" s="1"/>
  <c r="O122" i="2"/>
  <c r="D6" i="4"/>
  <c r="I27" i="8"/>
  <c r="I6" i="8" s="1"/>
  <c r="L129" i="2"/>
  <c r="K14" i="8" s="1"/>
  <c r="O63" i="2"/>
  <c r="M16" i="8"/>
  <c r="M19" i="8" s="1"/>
  <c r="K127" i="2"/>
  <c r="K129" i="2"/>
  <c r="J14" i="8" s="1"/>
  <c r="M65" i="2"/>
  <c r="K17" i="8"/>
  <c r="K16" i="9"/>
  <c r="L123" i="2"/>
  <c r="L125" i="2" s="1"/>
  <c r="C7" i="8"/>
  <c r="J21" i="9"/>
  <c r="J18" i="9"/>
  <c r="J22" i="8"/>
  <c r="J20" i="8"/>
  <c r="F25" i="9"/>
  <c r="F18" i="6" s="1"/>
  <c r="H6" i="4"/>
  <c r="H10" i="6"/>
  <c r="H10" i="4"/>
  <c r="E23" i="9"/>
  <c r="E25" i="9" s="1"/>
  <c r="C10" i="4"/>
  <c r="C18" i="6"/>
  <c r="C19" i="6" s="1"/>
  <c r="C20" i="6" s="1"/>
  <c r="C23" i="6" s="1"/>
  <c r="I6" i="4"/>
  <c r="I7" i="8"/>
  <c r="G23" i="9"/>
  <c r="G25" i="9" s="1"/>
  <c r="I10" i="6"/>
  <c r="I23" i="9"/>
  <c r="I25" i="9"/>
  <c r="B7" i="5"/>
  <c r="B8" i="5" s="1"/>
  <c r="D7" i="6"/>
  <c r="D12" i="6" s="1"/>
  <c r="D10" i="4"/>
  <c r="D18" i="6"/>
  <c r="F22" i="8"/>
  <c r="F27" i="8" s="1"/>
  <c r="F6" i="8" s="1"/>
  <c r="G22" i="8"/>
  <c r="G27" i="8" s="1"/>
  <c r="G6" i="8" s="1"/>
  <c r="E22" i="8"/>
  <c r="E27" i="8" s="1"/>
  <c r="E6" i="8" s="1"/>
  <c r="D22" i="8"/>
  <c r="D27" i="8" s="1"/>
  <c r="D6" i="8" s="1"/>
  <c r="C22" i="8"/>
  <c r="C27" i="8" s="1"/>
  <c r="C6" i="8" s="1"/>
  <c r="R5" i="8"/>
  <c r="J27" i="8" l="1"/>
  <c r="J6" i="8" s="1"/>
  <c r="J9" i="6"/>
  <c r="J7" i="9"/>
  <c r="J13" i="9" s="1"/>
  <c r="K7" i="9"/>
  <c r="K13" i="9" s="1"/>
  <c r="K23" i="9" s="1"/>
  <c r="K9" i="6"/>
  <c r="M127" i="2"/>
  <c r="Q64" i="2"/>
  <c r="O15" i="9"/>
  <c r="O20" i="9" s="1"/>
  <c r="P122" i="2"/>
  <c r="N16" i="8"/>
  <c r="N19" i="8" s="1"/>
  <c r="P63" i="2"/>
  <c r="J24" i="8"/>
  <c r="J25" i="8"/>
  <c r="K24" i="8"/>
  <c r="K25" i="8"/>
  <c r="K21" i="9"/>
  <c r="K18" i="9"/>
  <c r="F10" i="4"/>
  <c r="K22" i="8"/>
  <c r="K20" i="8"/>
  <c r="N65" i="2"/>
  <c r="L16" i="9"/>
  <c r="L17" i="8"/>
  <c r="M123" i="2"/>
  <c r="M125" i="2" s="1"/>
  <c r="M129" i="2" s="1"/>
  <c r="L14" i="8" s="1"/>
  <c r="E10" i="4"/>
  <c r="E18" i="6"/>
  <c r="D19" i="6"/>
  <c r="D20" i="6" s="1"/>
  <c r="G18" i="6"/>
  <c r="G10" i="4"/>
  <c r="I10" i="4"/>
  <c r="I18" i="6"/>
  <c r="E7" i="6"/>
  <c r="E12" i="6" s="1"/>
  <c r="C7" i="5"/>
  <c r="B10" i="5"/>
  <c r="E8" i="7"/>
  <c r="S5" i="8"/>
  <c r="L24" i="8" l="1"/>
  <c r="L25" i="8"/>
  <c r="L27" i="8"/>
  <c r="L6" i="8" s="1"/>
  <c r="L22" i="8"/>
  <c r="L20" i="8"/>
  <c r="K27" i="8"/>
  <c r="K6" i="8" s="1"/>
  <c r="R64" i="2"/>
  <c r="P15" i="9"/>
  <c r="P20" i="9" s="1"/>
  <c r="Q122" i="2"/>
  <c r="L7" i="9"/>
  <c r="L13" i="9" s="1"/>
  <c r="L23" i="9" s="1"/>
  <c r="L25" i="9" s="1"/>
  <c r="L9" i="6"/>
  <c r="J6" i="4"/>
  <c r="J7" i="8"/>
  <c r="J10" i="6"/>
  <c r="K10" i="6"/>
  <c r="L18" i="9"/>
  <c r="L21" i="9"/>
  <c r="M17" i="8"/>
  <c r="M16" i="9"/>
  <c r="O65" i="2"/>
  <c r="N123" i="2"/>
  <c r="N125" i="2" s="1"/>
  <c r="Q63" i="2"/>
  <c r="O16" i="8"/>
  <c r="O19" i="8" s="1"/>
  <c r="K6" i="4"/>
  <c r="K7" i="8"/>
  <c r="K25" i="9"/>
  <c r="J23" i="9"/>
  <c r="J25" i="9"/>
  <c r="E19" i="6"/>
  <c r="E20" i="6" s="1"/>
  <c r="F19" i="6" s="1"/>
  <c r="F20" i="6" s="1"/>
  <c r="G19" i="6" s="1"/>
  <c r="G20" i="6" s="1"/>
  <c r="H19" i="6" s="1"/>
  <c r="H20" i="6" s="1"/>
  <c r="I19" i="6" s="1"/>
  <c r="I20" i="6" s="1"/>
  <c r="F7" i="6"/>
  <c r="F12" i="6" s="1"/>
  <c r="D7" i="5"/>
  <c r="T5" i="8"/>
  <c r="N127" i="2" l="1"/>
  <c r="O129" i="2"/>
  <c r="N14" i="8" s="1"/>
  <c r="N129" i="2"/>
  <c r="M14" i="8" s="1"/>
  <c r="L10" i="4"/>
  <c r="L18" i="6"/>
  <c r="M21" i="9"/>
  <c r="M18" i="9"/>
  <c r="K10" i="4"/>
  <c r="K18" i="6"/>
  <c r="L6" i="4"/>
  <c r="L7" i="8"/>
  <c r="M20" i="8"/>
  <c r="M22" i="8"/>
  <c r="S64" i="2"/>
  <c r="Q15" i="9"/>
  <c r="Q20" i="9" s="1"/>
  <c r="R122" i="2"/>
  <c r="R63" i="2"/>
  <c r="P16" i="8"/>
  <c r="P19" i="8" s="1"/>
  <c r="L10" i="6"/>
  <c r="J10" i="4"/>
  <c r="J18" i="6"/>
  <c r="J19" i="6" s="1"/>
  <c r="J20" i="6" s="1"/>
  <c r="K19" i="6" s="1"/>
  <c r="K20" i="6" s="1"/>
  <c r="L19" i="6" s="1"/>
  <c r="L20" i="6" s="1"/>
  <c r="N17" i="8"/>
  <c r="P65" i="2"/>
  <c r="N16" i="9"/>
  <c r="O123" i="2"/>
  <c r="O125" i="2" s="1"/>
  <c r="G7" i="6"/>
  <c r="G12" i="6" s="1"/>
  <c r="E7" i="5"/>
  <c r="U5" i="8"/>
  <c r="N18" i="9" l="1"/>
  <c r="N21" i="9"/>
  <c r="N24" i="8"/>
  <c r="N25" i="8"/>
  <c r="N27" i="8"/>
  <c r="N6" i="8" s="1"/>
  <c r="P127" i="2"/>
  <c r="O127" i="2"/>
  <c r="S63" i="2"/>
  <c r="Q16" i="8"/>
  <c r="Q19" i="8" s="1"/>
  <c r="N22" i="8"/>
  <c r="N20" i="8"/>
  <c r="M24" i="8"/>
  <c r="M27" i="8" s="1"/>
  <c r="M6" i="8" s="1"/>
  <c r="M25" i="8"/>
  <c r="M7" i="9"/>
  <c r="M13" i="9" s="1"/>
  <c r="M9" i="6"/>
  <c r="T64" i="2"/>
  <c r="R15" i="9"/>
  <c r="R20" i="9" s="1"/>
  <c r="S122" i="2"/>
  <c r="O16" i="9"/>
  <c r="O17" i="8"/>
  <c r="Q65" i="2"/>
  <c r="P123" i="2"/>
  <c r="P125" i="2" s="1"/>
  <c r="H7" i="6"/>
  <c r="H12" i="6" s="1"/>
  <c r="F7" i="5"/>
  <c r="V5" i="8"/>
  <c r="O22" i="8" l="1"/>
  <c r="O20" i="8"/>
  <c r="O21" i="9"/>
  <c r="O18" i="9"/>
  <c r="M23" i="9"/>
  <c r="M25" i="9"/>
  <c r="T63" i="2"/>
  <c r="R16" i="8"/>
  <c r="R19" i="8" s="1"/>
  <c r="O7" i="9"/>
  <c r="O13" i="9" s="1"/>
  <c r="O23" i="9" s="1"/>
  <c r="O25" i="9" s="1"/>
  <c r="O9" i="6"/>
  <c r="Q127" i="2"/>
  <c r="P129" i="2"/>
  <c r="O14" i="8" s="1"/>
  <c r="U64" i="2"/>
  <c r="S15" i="9"/>
  <c r="S20" i="9" s="1"/>
  <c r="T122" i="2"/>
  <c r="N7" i="9"/>
  <c r="N13" i="9" s="1"/>
  <c r="N23" i="9" s="1"/>
  <c r="N25" i="9" s="1"/>
  <c r="N9" i="6"/>
  <c r="R65" i="2"/>
  <c r="P17" i="8"/>
  <c r="P16" i="9"/>
  <c r="Q123" i="2"/>
  <c r="Q125" i="2" s="1"/>
  <c r="M6" i="4"/>
  <c r="M7" i="8"/>
  <c r="M10" i="6"/>
  <c r="I7" i="6"/>
  <c r="I12" i="6" s="1"/>
  <c r="G7" i="5"/>
  <c r="W5" i="8"/>
  <c r="P7" i="9" l="1"/>
  <c r="P13" i="9" s="1"/>
  <c r="P23" i="9" s="1"/>
  <c r="P9" i="6"/>
  <c r="P22" i="8"/>
  <c r="P20" i="8"/>
  <c r="O24" i="8"/>
  <c r="O27" i="8" s="1"/>
  <c r="O6" i="8" s="1"/>
  <c r="O25" i="8"/>
  <c r="M18" i="6"/>
  <c r="M19" i="6" s="1"/>
  <c r="M20" i="6" s="1"/>
  <c r="N19" i="6" s="1"/>
  <c r="N20" i="6" s="1"/>
  <c r="M10" i="4"/>
  <c r="N7" i="8"/>
  <c r="N6" i="4"/>
  <c r="N18" i="6"/>
  <c r="N10" i="4"/>
  <c r="O6" i="4"/>
  <c r="O7" i="8"/>
  <c r="O18" i="6"/>
  <c r="O10" i="4"/>
  <c r="Q129" i="2"/>
  <c r="P14" i="8" s="1"/>
  <c r="Q16" i="9"/>
  <c r="Q17" i="8"/>
  <c r="S65" i="2"/>
  <c r="R123" i="2"/>
  <c r="R125" i="2" s="1"/>
  <c r="N10" i="6"/>
  <c r="V64" i="2"/>
  <c r="T15" i="9"/>
  <c r="T20" i="9" s="1"/>
  <c r="U122" i="2"/>
  <c r="S16" i="8"/>
  <c r="S19" i="8" s="1"/>
  <c r="U63" i="2"/>
  <c r="O10" i="6"/>
  <c r="P18" i="9"/>
  <c r="P21" i="9"/>
  <c r="J7" i="6"/>
  <c r="J12" i="6" s="1"/>
  <c r="H7" i="5"/>
  <c r="X5" i="8"/>
  <c r="W64" i="2" l="1"/>
  <c r="U15" i="9"/>
  <c r="U20" i="9" s="1"/>
  <c r="V122" i="2"/>
  <c r="R129" i="2"/>
  <c r="Q14" i="8" s="1"/>
  <c r="R127" i="2"/>
  <c r="T65" i="2"/>
  <c r="R16" i="9"/>
  <c r="R17" i="8"/>
  <c r="S123" i="2"/>
  <c r="S125" i="2" s="1"/>
  <c r="O19" i="6"/>
  <c r="O20" i="6" s="1"/>
  <c r="P6" i="4"/>
  <c r="P7" i="8"/>
  <c r="P10" i="6"/>
  <c r="V63" i="2"/>
  <c r="T16" i="8"/>
  <c r="T19" i="8" s="1"/>
  <c r="Q22" i="8"/>
  <c r="Q20" i="8"/>
  <c r="P24" i="8"/>
  <c r="P25" i="8"/>
  <c r="P27" i="8" s="1"/>
  <c r="P6" i="8" s="1"/>
  <c r="P25" i="9"/>
  <c r="Q21" i="9"/>
  <c r="Q18" i="9"/>
  <c r="I7" i="5"/>
  <c r="K7" i="6"/>
  <c r="K12" i="6" s="1"/>
  <c r="Y5" i="8"/>
  <c r="Q7" i="9" l="1"/>
  <c r="Q13" i="9" s="1"/>
  <c r="Q23" i="9" s="1"/>
  <c r="Q25" i="9" s="1"/>
  <c r="Q9" i="6"/>
  <c r="S127" i="2"/>
  <c r="S129" i="2"/>
  <c r="R14" i="8" s="1"/>
  <c r="W63" i="2"/>
  <c r="U16" i="8"/>
  <c r="U19" i="8" s="1"/>
  <c r="R22" i="8"/>
  <c r="R20" i="8"/>
  <c r="U65" i="2"/>
  <c r="S16" i="9"/>
  <c r="S17" i="8"/>
  <c r="T123" i="2"/>
  <c r="T125" i="2" s="1"/>
  <c r="T127" i="2" s="1"/>
  <c r="Q25" i="8"/>
  <c r="Q24" i="8"/>
  <c r="Q27" i="8" s="1"/>
  <c r="Q6" i="8" s="1"/>
  <c r="R21" i="9"/>
  <c r="R18" i="9"/>
  <c r="P10" i="4"/>
  <c r="P18" i="6"/>
  <c r="P19" i="6" s="1"/>
  <c r="P20" i="6" s="1"/>
  <c r="V15" i="9"/>
  <c r="V20" i="9" s="1"/>
  <c r="X64" i="2"/>
  <c r="W122" i="2"/>
  <c r="J7" i="5"/>
  <c r="L7" i="6"/>
  <c r="L12" i="6" s="1"/>
  <c r="Z5" i="8"/>
  <c r="R25" i="8" l="1"/>
  <c r="R24" i="8"/>
  <c r="R27" i="8" s="1"/>
  <c r="R6" i="8" s="1"/>
  <c r="S7" i="9"/>
  <c r="S13" i="9" s="1"/>
  <c r="S23" i="9" s="1"/>
  <c r="S9" i="6"/>
  <c r="S20" i="8"/>
  <c r="S22" i="8"/>
  <c r="R9" i="6"/>
  <c r="S10" i="6" s="1"/>
  <c r="R7" i="9"/>
  <c r="R13" i="9" s="1"/>
  <c r="T129" i="2"/>
  <c r="S14" i="8" s="1"/>
  <c r="Y64" i="2"/>
  <c r="W15" i="9"/>
  <c r="W20" i="9" s="1"/>
  <c r="X122" i="2"/>
  <c r="X63" i="2"/>
  <c r="V16" i="8"/>
  <c r="V19" i="8" s="1"/>
  <c r="S18" i="9"/>
  <c r="S21" i="9"/>
  <c r="Q18" i="6"/>
  <c r="Q19" i="6" s="1"/>
  <c r="Q20" i="6" s="1"/>
  <c r="Q10" i="4"/>
  <c r="T17" i="8"/>
  <c r="T16" i="9"/>
  <c r="V65" i="2"/>
  <c r="U123" i="2"/>
  <c r="U125" i="2" s="1"/>
  <c r="Q6" i="4"/>
  <c r="Q7" i="8"/>
  <c r="Q10" i="6"/>
  <c r="K7" i="5"/>
  <c r="M7" i="6"/>
  <c r="M12" i="6" s="1"/>
  <c r="AA5" i="8"/>
  <c r="R6" i="4" l="1"/>
  <c r="R7" i="8"/>
  <c r="U127" i="2"/>
  <c r="U129" i="2"/>
  <c r="T14" i="8" s="1"/>
  <c r="U17" i="8"/>
  <c r="U16" i="9"/>
  <c r="W65" i="2"/>
  <c r="V123" i="2"/>
  <c r="V125" i="2" s="1"/>
  <c r="Y63" i="2"/>
  <c r="W16" i="8"/>
  <c r="W19" i="8" s="1"/>
  <c r="T22" i="8"/>
  <c r="T20" i="8"/>
  <c r="S24" i="8"/>
  <c r="S27" i="8" s="1"/>
  <c r="S6" i="8" s="1"/>
  <c r="S25" i="8"/>
  <c r="T21" i="9"/>
  <c r="T18" i="9"/>
  <c r="S7" i="8"/>
  <c r="S6" i="4"/>
  <c r="S25" i="9"/>
  <c r="R10" i="6"/>
  <c r="Z64" i="2"/>
  <c r="X15" i="9"/>
  <c r="X20" i="9" s="1"/>
  <c r="Y122" i="2"/>
  <c r="R23" i="9"/>
  <c r="R25" i="9"/>
  <c r="L7" i="5"/>
  <c r="N7" i="6"/>
  <c r="N12" i="6" s="1"/>
  <c r="AB5" i="8"/>
  <c r="X65" i="2" l="1"/>
  <c r="V17" i="8"/>
  <c r="V16" i="9"/>
  <c r="W123" i="2"/>
  <c r="W125" i="2" s="1"/>
  <c r="U22" i="8"/>
  <c r="U20" i="8"/>
  <c r="S10" i="4"/>
  <c r="S18" i="6"/>
  <c r="U21" i="9"/>
  <c r="U18" i="9"/>
  <c r="T25" i="8"/>
  <c r="T24" i="8"/>
  <c r="T27" i="8"/>
  <c r="T6" i="8" s="1"/>
  <c r="T9" i="6"/>
  <c r="T7" i="9"/>
  <c r="T13" i="9" s="1"/>
  <c r="Z63" i="2"/>
  <c r="X16" i="8"/>
  <c r="X19" i="8" s="1"/>
  <c r="R18" i="6"/>
  <c r="R19" i="6" s="1"/>
  <c r="R20" i="6" s="1"/>
  <c r="R10" i="4"/>
  <c r="AA64" i="2"/>
  <c r="Y15" i="9"/>
  <c r="Y20" i="9" s="1"/>
  <c r="Z122" i="2"/>
  <c r="V129" i="2"/>
  <c r="U14" i="8" s="1"/>
  <c r="V127" i="2"/>
  <c r="O7" i="6"/>
  <c r="O12" i="6" s="1"/>
  <c r="M7" i="5"/>
  <c r="AC5" i="8"/>
  <c r="U24" i="8" l="1"/>
  <c r="U25" i="8"/>
  <c r="U27" i="8" s="1"/>
  <c r="U6" i="8" s="1"/>
  <c r="T7" i="8"/>
  <c r="T6" i="4"/>
  <c r="T10" i="6"/>
  <c r="W129" i="2"/>
  <c r="V14" i="8" s="1"/>
  <c r="W127" i="2"/>
  <c r="Z15" i="9"/>
  <c r="Z20" i="9" s="1"/>
  <c r="AB64" i="2"/>
  <c r="AA122" i="2"/>
  <c r="S19" i="6"/>
  <c r="S20" i="6" s="1"/>
  <c r="V21" i="9"/>
  <c r="V18" i="9"/>
  <c r="T23" i="9"/>
  <c r="T25" i="9"/>
  <c r="V22" i="8"/>
  <c r="V20" i="8"/>
  <c r="U7" i="9"/>
  <c r="U13" i="9" s="1"/>
  <c r="U23" i="9" s="1"/>
  <c r="U25" i="9" s="1"/>
  <c r="U9" i="6"/>
  <c r="AA63" i="2"/>
  <c r="Y16" i="8"/>
  <c r="Y19" i="8" s="1"/>
  <c r="Y65" i="2"/>
  <c r="W17" i="8"/>
  <c r="W16" i="9"/>
  <c r="X123" i="2"/>
  <c r="X125" i="2" s="1"/>
  <c r="P7" i="6"/>
  <c r="P12" i="6" s="1"/>
  <c r="N7" i="5"/>
  <c r="AD5" i="8"/>
  <c r="X17" i="8" l="1"/>
  <c r="Z65" i="2"/>
  <c r="X16" i="9"/>
  <c r="Y123" i="2"/>
  <c r="Y125" i="2" s="1"/>
  <c r="V7" i="9"/>
  <c r="V13" i="9" s="1"/>
  <c r="V9" i="6"/>
  <c r="V25" i="8"/>
  <c r="V24" i="8"/>
  <c r="V27" i="8" s="1"/>
  <c r="V6" i="8" s="1"/>
  <c r="U18" i="6"/>
  <c r="U10" i="4"/>
  <c r="W20" i="8"/>
  <c r="W22" i="8"/>
  <c r="AB63" i="2"/>
  <c r="Z16" i="8"/>
  <c r="Z19" i="8" s="1"/>
  <c r="U6" i="4"/>
  <c r="U7" i="8"/>
  <c r="U10" i="6"/>
  <c r="X127" i="2"/>
  <c r="X129" i="2"/>
  <c r="W14" i="8" s="1"/>
  <c r="T10" i="4"/>
  <c r="T18" i="6"/>
  <c r="T19" i="6"/>
  <c r="T20" i="6" s="1"/>
  <c r="U19" i="6" s="1"/>
  <c r="U20" i="6" s="1"/>
  <c r="AC64" i="2"/>
  <c r="AA15" i="9"/>
  <c r="AA20" i="9" s="1"/>
  <c r="AB122" i="2"/>
  <c r="W21" i="9"/>
  <c r="W18" i="9"/>
  <c r="Q7" i="6"/>
  <c r="Q12" i="6" s="1"/>
  <c r="O7" i="5"/>
  <c r="AE5" i="8"/>
  <c r="V23" i="9" l="1"/>
  <c r="V25" i="9"/>
  <c r="AC63" i="2"/>
  <c r="AA16" i="8"/>
  <c r="AA19" i="8" s="1"/>
  <c r="V7" i="8"/>
  <c r="V6" i="4"/>
  <c r="V10" i="6"/>
  <c r="Y129" i="2"/>
  <c r="X14" i="8" s="1"/>
  <c r="Y127" i="2"/>
  <c r="X18" i="9"/>
  <c r="X21" i="9"/>
  <c r="W9" i="6"/>
  <c r="W7" i="9"/>
  <c r="W13" i="9" s="1"/>
  <c r="AA65" i="2"/>
  <c r="Y16" i="9"/>
  <c r="Y17" i="8"/>
  <c r="Z123" i="2"/>
  <c r="Z125" i="2" s="1"/>
  <c r="W24" i="8"/>
  <c r="W25" i="8"/>
  <c r="W27" i="8"/>
  <c r="W6" i="8" s="1"/>
  <c r="AD64" i="2"/>
  <c r="AB15" i="9"/>
  <c r="AB20" i="9" s="1"/>
  <c r="AC122" i="2"/>
  <c r="X22" i="8"/>
  <c r="X20" i="8"/>
  <c r="R7" i="6"/>
  <c r="R12" i="6" s="1"/>
  <c r="P7" i="5"/>
  <c r="AF5" i="8"/>
  <c r="X25" i="8" l="1"/>
  <c r="X24" i="8"/>
  <c r="X27" i="8"/>
  <c r="X6" i="8" s="1"/>
  <c r="Y21" i="9"/>
  <c r="Y18" i="9"/>
  <c r="AE64" i="2"/>
  <c r="AC15" i="9"/>
  <c r="AC20" i="9" s="1"/>
  <c r="AD122" i="2"/>
  <c r="AB16" i="8"/>
  <c r="AB19" i="8" s="1"/>
  <c r="AD63" i="2"/>
  <c r="AB65" i="2"/>
  <c r="Z17" i="8"/>
  <c r="Z16" i="9"/>
  <c r="AA123" i="2"/>
  <c r="AA125" i="2" s="1"/>
  <c r="Z129" i="2"/>
  <c r="Y14" i="8" s="1"/>
  <c r="Z127" i="2"/>
  <c r="V18" i="6"/>
  <c r="V19" i="6" s="1"/>
  <c r="V20" i="6" s="1"/>
  <c r="V10" i="4"/>
  <c r="W23" i="9"/>
  <c r="W25" i="9" s="1"/>
  <c r="W7" i="8"/>
  <c r="W6" i="4"/>
  <c r="W10" i="6"/>
  <c r="Y22" i="8"/>
  <c r="Y20" i="8"/>
  <c r="X7" i="9"/>
  <c r="X13" i="9" s="1"/>
  <c r="X23" i="9" s="1"/>
  <c r="X25" i="9" s="1"/>
  <c r="X9" i="6"/>
  <c r="S7" i="6"/>
  <c r="S12" i="6" s="1"/>
  <c r="Q7" i="5"/>
  <c r="B33" i="21"/>
  <c r="B38" i="21" s="1"/>
  <c r="B42" i="21" s="1"/>
  <c r="W18" i="6" l="1"/>
  <c r="W10" i="4"/>
  <c r="Y9" i="6"/>
  <c r="Y7" i="9"/>
  <c r="Y13" i="9" s="1"/>
  <c r="Y23" i="9" s="1"/>
  <c r="Y25" i="9" s="1"/>
  <c r="AD15" i="9"/>
  <c r="AD20" i="9" s="1"/>
  <c r="AF64" i="2"/>
  <c r="AE122" i="2"/>
  <c r="AA129" i="2"/>
  <c r="Z14" i="8" s="1"/>
  <c r="AA127" i="2"/>
  <c r="Z18" i="9"/>
  <c r="Z21" i="9"/>
  <c r="X18" i="6"/>
  <c r="X10" i="4"/>
  <c r="AA16" i="9"/>
  <c r="AC65" i="2"/>
  <c r="AA17" i="8"/>
  <c r="AB123" i="2"/>
  <c r="AB125" i="2" s="1"/>
  <c r="AE63" i="2"/>
  <c r="AC16" i="8"/>
  <c r="AC19" i="8" s="1"/>
  <c r="Y24" i="8"/>
  <c r="Y25" i="8"/>
  <c r="Y27" i="8" s="1"/>
  <c r="Y6" i="8" s="1"/>
  <c r="X6" i="4"/>
  <c r="X7" i="8"/>
  <c r="X10" i="6"/>
  <c r="Z22" i="8"/>
  <c r="Z20" i="8"/>
  <c r="W19" i="6"/>
  <c r="W20" i="6" s="1"/>
  <c r="X19" i="6" s="1"/>
  <c r="X20" i="6" s="1"/>
  <c r="R7" i="5"/>
  <c r="T7" i="6"/>
  <c r="T12" i="6" s="1"/>
  <c r="AB17" i="8" l="1"/>
  <c r="AB16" i="9"/>
  <c r="AD65" i="2"/>
  <c r="AC123" i="2"/>
  <c r="AC125" i="2" s="1"/>
  <c r="AA21" i="9"/>
  <c r="AA18" i="9"/>
  <c r="AG64" i="2"/>
  <c r="AE15" i="9"/>
  <c r="AE20" i="9" s="1"/>
  <c r="AF122" i="2"/>
  <c r="Y10" i="4"/>
  <c r="Y18" i="6"/>
  <c r="Y19" i="6" s="1"/>
  <c r="Y20" i="6" s="1"/>
  <c r="AD16" i="8"/>
  <c r="AD19" i="8" s="1"/>
  <c r="AF63" i="2"/>
  <c r="Y7" i="8"/>
  <c r="Y6" i="4"/>
  <c r="Y10" i="6"/>
  <c r="AB127" i="2"/>
  <c r="AB129" i="2"/>
  <c r="AA14" i="8" s="1"/>
  <c r="Z7" i="9"/>
  <c r="Z13" i="9" s="1"/>
  <c r="Z23" i="9" s="1"/>
  <c r="Z25" i="9" s="1"/>
  <c r="Z9" i="6"/>
  <c r="AA22" i="8"/>
  <c r="AA20" i="8"/>
  <c r="Z25" i="8"/>
  <c r="Z27" i="8" s="1"/>
  <c r="Z6" i="8" s="1"/>
  <c r="Z24" i="8"/>
  <c r="S7" i="5"/>
  <c r="U7" i="6"/>
  <c r="U12" i="6" s="1"/>
  <c r="AC127" i="2" l="1"/>
  <c r="AC129" i="2"/>
  <c r="AB14" i="8" s="1"/>
  <c r="AG63" i="2"/>
  <c r="AF16" i="8" s="1"/>
  <c r="AF19" i="8" s="1"/>
  <c r="AE16" i="8"/>
  <c r="AE19" i="8" s="1"/>
  <c r="AA25" i="8"/>
  <c r="AA24" i="8"/>
  <c r="AA27" i="8"/>
  <c r="AA6" i="8" s="1"/>
  <c r="AC16" i="9"/>
  <c r="AC17" i="8"/>
  <c r="AE65" i="2"/>
  <c r="AD123" i="2"/>
  <c r="AD125" i="2" s="1"/>
  <c r="AF15" i="9"/>
  <c r="AF20" i="9" s="1"/>
  <c r="AG122" i="2"/>
  <c r="Z6" i="4"/>
  <c r="Z7" i="8"/>
  <c r="Z10" i="6"/>
  <c r="AA9" i="6"/>
  <c r="AA7" i="9"/>
  <c r="AA13" i="9" s="1"/>
  <c r="AA23" i="9" s="1"/>
  <c r="AA25" i="9" s="1"/>
  <c r="AB21" i="9"/>
  <c r="AB18" i="9"/>
  <c r="Z18" i="6"/>
  <c r="Z19" i="6" s="1"/>
  <c r="Z20" i="6" s="1"/>
  <c r="Z10" i="4"/>
  <c r="AB20" i="8"/>
  <c r="AB22" i="8"/>
  <c r="V7" i="6"/>
  <c r="V12" i="6" s="1"/>
  <c r="T7" i="5"/>
  <c r="AD17" i="8" l="1"/>
  <c r="AD16" i="9"/>
  <c r="AF65" i="2"/>
  <c r="AE123" i="2"/>
  <c r="AE125" i="2" s="1"/>
  <c r="AB9" i="6"/>
  <c r="AB7" i="9"/>
  <c r="AB13" i="9" s="1"/>
  <c r="AB23" i="9" s="1"/>
  <c r="AB25" i="9" s="1"/>
  <c r="AD129" i="2"/>
  <c r="AC14" i="8" s="1"/>
  <c r="AD127" i="2"/>
  <c r="AA10" i="4"/>
  <c r="AA18" i="6"/>
  <c r="AA19" i="6" s="1"/>
  <c r="AA20" i="6" s="1"/>
  <c r="AB24" i="8"/>
  <c r="AB25" i="8"/>
  <c r="AB27" i="8" s="1"/>
  <c r="AB6" i="8" s="1"/>
  <c r="AA7" i="8"/>
  <c r="AA6" i="4"/>
  <c r="AA10" i="6"/>
  <c r="AC20" i="8"/>
  <c r="AC22" i="8"/>
  <c r="AC21" i="9"/>
  <c r="AC18" i="9"/>
  <c r="W7" i="6"/>
  <c r="W12" i="6" s="1"/>
  <c r="U7" i="5"/>
  <c r="AE129" i="2" l="1"/>
  <c r="AD14" i="8" s="1"/>
  <c r="AE127" i="2"/>
  <c r="AB10" i="4"/>
  <c r="AB18" i="6"/>
  <c r="AB19" i="6" s="1"/>
  <c r="AB20" i="6" s="1"/>
  <c r="AE16" i="9"/>
  <c r="AG65" i="2"/>
  <c r="AE17" i="8"/>
  <c r="AF123" i="2"/>
  <c r="AF125" i="2" s="1"/>
  <c r="AD21" i="9"/>
  <c r="AD18" i="9"/>
  <c r="AC7" i="9"/>
  <c r="AC13" i="9" s="1"/>
  <c r="AC23" i="9" s="1"/>
  <c r="AC25" i="9" s="1"/>
  <c r="AC9" i="6"/>
  <c r="AD20" i="8"/>
  <c r="AD22" i="8"/>
  <c r="AB7" i="8"/>
  <c r="AB6" i="4"/>
  <c r="AB10" i="6"/>
  <c r="AC25" i="8"/>
  <c r="AC24" i="8"/>
  <c r="AC27" i="8"/>
  <c r="AC6" i="8" s="1"/>
  <c r="X7" i="6"/>
  <c r="X12" i="6" s="1"/>
  <c r="V7" i="5"/>
  <c r="AE22" i="8" l="1"/>
  <c r="AE20" i="8"/>
  <c r="AC6" i="4"/>
  <c r="AC7" i="8"/>
  <c r="AC10" i="6"/>
  <c r="AF17" i="8"/>
  <c r="AF16" i="9"/>
  <c r="AG123" i="2"/>
  <c r="AG125" i="2" s="1"/>
  <c r="AE21" i="9"/>
  <c r="AE18" i="9"/>
  <c r="AD9" i="6"/>
  <c r="AD7" i="9"/>
  <c r="AD13" i="9" s="1"/>
  <c r="AD23" i="9" s="1"/>
  <c r="AD25" i="9" s="1"/>
  <c r="AC18" i="6"/>
  <c r="AC19" i="6" s="1"/>
  <c r="AC20" i="6" s="1"/>
  <c r="AC10" i="4"/>
  <c r="AD25" i="8"/>
  <c r="AD27" i="8" s="1"/>
  <c r="AD6" i="8" s="1"/>
  <c r="AD24" i="8"/>
  <c r="AF129" i="2"/>
  <c r="AE14" i="8" s="1"/>
  <c r="AF127" i="2"/>
  <c r="Y7" i="6"/>
  <c r="Y12" i="6" s="1"/>
  <c r="W7" i="5"/>
  <c r="AF21" i="9" l="1"/>
  <c r="AF18" i="9"/>
  <c r="AF22" i="8"/>
  <c r="AF20" i="8"/>
  <c r="AE7" i="9"/>
  <c r="AE13" i="9" s="1"/>
  <c r="AE23" i="9" s="1"/>
  <c r="AE25" i="9" s="1"/>
  <c r="AE9" i="6"/>
  <c r="AD6" i="4"/>
  <c r="AD7" i="8"/>
  <c r="AD10" i="6"/>
  <c r="AD18" i="6"/>
  <c r="AD19" i="6" s="1"/>
  <c r="AD20" i="6" s="1"/>
  <c r="AD10" i="4"/>
  <c r="AE24" i="8"/>
  <c r="AE25" i="8"/>
  <c r="AE27" i="8"/>
  <c r="AE6" i="8" s="1"/>
  <c r="AG127" i="2"/>
  <c r="AG129" i="2"/>
  <c r="AF14" i="8" s="1"/>
  <c r="X7" i="5"/>
  <c r="Z7" i="6"/>
  <c r="Z12" i="6" s="1"/>
  <c r="AF9" i="6" l="1"/>
  <c r="AF7" i="9"/>
  <c r="AF13" i="9" s="1"/>
  <c r="AE10" i="4"/>
  <c r="AE18" i="6"/>
  <c r="AE19" i="6" s="1"/>
  <c r="AE20" i="6" s="1"/>
  <c r="AE7" i="8"/>
  <c r="AE6" i="4"/>
  <c r="AE10" i="6"/>
  <c r="AF25" i="8"/>
  <c r="AF24" i="8"/>
  <c r="AF27" i="8" s="1"/>
  <c r="AF6" i="8" s="1"/>
  <c r="AA7" i="6"/>
  <c r="AA12" i="6" s="1"/>
  <c r="Y7" i="5"/>
  <c r="AF23" i="9" l="1"/>
  <c r="AF25" i="9"/>
  <c r="AF6" i="4"/>
  <c r="AF7" i="8"/>
  <c r="AF10" i="6"/>
  <c r="AB7" i="6"/>
  <c r="AB12" i="6" s="1"/>
  <c r="Z7" i="5"/>
  <c r="AF10" i="4" l="1"/>
  <c r="AF18" i="6"/>
  <c r="AF19" i="6" s="1"/>
  <c r="AF20" i="6" s="1"/>
  <c r="AA7" i="5"/>
  <c r="AC7" i="6"/>
  <c r="AC12" i="6" s="1"/>
  <c r="AB7" i="5" l="1"/>
  <c r="AD7" i="6"/>
  <c r="AD12" i="6" s="1"/>
  <c r="AC7" i="5" l="1"/>
  <c r="AE7" i="6"/>
  <c r="AE12" i="6" s="1"/>
  <c r="AD7" i="5" l="1"/>
  <c r="AF7" i="6"/>
  <c r="AF12" i="6" s="1"/>
  <c r="AE7" i="5" s="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9" i="3"/>
  <c r="D9" i="3"/>
  <c r="E9" i="3"/>
  <c r="F9" i="3"/>
  <c r="G9" i="3"/>
  <c r="H9" i="3"/>
  <c r="I9" i="3"/>
  <c r="J9" i="3"/>
  <c r="K9" i="3"/>
  <c r="L9" i="3"/>
  <c r="M9" i="3"/>
  <c r="N9" i="3"/>
  <c r="O9" i="3"/>
  <c r="P9" i="3"/>
  <c r="Q9" i="3"/>
  <c r="R9" i="3"/>
  <c r="S9" i="3"/>
  <c r="T9" i="3"/>
  <c r="U9" i="3"/>
  <c r="V9" i="3"/>
  <c r="W9" i="3"/>
  <c r="X9" i="3"/>
  <c r="Y9" i="3"/>
  <c r="Z9" i="3"/>
  <c r="AA9" i="3"/>
  <c r="AB9" i="3"/>
  <c r="AC9" i="3"/>
  <c r="AD9" i="3"/>
  <c r="AE9" i="3"/>
  <c r="AF9"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<sst xmlns="http://schemas.openxmlformats.org/spreadsheetml/2006/main" count="773" uniqueCount="320">
  <si>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</si>
  <si>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</si>
  <si>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</si>
  <si>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</si>
  <si>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</si>
  <si>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</si>
  <si>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</si>
  <si>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</si>
  <si>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</si>
  <si>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</si>
  <si>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</si>
  <si>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</si>
  <si>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</si>
  <si>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</si>
  <si>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</si>
  <si>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</si>
  <si>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</si>
  <si>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</si>
  <si>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</si>
  <si>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</si>
  <si>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</si>
  <si>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</si>
  <si>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</si>
  <si>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</si>
  <si>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</si>
  <si>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</si>
  <si>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</si>
  <si>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</si>
  <si>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</si>
  <si>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</si>
  <si>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</si>
  <si>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</si>
  <si>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</si>
  <si>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</si>
  <si>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</si>
  <si>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</si>
  <si>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</si>
  <si>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</si>
  <si>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</si>
  <si>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Wellington</t>
  </si>
  <si>
    <t>Carterton</t>
  </si>
  <si>
    <t>Central Hawke's Bay</t>
  </si>
  <si>
    <t>Chatham Islands</t>
  </si>
  <si>
    <t>Gisborne</t>
  </si>
  <si>
    <t>Hastings</t>
  </si>
  <si>
    <t>Horowhenua</t>
  </si>
  <si>
    <t>Kapiti Coast</t>
  </si>
  <si>
    <t>Manawatu</t>
  </si>
  <si>
    <t>Marlborough</t>
  </si>
  <si>
    <t>Nelson</t>
  </si>
  <si>
    <t>Palmerston North</t>
  </si>
  <si>
    <t>Tararua</t>
  </si>
  <si>
    <t>Tasman</t>
  </si>
  <si>
    <t>Wairoa</t>
  </si>
  <si>
    <t>Upper Hutt</t>
  </si>
  <si>
    <t>Debt to Revenue</t>
  </si>
  <si>
    <t>Enhancement short and medium life percentage</t>
  </si>
  <si>
    <t>Enhancement long life percentage</t>
  </si>
  <si>
    <t>Short and medium asset life</t>
  </si>
  <si>
    <t>Long asset life</t>
  </si>
  <si>
    <t>Total assets before new depreciation</t>
  </si>
  <si>
    <t>South Wairarapa</t>
  </si>
  <si>
    <t>Subtotal</t>
  </si>
  <si>
    <t>Total operating costs post efficiency</t>
  </si>
  <si>
    <t>Interest on cash</t>
  </si>
  <si>
    <t>Water population</t>
  </si>
  <si>
    <t>Wastewater population</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</si>
  <si>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</si>
  <si>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</si>
  <si>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</si>
  <si>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</si>
  <si>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</si>
  <si>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</si>
  <si>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</si>
  <si>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</si>
  <si>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</si>
  <si>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</si>
  <si>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</si>
  <si>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</si>
  <si>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</si>
  <si>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</si>
  <si>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</si>
  <si>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</si>
  <si>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</si>
  <si>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</si>
  <si>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</si>
  <si>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</si>
  <si>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Lower Hutt</t>
  </si>
  <si>
    <t>Masterton</t>
  </si>
  <si>
    <t>Napier</t>
  </si>
  <si>
    <t>Porirua</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</si>
  <si>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</si>
  <si>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</si>
  <si>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</si>
  <si>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</si>
  <si>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</si>
  <si>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</si>
  <si>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</si>
  <si>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</si>
  <si>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</si>
  <si>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</si>
  <si>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</si>
  <si>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</si>
  <si>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</si>
  <si>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</si>
  <si>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</si>
  <si>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</si>
  <si>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</si>
  <si>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</si>
  <si>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</si>
  <si>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Three Waters Debt</t>
  </si>
  <si>
    <t>Operating expenditure reported in 2020</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</si>
  <si>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</si>
  <si>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</si>
  <si>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</si>
  <si>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</si>
  <si>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</si>
  <si>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</si>
  <si>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</si>
  <si>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</si>
  <si>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</si>
  <si>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</si>
  <si>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</si>
  <si>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</si>
  <si>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</si>
  <si>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</si>
  <si>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</si>
  <si>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</si>
  <si>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</si>
  <si>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</si>
  <si>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</si>
  <si>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</si>
  <si>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</si>
  <si>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</si>
  <si>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</si>
  <si>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</si>
  <si>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</si>
  <si>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</si>
  <si>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</si>
  <si>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Source</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</si>
  <si>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</si>
  <si>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</si>
  <si>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</si>
  <si>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</si>
  <si>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</si>
  <si>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</si>
  <si>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</si>
  <si>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Stats NZ</t>
  </si>
  <si>
    <t>Assumed occupancy rate across New Zealand</t>
  </si>
  <si>
    <t>Assumption</t>
  </si>
  <si>
    <t>As above</t>
  </si>
  <si>
    <t>Macro-economic assumption from DIA's commercial and financial advisors</t>
  </si>
  <si>
    <t xml:space="preserve">Optimised replacement cost </t>
  </si>
  <si>
    <t>RFI Table A1; Line A1.47</t>
  </si>
  <si>
    <t>RFI Table A3; Line A3.58</t>
  </si>
  <si>
    <t>Optimised replacement cost opening value</t>
  </si>
  <si>
    <t>Charged Depreciation on existing assets</t>
  </si>
  <si>
    <t>Growth and enhancement investment (estimated based on density: pre-capping)</t>
  </si>
  <si>
    <t>Growth and enhancement investment (estimated based on a 50/50 weighted: pre-capping)</t>
  </si>
  <si>
    <t>Wastewater connected population</t>
  </si>
  <si>
    <t>Water connected population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</si>
  <si>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</si>
  <si>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</si>
  <si>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</si>
  <si>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</si>
  <si>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</si>
  <si>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</si>
  <si>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</si>
  <si>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</si>
  <si>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</si>
  <si>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</si>
  <si>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</si>
  <si>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</si>
  <si>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</si>
  <si>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Low</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</si>
  <si>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</si>
  <si>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</si>
  <si>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</si>
  <si>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</si>
  <si>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</si>
  <si>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</si>
  <si>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</si>
  <si>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</si>
  <si>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</si>
  <si>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</si>
  <si>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</si>
  <si>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</si>
  <si>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</si>
  <si>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</si>
  <si>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</si>
  <si>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</si>
  <si>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</si>
  <si>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</si>
  <si>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</si>
  <si>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</si>
  <si>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</si>
  <si>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</si>
  <si>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</si>
  <si>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</si>
  <si>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</si>
  <si>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</si>
  <si>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</si>
  <si>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Additional assumptions for the amalgamated entity</t>
  </si>
  <si>
    <t>Connected population of the amalgamated entity</t>
  </si>
  <si>
    <t>Total connected population in New Zealand</t>
  </si>
  <si>
    <t>Percentage of the NZ population</t>
  </si>
  <si>
    <t>Additional debt across all entities</t>
  </si>
  <si>
    <t>Entity share of additional debt</t>
  </si>
  <si>
    <t>Spend-to-save allowance</t>
  </si>
  <si>
    <t>Spend-to-save allowance across all entities</t>
  </si>
  <si>
    <t>Entity share of spend-to-save</t>
  </si>
  <si>
    <t xml:space="preserve">Number of years </t>
  </si>
  <si>
    <t>Individual council models</t>
  </si>
  <si>
    <t>Based on achieving the efficiencies above</t>
  </si>
  <si>
    <t xml:space="preserve">Based on observed experience from GB </t>
  </si>
  <si>
    <t>Cost gap between the amalgamated entity and the frontier company in GB after adjusting for special factors</t>
  </si>
  <si>
    <t>Total enhancement and growth investment (average: post-capping)</t>
  </si>
  <si>
    <t>Profile of enhancement and growth</t>
  </si>
  <si>
    <t>Year 1 to 10</t>
  </si>
  <si>
    <t>Year 11 to 20</t>
  </si>
  <si>
    <t>Year 21 to 30</t>
  </si>
  <si>
    <t>Repayment of debt principal</t>
  </si>
  <si>
    <t>Repayment term</t>
  </si>
  <si>
    <t>Spend-to-save operating costs (projected outturn prices)</t>
  </si>
  <si>
    <t>Additional borrowing at restructuring</t>
  </si>
  <si>
    <t>Spend-to-save</t>
  </si>
  <si>
    <t>Council</t>
  </si>
  <si>
    <t>Total for amalgamated entity</t>
  </si>
  <si>
    <t>Sources</t>
  </si>
  <si>
    <t>Average water and wastewater population (A)</t>
  </si>
  <si>
    <t>Assumed household occupancy rate (B)</t>
  </si>
  <si>
    <t>Assumed connected properties in 2020 (C)</t>
  </si>
  <si>
    <t>Annual growth in connections (D)</t>
  </si>
  <si>
    <t>Assumed connected properties in 2051 (E)</t>
  </si>
  <si>
    <t xml:space="preserve">Annual growth in connections (F) </t>
  </si>
  <si>
    <t>Enhancement and growth</t>
  </si>
  <si>
    <t>Asset values</t>
  </si>
  <si>
    <t>Percentage related to short- medium life assets (B)</t>
  </si>
  <si>
    <t>Asset value related to short-medium life assets (C)</t>
  </si>
  <si>
    <t>Weighted average percentage (D)</t>
  </si>
  <si>
    <t>Enhancement and growth (A)</t>
  </si>
  <si>
    <t>Asset value: high range (A)</t>
  </si>
  <si>
    <t>RFI Table F10; Lines F10.62 + F10.70 - F10.61</t>
  </si>
  <si>
    <t>Carterton District Council</t>
  </si>
  <si>
    <t>Central Hawke's Bay District Council</t>
  </si>
  <si>
    <t>Chatham Islands Council</t>
  </si>
  <si>
    <t>Gisborne District Council</t>
  </si>
  <si>
    <t>Hastings District Council</t>
  </si>
  <si>
    <t>Horowhenua District Council</t>
  </si>
  <si>
    <t>Kapiti Coast District Council</t>
  </si>
  <si>
    <t>Lower Hutt City Council</t>
  </si>
  <si>
    <t>Manawatu District Council</t>
  </si>
  <si>
    <t>Marlborough District Council</t>
  </si>
  <si>
    <t>Masterton District Council</t>
  </si>
  <si>
    <t>Napier City Council</t>
  </si>
  <si>
    <t>Nelson City Council</t>
  </si>
  <si>
    <t>Palmerston North City Council</t>
  </si>
  <si>
    <t>Porirua City Council</t>
  </si>
  <si>
    <t>South Wairarapa District Council</t>
  </si>
  <si>
    <t>Tararua District Council</t>
  </si>
  <si>
    <t>Tasman District Council</t>
  </si>
  <si>
    <t>Upper Hutt City Council</t>
  </si>
  <si>
    <t>Wairoa District Council</t>
  </si>
  <si>
    <t>Wellington City Council</t>
  </si>
  <si>
    <t>RFI Table F3; Line F3.20</t>
  </si>
  <si>
    <t>RFI Table E1, E2 and E2b; Lines E1.22 + E2.21 + E2b.21</t>
  </si>
  <si>
    <t>RFI Table J1; Sum of lines J1.1 to J1.30 (Column I)</t>
  </si>
  <si>
    <t>RFI Table G1; Calculated from additional properties connected in the year (line G1.3b) divided by properties served in 2019/20</t>
  </si>
  <si>
    <t>RFI Table J1; Sum of lines J1.1 to J1.30 (Column J)</t>
  </si>
  <si>
    <t>RFI Table F10; Lines F10.62 + F10.70</t>
  </si>
  <si>
    <t>RFI Table A1; Line A1.43</t>
  </si>
  <si>
    <t xml:space="preserve">Calculated as the sum of the lines above. </t>
  </si>
  <si>
    <t>Amalgamated entities expected to absorb the additional inflationary pressure</t>
  </si>
  <si>
    <t>See data sheet for sources for individual councils</t>
  </si>
  <si>
    <t>Assumption that amalgamated entities would be able to match half of NZ wide productivity of 0.8% per annum</t>
  </si>
  <si>
    <t>See data sheet</t>
  </si>
  <si>
    <t>Consistent with reaching a percentage split of 70% for long life assets by 2051. This split is in line with international experience</t>
  </si>
  <si>
    <t>Consistent with reaching a percentage split of 30% for short-medium life assets by 2051. This split is in line with international experience</t>
  </si>
  <si>
    <t>Amalgamated entities expected to absorb</t>
  </si>
  <si>
    <t>Growth rate for the amalgamated entity</t>
  </si>
  <si>
    <t>Percentage of asset value related to short- medium life assets (existing)</t>
  </si>
  <si>
    <t>Percentage of enhancement related to short- medium life assets (new)</t>
  </si>
  <si>
    <t>Scenario 30; Entity C</t>
  </si>
  <si>
    <t>New Zealand wide assumption based on the observed split in Great Britain</t>
  </si>
  <si>
    <t xml:space="preserve">See data sheet </t>
  </si>
  <si>
    <t>Assumed inflation of 2.2% per annum from DIA's commercial and financial advisors</t>
  </si>
  <si>
    <t>RFI Table G1; Line G1.3 
As forecasts were not provided for 2032-51, the average annual growth investment over 2022-31 is assumed to continue over 2032-51.</t>
  </si>
  <si>
    <t>Not provided. Based on asset value per head of population across New Zealand multiplied the population in Carterton District Council.</t>
  </si>
  <si>
    <t>Estimate from the RFI supporting spreadsheet 'Supporting Data -  population and household data and forecasts#2'</t>
  </si>
  <si>
    <t>RFI Table F10; Lines F10.62 - F10.61 + F10.70</t>
  </si>
  <si>
    <t>RFI Table G1</t>
  </si>
  <si>
    <t>RFI Table G1; Line G1.3 2022 - 2031 
RFI Table G2, G3 and G4 2032 - 2051
(adjusted for projected inflation in RFI Table G5)</t>
  </si>
  <si>
    <t>RFI Table J1 incomplete. Based on asset value per head of population across New Zealand multiplied the population in Kapiti Coast District Council.</t>
  </si>
  <si>
    <t>RFI Table F10; Lines F10.13 +F10.33 + F10.57 + F10.70</t>
  </si>
  <si>
    <t>Hutt City: RFI Table F3; Line F3.20
Greater Wellington allocation: RFI Table F3; Line F3.20 x 25%</t>
  </si>
  <si>
    <t>RFI Table E1, E2 and E2b; Lines E1.12 (Water distribution) + E1.16 + E1.17 + Allocation of Greater Wellington E1.22 (Water Resources and Treatment) + E2.21 - E2.18 + E2b.21
Greater Wellington operating expenditure is allocated based on the each council's share of fees to Greater Wellington</t>
  </si>
  <si>
    <t xml:space="preserve">Council reported growth investment expenditure, but did not provide new properties connected. In this case, the average growth rate across the councils in New Zealand was used. </t>
  </si>
  <si>
    <t>RFI Tables G2, G3, G4 
As forecasts were not provided for 2032-51, the average annual growth investment over 2022-31 is assumed to continue over 2032-51.
Greater Wellington allocation: RFI Table G1; Line G1.3 adjusted for inflation reported in RFI Table G5 x 25%. As forecasts were not provided for 2032-51, the average annual growth investment over 2022-31 is assumed to continue over 2032-51.</t>
  </si>
  <si>
    <t>Hutt City: RFI Table J1; Sum of lines J1.1 to J1.30 (Column I)
Greater Wellington allocation: RFI Table J1; Sum of lines J1.1 to J1.30 (Column I) x 25%</t>
  </si>
  <si>
    <t xml:space="preserve">Hutt City: RFI Table J1; Sum of lines J1.1 to J1.30 (Column J)
Greater Wellington allocation: RFI Table J1; Sum of lines J1.1 to J1.30 (Column J) x 25%
</t>
  </si>
  <si>
    <t>RFI Table F10; Lines F10.13 + F10.33 + F10.46 + F10.52 + F10.57 + F10.70</t>
  </si>
  <si>
    <t>RFI Table G1; Line G1.3 (adjusted for projected inflation in RFI Table G5) 
As forecasts were not provided for 2032-51, the average annual growth investment over 2022-31 is assumed to continue over 2032-51.</t>
  </si>
  <si>
    <t>RFI Tables G2, G3, G4 
As forecasts were not provided for 2032-51, the average annual growth investment over 2022-31 is assumed to continue over 2032-51.</t>
  </si>
  <si>
    <t>RFI Table G1; Line G1.3</t>
  </si>
  <si>
    <t>Poirua: RFI Table F3; Line F3.20
Greater Wellington allocation: RFI Table F3; Line F3.20 x 15%</t>
  </si>
  <si>
    <t>RFI Table E1, E2 and E2b; Lines E1.12 (Water distribution) + E1.17 + Allocation of Greater Wellington E1.22 (Water Resources and Treatment) + E2.21 - E2.18 + E2b.21
Greater Wellington operating expenditure is allocated based on the each council's share of fees to Greater Wellington</t>
  </si>
  <si>
    <t>Upper Hutt: RFI Table J1; Sum of lines J1.1 to J1.30 (Column I)
Greater Wellington allocation: RFI Table J1; Sum of lines J1.1 to J1.30 (Column I) x 15%</t>
  </si>
  <si>
    <t xml:space="preserve">Upper Hutt: RFI Table J1; Sum of lines J1.1 to J1.30 (Column J)
Greater Wellington allocation: RFI Table J1; Sum of lines J1.1 to J1.30 (Column J) x 15%
</t>
  </si>
  <si>
    <t>Upper Hutt: RFI Table F3; Line F3.20 
Greater Wellington allocation: RFI Table F3; Line F3.20 x 10%</t>
  </si>
  <si>
    <t>Council reported growth investment expenditure, but did not provide new properties connected. In this case, the average growth rate across the councils in New Zealand was used</t>
  </si>
  <si>
    <t>Upper Hutt: RFI Table G1; Line G1.3
As forecasts were not provided for 2032-51, the average annual growth investment over 2022-31 is assumed to continue over 2032-51.
Greater Wellington allocation: RFI Table G1; Line G1.3 adjusted for inflation reported in RFI Table G5 x 10%. As forecasts were not provided for 2032-51, the average annual growth investment over 2022-31 is assumed to continue over 2032-51.</t>
  </si>
  <si>
    <t xml:space="preserve">Upper Hutt: RFI Table J1; Sum of lines J1.1 to J1.30 (Column I)
Greater Wellington allocation: RFI Table J1; Sum of lines J1.1 to J1.30 (Column I) x 10% </t>
  </si>
  <si>
    <t xml:space="preserve">Upper Hutt: RFI Table J1; Sum of lines J1.1 to J1.30 (Column J)
Greater Wellington allocation: RFI Table J1; Sum of lines J1.1 to J1.30 (Column I) x 10% </t>
  </si>
  <si>
    <t xml:space="preserve">For wastewater and stormwater: RFI Table E1 and E2; Lines E2.21 - E2.18 + E2b.21 - E2b.18 
For water: The Funding Impact Statement from the Council Annual Report 2019/20. The Annual Report was used given that the operating expenditure in E1.22 did not reconcile to the Annual Report. 
</t>
  </si>
  <si>
    <t>RFI Table G1; Line G1.3 for 2022-31 
The average annual growth investment over 2022-31 is assumed to continue over 2032-51.</t>
  </si>
  <si>
    <t>RFI Table F10; Lines F10.62 - F10.61</t>
  </si>
  <si>
    <t>Wellington City: RFI Table F3; Line F3.20
Greater Wellington allocation: RFI Table F3; Line F3.20 x 49%</t>
  </si>
  <si>
    <t>Wellington City: RFI Table G1; Line G1.3 adjusted for inflation reported in RFI Table G5. As forecasts were not provided for 2032-51, the average annual growth investment over 2022-31 is assumed to continue over 2032-51.
Greater Wellington allocation: RFI Table G1; Line G1.3 adjusted for inflation reported in RFI Table G5 x 49%. As forecasts were not provided for 2032-51, the average annual growth investment over 2022-31 is assumed to continue over 2032-51.</t>
  </si>
  <si>
    <t>Wellington City: RFI Table J1; Sum of lines J1.1 to J1.30 (Column I)
Greater Wellington allocation: RFI Table J1; Sum of lines J1.1 to J1.30 (Column I) x 49%</t>
  </si>
  <si>
    <t xml:space="preserve">Wellington City: RFI Table J1; Sum of lines J1.1 to J1.30 (Column J)
Greater Wellington allocation: RFI Table J1; Sum of lines J1.1 to J1.30 (Column J) x 49%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</si>
</sst>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1409]#,##0"/>
    <numFmt numFmtId="176" formatCode="0.0000"/>
    <numFmt numFmtId="177" formatCode="_-* #,##0.000_-;\-* #,##0.000_-;_-* &quot;-&quot;??_-;_-@_-"/>
    <numFmt numFmtId="178" formatCode="_-[$$-1409]* #,##0_-;\-[$$-1409]* #,##0_-;_-[$$-1409]* &quot;-&quot;_-;_-@_-"/>
    <numFmt numFmtId="179" formatCode="_-* #,##0.0000_-;\-* #,##0.0000_-;_-* &quot;-&quot;??_-;_-@_-"/>
    <numFmt numFmtId="180" formatCode="0.000%"/>
    <numFmt numFmtId="181" formatCode="&quot;NZ$&quot;#,##0\ &quot;Million&quot;"/>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2"/>
      <color theme="3"/>
      <name val="Trebuchet MS"/>
      <family val="2"/>
    </font>
    <font>
      <u/>
      <sz val="12"/>
      <color theme="3"/>
      <name val="Trebuchet MS"/>
      <family val="2"/>
    </font>
    <font>
      <b/>
      <sz val="12"/>
      <color theme="0"/>
      <name val="Trebuchet MS"/>
      <family val="2"/>
    </font>
    <font>
      <b/>
      <u/>
      <sz val="14"/>
      <color theme="3"/>
      <name val="Trebuchet MS"/>
      <family val="2"/>
    </font>
  </fonts>
  <fills count="6">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rgb="FF4472C4"/>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40">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0" fontId="10" fillId="0" borderId="0" xfId="0" applyFont="1" applyFill="1"/>
    <xf numFmtId="177" fontId="0" fillId="0" borderId="0" xfId="0" applyNumberFormat="1"/>
    <xf numFmtId="170" fontId="0" fillId="0" borderId="0" xfId="0" applyNumberFormat="1" applyAlignment="1">
      <alignment horizontal="center"/>
    </xf>
    <xf numFmtId="176"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9"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0" fontId="0" fillId="0" borderId="0" xfId="0" applyFont="1" applyAlignment="1">
      <alignment wrapText="1"/>
    </xf>
    <xf numFmtId="0" fontId="0" fillId="5" borderId="0" xfId="0" applyFill="1"/>
    <xf numFmtId="0" fontId="7" fillId="5" borderId="0" xfId="0" applyFont="1" applyFill="1"/>
    <xf numFmtId="0" fontId="0" fillId="0" borderId="0" xfId="0" applyAlignment="1">
      <alignment wrapText="1"/>
    </xf>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Font="1" applyFill="1" applyBorder="1" applyAlignment="1">
      <alignment vertical="top"/>
    </xf>
    <xf numFmtId="0" fontId="0" fillId="0" borderId="9" xfId="0" applyBorder="1" applyAlignment="1">
      <alignment vertical="top"/>
    </xf>
    <xf numFmtId="0" fontId="0" fillId="0" borderId="11" xfId="0" applyBorder="1" applyAlignment="1">
      <alignment vertical="top"/>
    </xf>
    <xf numFmtId="0" fontId="14" fillId="0" borderId="9" xfId="0" applyFont="1" applyBorder="1" applyAlignment="1">
      <alignment vertical="top"/>
    </xf>
    <xf numFmtId="169" fontId="18" fillId="0" borderId="0" xfId="3" applyNumberFormat="1" applyFont="1" applyFill="1" applyAlignment="1">
      <alignment vertical="center"/>
    </xf>
    <xf numFmtId="0" fontId="18" fillId="0" borderId="0" xfId="0" applyFont="1" applyAlignment="1">
      <alignment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Border="1" applyAlignment="1">
      <alignment horizontal="center" vertical="center" wrapText="1" readingOrder="1"/>
    </xf>
    <xf numFmtId="175" fontId="18" fillId="0" borderId="0" xfId="0" applyNumberFormat="1" applyFont="1" applyFill="1" applyAlignment="1">
      <alignment vertical="center"/>
    </xf>
    <xf numFmtId="0" fontId="18" fillId="0" borderId="0" xfId="0" applyFont="1" applyFill="1" applyBorder="1" applyAlignment="1">
      <alignment horizontal="center" vertical="center"/>
    </xf>
    <xf numFmtId="178" fontId="18" fillId="0" borderId="0" xfId="0" applyNumberFormat="1" applyFont="1" applyFill="1" applyAlignment="1">
      <alignment vertical="center"/>
    </xf>
    <xf numFmtId="0" fontId="18" fillId="0" borderId="0" xfId="0" applyNumberFormat="1" applyFont="1" applyFill="1" applyAlignment="1">
      <alignment vertical="center"/>
    </xf>
    <xf numFmtId="167" fontId="18" fillId="0" borderId="0" xfId="0" applyNumberFormat="1" applyFont="1" applyFill="1" applyAlignment="1">
      <alignment vertical="center"/>
    </xf>
    <xf numFmtId="43" fontId="18" fillId="0" borderId="0" xfId="0" applyNumberFormat="1" applyFont="1" applyFill="1" applyAlignment="1">
      <alignment vertical="center"/>
    </xf>
    <xf numFmtId="167" fontId="18" fillId="0" borderId="0" xfId="1" applyNumberFormat="1" applyFont="1" applyFill="1" applyAlignment="1">
      <alignment horizontal="center" vertical="center"/>
    </xf>
    <xf numFmtId="0" fontId="18" fillId="0" borderId="0" xfId="0" applyFont="1" applyAlignment="1">
      <alignment horizontal="left" vertical="center"/>
    </xf>
    <xf numFmtId="169" fontId="18" fillId="0" borderId="0" xfId="3" applyNumberFormat="1" applyFont="1" applyFill="1" applyBorder="1" applyAlignment="1">
      <alignment vertical="center"/>
    </xf>
    <xf numFmtId="0" fontId="19" fillId="0" borderId="0" xfId="0" applyFont="1" applyFill="1" applyBorder="1" applyAlignment="1">
      <alignment horizontal="center" vertical="center" wrapText="1"/>
    </xf>
    <xf numFmtId="0" fontId="20" fillId="4" borderId="18" xfId="0" applyFont="1" applyFill="1" applyBorder="1" applyAlignment="1">
      <alignment horizontal="center" vertical="center" wrapText="1" readingOrder="1"/>
    </xf>
    <xf numFmtId="175" fontId="18" fillId="0" borderId="18" xfId="0" applyNumberFormat="1" applyFont="1" applyFill="1" applyBorder="1" applyAlignment="1">
      <alignment vertical="center"/>
    </xf>
    <xf numFmtId="178" fontId="18" fillId="0" borderId="18" xfId="0" applyNumberFormat="1" applyFont="1" applyFill="1" applyBorder="1" applyAlignment="1">
      <alignment vertical="center" wrapText="1"/>
    </xf>
    <xf numFmtId="175" fontId="18" fillId="0" borderId="18" xfId="0" applyNumberFormat="1" applyFont="1" applyBorder="1" applyAlignment="1">
      <alignment vertical="center"/>
    </xf>
    <xf numFmtId="169" fontId="18" fillId="0" borderId="18" xfId="3" applyNumberFormat="1" applyFont="1" applyFill="1" applyBorder="1" applyAlignment="1">
      <alignment vertical="center"/>
    </xf>
    <xf numFmtId="175" fontId="18" fillId="0" borderId="18" xfId="0" applyNumberFormat="1" applyFont="1" applyFill="1" applyBorder="1" applyAlignment="1">
      <alignment horizontal="center" vertical="center"/>
    </xf>
    <xf numFmtId="0" fontId="21" fillId="0" borderId="0" xfId="0" applyFont="1" applyAlignment="1">
      <alignment horizontal="left" vertical="center"/>
    </xf>
    <xf numFmtId="0" fontId="21" fillId="0" borderId="0" xfId="0" applyFont="1" applyFill="1" applyAlignment="1">
      <alignment horizontal="left" vertical="center" wrapText="1"/>
    </xf>
    <xf numFmtId="0" fontId="18" fillId="0" borderId="18" xfId="0" applyNumberFormat="1" applyFont="1" applyFill="1" applyBorder="1" applyAlignment="1">
      <alignment vertical="center" wrapText="1"/>
    </xf>
    <xf numFmtId="181" fontId="18" fillId="0" borderId="18"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0" fontId="18" fillId="0" borderId="18" xfId="0" applyNumberFormat="1" applyFont="1" applyFill="1" applyBorder="1" applyAlignment="1">
      <alignment vertical="center"/>
    </xf>
    <xf numFmtId="3" fontId="18" fillId="0" borderId="18" xfId="1" applyNumberFormat="1" applyFont="1" applyFill="1" applyBorder="1" applyAlignment="1">
      <alignment horizontal="center" vertical="center"/>
    </xf>
    <xf numFmtId="0" fontId="18" fillId="0" borderId="18" xfId="0" applyFont="1" applyFill="1" applyBorder="1" applyAlignment="1">
      <alignment vertical="center"/>
    </xf>
    <xf numFmtId="0" fontId="18" fillId="0" borderId="0" xfId="0" applyFont="1" applyFill="1" applyBorder="1" applyAlignment="1">
      <alignment horizontal="left" vertical="center"/>
    </xf>
    <xf numFmtId="169" fontId="18" fillId="0" borderId="18" xfId="3" applyNumberFormat="1" applyFont="1" applyFill="1" applyBorder="1" applyAlignment="1">
      <alignment horizontal="center" vertical="center"/>
    </xf>
    <xf numFmtId="169" fontId="18" fillId="0" borderId="18" xfId="0" applyNumberFormat="1" applyFont="1" applyFill="1" applyBorder="1" applyAlignment="1">
      <alignment vertical="center"/>
    </xf>
    <xf numFmtId="43" fontId="18" fillId="0" borderId="18" xfId="0" applyNumberFormat="1" applyFont="1" applyFill="1" applyBorder="1" applyAlignment="1">
      <alignment vertical="center"/>
    </xf>
    <xf numFmtId="0" fontId="18" fillId="0" borderId="18" xfId="0" applyFont="1" applyBorder="1" applyAlignment="1">
      <alignment vertical="center"/>
    </xf>
    <xf numFmtId="169" fontId="18" fillId="0" borderId="18" xfId="3" applyNumberFormat="1" applyFont="1" applyBorder="1" applyAlignment="1">
      <alignment vertical="center"/>
    </xf>
    <xf numFmtId="0" fontId="21" fillId="0" borderId="0" xfId="0" applyFont="1" applyFill="1" applyAlignment="1">
      <alignment horizontal="left" vertical="center"/>
    </xf>
    <xf numFmtId="175" fontId="18" fillId="0" borderId="18" xfId="0" applyNumberFormat="1" applyFont="1" applyBorder="1" applyAlignment="1">
      <alignment horizontal="center" vertical="center"/>
    </xf>
    <xf numFmtId="0" fontId="18" fillId="0" borderId="18" xfId="0" applyFont="1" applyFill="1" applyBorder="1" applyAlignment="1">
      <alignment horizontal="left" vertical="center"/>
    </xf>
    <xf numFmtId="9" fontId="18" fillId="0" borderId="18" xfId="3" applyNumberFormat="1" applyFont="1" applyFill="1" applyBorder="1" applyAlignment="1">
      <alignment horizontal="center" vertical="center"/>
    </xf>
    <xf numFmtId="9" fontId="18" fillId="0" borderId="18" xfId="3" applyNumberFormat="1" applyFont="1" applyFill="1" applyBorder="1" applyAlignment="1">
      <alignment vertical="center"/>
    </xf>
    <xf numFmtId="9" fontId="18" fillId="0" borderId="18" xfId="3" applyFont="1" applyFill="1" applyBorder="1" applyAlignment="1">
      <alignment horizontal="center" vertical="center"/>
    </xf>
    <xf numFmtId="174" fontId="18" fillId="0" borderId="18" xfId="0" applyNumberFormat="1" applyFont="1" applyFill="1" applyBorder="1" applyAlignment="1">
      <alignment vertical="center"/>
    </xf>
    <xf numFmtId="166" fontId="16" fillId="0" borderId="0" xfId="2" applyNumberFormat="1" applyFont="1" applyFill="1" applyAlignment="1">
      <alignment horizontal="center" vertical="center"/>
    </xf>
    <xf numFmtId="9" fontId="16" fillId="0" borderId="0" xfId="3" applyFont="1" applyFill="1" applyAlignment="1">
      <alignment horizontal="center" vertical="center"/>
    </xf>
    <xf numFmtId="167" fontId="16" fillId="0" borderId="0" xfId="0" applyNumberFormat="1" applyFont="1" applyAlignment="1">
      <alignment horizontal="center" vertical="center"/>
    </xf>
    <xf numFmtId="3" fontId="16" fillId="0" borderId="0" xfId="1" applyNumberFormat="1" applyFont="1" applyFill="1" applyAlignment="1">
      <alignment horizontal="center" vertical="center"/>
    </xf>
    <xf numFmtId="0" fontId="16" fillId="0" borderId="0" xfId="0" applyFont="1" applyFill="1" applyAlignment="1">
      <alignment horizontal="center" vertical="center"/>
    </xf>
    <xf numFmtId="166" fontId="17" fillId="0" borderId="0" xfId="2" applyNumberFormat="1" applyFont="1" applyFill="1" applyAlignment="1">
      <alignment horizontal="center" vertical="center"/>
    </xf>
    <xf numFmtId="2" fontId="16" fillId="0" borderId="0" xfId="2" applyNumberFormat="1" applyFont="1" applyFill="1" applyAlignment="1">
      <alignment horizontal="center" vertical="center"/>
    </xf>
    <xf numFmtId="1" fontId="17" fillId="0" borderId="0" xfId="2" applyNumberFormat="1" applyFont="1" applyFill="1" applyAlignment="1">
      <alignment horizontal="center" vertical="center"/>
    </xf>
    <xf numFmtId="173" fontId="16" fillId="0" borderId="0" xfId="0" applyNumberFormat="1" applyFont="1" applyFill="1" applyAlignment="1">
      <alignment horizontal="center" vertical="center"/>
    </xf>
    <xf numFmtId="167" fontId="16" fillId="0" borderId="0" xfId="0" applyNumberFormat="1" applyFont="1" applyFill="1" applyAlignment="1">
      <alignment horizontal="center" vertical="center"/>
    </xf>
    <xf numFmtId="0" fontId="17" fillId="0" borderId="0" xfId="0" applyFont="1" applyFill="1" applyAlignment="1">
      <alignment horizontal="center" vertical="center"/>
    </xf>
    <xf numFmtId="9" fontId="0" fillId="0" borderId="0" xfId="3" applyNumberFormat="1" applyFont="1" applyFill="1" applyBorder="1" applyAlignment="1">
      <alignment vertical="top"/>
    </xf>
    <xf numFmtId="180" fontId="10" fillId="0" borderId="9" xfId="0" applyNumberFormat="1" applyFont="1" applyFill="1" applyBorder="1" applyAlignment="1">
      <alignment vertical="top"/>
    </xf>
    <xf numFmtId="172" fontId="10" fillId="0" borderId="9" xfId="0" applyNumberFormat="1" applyFont="1" applyFill="1" applyBorder="1" applyAlignment="1">
      <alignment vertical="top"/>
    </xf>
    <xf numFmtId="173" fontId="10" fillId="0" borderId="9" xfId="0" applyNumberFormat="1" applyFont="1" applyFill="1" applyBorder="1" applyAlignment="1">
      <alignment vertical="top"/>
    </xf>
    <xf numFmtId="0" fontId="20" fillId="4" borderId="18" xfId="0" applyFont="1" applyFill="1" applyBorder="1" applyAlignment="1">
      <alignment horizontal="center" vertical="center" wrapText="1" readingOrder="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FF0000"/>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16"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7.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4"/>
    <col min="2" max="2" width="141.83203125" style="64" customWidth="1"/>
    <col min="3" max="3" width="95.33203125" style="64" bestFit="1" customWidth="1"/>
    <col min="4" max="4" width="8.75" style="64" customWidth="1"/>
    <col min="5" max="5" width="18.25" style="64" customWidth="1"/>
    <col min="6" max="6" width="17.25" style="64" customWidth="1"/>
    <col min="7" max="16384" width="23.25" style="64"/>
  </cols>
  <sheetData>
    <row r="1" spans="1:6" x14ac:dyDescent="0.35">
      <c r="B1" s="62" t="s">
        <v>120</v>
      </c>
      <c r="D1" s="62"/>
      <c r="E1" s="62"/>
      <c r="F1" s="62"/>
    </row>
    <row r="2" spans="1:6" x14ac:dyDescent="0.35">
      <c r="A2" s="64" t="s">
        <v>121</v>
      </c>
      <c r="B2" s="61" t="s">
        <v>282</v>
      </c>
      <c r="C2" s="167"/>
      <c r="D2" s="61"/>
      <c r="E2" s="14"/>
      <c r="F2" s="61"/>
    </row>
    <row r="3" spans="1:6" x14ac:dyDescent="0.35">
      <c r="C3" s="14"/>
      <c r="D3" s="14"/>
    </row>
    <row r="4" spans="1:6" x14ac:dyDescent="0.35">
      <c r="A4" s="14" t="s">
        <v>163</v>
      </c>
      <c r="B4" s="14"/>
      <c r="D4" s="14"/>
    </row>
    <row r="6" spans="1:6" ht="21" x14ac:dyDescent="0.5">
      <c r="A6" s="15" t="s">
        <v>172</v>
      </c>
    </row>
    <row r="7" spans="1:6" ht="241" customHeight="1" x14ac:dyDescent="0.35">
      <c r="A7" s="106">
        <v>1</v>
      </c>
      <c r="B7" s="103" t="s">
        <v>173</v>
      </c>
    </row>
    <row r="8" spans="1:6" ht="408" customHeight="1" x14ac:dyDescent="0.35">
      <c r="A8" s="106">
        <v>2</v>
      </c>
      <c r="B8" s="103" t="s">
        <v>195</v>
      </c>
    </row>
    <row r="9" spans="1:6" ht="195.5" customHeight="1" x14ac:dyDescent="0.35">
      <c r="A9" s="106">
        <f>A8+1</f>
        <v>3</v>
      </c>
      <c r="B9" s="104" t="s">
        <v>178</v>
      </c>
    </row>
    <row r="10" spans="1:6" ht="236" customHeight="1" x14ac:dyDescent="0.35">
      <c r="A10" s="106">
        <v>4</v>
      </c>
      <c r="B10" s="104" t="s">
        <v>179</v>
      </c>
    </row>
    <row r="11" spans="1:6" ht="21" x14ac:dyDescent="0.35">
      <c r="A11" s="106">
        <f>A10+1</f>
        <v>5</v>
      </c>
      <c r="B11" s="64" t="s">
        <v>193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4" customFormat="1" ht="21" x14ac:dyDescent="0.5">
      <c r="A1" s="15" t="s">
        <v>168</v>
      </c>
    </row>
    <row r="2" spans="1:32" s="64"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60">
        <f>Assumptions!$C$24*('Price and Financial ratios'!E4+1)*(1+Assumptions!$C$13)</f>
        <v>564409702.3930006</v>
      </c>
      <c r="D5" s="60">
        <f>C5*('Price and Financial ratios'!F4+1)*(1+Assumptions!$C$13)</f>
        <v>630609096.11966217</v>
      </c>
      <c r="E5" s="60">
        <f>D5*('Price and Financial ratios'!G4+1)*(1+Assumptions!$C$13)</f>
        <v>691762572.88510108</v>
      </c>
      <c r="F5" s="60">
        <f>E5*('Price and Financial ratios'!H4+1)*(1+Assumptions!$C$13)</f>
        <v>744793711.99672484</v>
      </c>
      <c r="G5" s="60">
        <f>F5*('Price and Financial ratios'!I4+1)*(1+Assumptions!$C$13)</f>
        <v>779195258.2612536</v>
      </c>
      <c r="H5" s="60">
        <f>G5*('Price and Financial ratios'!J4+1)*(1+Assumptions!$C$13)</f>
        <v>811545154.42731428</v>
      </c>
      <c r="I5" s="60">
        <f>H5*('Price and Financial ratios'!K4+1)*(1+Assumptions!$C$13)</f>
        <v>842435500.17368615</v>
      </c>
      <c r="J5" s="60">
        <f>I5*('Price and Financial ratios'!L4+1)*(1+Assumptions!$C$13)</f>
        <v>874501644.27844238</v>
      </c>
      <c r="K5" s="60">
        <f>J5*('Price and Financial ratios'!M4+1)*(1+Assumptions!$C$13)</f>
        <v>907788341.88258815</v>
      </c>
      <c r="L5" s="60">
        <f>K5*('Price and Financial ratios'!N4+1)*(1+Assumptions!$C$13)</f>
        <v>942342051.66977441</v>
      </c>
      <c r="M5" s="60">
        <f>L5*('Price and Financial ratios'!O4+1)*(1+Assumptions!$C$13)</f>
        <v>978211000.70929694</v>
      </c>
      <c r="N5" s="60">
        <f>M5*('Price and Financial ratios'!P4+1)*(1+Assumptions!$C$13)</f>
        <v>1015445251.7672533</v>
      </c>
      <c r="O5" s="60">
        <f>N5*('Price and Financial ratios'!Q4+1)*(1+Assumptions!$C$13)</f>
        <v>1054096773.1798077</v>
      </c>
      <c r="P5" s="60">
        <f>O5*('Price and Financial ratios'!R4+1)*(1+Assumptions!$C$13)</f>
        <v>1094219511.3860841</v>
      </c>
      <c r="Q5" s="60">
        <f>P5*('Price and Financial ratios'!S4+1)*(1+Assumptions!$C$13)</f>
        <v>1135869466.2219236</v>
      </c>
      <c r="R5" s="60">
        <f>Q5*('Price and Financial ratios'!T4+1)*(1+Assumptions!$C$13)</f>
        <v>1179104769.0795968</v>
      </c>
      <c r="S5" s="60">
        <f>R5*('Price and Financial ratios'!U4+1)*(1+Assumptions!$C$13)</f>
        <v>1223985764.0425541</v>
      </c>
      <c r="T5" s="60">
        <f>S5*('Price and Financial ratios'!V4+1)*(1+Assumptions!$C$13)</f>
        <v>1270575092.1084614</v>
      </c>
      <c r="U5" s="60">
        <f>T5*('Price and Financial ratios'!W4+1)*(1+Assumptions!$C$13)</f>
        <v>1318937778.6180682</v>
      </c>
      <c r="V5" s="60">
        <f>U5*('Price and Financial ratios'!X4+1)*(1+Assumptions!$C$13)</f>
        <v>1369141324.0119343</v>
      </c>
      <c r="W5" s="60">
        <f>V5*('Price and Financial ratios'!Y4+1)*(1+Assumptions!$C$13)</f>
        <v>1421255798.041687</v>
      </c>
      <c r="X5" s="60">
        <f>W5*('Price and Financial ratios'!Z4+1)*(1+Assumptions!$C$13)</f>
        <v>1475353937.5672994</v>
      </c>
      <c r="Y5" s="60">
        <f>X5*('Price and Financial ratios'!AA4+1)*(1+Assumptions!$C$13)</f>
        <v>1531511248.0768857</v>
      </c>
      <c r="Z5" s="60">
        <f>Y5*('Price and Financial ratios'!AB4+1)*(1+Assumptions!$C$13)</f>
        <v>1589806109.0707107</v>
      </c>
      <c r="AA5" s="60">
        <f>Z5*('Price and Financial ratios'!AC4+1)*(1+Assumptions!$C$13)</f>
        <v>1650319883.4564917</v>
      </c>
      <c r="AB5" s="60">
        <f>AA5*('Price and Financial ratios'!AD4+1)*(1+Assumptions!$C$13)</f>
        <v>1713137031.1086855</v>
      </c>
      <c r="AC5" s="60">
        <f>AB5*('Price and Financial ratios'!AE4+1)*(1+Assumptions!$C$13)</f>
        <v>1778345226.7502503</v>
      </c>
      <c r="AD5" s="60">
        <f>AC5*('Price and Financial ratios'!AF4+1)*(1+Assumptions!$C$13)</f>
        <v>1846035482.3214152</v>
      </c>
      <c r="AE5" s="60">
        <f>AD5*('Price and Financial ratios'!AG4+1)*(1+Assumptions!$C$13)</f>
        <v>1916302274.006247</v>
      </c>
      <c r="AF5" s="60">
        <f>AE5*('Price and Financial ratios'!AH4+1)*(1+Assumptions!$C$13)</f>
        <v>1989243674.09431</v>
      </c>
    </row>
    <row r="6" spans="1:32" s="11" customFormat="1" x14ac:dyDescent="0.35">
      <c r="A6" s="11" t="s">
        <v>20</v>
      </c>
      <c r="C6" s="60">
        <f>C27</f>
        <v>336246400.83232832</v>
      </c>
      <c r="D6" s="60">
        <f t="shared" ref="D6:AF6" si="1">D27</f>
        <v>346915417.00006437</v>
      </c>
      <c r="E6" s="60">
        <f>E27</f>
        <v>357932890.01451921</v>
      </c>
      <c r="F6" s="60">
        <f t="shared" si="1"/>
        <v>369310389.99070209</v>
      </c>
      <c r="G6" s="60">
        <f t="shared" si="1"/>
        <v>350900585.8378346</v>
      </c>
      <c r="H6" s="60">
        <f t="shared" si="1"/>
        <v>284454218.17592758</v>
      </c>
      <c r="I6" s="60">
        <f t="shared" si="1"/>
        <v>266847498.17662293</v>
      </c>
      <c r="J6" s="60">
        <f t="shared" si="1"/>
        <v>249980480.57689816</v>
      </c>
      <c r="K6" s="60">
        <f t="shared" si="1"/>
        <v>233800794.70158491</v>
      </c>
      <c r="L6" s="60">
        <f t="shared" si="1"/>
        <v>227571875.56730089</v>
      </c>
      <c r="M6" s="60">
        <f t="shared" si="1"/>
        <v>221274896.80792075</v>
      </c>
      <c r="N6" s="60">
        <f t="shared" si="1"/>
        <v>214901751.82118565</v>
      </c>
      <c r="O6" s="60">
        <f t="shared" si="1"/>
        <v>208444024.09588793</v>
      </c>
      <c r="P6" s="60">
        <f t="shared" si="1"/>
        <v>201892972.31102741</v>
      </c>
      <c r="Q6" s="60">
        <f t="shared" si="1"/>
        <v>196975050.45377663</v>
      </c>
      <c r="R6" s="60">
        <f t="shared" si="1"/>
        <v>191901220.98936087</v>
      </c>
      <c r="S6" s="60">
        <f t="shared" si="1"/>
        <v>186662536.57031006</v>
      </c>
      <c r="T6" s="60">
        <f t="shared" si="1"/>
        <v>181249643.47204798</v>
      </c>
      <c r="U6" s="60">
        <f t="shared" si="1"/>
        <v>175652763.57452768</v>
      </c>
      <c r="V6" s="60">
        <f t="shared" si="1"/>
        <v>180107209.77519417</v>
      </c>
      <c r="W6" s="60">
        <f t="shared" si="1"/>
        <v>184655649.79006433</v>
      </c>
      <c r="X6" s="60">
        <f t="shared" si="1"/>
        <v>189299102.99275357</v>
      </c>
      <c r="Y6" s="60">
        <f t="shared" si="1"/>
        <v>194038540.93285739</v>
      </c>
      <c r="Z6" s="60">
        <f t="shared" si="1"/>
        <v>198874882.58251804</v>
      </c>
      <c r="AA6" s="60">
        <f t="shared" si="1"/>
        <v>203808989.30274463</v>
      </c>
      <c r="AB6" s="60">
        <f t="shared" si="1"/>
        <v>208841659.51546037</v>
      </c>
      <c r="AC6" s="60">
        <f t="shared" si="1"/>
        <v>213973623.06659514</v>
      </c>
      <c r="AD6" s="60">
        <f t="shared" si="1"/>
        <v>219205535.26487195</v>
      </c>
      <c r="AE6" s="60">
        <f t="shared" si="1"/>
        <v>224537970.58022577</v>
      </c>
      <c r="AF6" s="60">
        <f t="shared" si="1"/>
        <v>229971415.98505795</v>
      </c>
    </row>
    <row r="7" spans="1:32" x14ac:dyDescent="0.35">
      <c r="A7" t="s">
        <v>21</v>
      </c>
      <c r="C7" s="4">
        <f>Depreciation!C8+Depreciation!C9</f>
        <v>359988945.15553027</v>
      </c>
      <c r="D7" s="4">
        <f>Depreciation!D8+Depreciation!D9</f>
        <v>371488823.84207743</v>
      </c>
      <c r="E7" s="4">
        <f>Depreciation!E8+Depreciation!E9</f>
        <v>383305644.05884969</v>
      </c>
      <c r="F7" s="4">
        <f>Depreciation!F8+Depreciation!F9</f>
        <v>395447520.62045783</v>
      </c>
      <c r="G7" s="4">
        <f>Depreciation!G8+Depreciation!G9</f>
        <v>407657502.29224771</v>
      </c>
      <c r="H7" s="4">
        <f>Depreciation!H8+Depreciation!H9</f>
        <v>419945264.30431598</v>
      </c>
      <c r="I7" s="4">
        <f>Depreciation!I8+Depreciation!I9</f>
        <v>432320249.24111205</v>
      </c>
      <c r="J7" s="4">
        <f>Depreciation!J8+Depreciation!J9</f>
        <v>444791682.04486179</v>
      </c>
      <c r="K7" s="4">
        <f>Depreciation!K8+Depreciation!K9</f>
        <v>457368584.33874828</v>
      </c>
      <c r="L7" s="4">
        <f>Depreciation!L8+Depreciation!L9</f>
        <v>470155824.83958197</v>
      </c>
      <c r="M7" s="4">
        <f>Depreciation!M8+Depreciation!M9</f>
        <v>496451836.30515844</v>
      </c>
      <c r="N7" s="4">
        <f>Depreciation!N8+Depreciation!N9</f>
        <v>522927870.15444833</v>
      </c>
      <c r="O7" s="4">
        <f>Depreciation!O8+Depreciation!O9</f>
        <v>549587402.58715367</v>
      </c>
      <c r="P7" s="4">
        <f>Depreciation!P8+Depreciation!P9</f>
        <v>576433782.84511864</v>
      </c>
      <c r="Q7" s="4">
        <f>Depreciation!Q8+Depreciation!Q9</f>
        <v>603597968.8926245</v>
      </c>
      <c r="R7" s="4">
        <f>Depreciation!R8+Depreciation!R9</f>
        <v>631082833.43706274</v>
      </c>
      <c r="S7" s="4">
        <f>Depreciation!S8+Depreciation!S9</f>
        <v>658891156.33400404</v>
      </c>
      <c r="T7" s="4">
        <f>Depreciation!T8+Depreciation!T9</f>
        <v>687025618.72436357</v>
      </c>
      <c r="U7" s="4">
        <f>Depreciation!U8+Depreciation!U9</f>
        <v>715488796.94546497</v>
      </c>
      <c r="V7" s="4">
        <f>Depreciation!V8+Depreciation!V9</f>
        <v>744751702.71532369</v>
      </c>
      <c r="W7" s="4">
        <f>Depreciation!W8+Depreciation!W9</f>
        <v>779399389.54709852</v>
      </c>
      <c r="X7" s="4">
        <f>Depreciation!X8+Depreciation!X9</f>
        <v>815045166.04940057</v>
      </c>
      <c r="Y7" s="4">
        <f>Depreciation!Y8+Depreciation!Y9</f>
        <v>851713214.69370699</v>
      </c>
      <c r="Z7" s="4">
        <f>Depreciation!Z8+Depreciation!Z9</f>
        <v>889428245.96524644</v>
      </c>
      <c r="AA7" s="4">
        <f>Depreciation!AA8+Depreciation!AA9</f>
        <v>928215508.94573784</v>
      </c>
      <c r="AB7" s="4">
        <f>Depreciation!AB8+Depreciation!AB9</f>
        <v>968100802.08932638</v>
      </c>
      <c r="AC7" s="4">
        <f>Depreciation!AC8+Depreciation!AC9</f>
        <v>1009110484.194785</v>
      </c>
      <c r="AD7" s="4">
        <f>Depreciation!AD8+Depreciation!AD9</f>
        <v>1051271485.5771039</v>
      </c>
      <c r="AE7" s="4">
        <f>Depreciation!AE8+Depreciation!AE9</f>
        <v>1094611319.4416111</v>
      </c>
      <c r="AF7" s="4">
        <f>Depreciation!AF8+Depreciation!AF9</f>
        <v>1139158093.4638128</v>
      </c>
    </row>
    <row r="8" spans="1:32" x14ac:dyDescent="0.35">
      <c r="A8" t="s">
        <v>6</v>
      </c>
      <c r="C8" s="4">
        <f ca="1">'Debt worksheet'!C11</f>
        <v>68759707.211645439</v>
      </c>
      <c r="D8" s="4">
        <f ca="1">'Debt worksheet'!D11</f>
        <v>81405226.498336941</v>
      </c>
      <c r="E8" s="4">
        <f ca="1">'Debt worksheet'!E11</f>
        <v>93193547.067687437</v>
      </c>
      <c r="F8" s="4">
        <f ca="1">'Debt worksheet'!F11</f>
        <v>104412151.03711264</v>
      </c>
      <c r="G8" s="4">
        <f ca="1">'Debt worksheet'!G11</f>
        <v>114236532.88251346</v>
      </c>
      <c r="H8" s="4">
        <f ca="1">'Debt worksheet'!H11</f>
        <v>119143532.77790423</v>
      </c>
      <c r="I8" s="4">
        <f ca="1">'Debt worksheet'!I11</f>
        <v>122568888.85436311</v>
      </c>
      <c r="J8" s="4">
        <f ca="1">'Debt worksheet'!J11</f>
        <v>124454183.3145936</v>
      </c>
      <c r="K8" s="4">
        <f ca="1">'Debt worksheet'!K11</f>
        <v>124735037.72993289</v>
      </c>
      <c r="L8" s="4">
        <f ca="1">'Debt worksheet'!L11</f>
        <v>123827207.87053303</v>
      </c>
      <c r="M8" s="4">
        <f ca="1">'Debt worksheet'!M11</f>
        <v>142192576.61945352</v>
      </c>
      <c r="N8" s="4">
        <f ca="1">'Debt worksheet'!N11</f>
        <v>159885109.61199793</v>
      </c>
      <c r="O8" s="4">
        <f ca="1">'Debt worksheet'!O11</f>
        <v>176824387.58920783</v>
      </c>
      <c r="P8" s="4">
        <f ca="1">'Debt worksheet'!P11</f>
        <v>192924575.36791131</v>
      </c>
      <c r="Q8" s="4">
        <f ca="1">'Debt worksheet'!Q11</f>
        <v>208354480.69525534</v>
      </c>
      <c r="R8" s="4">
        <f ca="1">'Debt worksheet'!R11</f>
        <v>223024128.23022079</v>
      </c>
      <c r="S8" s="4">
        <f ca="1">'Debt worksheet'!S11</f>
        <v>236837536.26534674</v>
      </c>
      <c r="T8" s="4">
        <f ca="1">'Debt worksheet'!T11</f>
        <v>249692391.0384748</v>
      </c>
      <c r="U8" s="4">
        <f ca="1">'Debt worksheet'!U11</f>
        <v>261479705.13304195</v>
      </c>
      <c r="V8" s="4">
        <f ca="1">'Debt worksheet'!V11</f>
        <v>273178807.80484486</v>
      </c>
      <c r="W8" s="4">
        <f ca="1">'Debt worksheet'!W11</f>
        <v>291794880.74060088</v>
      </c>
      <c r="X8" s="4">
        <f ca="1">'Debt worksheet'!X11</f>
        <v>310726156.69510651</v>
      </c>
      <c r="Y8" s="4">
        <f ca="1">'Debt worksheet'!Y11</f>
        <v>329940847.1792658</v>
      </c>
      <c r="Z8" s="4">
        <f ca="1">'Debt worksheet'!Z11</f>
        <v>349403654.43606502</v>
      </c>
      <c r="AA8" s="4">
        <f ca="1">'Debt worksheet'!AA11</f>
        <v>369075539.7983703</v>
      </c>
      <c r="AB8" s="4">
        <f ca="1">'Debt worksheet'!AB11</f>
        <v>388913479.3801136</v>
      </c>
      <c r="AC8" s="4">
        <f ca="1">'Debt worksheet'!AC11</f>
        <v>408870206.47293025</v>
      </c>
      <c r="AD8" s="4">
        <f ca="1">'Debt worksheet'!AD11</f>
        <v>428893939.99096876</v>
      </c>
      <c r="AE8" s="4">
        <f ca="1">'Debt worksheet'!AE11</f>
        <v>448928098.27593654</v>
      </c>
      <c r="AF8" s="4">
        <f ca="1">'Debt worksheet'!AF11</f>
        <v>468910997.54241335</v>
      </c>
    </row>
    <row r="9" spans="1:32" x14ac:dyDescent="0.35">
      <c r="A9" t="s">
        <v>22</v>
      </c>
      <c r="C9" s="4">
        <f ca="1">C5-C6-C7-C8</f>
        <v>-200585350.80650342</v>
      </c>
      <c r="D9" s="4">
        <f t="shared" ref="D9:AF9" ca="1" si="2">D5-D6-D7-D8</f>
        <v>-169200371.22081658</v>
      </c>
      <c r="E9" s="4">
        <f t="shared" ca="1" si="2"/>
        <v>-142669508.25595528</v>
      </c>
      <c r="F9" s="4">
        <f t="shared" ca="1" si="2"/>
        <v>-124376349.65154772</v>
      </c>
      <c r="G9" s="4">
        <f t="shared" ca="1" si="2"/>
        <v>-93599362.751342177</v>
      </c>
      <c r="H9" s="4">
        <f t="shared" ca="1" si="2"/>
        <v>-11997860.83083351</v>
      </c>
      <c r="I9" s="4">
        <f t="shared" ca="1" si="2"/>
        <v>20698863.901587993</v>
      </c>
      <c r="J9" s="4">
        <f t="shared" ca="1" si="2"/>
        <v>55275298.342088893</v>
      </c>
      <c r="K9" s="4">
        <f t="shared" ca="1" si="2"/>
        <v>91883925.112322047</v>
      </c>
      <c r="L9" s="4">
        <f t="shared" ca="1" si="2"/>
        <v>120787143.3923585</v>
      </c>
      <c r="M9" s="4">
        <f t="shared" ca="1" si="2"/>
        <v>118291690.97676429</v>
      </c>
      <c r="N9" s="4">
        <f t="shared" ca="1" si="2"/>
        <v>117730520.17962131</v>
      </c>
      <c r="O9" s="4">
        <f t="shared" ca="1" si="2"/>
        <v>119240958.90755826</v>
      </c>
      <c r="P9" s="4">
        <f t="shared" ca="1" si="2"/>
        <v>122968180.86202672</v>
      </c>
      <c r="Q9" s="4">
        <f t="shared" ca="1" si="2"/>
        <v>126941966.18026716</v>
      </c>
      <c r="R9" s="4">
        <f t="shared" ca="1" si="2"/>
        <v>133096586.42295241</v>
      </c>
      <c r="S9" s="4">
        <f t="shared" ca="1" si="2"/>
        <v>141594534.87289324</v>
      </c>
      <c r="T9" s="4">
        <f t="shared" ca="1" si="2"/>
        <v>152607438.87357497</v>
      </c>
      <c r="U9" s="4">
        <f t="shared" ca="1" si="2"/>
        <v>166316512.96503356</v>
      </c>
      <c r="V9" s="4">
        <f t="shared" ca="1" si="2"/>
        <v>171103603.71657157</v>
      </c>
      <c r="W9" s="4">
        <f t="shared" ca="1" si="2"/>
        <v>165405877.96392328</v>
      </c>
      <c r="X9" s="4">
        <f t="shared" ca="1" si="2"/>
        <v>160283511.83003879</v>
      </c>
      <c r="Y9" s="4">
        <f t="shared" ca="1" si="2"/>
        <v>155818645.2710554</v>
      </c>
      <c r="Z9" s="4">
        <f t="shared" ca="1" si="2"/>
        <v>152099326.0868811</v>
      </c>
      <c r="AA9" s="4">
        <f t="shared" ca="1" si="2"/>
        <v>149219845.40963894</v>
      </c>
      <c r="AB9" s="4">
        <f t="shared" ca="1" si="2"/>
        <v>147281090.12378502</v>
      </c>
      <c r="AC9" s="4">
        <f t="shared" ca="1" si="2"/>
        <v>146390913.01594001</v>
      </c>
      <c r="AD9" s="4">
        <f t="shared" ca="1" si="2"/>
        <v>146664521.48847073</v>
      </c>
      <c r="AE9" s="4">
        <f t="shared" ca="1" si="2"/>
        <v>148224885.70847374</v>
      </c>
      <c r="AF9" s="4">
        <f t="shared" ca="1" si="2"/>
        <v>151203167.10302579</v>
      </c>
    </row>
    <row r="12" spans="1:32" x14ac:dyDescent="0.35">
      <c r="A12" t="s">
        <v>103</v>
      </c>
      <c r="C12" s="2">
        <f>Assumptions!$C$25*Assumptions!D9*Assumptions!D13</f>
        <v>292671074.61735833</v>
      </c>
      <c r="D12" s="2">
        <f>Assumptions!$C$25*Assumptions!E9*Assumptions!E13</f>
        <v>303811194.9613362</v>
      </c>
      <c r="E12" s="2">
        <f>Assumptions!$C$25*Assumptions!F9*Assumptions!F13</f>
        <v>315375348.60426772</v>
      </c>
      <c r="F12" s="2">
        <f>Assumptions!$C$25*Assumptions!G9*Assumptions!G13</f>
        <v>327379675.78818536</v>
      </c>
      <c r="G12" s="2">
        <f>Assumptions!$C$25*Assumptions!H9*Assumptions!H13</f>
        <v>339840931.1111483</v>
      </c>
      <c r="H12" s="2">
        <f>Assumptions!$C$25*Assumptions!I9*Assumptions!I13</f>
        <v>352776506.91185695</v>
      </c>
      <c r="I12" s="2">
        <f>Assumptions!$C$25*Assumptions!J9*Assumptions!J13</f>
        <v>366204457.54436928</v>
      </c>
      <c r="J12" s="2">
        <f>Assumptions!$C$25*Assumptions!K9*Assumptions!K13</f>
        <v>380143524.57680184</v>
      </c>
      <c r="K12" s="2">
        <f>Assumptions!$C$25*Assumptions!L9*Assumptions!L13</f>
        <v>394613162.9491834</v>
      </c>
      <c r="L12" s="2">
        <f>Assumptions!$C$25*Assumptions!M9*Assumptions!M13</f>
        <v>409633568.1269725</v>
      </c>
      <c r="M12" s="2">
        <f>Assumptions!$C$25*Assumptions!N9*Assumptions!N13</f>
        <v>425225704.28813475</v>
      </c>
      <c r="N12" s="2">
        <f>Assumptions!$C$25*Assumptions!O9*Assumptions!O13</f>
        <v>441411333.58312368</v>
      </c>
      <c r="O12" s="2">
        <f>Assumptions!$C$25*Assumptions!P9*Assumptions!P13</f>
        <v>458213046.50860083</v>
      </c>
      <c r="P12" s="2">
        <f>Assumptions!$C$25*Assumptions!Q9*Assumptions!Q13</f>
        <v>475654293.43729126</v>
      </c>
      <c r="Q12" s="2">
        <f>Assumptions!$C$25*Assumptions!R9*Assumptions!R13</f>
        <v>493759417.34797823</v>
      </c>
      <c r="R12" s="2">
        <f>Assumptions!$C$25*Assumptions!S9*Assumptions!S13</f>
        <v>512553687.80132037</v>
      </c>
      <c r="S12" s="2">
        <f>Assumptions!$C$25*Assumptions!T9*Assumptions!T13</f>
        <v>532063336.20891094</v>
      </c>
      <c r="T12" s="2">
        <f>Assumptions!$C$25*Assumptions!U9*Assumptions!U13</f>
        <v>552315592.44480646</v>
      </c>
      <c r="U12" s="2">
        <f>Assumptions!$C$25*Assumptions!V9*Assumptions!V13</f>
        <v>573338722.85062099</v>
      </c>
      <c r="V12" s="2">
        <f>Assumptions!$C$25*Assumptions!W9*Assumptions!W13</f>
        <v>595162069.68723273</v>
      </c>
      <c r="W12" s="2">
        <f>Assumptions!$C$25*Assumptions!X9*Assumptions!X13</f>
        <v>617816092.08816576</v>
      </c>
      <c r="X12" s="2">
        <f>Assumptions!$C$25*Assumptions!Y9*Assumptions!Y13</f>
        <v>641332408.57180381</v>
      </c>
      <c r="Y12" s="2">
        <f>Assumptions!$C$25*Assumptions!Z9*Assumptions!Z13</f>
        <v>665743841.17177594</v>
      </c>
      <c r="Z12" s="2">
        <f>Assumptions!$C$25*Assumptions!AA9*Assumptions!AA13</f>
        <v>691084461.24710155</v>
      </c>
      <c r="AA12" s="2">
        <f>Assumptions!$C$25*Assumptions!AB9*Assumptions!AB13</f>
        <v>717389637.03603542</v>
      </c>
      <c r="AB12" s="2">
        <f>Assumptions!$C$25*Assumptions!AC9*Assumptions!AC13</f>
        <v>744696083.01998746</v>
      </c>
      <c r="AC12" s="2">
        <f>Assumptions!$C$25*Assumptions!AD9*Assumptions!AD13</f>
        <v>773041911.16640687</v>
      </c>
      <c r="AD12" s="2">
        <f>Assumptions!$C$25*Assumptions!AE9*Assumptions!AE13</f>
        <v>802466684.12216151</v>
      </c>
      <c r="AE12" s="2">
        <f>Assumptions!$C$25*Assumptions!AF9*Assumptions!AF13</f>
        <v>833011470.43164396</v>
      </c>
      <c r="AF12" s="2">
        <f>Assumptions!$C$25*Assumptions!AG9*Assumptions!AG13</f>
        <v>864718901.85668325</v>
      </c>
    </row>
    <row r="13" spans="1:32" x14ac:dyDescent="0.35">
      <c r="A13" t="s">
        <v>223</v>
      </c>
      <c r="C13" s="5">
        <f>Assumptions!D47*Assumptions!D9</f>
        <v>44942661.847653352</v>
      </c>
      <c r="D13" s="5">
        <f>Assumptions!E47*Assumptions!E9</f>
        <v>45931400.408301719</v>
      </c>
      <c r="E13" s="5">
        <f>Assumptions!F47*Assumptions!F9</f>
        <v>46941891.217284359</v>
      </c>
      <c r="F13" s="5">
        <f>Assumptions!G47*Assumptions!G9</f>
        <v>47974612.82406462</v>
      </c>
      <c r="G13" s="5">
        <f>Assumptions!H47*Assumptions!H9</f>
        <v>49030054.306194037</v>
      </c>
      <c r="H13" s="5">
        <f>Assumptions!I47*Assumptions!I9</f>
        <v>0</v>
      </c>
      <c r="I13" s="5">
        <f>Assumptions!J47*Assumptions!J9</f>
        <v>0</v>
      </c>
      <c r="J13" s="5">
        <f>Assumptions!K47*Assumptions!K9</f>
        <v>0</v>
      </c>
      <c r="K13" s="5">
        <f>Assumptions!L47*Assumptions!L9</f>
        <v>0</v>
      </c>
      <c r="L13" s="5">
        <f>Assumptions!M47*Assumptions!M9</f>
        <v>0</v>
      </c>
      <c r="M13" s="5">
        <f>Assumptions!N47*Assumptions!N9</f>
        <v>0</v>
      </c>
      <c r="N13" s="5">
        <f>Assumptions!O47*Assumptions!O9</f>
        <v>0</v>
      </c>
      <c r="O13" s="5">
        <f>Assumptions!P47*Assumptions!P9</f>
        <v>0</v>
      </c>
      <c r="P13" s="5">
        <f>Assumptions!Q47*Assumptions!Q9</f>
        <v>0</v>
      </c>
      <c r="Q13" s="5">
        <f>Assumptions!R47*Assumptions!R9</f>
        <v>0</v>
      </c>
      <c r="R13" s="5">
        <f>Assumptions!S47*Assumptions!S9</f>
        <v>0</v>
      </c>
      <c r="S13" s="5">
        <f>Assumptions!T47*Assumptions!T9</f>
        <v>0</v>
      </c>
      <c r="T13" s="5">
        <f>Assumptions!U47*Assumptions!U9</f>
        <v>0</v>
      </c>
      <c r="U13" s="5">
        <f>Assumptions!V47*Assumptions!V9</f>
        <v>0</v>
      </c>
      <c r="V13" s="5">
        <f>Assumptions!W47*Assumptions!W9</f>
        <v>0</v>
      </c>
      <c r="W13" s="5">
        <f>Assumptions!X47*Assumptions!X9</f>
        <v>0</v>
      </c>
      <c r="X13" s="5">
        <f>Assumptions!Y47*Assumptions!Y9</f>
        <v>0</v>
      </c>
      <c r="Y13" s="5">
        <f>Assumptions!Z47*Assumptions!Z9</f>
        <v>0</v>
      </c>
      <c r="Z13" s="5">
        <f>Assumptions!AA47*Assumptions!AA9</f>
        <v>0</v>
      </c>
      <c r="AA13" s="5">
        <f>Assumptions!AB47*Assumptions!AB9</f>
        <v>0</v>
      </c>
      <c r="AB13" s="5">
        <f>Assumptions!AC47*Assumptions!AC9</f>
        <v>0</v>
      </c>
      <c r="AC13" s="5">
        <f>Assumptions!AD47*Assumptions!AD9</f>
        <v>0</v>
      </c>
      <c r="AD13" s="5">
        <f>Assumptions!AE47*Assumptions!AE9</f>
        <v>0</v>
      </c>
      <c r="AE13" s="5">
        <f>Assumptions!AF47*Assumptions!AF9</f>
        <v>0</v>
      </c>
      <c r="AF13" s="5">
        <f>Assumptions!AG47*Assumptions!AG9</f>
        <v>0</v>
      </c>
    </row>
    <row r="14" spans="1:32" x14ac:dyDescent="0.35">
      <c r="A14" t="s">
        <v>104</v>
      </c>
      <c r="C14" s="5">
        <f>Assumptions!D129*Assumptions!D9</f>
        <v>0</v>
      </c>
      <c r="D14" s="5">
        <f>Assumptions!E129*Assumptions!E9</f>
        <v>0</v>
      </c>
      <c r="E14" s="5">
        <f>Assumptions!F129*Assumptions!F9</f>
        <v>0</v>
      </c>
      <c r="F14" s="5">
        <f>Assumptions!G129*Assumptions!G9</f>
        <v>0</v>
      </c>
      <c r="G14" s="5">
        <f>Assumptions!H129*Assumptions!H9</f>
        <v>0</v>
      </c>
      <c r="H14" s="5">
        <f>Assumptions!I129*Assumptions!I9</f>
        <v>0</v>
      </c>
      <c r="I14" s="5">
        <f>Assumptions!J129*Assumptions!J9</f>
        <v>0</v>
      </c>
      <c r="J14" s="5">
        <f>Assumptions!K129*Assumptions!K9</f>
        <v>0</v>
      </c>
      <c r="K14" s="5">
        <f>Assumptions!L129*Assumptions!L9</f>
        <v>0</v>
      </c>
      <c r="L14" s="5">
        <f>Assumptions!M129*Assumptions!M9</f>
        <v>0</v>
      </c>
      <c r="M14" s="5">
        <f>Assumptions!N129*Assumptions!N9</f>
        <v>0</v>
      </c>
      <c r="N14" s="5">
        <f>Assumptions!O129*Assumptions!O9</f>
        <v>0</v>
      </c>
      <c r="O14" s="5">
        <f>Assumptions!P129*Assumptions!P9</f>
        <v>0</v>
      </c>
      <c r="P14" s="5">
        <f>Assumptions!Q129*Assumptions!Q9</f>
        <v>0</v>
      </c>
      <c r="Q14" s="5">
        <f>Assumptions!R129*Assumptions!R9</f>
        <v>0</v>
      </c>
      <c r="R14" s="5">
        <f>Assumptions!S129*Assumptions!S9</f>
        <v>0</v>
      </c>
      <c r="S14" s="5">
        <f>Assumptions!T129*Assumptions!T9</f>
        <v>0</v>
      </c>
      <c r="T14" s="5">
        <f>Assumptions!U129*Assumptions!U9</f>
        <v>0</v>
      </c>
      <c r="U14" s="5">
        <f>Assumptions!V129*Assumptions!V9</f>
        <v>0</v>
      </c>
      <c r="V14" s="5">
        <f>Assumptions!W129*Assumptions!W9</f>
        <v>0</v>
      </c>
      <c r="W14" s="5">
        <f>Assumptions!X129*Assumptions!X9</f>
        <v>0</v>
      </c>
      <c r="X14" s="5">
        <f>Assumptions!Y129*Assumptions!Y9</f>
        <v>0</v>
      </c>
      <c r="Y14" s="5">
        <f>Assumptions!Z129*Assumptions!Z9</f>
        <v>0</v>
      </c>
      <c r="Z14" s="5">
        <f>Assumptions!AA129*Assumptions!AA9</f>
        <v>0</v>
      </c>
      <c r="AA14" s="5">
        <f>Assumptions!AB129*Assumptions!AB9</f>
        <v>0</v>
      </c>
      <c r="AB14" s="5">
        <f>Assumptions!AC129*Assumptions!AC9</f>
        <v>0</v>
      </c>
      <c r="AC14" s="5">
        <f>Assumptions!AD129*Assumptions!AD9</f>
        <v>0</v>
      </c>
      <c r="AD14" s="5">
        <f>Assumptions!AE129*Assumptions!AE9</f>
        <v>0</v>
      </c>
      <c r="AE14" s="5">
        <f>Assumptions!AF129*Assumptions!AF9</f>
        <v>0</v>
      </c>
      <c r="AF14" s="5">
        <f>Assumptions!AG129*Assumptions!AG9</f>
        <v>0</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200</v>
      </c>
      <c r="C16" s="38">
        <f>Assumptions!D63</f>
        <v>1</v>
      </c>
      <c r="D16" s="38">
        <f>Assumptions!E63</f>
        <v>1</v>
      </c>
      <c r="E16" s="38">
        <f>Assumptions!F63</f>
        <v>1</v>
      </c>
      <c r="F16" s="38">
        <f>Assumptions!G63</f>
        <v>1</v>
      </c>
      <c r="G16" s="38">
        <f>Assumptions!H63</f>
        <v>0.91125468970206713</v>
      </c>
      <c r="H16" s="38">
        <f>Assumptions!I63</f>
        <v>0.83038510950401068</v>
      </c>
      <c r="I16" s="38">
        <f>Assumptions!J63</f>
        <v>0.75669232529429431</v>
      </c>
      <c r="J16" s="38">
        <f>Assumptions!K63</f>
        <v>0.68953943008598784</v>
      </c>
      <c r="K16" s="38">
        <f>Assumptions!L63</f>
        <v>0.62834603940034706</v>
      </c>
      <c r="L16" s="38">
        <f>Assumptions!M63</f>
        <v>0.59531967300390409</v>
      </c>
      <c r="M16" s="38">
        <f>Assumptions!N63</f>
        <v>0.56402919863025969</v>
      </c>
      <c r="N16" s="38">
        <f>Assumptions!O63</f>
        <v>0.53438337641733979</v>
      </c>
      <c r="O16" s="38">
        <f>Assumptions!P63</f>
        <v>0.50629576214261596</v>
      </c>
      <c r="P16" s="38">
        <f>Assumptions!Q63</f>
        <v>0.47968445516048569</v>
      </c>
      <c r="Q16" s="38">
        <f>Assumptions!R63</f>
        <v>0.45798680143982867</v>
      </c>
      <c r="R16" s="38">
        <f>Assumptions!S63</f>
        <v>0.43727060161436621</v>
      </c>
      <c r="S16" s="38">
        <f>Assumptions!T63</f>
        <v>0.41749146140254167</v>
      </c>
      <c r="T16" s="38">
        <f>Assumptions!U63</f>
        <v>0.39860699461736576</v>
      </c>
      <c r="U16" s="38">
        <f>Assumptions!V63</f>
        <v>0.38057673233391154</v>
      </c>
      <c r="V16" s="38">
        <f>Assumptions!W63</f>
        <v>0.38057673233391154</v>
      </c>
      <c r="W16" s="38">
        <f>Assumptions!X63</f>
        <v>0.38057673233391154</v>
      </c>
      <c r="X16" s="38">
        <f>Assumptions!Y63</f>
        <v>0.38057673233391154</v>
      </c>
      <c r="Y16" s="38">
        <f>Assumptions!Z63</f>
        <v>0.38057673233391154</v>
      </c>
      <c r="Z16" s="38">
        <f>Assumptions!AA63</f>
        <v>0.38057673233391154</v>
      </c>
      <c r="AA16" s="38">
        <f>Assumptions!AB63</f>
        <v>0.38057673233391154</v>
      </c>
      <c r="AB16" s="38">
        <f>Assumptions!AC63</f>
        <v>0.38057673233391154</v>
      </c>
      <c r="AC16" s="38">
        <f>Assumptions!AD63</f>
        <v>0.38057673233391154</v>
      </c>
      <c r="AD16" s="38">
        <f>Assumptions!AE63</f>
        <v>0.38057673233391154</v>
      </c>
      <c r="AE16" s="38">
        <f>Assumptions!AF63</f>
        <v>0.38057673233391154</v>
      </c>
      <c r="AF16" s="38">
        <f>Assumptions!AG63</f>
        <v>0.38057673233391154</v>
      </c>
    </row>
    <row r="17" spans="1:32" x14ac:dyDescent="0.35">
      <c r="A17" t="s">
        <v>81</v>
      </c>
      <c r="C17" s="38">
        <f>Assumptions!D65</f>
        <v>0.99595</v>
      </c>
      <c r="D17" s="38">
        <f>Assumptions!E65</f>
        <v>0.99191640250000002</v>
      </c>
      <c r="E17" s="38">
        <f>Assumptions!F65</f>
        <v>0.98789914106987498</v>
      </c>
      <c r="F17" s="38">
        <f>Assumptions!G65</f>
        <v>0.98389814954854193</v>
      </c>
      <c r="G17" s="38">
        <f>Assumptions!H65</f>
        <v>0.97991336204287038</v>
      </c>
      <c r="H17" s="38">
        <f>Assumptions!I65</f>
        <v>0.97594471292659679</v>
      </c>
      <c r="I17" s="38">
        <f>Assumptions!J65</f>
        <v>0.97199213683924413</v>
      </c>
      <c r="J17" s="38">
        <f>Assumptions!K65</f>
        <v>0.96805556868504516</v>
      </c>
      <c r="K17" s="38">
        <f>Assumptions!L65</f>
        <v>0.96413494363187069</v>
      </c>
      <c r="L17" s="38">
        <f>Assumptions!M65</f>
        <v>0.96023019711016167</v>
      </c>
      <c r="M17" s="38">
        <f>Assumptions!N65</f>
        <v>0.95634126481186554</v>
      </c>
      <c r="N17" s="38">
        <f>Assumptions!O65</f>
        <v>0.95246808268937744</v>
      </c>
      <c r="O17" s="38">
        <f>Assumptions!P65</f>
        <v>0.94861058695448541</v>
      </c>
      <c r="P17" s="38">
        <f>Assumptions!Q65</f>
        <v>0.94476871407731977</v>
      </c>
      <c r="Q17" s="38">
        <f>Assumptions!R65</f>
        <v>0.94094240078530667</v>
      </c>
      <c r="R17" s="38">
        <f>Assumptions!S65</f>
        <v>0.93713158406212616</v>
      </c>
      <c r="S17" s="38">
        <f>Assumptions!T65</f>
        <v>0.93333620114667459</v>
      </c>
      <c r="T17" s="38">
        <f>Assumptions!U65</f>
        <v>0.92955618953203056</v>
      </c>
      <c r="U17" s="38">
        <f>Assumptions!V65</f>
        <v>0.92579148696442581</v>
      </c>
      <c r="V17" s="38">
        <f>Assumptions!W65</f>
        <v>0.92204203144221986</v>
      </c>
      <c r="W17" s="38">
        <f>Assumptions!X65</f>
        <v>0.91830776121487889</v>
      </c>
      <c r="X17" s="38">
        <f>Assumptions!Y65</f>
        <v>0.91458861478195863</v>
      </c>
      <c r="Y17" s="38">
        <f>Assumptions!Z65</f>
        <v>0.91088453089209165</v>
      </c>
      <c r="Z17" s="38">
        <f>Assumptions!AA65</f>
        <v>0.90719544854197864</v>
      </c>
      <c r="AA17" s="38">
        <f>Assumptions!AB65</f>
        <v>0.90352130697538369</v>
      </c>
      <c r="AB17" s="38">
        <f>Assumptions!AC65</f>
        <v>0.89986204568213335</v>
      </c>
      <c r="AC17" s="38">
        <f>Assumptions!AD65</f>
        <v>0.89621760439712073</v>
      </c>
      <c r="AD17" s="38">
        <f>Assumptions!AE65</f>
        <v>0.89258792309931234</v>
      </c>
      <c r="AE17" s="38">
        <f>Assumptions!AF65</f>
        <v>0.88897294201076016</v>
      </c>
      <c r="AF17" s="38">
        <f>Assumptions!AG65</f>
        <v>0.88537260159561659</v>
      </c>
    </row>
    <row r="18" spans="1:32" x14ac:dyDescent="0.35">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row>
    <row r="19" spans="1:32" x14ac:dyDescent="0.35">
      <c r="A19" t="s">
        <v>106</v>
      </c>
      <c r="C19" s="45">
        <f>(C12*C16)-C12</f>
        <v>0</v>
      </c>
      <c r="D19" s="45">
        <f t="shared" ref="D19:AF19" si="3">(D12*D16)-D12</f>
        <v>0</v>
      </c>
      <c r="E19" s="45">
        <f t="shared" si="3"/>
        <v>0</v>
      </c>
      <c r="F19" s="45">
        <f t="shared" si="3"/>
        <v>0</v>
      </c>
      <c r="G19" s="45">
        <f t="shared" si="3"/>
        <v>-30159288.883397281</v>
      </c>
      <c r="H19" s="45">
        <f t="shared" si="3"/>
        <v>-59836148.589412212</v>
      </c>
      <c r="I19" s="45">
        <f t="shared" si="3"/>
        <v>-89100355.031984806</v>
      </c>
      <c r="J19" s="45">
        <f t="shared" si="3"/>
        <v>-118019575.28923517</v>
      </c>
      <c r="K19" s="45">
        <f t="shared" si="3"/>
        <v>-146659544.91482022</v>
      </c>
      <c r="L19" s="45">
        <f t="shared" si="3"/>
        <v>-165770646.29820076</v>
      </c>
      <c r="M19" s="45">
        <f t="shared" si="3"/>
        <v>-185385991.06151032</v>
      </c>
      <c r="N19" s="45">
        <f t="shared" si="3"/>
        <v>-205528454.75409335</v>
      </c>
      <c r="O19" s="45">
        <f t="shared" si="3"/>
        <v>-226221722.90283886</v>
      </c>
      <c r="P19" s="45">
        <f t="shared" si="3"/>
        <v>-247490322.84507841</v>
      </c>
      <c r="Q19" s="45">
        <f t="shared" si="3"/>
        <v>-267624121.11598423</v>
      </c>
      <c r="R19" s="45">
        <f t="shared" si="3"/>
        <v>-288429028.37677497</v>
      </c>
      <c r="S19" s="45">
        <f t="shared" si="3"/>
        <v>-309931436.41634083</v>
      </c>
      <c r="T19" s="45">
        <f t="shared" si="3"/>
        <v>-332158734.0600723</v>
      </c>
      <c r="U19" s="45">
        <f t="shared" si="3"/>
        <v>-355139345.18763351</v>
      </c>
      <c r="V19" s="45">
        <f t="shared" si="3"/>
        <v>-368657233.99657798</v>
      </c>
      <c r="W19" s="45">
        <f t="shared" si="3"/>
        <v>-382689662.57794464</v>
      </c>
      <c r="X19" s="45">
        <f t="shared" si="3"/>
        <v>-397256216.17770964</v>
      </c>
      <c r="Y19" s="45">
        <f t="shared" si="3"/>
        <v>-412377225.52719486</v>
      </c>
      <c r="Z19" s="45">
        <f t="shared" si="3"/>
        <v>-428073795.21893793</v>
      </c>
      <c r="AA19" s="45">
        <f t="shared" si="3"/>
        <v>-444367833.16265023</v>
      </c>
      <c r="AB19" s="45">
        <f t="shared" si="3"/>
        <v>-461282081.16237736</v>
      </c>
      <c r="AC19" s="45">
        <f t="shared" si="3"/>
        <v>-478840146.65753382</v>
      </c>
      <c r="AD19" s="45">
        <f t="shared" si="3"/>
        <v>-497066535.67212009</v>
      </c>
      <c r="AE19" s="45">
        <f t="shared" si="3"/>
        <v>-515986687.01810211</v>
      </c>
      <c r="AF19" s="45">
        <f t="shared" si="3"/>
        <v>-535627007.8006984</v>
      </c>
    </row>
    <row r="20" spans="1:32" x14ac:dyDescent="0.35">
      <c r="A20" t="s">
        <v>107</v>
      </c>
      <c r="C20" s="45">
        <f>(C12*C17)-C12</f>
        <v>-1185317.8522003293</v>
      </c>
      <c r="D20" s="45">
        <f t="shared" ref="D20:AF20" si="4">(D12*D17)-D12</f>
        <v>-2455887.416061461</v>
      </c>
      <c r="E20" s="45">
        <f t="shared" si="4"/>
        <v>-3816312.6034992337</v>
      </c>
      <c r="F20" s="45">
        <f t="shared" si="4"/>
        <v>-5271418.5803881884</v>
      </c>
      <c r="G20" s="45">
        <f t="shared" si="4"/>
        <v>-6826261.7462434769</v>
      </c>
      <c r="H20" s="45">
        <f t="shared" si="4"/>
        <v>-8486140.1465171576</v>
      </c>
      <c r="I20" s="45">
        <f t="shared" si="4"/>
        <v>-10256604.335761547</v>
      </c>
      <c r="J20" s="45">
        <f t="shared" si="4"/>
        <v>-12143468.710668504</v>
      </c>
      <c r="K20" s="45">
        <f t="shared" si="4"/>
        <v>-14152823.332778275</v>
      </c>
      <c r="L20" s="45">
        <f t="shared" si="4"/>
        <v>-16291046.261470854</v>
      </c>
      <c r="M20" s="45">
        <f t="shared" si="4"/>
        <v>-18564816.418703675</v>
      </c>
      <c r="N20" s="45">
        <f t="shared" si="4"/>
        <v>-20981127.007844687</v>
      </c>
      <c r="O20" s="45">
        <f t="shared" si="4"/>
        <v>-23547299.509874046</v>
      </c>
      <c r="P20" s="45">
        <f t="shared" si="4"/>
        <v>-26270998.281185448</v>
      </c>
      <c r="Q20" s="45">
        <f t="shared" si="4"/>
        <v>-29160245.778217375</v>
      </c>
      <c r="R20" s="45">
        <f t="shared" si="4"/>
        <v>-32223438.435184538</v>
      </c>
      <c r="S20" s="45">
        <f t="shared" si="4"/>
        <v>-35469363.222260058</v>
      </c>
      <c r="T20" s="45">
        <f t="shared" si="4"/>
        <v>-38907214.912686169</v>
      </c>
      <c r="U20" s="45">
        <f t="shared" si="4"/>
        <v>-42546614.08845979</v>
      </c>
      <c r="V20" s="45">
        <f t="shared" si="4"/>
        <v>-46397625.915460587</v>
      </c>
      <c r="W20" s="45">
        <f t="shared" si="4"/>
        <v>-50470779.720156789</v>
      </c>
      <c r="X20" s="45">
        <f t="shared" si="4"/>
        <v>-54777089.401340604</v>
      </c>
      <c r="Y20" s="45">
        <f t="shared" si="4"/>
        <v>-59328074.711723685</v>
      </c>
      <c r="Z20" s="45">
        <f t="shared" si="4"/>
        <v>-64135783.445645571</v>
      </c>
      <c r="AA20" s="45">
        <f t="shared" si="4"/>
        <v>-69212814.570640564</v>
      </c>
      <c r="AB20" s="45">
        <f t="shared" si="4"/>
        <v>-74572342.342149734</v>
      </c>
      <c r="AC20" s="45">
        <f t="shared" si="4"/>
        <v>-80228141.442277908</v>
      </c>
      <c r="AD20" s="45">
        <f t="shared" si="4"/>
        <v>-86194613.185169458</v>
      </c>
      <c r="AE20" s="45">
        <f t="shared" si="4"/>
        <v>-92486812.833316088</v>
      </c>
      <c r="AF20" s="45">
        <f t="shared" si="4"/>
        <v>-99120478.070926905</v>
      </c>
    </row>
    <row r="21" spans="1:32" x14ac:dyDescent="0.3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2" x14ac:dyDescent="0.35">
      <c r="A22" t="s">
        <v>119</v>
      </c>
      <c r="C22" s="45">
        <f>(C13*C17)-C13</f>
        <v>-182017.78048299253</v>
      </c>
      <c r="D22" s="45">
        <f t="shared" ref="D22:AF22" si="5">(D13*D17)-D13</f>
        <v>-371290.95351204276</v>
      </c>
      <c r="E22" s="45">
        <f t="shared" si="5"/>
        <v>-568037.20353363454</v>
      </c>
      <c r="F22" s="45">
        <f t="shared" si="5"/>
        <v>-772480.04115968943</v>
      </c>
      <c r="G22" s="45">
        <f t="shared" si="5"/>
        <v>-984848.94986692071</v>
      </c>
      <c r="H22" s="45">
        <f t="shared" si="5"/>
        <v>0</v>
      </c>
      <c r="I22" s="45">
        <f t="shared" si="5"/>
        <v>0</v>
      </c>
      <c r="J22" s="45">
        <f t="shared" si="5"/>
        <v>0</v>
      </c>
      <c r="K22" s="45">
        <f t="shared" si="5"/>
        <v>0</v>
      </c>
      <c r="L22" s="45">
        <f t="shared" si="5"/>
        <v>0</v>
      </c>
      <c r="M22" s="45">
        <f t="shared" si="5"/>
        <v>0</v>
      </c>
      <c r="N22" s="45">
        <f t="shared" si="5"/>
        <v>0</v>
      </c>
      <c r="O22" s="45">
        <f t="shared" si="5"/>
        <v>0</v>
      </c>
      <c r="P22" s="45">
        <f t="shared" si="5"/>
        <v>0</v>
      </c>
      <c r="Q22" s="45">
        <f t="shared" si="5"/>
        <v>0</v>
      </c>
      <c r="R22" s="45">
        <f t="shared" si="5"/>
        <v>0</v>
      </c>
      <c r="S22" s="45">
        <f t="shared" si="5"/>
        <v>0</v>
      </c>
      <c r="T22" s="45">
        <f t="shared" si="5"/>
        <v>0</v>
      </c>
      <c r="U22" s="45">
        <f t="shared" si="5"/>
        <v>0</v>
      </c>
      <c r="V22" s="45">
        <f t="shared" si="5"/>
        <v>0</v>
      </c>
      <c r="W22" s="45">
        <f t="shared" si="5"/>
        <v>0</v>
      </c>
      <c r="X22" s="45">
        <f t="shared" si="5"/>
        <v>0</v>
      </c>
      <c r="Y22" s="45">
        <f t="shared" si="5"/>
        <v>0</v>
      </c>
      <c r="Z22" s="45">
        <f t="shared" si="5"/>
        <v>0</v>
      </c>
      <c r="AA22" s="45">
        <f t="shared" si="5"/>
        <v>0</v>
      </c>
      <c r="AB22" s="45">
        <f t="shared" si="5"/>
        <v>0</v>
      </c>
      <c r="AC22" s="45">
        <f t="shared" si="5"/>
        <v>0</v>
      </c>
      <c r="AD22" s="45">
        <f t="shared" si="5"/>
        <v>0</v>
      </c>
      <c r="AE22" s="45">
        <f t="shared" si="5"/>
        <v>0</v>
      </c>
      <c r="AF22" s="45">
        <f t="shared" si="5"/>
        <v>0</v>
      </c>
    </row>
    <row r="24" spans="1:32" x14ac:dyDescent="0.35">
      <c r="A24" t="s">
        <v>108</v>
      </c>
      <c r="C24" s="45">
        <f>(C14*C16)-C14</f>
        <v>0</v>
      </c>
      <c r="D24" s="45">
        <f t="shared" ref="D24:AF24" si="6">(D14*D16)-D14</f>
        <v>0</v>
      </c>
      <c r="E24" s="45">
        <f t="shared" si="6"/>
        <v>0</v>
      </c>
      <c r="F24" s="45">
        <f t="shared" si="6"/>
        <v>0</v>
      </c>
      <c r="G24" s="45">
        <f t="shared" si="6"/>
        <v>0</v>
      </c>
      <c r="H24" s="45">
        <f t="shared" si="6"/>
        <v>0</v>
      </c>
      <c r="I24" s="45">
        <f t="shared" si="6"/>
        <v>0</v>
      </c>
      <c r="J24" s="45">
        <f t="shared" si="6"/>
        <v>0</v>
      </c>
      <c r="K24" s="45">
        <f t="shared" si="6"/>
        <v>0</v>
      </c>
      <c r="L24" s="45">
        <f t="shared" si="6"/>
        <v>0</v>
      </c>
      <c r="M24" s="45">
        <f t="shared" si="6"/>
        <v>0</v>
      </c>
      <c r="N24" s="45">
        <f t="shared" si="6"/>
        <v>0</v>
      </c>
      <c r="O24" s="45">
        <f t="shared" si="6"/>
        <v>0</v>
      </c>
      <c r="P24" s="45">
        <f t="shared" si="6"/>
        <v>0</v>
      </c>
      <c r="Q24" s="45">
        <f t="shared" si="6"/>
        <v>0</v>
      </c>
      <c r="R24" s="45">
        <f t="shared" si="6"/>
        <v>0</v>
      </c>
      <c r="S24" s="45">
        <f t="shared" si="6"/>
        <v>0</v>
      </c>
      <c r="T24" s="45">
        <f t="shared" si="6"/>
        <v>0</v>
      </c>
      <c r="U24" s="45">
        <f t="shared" si="6"/>
        <v>0</v>
      </c>
      <c r="V24" s="45">
        <f t="shared" si="6"/>
        <v>0</v>
      </c>
      <c r="W24" s="45">
        <f t="shared" si="6"/>
        <v>0</v>
      </c>
      <c r="X24" s="45">
        <f t="shared" si="6"/>
        <v>0</v>
      </c>
      <c r="Y24" s="45">
        <f t="shared" si="6"/>
        <v>0</v>
      </c>
      <c r="Z24" s="45">
        <f t="shared" si="6"/>
        <v>0</v>
      </c>
      <c r="AA24" s="45">
        <f t="shared" si="6"/>
        <v>0</v>
      </c>
      <c r="AB24" s="45">
        <f t="shared" si="6"/>
        <v>0</v>
      </c>
      <c r="AC24" s="45">
        <f t="shared" si="6"/>
        <v>0</v>
      </c>
      <c r="AD24" s="45">
        <f t="shared" si="6"/>
        <v>0</v>
      </c>
      <c r="AE24" s="45">
        <f t="shared" si="6"/>
        <v>0</v>
      </c>
      <c r="AF24" s="45">
        <f t="shared" si="6"/>
        <v>0</v>
      </c>
    </row>
    <row r="25" spans="1:32" x14ac:dyDescent="0.35">
      <c r="A25" t="s">
        <v>109</v>
      </c>
      <c r="C25" s="45">
        <f>(C14*C17)-C14</f>
        <v>0</v>
      </c>
      <c r="D25" s="45">
        <f t="shared" ref="D25:AF25" si="7">(D14*D17)-D14</f>
        <v>0</v>
      </c>
      <c r="E25" s="45">
        <f t="shared" si="7"/>
        <v>0</v>
      </c>
      <c r="F25" s="45">
        <f t="shared" si="7"/>
        <v>0</v>
      </c>
      <c r="G25" s="45">
        <f t="shared" si="7"/>
        <v>0</v>
      </c>
      <c r="H25" s="45">
        <f t="shared" si="7"/>
        <v>0</v>
      </c>
      <c r="I25" s="45">
        <f t="shared" si="7"/>
        <v>0</v>
      </c>
      <c r="J25" s="45">
        <f t="shared" si="7"/>
        <v>0</v>
      </c>
      <c r="K25" s="45">
        <f t="shared" si="7"/>
        <v>0</v>
      </c>
      <c r="L25" s="45">
        <f t="shared" si="7"/>
        <v>0</v>
      </c>
      <c r="M25" s="45">
        <f t="shared" si="7"/>
        <v>0</v>
      </c>
      <c r="N25" s="45">
        <f t="shared" si="7"/>
        <v>0</v>
      </c>
      <c r="O25" s="45">
        <f t="shared" si="7"/>
        <v>0</v>
      </c>
      <c r="P25" s="45">
        <f t="shared" si="7"/>
        <v>0</v>
      </c>
      <c r="Q25" s="45">
        <f t="shared" si="7"/>
        <v>0</v>
      </c>
      <c r="R25" s="45">
        <f t="shared" si="7"/>
        <v>0</v>
      </c>
      <c r="S25" s="45">
        <f t="shared" si="7"/>
        <v>0</v>
      </c>
      <c r="T25" s="45">
        <f t="shared" si="7"/>
        <v>0</v>
      </c>
      <c r="U25" s="45">
        <f t="shared" si="7"/>
        <v>0</v>
      </c>
      <c r="V25" s="45">
        <f t="shared" si="7"/>
        <v>0</v>
      </c>
      <c r="W25" s="45">
        <f t="shared" si="7"/>
        <v>0</v>
      </c>
      <c r="X25" s="45">
        <f t="shared" si="7"/>
        <v>0</v>
      </c>
      <c r="Y25" s="45">
        <f t="shared" si="7"/>
        <v>0</v>
      </c>
      <c r="Z25" s="45">
        <f t="shared" si="7"/>
        <v>0</v>
      </c>
      <c r="AA25" s="45">
        <f t="shared" si="7"/>
        <v>0</v>
      </c>
      <c r="AB25" s="45">
        <f t="shared" si="7"/>
        <v>0</v>
      </c>
      <c r="AC25" s="45">
        <f t="shared" si="7"/>
        <v>0</v>
      </c>
      <c r="AD25" s="45">
        <f t="shared" si="7"/>
        <v>0</v>
      </c>
      <c r="AE25" s="45">
        <f t="shared" si="7"/>
        <v>0</v>
      </c>
      <c r="AF25" s="45">
        <f t="shared" si="7"/>
        <v>0</v>
      </c>
    </row>
    <row r="26" spans="1:32" x14ac:dyDescent="0.35">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row>
    <row r="27" spans="1:32" x14ac:dyDescent="0.35">
      <c r="A27" t="s">
        <v>63</v>
      </c>
      <c r="C27" s="2">
        <f>C12+C13+C14+C19+C20+C22+C24+C25</f>
        <v>336246400.83232832</v>
      </c>
      <c r="D27" s="2">
        <f t="shared" ref="D27:AF27" si="8">D12+D13+D14+D19+D20+D22+D24+D25</f>
        <v>346915417.00006437</v>
      </c>
      <c r="E27" s="2">
        <f t="shared" si="8"/>
        <v>357932890.01451921</v>
      </c>
      <c r="F27" s="2">
        <f t="shared" si="8"/>
        <v>369310389.99070209</v>
      </c>
      <c r="G27" s="2">
        <f t="shared" si="8"/>
        <v>350900585.8378346</v>
      </c>
      <c r="H27" s="2">
        <f t="shared" si="8"/>
        <v>284454218.17592758</v>
      </c>
      <c r="I27" s="2">
        <f t="shared" si="8"/>
        <v>266847498.17662293</v>
      </c>
      <c r="J27" s="2">
        <f t="shared" si="8"/>
        <v>249980480.57689816</v>
      </c>
      <c r="K27" s="2">
        <f t="shared" si="8"/>
        <v>233800794.70158491</v>
      </c>
      <c r="L27" s="2">
        <f t="shared" si="8"/>
        <v>227571875.56730089</v>
      </c>
      <c r="M27" s="2">
        <f t="shared" si="8"/>
        <v>221274896.80792075</v>
      </c>
      <c r="N27" s="2">
        <f t="shared" si="8"/>
        <v>214901751.82118565</v>
      </c>
      <c r="O27" s="2">
        <f t="shared" si="8"/>
        <v>208444024.09588793</v>
      </c>
      <c r="P27" s="2">
        <f t="shared" si="8"/>
        <v>201892972.31102741</v>
      </c>
      <c r="Q27" s="2">
        <f t="shared" si="8"/>
        <v>196975050.45377663</v>
      </c>
      <c r="R27" s="2">
        <f t="shared" si="8"/>
        <v>191901220.98936087</v>
      </c>
      <c r="S27" s="2">
        <f t="shared" si="8"/>
        <v>186662536.57031006</v>
      </c>
      <c r="T27" s="2">
        <f t="shared" si="8"/>
        <v>181249643.47204798</v>
      </c>
      <c r="U27" s="2">
        <f t="shared" si="8"/>
        <v>175652763.57452768</v>
      </c>
      <c r="V27" s="2">
        <f t="shared" si="8"/>
        <v>180107209.77519417</v>
      </c>
      <c r="W27" s="2">
        <f t="shared" si="8"/>
        <v>184655649.79006433</v>
      </c>
      <c r="X27" s="2">
        <f t="shared" si="8"/>
        <v>189299102.99275357</v>
      </c>
      <c r="Y27" s="2">
        <f t="shared" si="8"/>
        <v>194038540.93285739</v>
      </c>
      <c r="Z27" s="2">
        <f t="shared" si="8"/>
        <v>198874882.58251804</v>
      </c>
      <c r="AA27" s="2">
        <f t="shared" si="8"/>
        <v>203808989.30274463</v>
      </c>
      <c r="AB27" s="2">
        <f t="shared" si="8"/>
        <v>208841659.51546037</v>
      </c>
      <c r="AC27" s="2">
        <f t="shared" si="8"/>
        <v>213973623.06659514</v>
      </c>
      <c r="AD27" s="2">
        <f t="shared" si="8"/>
        <v>219205535.26487195</v>
      </c>
      <c r="AE27" s="2">
        <f t="shared" si="8"/>
        <v>224537970.58022577</v>
      </c>
      <c r="AF27" s="2">
        <f t="shared" si="8"/>
        <v>229971415.98505795</v>
      </c>
    </row>
    <row r="28" spans="1:32" x14ac:dyDescent="0.35">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row>
    <row r="29" spans="1:32" x14ac:dyDescent="0.35">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2" x14ac:dyDescent="0.35">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row>
    <row r="31" spans="1:32" x14ac:dyDescent="0.35">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row>
    <row r="44" spans="3:32" x14ac:dyDescent="0.35">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row>
  </sheetData>
  <sheetProtection algorithmName="SHA-512" hashValue="kWuAzPK9Pzkip5tUvs28spFhRvsjruRJd4uRSbBjWw2qRNmMmRPadAsC8cQqmuSbphWZN8QLJIMH0/NGMjGLJA==" saltValue="qxgutBLtafoYqlgxCqIE1g=="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4" customFormat="1" ht="21" x14ac:dyDescent="0.5">
      <c r="A1" s="15" t="s">
        <v>169</v>
      </c>
    </row>
    <row r="2" spans="1:42" s="64"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196</v>
      </c>
      <c r="B6" s="1">
        <f>Assumptions!C17</f>
        <v>22810647178.543831</v>
      </c>
      <c r="C6" s="12">
        <f ca="1">B6+Depreciation!C18+'Cash Flow'!C13</f>
        <v>22948063169.249191</v>
      </c>
      <c r="D6" s="1">
        <f ca="1">C6+Depreciation!D18</f>
        <v>23465720772.510479</v>
      </c>
      <c r="E6" s="1">
        <f ca="1">D6+Depreciation!E18</f>
        <v>23996224176.22039</v>
      </c>
      <c r="F6" s="1">
        <f ca="1">E6+Depreciation!F18</f>
        <v>24539852276.348812</v>
      </c>
      <c r="G6" s="1">
        <f ca="1">F6+Depreciation!G18</f>
        <v>25085576985.737831</v>
      </c>
      <c r="H6" s="1">
        <f ca="1">G6+Depreciation!H18</f>
        <v>25633724386.222477</v>
      </c>
      <c r="I6" s="1">
        <f ca="1">H6+Depreciation!I18</f>
        <v>26184610815.83543</v>
      </c>
      <c r="J6" s="1">
        <f ca="1">I6+Depreciation!J18</f>
        <v>26738543352.228966</v>
      </c>
      <c r="K6" s="1">
        <f ca="1">J6+Depreciation!K18</f>
        <v>27295820273.546871</v>
      </c>
      <c r="L6" s="1">
        <f ca="1">K6+Depreciation!L18</f>
        <v>27860825245.795959</v>
      </c>
      <c r="M6" s="1">
        <f ca="1">L6+Depreciation!M18</f>
        <v>29000293594.475609</v>
      </c>
      <c r="N6" s="1">
        <f ca="1">M6+Depreciation!N18</f>
        <v>30146452927.453804</v>
      </c>
      <c r="O6" s="1">
        <f ca="1">N6+Depreciation!O18</f>
        <v>31299260659.725941</v>
      </c>
      <c r="P6" s="1">
        <f ca="1">O6+Depreciation!P18</f>
        <v>32458667988.538902</v>
      </c>
      <c r="Q6" s="1">
        <f ca="1">P6+Depreciation!Q18</f>
        <v>33630062361.535908</v>
      </c>
      <c r="R6" s="1">
        <f ca="1">Q6+Depreciation!R18</f>
        <v>34813374568.109222</v>
      </c>
      <c r="S6" s="1">
        <f ca="1">R6+Depreciation!S18</f>
        <v>36008529060.319717</v>
      </c>
      <c r="T6" s="1">
        <f ca="1">S6+Depreciation!T18</f>
        <v>37215443682.864174</v>
      </c>
      <c r="U6" s="1">
        <f ca="1">T6+Depreciation!U18</f>
        <v>38434029395.476593</v>
      </c>
      <c r="V6" s="1">
        <f ca="1">U6+Depreciation!V18</f>
        <v>39684144778.245712</v>
      </c>
      <c r="W6" s="1">
        <f ca="1">V6+Depreciation!W18</f>
        <v>41160837843.921196</v>
      </c>
      <c r="X6" s="1">
        <f ca="1">W6+Depreciation!X18</f>
        <v>42677060120.500793</v>
      </c>
      <c r="Y6" s="1">
        <f ca="1">X6+Depreciation!Y18</f>
        <v>44233583137.155823</v>
      </c>
      <c r="Z6" s="1">
        <f ca="1">Y6+Depreciation!Z18</f>
        <v>45831190916.545074</v>
      </c>
      <c r="AA6" s="1">
        <f ca="1">Z6+Depreciation!AA18</f>
        <v>47470680138.39489</v>
      </c>
      <c r="AB6" s="1">
        <f ca="1">AA6+Depreciation!AB18</f>
        <v>49152860304.372093</v>
      </c>
      <c r="AC6" s="1">
        <f ca="1">AB6+Depreciation!AC18</f>
        <v>50878553904.234726</v>
      </c>
      <c r="AD6" s="1">
        <f ca="1">AC6+Depreciation!AD18</f>
        <v>52648596583.244255</v>
      </c>
      <c r="AE6" s="1">
        <f ca="1">AD6+Depreciation!AE18</f>
        <v>54463837310.821991</v>
      </c>
      <c r="AF6" s="1"/>
      <c r="AG6" s="1"/>
      <c r="AH6" s="1"/>
      <c r="AI6" s="1"/>
      <c r="AJ6" s="1"/>
      <c r="AK6" s="1"/>
      <c r="AL6" s="1"/>
      <c r="AM6" s="1"/>
      <c r="AN6" s="1"/>
      <c r="AO6" s="1"/>
      <c r="AP6" s="1"/>
    </row>
    <row r="7" spans="1:42" x14ac:dyDescent="0.35">
      <c r="A7" t="s">
        <v>12</v>
      </c>
      <c r="B7" s="1">
        <f>Depreciation!C12</f>
        <v>11765312534.427446</v>
      </c>
      <c r="C7" s="1">
        <f>Depreciation!D12</f>
        <v>12136801358.269524</v>
      </c>
      <c r="D7" s="1">
        <f>Depreciation!E12</f>
        <v>12520107002.328373</v>
      </c>
      <c r="E7" s="1">
        <f>Depreciation!F12</f>
        <v>12915554522.94883</v>
      </c>
      <c r="F7" s="1">
        <f>Depreciation!G12</f>
        <v>13323212025.241076</v>
      </c>
      <c r="G7" s="1">
        <f>Depreciation!H12</f>
        <v>13743157289.545391</v>
      </c>
      <c r="H7" s="1">
        <f>Depreciation!I12</f>
        <v>14175477538.786503</v>
      </c>
      <c r="I7" s="1">
        <f>Depreciation!J12</f>
        <v>14620269220.831364</v>
      </c>
      <c r="J7" s="1">
        <f>Depreciation!K12</f>
        <v>15077637805.170113</v>
      </c>
      <c r="K7" s="1">
        <f>Depreciation!L12</f>
        <v>15547793630.009695</v>
      </c>
      <c r="L7" s="1">
        <f>Depreciation!M12</f>
        <v>16044245466.314854</v>
      </c>
      <c r="M7" s="1">
        <f>Depreciation!N12</f>
        <v>16567173336.469303</v>
      </c>
      <c r="N7" s="1">
        <f>Depreciation!O12</f>
        <v>17116760739.056456</v>
      </c>
      <c r="O7" s="1">
        <f>Depreciation!P12</f>
        <v>17693194521.901573</v>
      </c>
      <c r="P7" s="1">
        <f>Depreciation!Q12</f>
        <v>18296792490.794201</v>
      </c>
      <c r="Q7" s="1">
        <f>Depreciation!R12</f>
        <v>18927875324.231262</v>
      </c>
      <c r="R7" s="1">
        <f>Depreciation!S12</f>
        <v>19586766480.565266</v>
      </c>
      <c r="S7" s="1">
        <f>Depreciation!T12</f>
        <v>20273792099.289631</v>
      </c>
      <c r="T7" s="1">
        <f>Depreciation!U12</f>
        <v>20989280896.235096</v>
      </c>
      <c r="U7" s="1">
        <f>Depreciation!V12</f>
        <v>21734032598.95042</v>
      </c>
      <c r="V7" s="1">
        <f>Depreciation!W12</f>
        <v>22513431988.49752</v>
      </c>
      <c r="W7" s="1">
        <f>Depreciation!X12</f>
        <v>23328477154.546921</v>
      </c>
      <c r="X7" s="1">
        <f>Depreciation!Y12</f>
        <v>24180190369.240627</v>
      </c>
      <c r="Y7" s="1">
        <f>Depreciation!Z12</f>
        <v>25069618615.205872</v>
      </c>
      <c r="Z7" s="1">
        <f>Depreciation!AA12</f>
        <v>25997834124.151608</v>
      </c>
      <c r="AA7" s="1">
        <f>Depreciation!AB12</f>
        <v>26965934926.240932</v>
      </c>
      <c r="AB7" s="1">
        <f>Depreciation!AC12</f>
        <v>27975045410.435719</v>
      </c>
      <c r="AC7" s="1">
        <f>Depreciation!AD12</f>
        <v>29026316896.012821</v>
      </c>
      <c r="AD7" s="1">
        <f>Depreciation!AE12</f>
        <v>30120928215.45443</v>
      </c>
      <c r="AE7" s="1">
        <f>Depreciation!AF12</f>
        <v>31260086308.918243</v>
      </c>
      <c r="AF7" s="1"/>
      <c r="AG7" s="1"/>
      <c r="AH7" s="1"/>
      <c r="AI7" s="1"/>
      <c r="AJ7" s="1"/>
      <c r="AK7" s="1"/>
      <c r="AL7" s="1"/>
      <c r="AM7" s="1"/>
      <c r="AN7" s="1"/>
      <c r="AO7" s="1"/>
      <c r="AP7" s="1"/>
    </row>
    <row r="8" spans="1:42" x14ac:dyDescent="0.35">
      <c r="A8" t="s">
        <v>197</v>
      </c>
      <c r="B8" s="1">
        <f t="shared" ref="B8:AE8" si="1">B6-B7</f>
        <v>11045334644.116385</v>
      </c>
      <c r="C8" s="1">
        <f t="shared" ca="1" si="1"/>
        <v>10811261810.979668</v>
      </c>
      <c r="D8" s="1">
        <f ca="1">D6-D7</f>
        <v>10945613770.182106</v>
      </c>
      <c r="E8" s="1">
        <f t="shared" ca="1" si="1"/>
        <v>11080669653.271561</v>
      </c>
      <c r="F8" s="1">
        <f t="shared" ca="1" si="1"/>
        <v>11216640251.107737</v>
      </c>
      <c r="G8" s="1">
        <f t="shared" ca="1" si="1"/>
        <v>11342419696.19244</v>
      </c>
      <c r="H8" s="1">
        <f t="shared" ca="1" si="1"/>
        <v>11458246847.435974</v>
      </c>
      <c r="I8" s="1">
        <f t="shared" ca="1" si="1"/>
        <v>11564341595.004066</v>
      </c>
      <c r="J8" s="1">
        <f t="shared" ca="1" si="1"/>
        <v>11660905547.058853</v>
      </c>
      <c r="K8" s="1">
        <f t="shared" ca="1" si="1"/>
        <v>11748026643.537176</v>
      </c>
      <c r="L8" s="1">
        <f t="shared" ca="1" si="1"/>
        <v>11816579779.481106</v>
      </c>
      <c r="M8" s="1">
        <f t="shared" ca="1" si="1"/>
        <v>12433120258.006306</v>
      </c>
      <c r="N8" s="1">
        <f t="shared" ca="1" si="1"/>
        <v>13029692188.397348</v>
      </c>
      <c r="O8" s="1">
        <f t="shared" ca="1" si="1"/>
        <v>13606066137.824368</v>
      </c>
      <c r="P8" s="1">
        <f t="shared" ca="1" si="1"/>
        <v>14161875497.744701</v>
      </c>
      <c r="Q8" s="1">
        <f t="shared" ca="1" si="1"/>
        <v>14702187037.304646</v>
      </c>
      <c r="R8" s="1">
        <f t="shared" ca="1" si="1"/>
        <v>15226608087.543957</v>
      </c>
      <c r="S8" s="1">
        <f t="shared" ca="1" si="1"/>
        <v>15734736961.030087</v>
      </c>
      <c r="T8" s="1">
        <f t="shared" ca="1" si="1"/>
        <v>16226162786.629078</v>
      </c>
      <c r="U8" s="1">
        <f t="shared" ca="1" si="1"/>
        <v>16699996796.526173</v>
      </c>
      <c r="V8" s="1">
        <f t="shared" ca="1" si="1"/>
        <v>17170712789.748192</v>
      </c>
      <c r="W8" s="1">
        <f t="shared" ca="1" si="1"/>
        <v>17832360689.374275</v>
      </c>
      <c r="X8" s="1">
        <f t="shared" ca="1" si="1"/>
        <v>18496869751.260166</v>
      </c>
      <c r="Y8" s="1">
        <f t="shared" ca="1" si="1"/>
        <v>19163964521.949951</v>
      </c>
      <c r="Z8" s="1">
        <f t="shared" ca="1" si="1"/>
        <v>19833356792.393467</v>
      </c>
      <c r="AA8" s="1">
        <f t="shared" ca="1" si="1"/>
        <v>20504745212.153957</v>
      </c>
      <c r="AB8" s="1">
        <f t="shared" ca="1" si="1"/>
        <v>21177814893.936375</v>
      </c>
      <c r="AC8" s="1">
        <f t="shared" ca="1" si="1"/>
        <v>21852237008.221905</v>
      </c>
      <c r="AD8" s="1">
        <f t="shared" ca="1" si="1"/>
        <v>22527668367.789825</v>
      </c>
      <c r="AE8" s="1">
        <f t="shared" ca="1" si="1"/>
        <v>23203751001.903748</v>
      </c>
      <c r="AF8" s="1"/>
      <c r="AG8" s="1"/>
      <c r="AH8" s="1"/>
      <c r="AI8" s="1"/>
      <c r="AJ8" s="1"/>
      <c r="AK8" s="1"/>
      <c r="AL8" s="1"/>
      <c r="AM8" s="1"/>
      <c r="AN8" s="1"/>
      <c r="AO8" s="1"/>
      <c r="AP8" s="1"/>
    </row>
    <row r="10" spans="1:42" x14ac:dyDescent="0.35">
      <c r="A10" t="s">
        <v>17</v>
      </c>
      <c r="B10" s="1">
        <f>B8-B11</f>
        <v>10131023904.077366</v>
      </c>
      <c r="C10" s="1">
        <f ca="1">C8-C11</f>
        <v>8846698747.7897987</v>
      </c>
      <c r="D10" s="1">
        <f ca="1">D8-D11</f>
        <v>8619750155.9439087</v>
      </c>
      <c r="E10" s="1">
        <f t="shared" ref="E10:AE10" ca="1" si="2">E8-E11</f>
        <v>8417996879.9090633</v>
      </c>
      <c r="F10" s="1">
        <f t="shared" ca="1" si="2"/>
        <v>8233435935.7616615</v>
      </c>
      <c r="G10" s="1">
        <f ca="1">G8-G11</f>
        <v>8078518756.6920557</v>
      </c>
      <c r="H10" s="1">
        <f t="shared" ca="1" si="2"/>
        <v>8054145910.9244251</v>
      </c>
      <c r="I10" s="1">
        <f t="shared" ca="1" si="2"/>
        <v>8062373342.0222635</v>
      </c>
      <c r="J10" s="1">
        <f t="shared" ca="1" si="2"/>
        <v>8105071738.0704651</v>
      </c>
      <c r="K10" s="1">
        <f t="shared" ca="1" si="2"/>
        <v>8184168422.6819515</v>
      </c>
      <c r="L10" s="1">
        <f t="shared" ca="1" si="2"/>
        <v>8278659554.6087341</v>
      </c>
      <c r="M10" s="1">
        <f t="shared" ca="1" si="2"/>
        <v>8370475211.7362061</v>
      </c>
      <c r="N10" s="1">
        <f t="shared" ca="1" si="2"/>
        <v>8461546199.4831219</v>
      </c>
      <c r="O10" s="1">
        <f t="shared" ca="1" si="2"/>
        <v>8553940778.1327162</v>
      </c>
      <c r="P10" s="1">
        <f t="shared" ca="1" si="2"/>
        <v>8649744772.9472351</v>
      </c>
      <c r="Q10" s="1">
        <f t="shared" ca="1" si="2"/>
        <v>8749201874.583065</v>
      </c>
      <c r="R10" s="1">
        <f t="shared" ca="1" si="2"/>
        <v>8854490138.1090775</v>
      </c>
      <c r="S10" s="1">
        <f t="shared" ca="1" si="2"/>
        <v>8967950210.59161</v>
      </c>
      <c r="T10" s="1">
        <f t="shared" ca="1" si="2"/>
        <v>9092094471.2440834</v>
      </c>
      <c r="U10" s="1">
        <f t="shared" ca="1" si="2"/>
        <v>9229148078.4392605</v>
      </c>
      <c r="V10" s="1">
        <f t="shared" ca="1" si="2"/>
        <v>9365603995.3240547</v>
      </c>
      <c r="W10" s="1">
        <f t="shared" ca="1" si="2"/>
        <v>9495364096.7856789</v>
      </c>
      <c r="X10" s="1">
        <f t="shared" ca="1" si="2"/>
        <v>9618979559.9714088</v>
      </c>
      <c r="Y10" s="1">
        <f t="shared" ca="1" si="2"/>
        <v>9737083173.9709301</v>
      </c>
      <c r="Z10" s="1">
        <f t="shared" ca="1" si="2"/>
        <v>9850395237.0773239</v>
      </c>
      <c r="AA10" s="1">
        <f t="shared" ca="1" si="2"/>
        <v>9959729789.3433781</v>
      </c>
      <c r="AB10" s="1">
        <f t="shared" ca="1" si="2"/>
        <v>10066001197.361702</v>
      </c>
      <c r="AC10" s="1">
        <f t="shared" ca="1" si="2"/>
        <v>10170231108.995327</v>
      </c>
      <c r="AD10" s="1">
        <f t="shared" ca="1" si="2"/>
        <v>10273555796.619291</v>
      </c>
      <c r="AE10" s="1">
        <f t="shared" ca="1" si="2"/>
        <v>10377233908.305561</v>
      </c>
      <c r="AF10" s="1"/>
      <c r="AG10" s="1"/>
      <c r="AH10" s="1"/>
      <c r="AI10" s="1"/>
      <c r="AJ10" s="1"/>
      <c r="AK10" s="1"/>
      <c r="AL10" s="1"/>
      <c r="AM10" s="1"/>
      <c r="AN10" s="1"/>
      <c r="AO10" s="1"/>
    </row>
    <row r="11" spans="1:42" x14ac:dyDescent="0.35">
      <c r="A11" t="s">
        <v>9</v>
      </c>
      <c r="B11" s="1">
        <f>Assumptions!$C$20</f>
        <v>914310740.03901911</v>
      </c>
      <c r="C11" s="1">
        <f ca="1">'Debt worksheet'!D5</f>
        <v>1964563063.1898696</v>
      </c>
      <c r="D11" s="1">
        <f ca="1">'Debt worksheet'!E5</f>
        <v>2325863614.2381983</v>
      </c>
      <c r="E11" s="1">
        <f ca="1">'Debt worksheet'!F5</f>
        <v>2662672773.3624978</v>
      </c>
      <c r="F11" s="1">
        <f ca="1">'Debt worksheet'!G5</f>
        <v>2983204315.3460751</v>
      </c>
      <c r="G11" s="1">
        <f ca="1">'Debt worksheet'!H5</f>
        <v>3263900939.5003843</v>
      </c>
      <c r="H11" s="1">
        <f ca="1">'Debt worksheet'!I5</f>
        <v>3404100936.511549</v>
      </c>
      <c r="I11" s="1">
        <f ca="1">'Debt worksheet'!J5</f>
        <v>3501968252.9818029</v>
      </c>
      <c r="J11" s="1">
        <f ca="1">'Debt worksheet'!K5</f>
        <v>3555833808.9883881</v>
      </c>
      <c r="K11" s="1">
        <f ca="1">'Debt worksheet'!L5</f>
        <v>3563858220.8552251</v>
      </c>
      <c r="L11" s="1">
        <f ca="1">'Debt worksheet'!M5</f>
        <v>3537920224.8723722</v>
      </c>
      <c r="M11" s="1">
        <f ca="1">'Debt worksheet'!N5</f>
        <v>4062645046.2701001</v>
      </c>
      <c r="N11" s="1">
        <f ca="1">'Debt worksheet'!O5</f>
        <v>4568145988.9142265</v>
      </c>
      <c r="O11" s="1">
        <f ca="1">'Debt worksheet'!P5</f>
        <v>5052125359.6916513</v>
      </c>
      <c r="P11" s="1">
        <f ca="1">'Debt worksheet'!Q5</f>
        <v>5512130724.7974653</v>
      </c>
      <c r="Q11" s="1">
        <f ca="1">'Debt worksheet'!R5</f>
        <v>5952985162.7215805</v>
      </c>
      <c r="R11" s="1">
        <f ca="1">'Debt worksheet'!S5</f>
        <v>6372117949.4348793</v>
      </c>
      <c r="S11" s="1">
        <f ca="1">'Debt worksheet'!T5</f>
        <v>6766786750.4384775</v>
      </c>
      <c r="T11" s="1">
        <f ca="1">'Debt worksheet'!U5</f>
        <v>7134068315.3849936</v>
      </c>
      <c r="U11" s="1">
        <f ca="1">'Debt worksheet'!V5</f>
        <v>7470848718.0869122</v>
      </c>
      <c r="V11" s="1">
        <f ca="1">'Debt worksheet'!W5</f>
        <v>7805108794.4241381</v>
      </c>
      <c r="W11" s="1">
        <f ca="1">'Debt worksheet'!X5</f>
        <v>8336996592.5885963</v>
      </c>
      <c r="X11" s="1">
        <f ca="1">'Debt worksheet'!Y5</f>
        <v>8877890191.2887573</v>
      </c>
      <c r="Y11" s="1">
        <f ca="1">'Debt worksheet'!Z5</f>
        <v>9426881347.9790211</v>
      </c>
      <c r="Z11" s="1">
        <f ca="1">'Debt worksheet'!AA5</f>
        <v>9982961555.316143</v>
      </c>
      <c r="AA11" s="1">
        <f ca="1">'Debt worksheet'!AB5</f>
        <v>10545015422.810579</v>
      </c>
      <c r="AB11" s="1">
        <f ca="1">'Debt worksheet'!AC5</f>
        <v>11111813696.574673</v>
      </c>
      <c r="AC11" s="1">
        <f ca="1">'Debt worksheet'!AD5</f>
        <v>11682005899.226578</v>
      </c>
      <c r="AD11" s="1">
        <f ca="1">'Debt worksheet'!AE5</f>
        <v>12254112571.170534</v>
      </c>
      <c r="AE11" s="1">
        <f ca="1">'Debt worksheet'!AF5</f>
        <v>12826517093.598186</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4" customFormat="1" ht="21" x14ac:dyDescent="0.5">
      <c r="A1" s="15" t="s">
        <v>170</v>
      </c>
    </row>
    <row r="2" spans="1:42" s="64"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-200585350.80650342</v>
      </c>
      <c r="D5" s="4">
        <f ca="1">'Profit and Loss'!D9</f>
        <v>-169200371.22081658</v>
      </c>
      <c r="E5" s="4">
        <f ca="1">'Profit and Loss'!E9</f>
        <v>-142669508.25595528</v>
      </c>
      <c r="F5" s="4">
        <f ca="1">'Profit and Loss'!F9</f>
        <v>-124376349.65154772</v>
      </c>
      <c r="G5" s="4">
        <f ca="1">'Profit and Loss'!G9</f>
        <v>-93599362.751342177</v>
      </c>
      <c r="H5" s="4">
        <f ca="1">'Profit and Loss'!H9</f>
        <v>-11997860.83083351</v>
      </c>
      <c r="I5" s="4">
        <f ca="1">'Profit and Loss'!I9</f>
        <v>20698863.901587993</v>
      </c>
      <c r="J5" s="4">
        <f ca="1">'Profit and Loss'!J9</f>
        <v>55275298.342088893</v>
      </c>
      <c r="K5" s="4">
        <f ca="1">'Profit and Loss'!K9</f>
        <v>91883925.112322047</v>
      </c>
      <c r="L5" s="4">
        <f ca="1">'Profit and Loss'!L9</f>
        <v>120787143.3923585</v>
      </c>
      <c r="M5" s="4">
        <f ca="1">'Profit and Loss'!M9</f>
        <v>118291690.97676429</v>
      </c>
      <c r="N5" s="4">
        <f ca="1">'Profit and Loss'!N9</f>
        <v>117730520.17962131</v>
      </c>
      <c r="O5" s="4">
        <f ca="1">'Profit and Loss'!O9</f>
        <v>119240958.90755826</v>
      </c>
      <c r="P5" s="4">
        <f ca="1">'Profit and Loss'!P9</f>
        <v>122968180.86202672</v>
      </c>
      <c r="Q5" s="4">
        <f ca="1">'Profit and Loss'!Q9</f>
        <v>126941966.18026716</v>
      </c>
      <c r="R5" s="4">
        <f ca="1">'Profit and Loss'!R9</f>
        <v>133096586.42295241</v>
      </c>
      <c r="S5" s="4">
        <f ca="1">'Profit and Loss'!S9</f>
        <v>141594534.87289324</v>
      </c>
      <c r="T5" s="4">
        <f ca="1">'Profit and Loss'!T9</f>
        <v>152607438.87357497</v>
      </c>
      <c r="U5" s="4">
        <f ca="1">'Profit and Loss'!U9</f>
        <v>166316512.96503356</v>
      </c>
      <c r="V5" s="4">
        <f ca="1">'Profit and Loss'!V9</f>
        <v>171103603.71657157</v>
      </c>
      <c r="W5" s="4">
        <f ca="1">'Profit and Loss'!W9</f>
        <v>165405877.96392328</v>
      </c>
      <c r="X5" s="4">
        <f ca="1">'Profit and Loss'!X9</f>
        <v>160283511.83003879</v>
      </c>
      <c r="Y5" s="4">
        <f ca="1">'Profit and Loss'!Y9</f>
        <v>155818645.2710554</v>
      </c>
      <c r="Z5" s="4">
        <f ca="1">'Profit and Loss'!Z9</f>
        <v>152099326.0868811</v>
      </c>
      <c r="AA5" s="4">
        <f ca="1">'Profit and Loss'!AA9</f>
        <v>149219845.40963894</v>
      </c>
      <c r="AB5" s="4">
        <f ca="1">'Profit and Loss'!AB9</f>
        <v>147281090.12378502</v>
      </c>
      <c r="AC5" s="4">
        <f ca="1">'Profit and Loss'!AC9</f>
        <v>146390913.01594001</v>
      </c>
      <c r="AD5" s="4">
        <f ca="1">'Profit and Loss'!AD9</f>
        <v>146664521.48847073</v>
      </c>
      <c r="AE5" s="4">
        <f ca="1">'Profit and Loss'!AE9</f>
        <v>148224885.70847374</v>
      </c>
      <c r="AF5" s="4">
        <f ca="1">'Profit and Loss'!AF9</f>
        <v>151203167.10302579</v>
      </c>
      <c r="AG5" s="4"/>
      <c r="AH5" s="4"/>
      <c r="AI5" s="4"/>
      <c r="AJ5" s="4"/>
      <c r="AK5" s="4"/>
      <c r="AL5" s="4"/>
      <c r="AM5" s="4"/>
      <c r="AN5" s="4"/>
      <c r="AO5" s="4"/>
      <c r="AP5" s="4"/>
    </row>
    <row r="6" spans="1:42" x14ac:dyDescent="0.35">
      <c r="A6" t="s">
        <v>21</v>
      </c>
      <c r="C6" s="4">
        <f>Depreciation!C8+Depreciation!C9</f>
        <v>359988945.15553027</v>
      </c>
      <c r="D6" s="4">
        <f>Depreciation!D8+Depreciation!D9</f>
        <v>371488823.84207743</v>
      </c>
      <c r="E6" s="4">
        <f>Depreciation!E8+Depreciation!E9</f>
        <v>383305644.05884969</v>
      </c>
      <c r="F6" s="4">
        <f>Depreciation!F8+Depreciation!F9</f>
        <v>395447520.62045783</v>
      </c>
      <c r="G6" s="4">
        <f>Depreciation!G8+Depreciation!G9</f>
        <v>407657502.29224771</v>
      </c>
      <c r="H6" s="4">
        <f>Depreciation!H8+Depreciation!H9</f>
        <v>419945264.30431598</v>
      </c>
      <c r="I6" s="4">
        <f>Depreciation!I8+Depreciation!I9</f>
        <v>432320249.24111205</v>
      </c>
      <c r="J6" s="4">
        <f>Depreciation!J8+Depreciation!J9</f>
        <v>444791682.04486179</v>
      </c>
      <c r="K6" s="4">
        <f>Depreciation!K8+Depreciation!K9</f>
        <v>457368584.33874828</v>
      </c>
      <c r="L6" s="4">
        <f>Depreciation!L8+Depreciation!L9</f>
        <v>470155824.83958197</v>
      </c>
      <c r="M6" s="4">
        <f>Depreciation!M8+Depreciation!M9</f>
        <v>496451836.30515844</v>
      </c>
      <c r="N6" s="4">
        <f>Depreciation!N8+Depreciation!N9</f>
        <v>522927870.15444833</v>
      </c>
      <c r="O6" s="4">
        <f>Depreciation!O8+Depreciation!O9</f>
        <v>549587402.58715367</v>
      </c>
      <c r="P6" s="4">
        <f>Depreciation!P8+Depreciation!P9</f>
        <v>576433782.84511864</v>
      </c>
      <c r="Q6" s="4">
        <f>Depreciation!Q8+Depreciation!Q9</f>
        <v>603597968.8926245</v>
      </c>
      <c r="R6" s="4">
        <f>Depreciation!R8+Depreciation!R9</f>
        <v>631082833.43706274</v>
      </c>
      <c r="S6" s="4">
        <f>Depreciation!S8+Depreciation!S9</f>
        <v>658891156.33400404</v>
      </c>
      <c r="T6" s="4">
        <f>Depreciation!T8+Depreciation!T9</f>
        <v>687025618.72436357</v>
      </c>
      <c r="U6" s="4">
        <f>Depreciation!U8+Depreciation!U9</f>
        <v>715488796.94546497</v>
      </c>
      <c r="V6" s="4">
        <f>Depreciation!V8+Depreciation!V9</f>
        <v>744751702.71532369</v>
      </c>
      <c r="W6" s="4">
        <f>Depreciation!W8+Depreciation!W9</f>
        <v>779399389.54709852</v>
      </c>
      <c r="X6" s="4">
        <f>Depreciation!X8+Depreciation!X9</f>
        <v>815045166.04940057</v>
      </c>
      <c r="Y6" s="4">
        <f>Depreciation!Y8+Depreciation!Y9</f>
        <v>851713214.69370699</v>
      </c>
      <c r="Z6" s="4">
        <f>Depreciation!Z8+Depreciation!Z9</f>
        <v>889428245.96524644</v>
      </c>
      <c r="AA6" s="4">
        <f>Depreciation!AA8+Depreciation!AA9</f>
        <v>928215508.94573784</v>
      </c>
      <c r="AB6" s="4">
        <f>Depreciation!AB8+Depreciation!AB9</f>
        <v>968100802.08932638</v>
      </c>
      <c r="AC6" s="4">
        <f>Depreciation!AC8+Depreciation!AC9</f>
        <v>1009110484.194785</v>
      </c>
      <c r="AD6" s="4">
        <f>Depreciation!AD8+Depreciation!AD9</f>
        <v>1051271485.5771039</v>
      </c>
      <c r="AE6" s="4">
        <f>Depreciation!AE8+Depreciation!AE9</f>
        <v>1094611319.4416111</v>
      </c>
      <c r="AF6" s="4">
        <f>Depreciation!AF8+Depreciation!AF9</f>
        <v>1139158093.4638128</v>
      </c>
      <c r="AG6" s="4"/>
      <c r="AH6" s="4"/>
      <c r="AI6" s="4"/>
      <c r="AJ6" s="4"/>
      <c r="AK6" s="4"/>
      <c r="AL6" s="4"/>
      <c r="AM6" s="4"/>
      <c r="AN6" s="4"/>
      <c r="AO6" s="4"/>
      <c r="AP6" s="4"/>
    </row>
    <row r="7" spans="1:42" x14ac:dyDescent="0.35">
      <c r="A7" t="s">
        <v>23</v>
      </c>
      <c r="C7" s="4">
        <f ca="1">C6+C5</f>
        <v>159403594.34902686</v>
      </c>
      <c r="D7" s="4">
        <f ca="1">D6+D5</f>
        <v>202288452.62126085</v>
      </c>
      <c r="E7" s="4">
        <f t="shared" ref="E7:AF7" ca="1" si="1">E6+E5</f>
        <v>240636135.80289441</v>
      </c>
      <c r="F7" s="4">
        <f t="shared" ca="1" si="1"/>
        <v>271071170.9689101</v>
      </c>
      <c r="G7" s="4">
        <f ca="1">G6+G5</f>
        <v>314058139.54090554</v>
      </c>
      <c r="H7" s="4">
        <f t="shared" ca="1" si="1"/>
        <v>407947403.47348249</v>
      </c>
      <c r="I7" s="4">
        <f t="shared" ca="1" si="1"/>
        <v>453019113.14270008</v>
      </c>
      <c r="J7" s="4">
        <f t="shared" ca="1" si="1"/>
        <v>500066980.38695067</v>
      </c>
      <c r="K7" s="4">
        <f t="shared" ca="1" si="1"/>
        <v>549252509.45107031</v>
      </c>
      <c r="L7" s="4">
        <f t="shared" ca="1" si="1"/>
        <v>590942968.23194051</v>
      </c>
      <c r="M7" s="4">
        <f t="shared" ca="1" si="1"/>
        <v>614743527.2819227</v>
      </c>
      <c r="N7" s="4">
        <f t="shared" ca="1" si="1"/>
        <v>640658390.33406961</v>
      </c>
      <c r="O7" s="4">
        <f t="shared" ca="1" si="1"/>
        <v>668828361.49471188</v>
      </c>
      <c r="P7" s="4">
        <f t="shared" ca="1" si="1"/>
        <v>699401963.70714533</v>
      </c>
      <c r="Q7" s="4">
        <f t="shared" ca="1" si="1"/>
        <v>730539935.07289171</v>
      </c>
      <c r="R7" s="4">
        <f t="shared" ca="1" si="1"/>
        <v>764179419.86001515</v>
      </c>
      <c r="S7" s="4">
        <f t="shared" ca="1" si="1"/>
        <v>800485691.20689726</v>
      </c>
      <c r="T7" s="4">
        <f t="shared" ca="1" si="1"/>
        <v>839633057.59793854</v>
      </c>
      <c r="U7" s="4">
        <f t="shared" ca="1" si="1"/>
        <v>881805309.9104985</v>
      </c>
      <c r="V7" s="4">
        <f t="shared" ca="1" si="1"/>
        <v>915855306.43189526</v>
      </c>
      <c r="W7" s="4">
        <f t="shared" ca="1" si="1"/>
        <v>944805267.51102185</v>
      </c>
      <c r="X7" s="4">
        <f t="shared" ca="1" si="1"/>
        <v>975328677.87943935</v>
      </c>
      <c r="Y7" s="4">
        <f t="shared" ca="1" si="1"/>
        <v>1007531859.9647624</v>
      </c>
      <c r="Z7" s="4">
        <f t="shared" ca="1" si="1"/>
        <v>1041527572.0521276</v>
      </c>
      <c r="AA7" s="4">
        <f t="shared" ca="1" si="1"/>
        <v>1077435354.3553767</v>
      </c>
      <c r="AB7" s="4">
        <f t="shared" ca="1" si="1"/>
        <v>1115381892.2131114</v>
      </c>
      <c r="AC7" s="4">
        <f t="shared" ca="1" si="1"/>
        <v>1155501397.2107251</v>
      </c>
      <c r="AD7" s="4">
        <f t="shared" ca="1" si="1"/>
        <v>1197936007.0655746</v>
      </c>
      <c r="AE7" s="4">
        <f t="shared" ca="1" si="1"/>
        <v>1242836205.1500847</v>
      </c>
      <c r="AF7" s="4">
        <f t="shared" ca="1" si="1"/>
        <v>1290361260.5668387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A9" t="s">
        <v>221</v>
      </c>
      <c r="C9" s="4">
        <f>Assumptions!$C$37/Assumptions!$C$39</f>
        <v>21987603.643666025</v>
      </c>
      <c r="D9" s="4">
        <f>Assumptions!$C$37/Assumptions!$C$39</f>
        <v>21987603.643666025</v>
      </c>
      <c r="E9" s="4">
        <f>Assumptions!$C$37/Assumptions!$C$39</f>
        <v>21987603.643666025</v>
      </c>
      <c r="F9" s="4">
        <f>Assumptions!$C$37/Assumptions!$C$39</f>
        <v>21987603.643666025</v>
      </c>
      <c r="G9" s="4">
        <f>Assumptions!$C$37/Assumptions!$C$39</f>
        <v>21987603.643666025</v>
      </c>
      <c r="H9" s="4">
        <f>Assumptions!$C$37/Assumptions!$C$39</f>
        <v>21987603.643666025</v>
      </c>
      <c r="I9" s="4">
        <f>Assumptions!$C$37/Assumptions!$C$39</f>
        <v>21987603.643666025</v>
      </c>
      <c r="J9" s="4">
        <f>Assumptions!$C$37/Assumptions!$C$39</f>
        <v>21987603.643666025</v>
      </c>
      <c r="K9" s="4">
        <f>Assumptions!$C$37/Assumptions!$C$39</f>
        <v>21987603.643666025</v>
      </c>
      <c r="L9" s="4">
        <f>Assumptions!$C$37/Assumptions!$C$39</f>
        <v>21987603.643666025</v>
      </c>
      <c r="M9" s="4">
        <f>Assumptions!$C$37/Assumptions!$C$39</f>
        <v>21987603.643666025</v>
      </c>
      <c r="N9" s="4">
        <f>Assumptions!$C$37/Assumptions!$C$39</f>
        <v>21987603.643666025</v>
      </c>
      <c r="O9" s="4">
        <f>Assumptions!$C$37/Assumptions!$C$39</f>
        <v>21987603.643666025</v>
      </c>
      <c r="P9" s="4">
        <f>Assumptions!$C$37/Assumptions!$C$39</f>
        <v>21987603.643666025</v>
      </c>
      <c r="Q9" s="4">
        <f>Assumptions!$C$37/Assumptions!$C$39</f>
        <v>21987603.643666025</v>
      </c>
      <c r="R9" s="4">
        <f>Assumptions!$C$37/Assumptions!$C$39</f>
        <v>21987603.643666025</v>
      </c>
      <c r="S9" s="4">
        <f>Assumptions!$C$37/Assumptions!$C$39</f>
        <v>21987603.643666025</v>
      </c>
      <c r="T9" s="4">
        <f>Assumptions!$C$37/Assumptions!$C$39</f>
        <v>21987603.643666025</v>
      </c>
      <c r="U9" s="4">
        <f>Assumptions!$C$37/Assumptions!$C$39</f>
        <v>21987603.643666025</v>
      </c>
      <c r="V9" s="4">
        <f>Assumptions!$C$37/Assumptions!$C$39</f>
        <v>21987603.643666025</v>
      </c>
      <c r="W9" s="4">
        <f>Assumptions!$C$37/Assumptions!$C$39</f>
        <v>21987603.643666025</v>
      </c>
      <c r="X9" s="4">
        <f>Assumptions!$C$37/Assumptions!$C$39</f>
        <v>21987603.643666025</v>
      </c>
      <c r="Y9" s="4">
        <f>Assumptions!$C$37/Assumptions!$C$39</f>
        <v>21987603.643666025</v>
      </c>
      <c r="Z9" s="4">
        <f>Assumptions!$C$37/Assumptions!$C$39</f>
        <v>21987603.643666025</v>
      </c>
      <c r="AA9" s="4">
        <f>Assumptions!$C$37/Assumptions!$C$39</f>
        <v>21987603.643666025</v>
      </c>
      <c r="AB9" s="4">
        <f>Assumptions!$C$37/Assumptions!$C$39</f>
        <v>21987603.643666025</v>
      </c>
      <c r="AC9" s="4">
        <f>Assumptions!$C$37/Assumptions!$C$39</f>
        <v>21987603.643666025</v>
      </c>
      <c r="AD9" s="4">
        <f>Assumptions!$C$37/Assumptions!$C$39</f>
        <v>21987603.643666025</v>
      </c>
      <c r="AE9" s="4">
        <f>Assumptions!$C$37/Assumptions!$C$39</f>
        <v>21987603.643666025</v>
      </c>
      <c r="AF9" s="4">
        <f>Assumptions!$C$37/Assumptions!$C$39</f>
        <v>21987603.643666025</v>
      </c>
      <c r="AG9" s="4"/>
      <c r="AH9" s="4"/>
      <c r="AI9" s="4"/>
      <c r="AJ9" s="4"/>
      <c r="AK9" s="4"/>
      <c r="AL9" s="4"/>
      <c r="AM9" s="4"/>
      <c r="AN9" s="4"/>
      <c r="AO9" s="4"/>
      <c r="AP9" s="4"/>
    </row>
    <row r="10" spans="1:42" x14ac:dyDescent="0.35">
      <c r="A10" t="s">
        <v>11</v>
      </c>
      <c r="C10" s="9">
        <f>Investment!C25</f>
        <v>505085146.34224308</v>
      </c>
      <c r="D10" s="9">
        <f>Investment!D25</f>
        <v>517657603.26128781</v>
      </c>
      <c r="E10" s="9">
        <f>Investment!E25</f>
        <v>530503403.7099095</v>
      </c>
      <c r="F10" s="9">
        <f>Investment!F25</f>
        <v>543628100.1284225</v>
      </c>
      <c r="G10" s="9">
        <f>Investment!G25</f>
        <v>545724709.3890208</v>
      </c>
      <c r="H10" s="9">
        <f>Investment!H25</f>
        <v>548147400.4846468</v>
      </c>
      <c r="I10" s="9">
        <f>Investment!I25</f>
        <v>550886429.61295378</v>
      </c>
      <c r="J10" s="9">
        <f>Investment!J25</f>
        <v>553932536.39353549</v>
      </c>
      <c r="K10" s="9">
        <f>Investment!K25</f>
        <v>557276921.31790698</v>
      </c>
      <c r="L10" s="9">
        <f>Investment!L25</f>
        <v>565004972.24908721</v>
      </c>
      <c r="M10" s="9">
        <f>Investment!M25</f>
        <v>1139468348.6796505</v>
      </c>
      <c r="N10" s="9">
        <f>Investment!N25</f>
        <v>1146159332.9781959</v>
      </c>
      <c r="O10" s="9">
        <f>Investment!O25</f>
        <v>1152807732.2721369</v>
      </c>
      <c r="P10" s="9">
        <f>Investment!P25</f>
        <v>1159407328.8129597</v>
      </c>
      <c r="Q10" s="9">
        <f>Investment!Q25</f>
        <v>1171394372.9970069</v>
      </c>
      <c r="R10" s="9">
        <f>Investment!R25</f>
        <v>1183312206.573314</v>
      </c>
      <c r="S10" s="9">
        <f>Investment!S25</f>
        <v>1195154492.2104955</v>
      </c>
      <c r="T10" s="9">
        <f>Investment!T25</f>
        <v>1206914622.5444546</v>
      </c>
      <c r="U10" s="9">
        <f>Investment!U25</f>
        <v>1218585712.6124172</v>
      </c>
      <c r="V10" s="9">
        <f>Investment!V25</f>
        <v>1250115382.7691216</v>
      </c>
      <c r="W10" s="9">
        <f>Investment!W25</f>
        <v>1476693065.6754808</v>
      </c>
      <c r="X10" s="9">
        <f>Investment!X25</f>
        <v>1516222276.5796008</v>
      </c>
      <c r="Y10" s="9">
        <f>Investment!Y25</f>
        <v>1556523016.6550255</v>
      </c>
      <c r="Z10" s="9">
        <f>Investment!Z25</f>
        <v>1597607779.3892488</v>
      </c>
      <c r="AA10" s="9">
        <f>Investment!AA25</f>
        <v>1639489221.8498123</v>
      </c>
      <c r="AB10" s="9">
        <f>Investment!AB25</f>
        <v>1682180165.9772048</v>
      </c>
      <c r="AC10" s="9">
        <f>Investment!AC25</f>
        <v>1725693599.8626294</v>
      </c>
      <c r="AD10" s="9">
        <f>Investment!AD25</f>
        <v>1770042679.0095296</v>
      </c>
      <c r="AE10" s="9">
        <f>Investment!AE25</f>
        <v>1815240727.5777373</v>
      </c>
      <c r="AF10" s="9">
        <f>Investment!AF25</f>
        <v>1861301239.6090326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-367669155.63688225</v>
      </c>
      <c r="D12" s="1">
        <f t="shared" ref="D12:AF12" ca="1" si="2">D7-D9-D10</f>
        <v>-337356754.28369296</v>
      </c>
      <c r="E12" s="1">
        <f ca="1">E7-E9-E10</f>
        <v>-311854871.55068111</v>
      </c>
      <c r="F12" s="1">
        <f t="shared" ca="1" si="2"/>
        <v>-294544532.80317843</v>
      </c>
      <c r="G12" s="1">
        <f ca="1">G7-G9-G10</f>
        <v>-253654173.49178129</v>
      </c>
      <c r="H12" s="1">
        <f t="shared" ca="1" si="2"/>
        <v>-162187600.65483034</v>
      </c>
      <c r="I12" s="1">
        <f t="shared" ca="1" si="2"/>
        <v>-119854920.11391973</v>
      </c>
      <c r="J12" s="1">
        <f t="shared" ca="1" si="2"/>
        <v>-75853159.650250852</v>
      </c>
      <c r="K12" s="1">
        <f t="shared" ca="1" si="2"/>
        <v>-30012015.510502696</v>
      </c>
      <c r="L12" s="1">
        <f t="shared" ca="1" si="2"/>
        <v>3950392.3391872644</v>
      </c>
      <c r="M12" s="1">
        <f t="shared" ca="1" si="2"/>
        <v>-546712425.04139388</v>
      </c>
      <c r="N12" s="1">
        <f t="shared" ca="1" si="2"/>
        <v>-527488546.28779233</v>
      </c>
      <c r="O12" s="1">
        <f t="shared" ca="1" si="2"/>
        <v>-505966974.42109108</v>
      </c>
      <c r="P12" s="1">
        <f t="shared" ca="1" si="2"/>
        <v>-481992968.74948037</v>
      </c>
      <c r="Q12" s="1">
        <f t="shared" ca="1" si="2"/>
        <v>-462842041.56778121</v>
      </c>
      <c r="R12" s="1">
        <f t="shared" ca="1" si="2"/>
        <v>-441120390.35696483</v>
      </c>
      <c r="S12" s="1">
        <f t="shared" ca="1" si="2"/>
        <v>-416656404.64726424</v>
      </c>
      <c r="T12" s="1">
        <f t="shared" ca="1" si="2"/>
        <v>-389269168.59018207</v>
      </c>
      <c r="U12" s="1">
        <f t="shared" ca="1" si="2"/>
        <v>-358768006.34558475</v>
      </c>
      <c r="V12" s="1">
        <f t="shared" ca="1" si="2"/>
        <v>-356247679.98089242</v>
      </c>
      <c r="W12" s="1">
        <f t="shared" ca="1" si="2"/>
        <v>-553875401.80812502</v>
      </c>
      <c r="X12" s="1">
        <f t="shared" ca="1" si="2"/>
        <v>-562881202.34382749</v>
      </c>
      <c r="Y12" s="1">
        <f t="shared" ca="1" si="2"/>
        <v>-570978760.33392906</v>
      </c>
      <c r="Z12" s="1">
        <f t="shared" ca="1" si="2"/>
        <v>-578067810.98078728</v>
      </c>
      <c r="AA12" s="1">
        <f t="shared" ca="1" si="2"/>
        <v>-584041471.13810158</v>
      </c>
      <c r="AB12" s="1">
        <f t="shared" ca="1" si="2"/>
        <v>-588785877.40775943</v>
      </c>
      <c r="AC12" s="1">
        <f t="shared" ca="1" si="2"/>
        <v>-592179806.29557037</v>
      </c>
      <c r="AD12" s="1">
        <f t="shared" ca="1" si="2"/>
        <v>-594094275.58762097</v>
      </c>
      <c r="AE12" s="1">
        <f t="shared" ca="1" si="2"/>
        <v>-594392126.07131863</v>
      </c>
      <c r="AF12" s="1">
        <f t="shared" ca="1" si="2"/>
        <v>-592927582.68585992</v>
      </c>
      <c r="AG12" s="1"/>
      <c r="AH12" s="1"/>
      <c r="AI12" s="1"/>
      <c r="AJ12" s="1"/>
      <c r="AK12" s="1"/>
      <c r="AL12" s="1"/>
      <c r="AM12" s="1"/>
      <c r="AN12" s="1"/>
      <c r="AO12" s="1"/>
      <c r="AP12" s="1"/>
    </row>
    <row r="13" spans="1:42" x14ac:dyDescent="0.35">
      <c r="A13" t="s">
        <v>19</v>
      </c>
      <c r="C13" s="1">
        <f ca="1">C12</f>
        <v>-367669155.63688225</v>
      </c>
      <c r="D13" s="1">
        <f ca="1">D12</f>
        <v>-337356754.28369296</v>
      </c>
      <c r="E13" s="1">
        <f ca="1">E12</f>
        <v>-311854871.55068111</v>
      </c>
      <c r="F13" s="1">
        <f t="shared" ref="F13:AF13" ca="1" si="3">F12</f>
        <v>-294544532.80317843</v>
      </c>
      <c r="G13" s="1">
        <f ca="1">G12</f>
        <v>-253654173.49178129</v>
      </c>
      <c r="H13" s="1">
        <f t="shared" ca="1" si="3"/>
        <v>-162187600.65483034</v>
      </c>
      <c r="I13" s="1">
        <f t="shared" ca="1" si="3"/>
        <v>-119854920.11391973</v>
      </c>
      <c r="J13" s="1">
        <f t="shared" ca="1" si="3"/>
        <v>-75853159.650250852</v>
      </c>
      <c r="K13" s="1">
        <f t="shared" ca="1" si="3"/>
        <v>-30012015.510502696</v>
      </c>
      <c r="L13" s="1">
        <f t="shared" ca="1" si="3"/>
        <v>3950392.3391872644</v>
      </c>
      <c r="M13" s="1">
        <f t="shared" ca="1" si="3"/>
        <v>-546712425.04139388</v>
      </c>
      <c r="N13" s="1">
        <f t="shared" ca="1" si="3"/>
        <v>-527488546.28779233</v>
      </c>
      <c r="O13" s="1">
        <f t="shared" ca="1" si="3"/>
        <v>-505966974.42109108</v>
      </c>
      <c r="P13" s="1">
        <f t="shared" ca="1" si="3"/>
        <v>-481992968.74948037</v>
      </c>
      <c r="Q13" s="1">
        <f t="shared" ca="1" si="3"/>
        <v>-462842041.56778121</v>
      </c>
      <c r="R13" s="1">
        <f t="shared" ca="1" si="3"/>
        <v>-441120390.35696483</v>
      </c>
      <c r="S13" s="1">
        <f t="shared" ca="1" si="3"/>
        <v>-416656404.64726424</v>
      </c>
      <c r="T13" s="1">
        <f t="shared" ca="1" si="3"/>
        <v>-389269168.59018207</v>
      </c>
      <c r="U13" s="1">
        <f t="shared" ca="1" si="3"/>
        <v>-358768006.34558475</v>
      </c>
      <c r="V13" s="1">
        <f t="shared" ca="1" si="3"/>
        <v>-356247679.98089242</v>
      </c>
      <c r="W13" s="1">
        <f t="shared" ca="1" si="3"/>
        <v>-553875401.80812502</v>
      </c>
      <c r="X13" s="1">
        <f t="shared" ca="1" si="3"/>
        <v>-562881202.34382749</v>
      </c>
      <c r="Y13" s="1">
        <f t="shared" ca="1" si="3"/>
        <v>-570978760.33392906</v>
      </c>
      <c r="Z13" s="1">
        <f t="shared" ca="1" si="3"/>
        <v>-578067810.98078728</v>
      </c>
      <c r="AA13" s="1">
        <f t="shared" ca="1" si="3"/>
        <v>-584041471.13810158</v>
      </c>
      <c r="AB13" s="1">
        <f t="shared" ca="1" si="3"/>
        <v>-588785877.40775943</v>
      </c>
      <c r="AC13" s="1">
        <f t="shared" ca="1" si="3"/>
        <v>-592179806.29557037</v>
      </c>
      <c r="AD13" s="1">
        <f t="shared" ca="1" si="3"/>
        <v>-594094275.58762097</v>
      </c>
      <c r="AE13" s="1">
        <f t="shared" ca="1" si="3"/>
        <v>-594392126.07131863</v>
      </c>
      <c r="AF13" s="1">
        <f t="shared" ca="1" si="3"/>
        <v>-592927582.68585992</v>
      </c>
      <c r="AG13" s="1"/>
      <c r="AH13" s="1"/>
      <c r="AI13" s="1"/>
      <c r="AJ13" s="1"/>
      <c r="AK13" s="1"/>
      <c r="AL13" s="1"/>
      <c r="AM13" s="1"/>
      <c r="AN13" s="1"/>
      <c r="AO13" s="1"/>
      <c r="AP13" s="1"/>
    </row>
    <row r="16" spans="1:42" x14ac:dyDescent="0.35">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wuQ48GR4HT25kfkGcrmuTh4Ql6GslzbrF8q/ptVneKBnvIH641wr7iaWwzT1jLfqOlhJp+SU4EjXBdA8IsYMhA==" saltValue="5gaJdq99BNBqEo83cpuMHQ=="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4" customFormat="1" ht="21" x14ac:dyDescent="0.5">
      <c r="A1" s="15" t="s">
        <v>21</v>
      </c>
    </row>
    <row r="2" spans="1:59" s="64"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155</v>
      </c>
      <c r="C6" s="9">
        <f>Assumptions!C17</f>
        <v>22810647178.543831</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11405323589.271915</v>
      </c>
      <c r="D7" s="9">
        <f>C12</f>
        <v>11765312534.427446</v>
      </c>
      <c r="E7" s="9">
        <f>D12</f>
        <v>12136801358.269524</v>
      </c>
      <c r="F7" s="9">
        <f t="shared" ref="F7:H7" si="1">E12</f>
        <v>12520107002.328373</v>
      </c>
      <c r="G7" s="9">
        <f t="shared" si="1"/>
        <v>12915554522.94883</v>
      </c>
      <c r="H7" s="9">
        <f t="shared" si="1"/>
        <v>13323212025.241076</v>
      </c>
      <c r="I7" s="9">
        <f t="shared" ref="I7" si="2">H12</f>
        <v>13743157289.545391</v>
      </c>
      <c r="J7" s="9">
        <f t="shared" ref="J7" si="3">I12</f>
        <v>14175477538.786503</v>
      </c>
      <c r="K7" s="9">
        <f t="shared" ref="K7" si="4">J12</f>
        <v>14620269220.831364</v>
      </c>
      <c r="L7" s="9">
        <f t="shared" ref="L7" si="5">K12</f>
        <v>15077637805.170113</v>
      </c>
      <c r="M7" s="9">
        <f t="shared" ref="M7" si="6">L12</f>
        <v>15547793630.009695</v>
      </c>
      <c r="N7" s="9">
        <f t="shared" ref="N7" si="7">M12</f>
        <v>16044245466.314854</v>
      </c>
      <c r="O7" s="9">
        <f t="shared" ref="O7" si="8">N12</f>
        <v>16567173336.469303</v>
      </c>
      <c r="P7" s="9">
        <f t="shared" ref="P7" si="9">O12</f>
        <v>17116760739.056456</v>
      </c>
      <c r="Q7" s="9">
        <f t="shared" ref="Q7" si="10">P12</f>
        <v>17693194521.901573</v>
      </c>
      <c r="R7" s="9">
        <f t="shared" ref="R7" si="11">Q12</f>
        <v>18296792490.794201</v>
      </c>
      <c r="S7" s="9">
        <f t="shared" ref="S7" si="12">R12</f>
        <v>18927875324.231262</v>
      </c>
      <c r="T7" s="9">
        <f t="shared" ref="T7" si="13">S12</f>
        <v>19586766480.565266</v>
      </c>
      <c r="U7" s="9">
        <f t="shared" ref="U7" si="14">T12</f>
        <v>20273792099.289631</v>
      </c>
      <c r="V7" s="9">
        <f t="shared" ref="V7" si="15">U12</f>
        <v>20989280896.235096</v>
      </c>
      <c r="W7" s="9">
        <f t="shared" ref="W7" si="16">V12</f>
        <v>21734032598.95042</v>
      </c>
      <c r="X7" s="9">
        <f t="shared" ref="X7" si="17">W12</f>
        <v>22513431988.49752</v>
      </c>
      <c r="Y7" s="9">
        <f t="shared" ref="Y7" si="18">X12</f>
        <v>23328477154.546921</v>
      </c>
      <c r="Z7" s="9">
        <f t="shared" ref="Z7" si="19">Y12</f>
        <v>24180190369.240627</v>
      </c>
      <c r="AA7" s="9">
        <f t="shared" ref="AA7" si="20">Z12</f>
        <v>25069618615.205872</v>
      </c>
      <c r="AB7" s="9">
        <f t="shared" ref="AB7" si="21">AA12</f>
        <v>25997834124.151608</v>
      </c>
      <c r="AC7" s="9">
        <f t="shared" ref="AC7" si="22">AB12</f>
        <v>26965934926.240932</v>
      </c>
      <c r="AD7" s="9">
        <f t="shared" ref="AD7" si="23">AC12</f>
        <v>27975045410.435719</v>
      </c>
      <c r="AE7" s="9">
        <f t="shared" ref="AE7" si="24">AD12</f>
        <v>29026316896.012821</v>
      </c>
      <c r="AF7" s="9">
        <f t="shared" ref="AF7" si="25">AE12</f>
        <v>30120928215.45443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156</v>
      </c>
      <c r="C8" s="9">
        <f>Assumptions!D118*Assumptions!D11</f>
        <v>356471645.40158004</v>
      </c>
      <c r="D8" s="9">
        <f>Assumptions!E118*Assumptions!E11</f>
        <v>364314021.60041475</v>
      </c>
      <c r="E8" s="9">
        <f>Assumptions!F118*Assumptions!F11</f>
        <v>372328930.07562393</v>
      </c>
      <c r="F8" s="9">
        <f>Assumptions!G118*Assumptions!G11</f>
        <v>380520166.53728765</v>
      </c>
      <c r="G8" s="9">
        <f>Assumptions!H118*Assumptions!H11</f>
        <v>388891610.20110798</v>
      </c>
      <c r="H8" s="9">
        <f>Assumptions!I118*Assumptions!I11</f>
        <v>397447225.62553227</v>
      </c>
      <c r="I8" s="9">
        <f>Assumptions!J118*Assumptions!J11</f>
        <v>406191064.58929402</v>
      </c>
      <c r="J8" s="9">
        <f>Assumptions!K118*Assumptions!K11</f>
        <v>415127268.01025856</v>
      </c>
      <c r="K8" s="9">
        <f>Assumptions!L118*Assumptions!L11</f>
        <v>424260067.90648425</v>
      </c>
      <c r="L8" s="9">
        <f>Assumptions!M118*Assumptions!M11</f>
        <v>433593789.40042686</v>
      </c>
      <c r="M8" s="9">
        <f>Assumptions!N118*Assumptions!N11</f>
        <v>443132852.76723629</v>
      </c>
      <c r="N8" s="9">
        <f>Assumptions!O118*Assumptions!O11</f>
        <v>452881775.52811551</v>
      </c>
      <c r="O8" s="9">
        <f>Assumptions!P118*Assumptions!P11</f>
        <v>462845174.58973408</v>
      </c>
      <c r="P8" s="9">
        <f>Assumptions!Q118*Assumptions!Q11</f>
        <v>473027768.43070811</v>
      </c>
      <c r="Q8" s="9">
        <f>Assumptions!R118*Assumptions!R11</f>
        <v>483434379.33618379</v>
      </c>
      <c r="R8" s="9">
        <f>Assumptions!S118*Assumptions!S11</f>
        <v>494069935.68157983</v>
      </c>
      <c r="S8" s="9">
        <f>Assumptions!T118*Assumptions!T11</f>
        <v>504939474.26657462</v>
      </c>
      <c r="T8" s="9">
        <f>Assumptions!U118*Assumptions!U11</f>
        <v>516048142.70043921</v>
      </c>
      <c r="U8" s="9">
        <f>Assumptions!V118*Assumptions!V11</f>
        <v>527401201.83984888</v>
      </c>
      <c r="V8" s="9">
        <f>Assumptions!W118*Assumptions!W11</f>
        <v>539004028.28032565</v>
      </c>
      <c r="W8" s="9">
        <f>Assumptions!X118*Assumptions!X11</f>
        <v>550862116.90249276</v>
      </c>
      <c r="X8" s="9">
        <f>Assumptions!Y118*Assumptions!Y11</f>
        <v>562981083.47434759</v>
      </c>
      <c r="Y8" s="9">
        <f>Assumptions!Z118*Assumptions!Z11</f>
        <v>575366667.31078315</v>
      </c>
      <c r="Z8" s="9">
        <f>Assumptions!AA118*Assumptions!AA11</f>
        <v>588024733.99162054</v>
      </c>
      <c r="AA8" s="9">
        <f>Assumptions!AB118*Assumptions!AB11</f>
        <v>600961278.13943613</v>
      </c>
      <c r="AB8" s="9">
        <f>Assumptions!AC118*Assumptions!AC11</f>
        <v>614182426.25850379</v>
      </c>
      <c r="AC8" s="9">
        <f>Assumptions!AD118*Assumptions!AD11</f>
        <v>627694439.63619089</v>
      </c>
      <c r="AD8" s="9">
        <f>Assumptions!AE118*Assumptions!AE11</f>
        <v>641503717.30818701</v>
      </c>
      <c r="AE8" s="9">
        <f>Assumptions!AF118*Assumptions!AF11</f>
        <v>655616799.0889672</v>
      </c>
      <c r="AF8" s="9">
        <f>Assumptions!AG118*Assumptions!AG11</f>
        <v>670040368.66892445</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Assumptions!D127*Assumptions!D11</f>
        <v>3517299.7539502252</v>
      </c>
      <c r="D9" s="9">
        <f>Assumptions!E127*Assumptions!E11</f>
        <v>7174802.2416626867</v>
      </c>
      <c r="E9" s="9">
        <f>Assumptions!F127*Assumptions!F11</f>
        <v>10976713.983225748</v>
      </c>
      <c r="F9" s="9">
        <f>Assumptions!G127*Assumptions!G11</f>
        <v>14927354.083170202</v>
      </c>
      <c r="G9" s="9">
        <f>Assumptions!H127*Assumptions!H11</f>
        <v>18765892.091139749</v>
      </c>
      <c r="H9" s="9">
        <f>Assumptions!I127*Assumptions!I11</f>
        <v>22498038.678783718</v>
      </c>
      <c r="I9" s="9">
        <f>Assumptions!J127*Assumptions!J11</f>
        <v>26129184.651818015</v>
      </c>
      <c r="J9" s="9">
        <f>Assumptions!K127*Assumptions!K11</f>
        <v>29664414.034603268</v>
      </c>
      <c r="K9" s="9">
        <f>Assumptions!L127*Assumptions!L11</f>
        <v>33108516.432264052</v>
      </c>
      <c r="L9" s="9">
        <f>Assumptions!M127*Assumptions!M11</f>
        <v>36562035.439155094</v>
      </c>
      <c r="M9" s="9">
        <f>Assumptions!N127*Assumptions!N11</f>
        <v>53318983.537922166</v>
      </c>
      <c r="N9" s="9">
        <f>Assumptions!O127*Assumptions!O11</f>
        <v>70046094.626332819</v>
      </c>
      <c r="O9" s="9">
        <f>Assumptions!P127*Assumptions!P11</f>
        <v>86742227.99741964</v>
      </c>
      <c r="P9" s="9">
        <f>Assumptions!Q127*Assumptions!Q11</f>
        <v>103406014.4144105</v>
      </c>
      <c r="Q9" s="9">
        <f>Assumptions!R127*Assumptions!R11</f>
        <v>120163589.55644067</v>
      </c>
      <c r="R9" s="9">
        <f>Assumptions!S127*Assumptions!S11</f>
        <v>137012897.75548291</v>
      </c>
      <c r="S9" s="9">
        <f>Assumptions!T127*Assumptions!T11</f>
        <v>153951682.06742939</v>
      </c>
      <c r="T9" s="9">
        <f>Assumptions!U127*Assumptions!U11</f>
        <v>170977476.02392441</v>
      </c>
      <c r="U9" s="9">
        <f>Assumptions!V127*Assumptions!V11</f>
        <v>188087595.10561606</v>
      </c>
      <c r="V9" s="9">
        <f>Assumptions!W127*Assumptions!W11</f>
        <v>205747674.43499804</v>
      </c>
      <c r="W9" s="9">
        <f>Assumptions!X127*Assumptions!X11</f>
        <v>228537272.64460576</v>
      </c>
      <c r="X9" s="9">
        <f>Assumptions!Y127*Assumptions!Y11</f>
        <v>252064082.57505301</v>
      </c>
      <c r="Y9" s="9">
        <f>Assumptions!Z127*Assumptions!Z11</f>
        <v>276346547.38292384</v>
      </c>
      <c r="Z9" s="9">
        <f>Assumptions!AA127*Assumptions!AA11</f>
        <v>301403511.97362584</v>
      </c>
      <c r="AA9" s="9">
        <f>Assumptions!AB127*Assumptions!AB11</f>
        <v>327254230.80630165</v>
      </c>
      <c r="AB9" s="9">
        <f>Assumptions!AC127*Assumptions!AC11</f>
        <v>353918375.83082253</v>
      </c>
      <c r="AC9" s="9">
        <f>Assumptions!AD127*Assumptions!AD11</f>
        <v>381416044.55859411</v>
      </c>
      <c r="AD9" s="9">
        <f>Assumptions!AE127*Assumptions!AE11</f>
        <v>409767768.26891679</v>
      </c>
      <c r="AE9" s="9">
        <f>Assumptions!AF127*Assumptions!AF11</f>
        <v>438994520.35264385</v>
      </c>
      <c r="AF9" s="9">
        <f>Assumptions!AG127*Assumptions!AG11</f>
        <v>469117724.7948885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359988945.15553027</v>
      </c>
      <c r="D10" s="9">
        <f>SUM($C$8:D9)</f>
        <v>731477768.99760783</v>
      </c>
      <c r="E10" s="9">
        <f>SUM($C$8:E9)</f>
        <v>1114783413.0564575</v>
      </c>
      <c r="F10" s="9">
        <f>SUM($C$8:F9)</f>
        <v>1510230933.6769154</v>
      </c>
      <c r="G10" s="9">
        <f>SUM($C$8:G9)</f>
        <v>1917888435.9691632</v>
      </c>
      <c r="H10" s="9">
        <f>SUM($C$8:H9)</f>
        <v>2337833700.2734795</v>
      </c>
      <c r="I10" s="9">
        <f>SUM($C$8:I9)</f>
        <v>2770153949.5145912</v>
      </c>
      <c r="J10" s="9">
        <f>SUM($C$8:J9)</f>
        <v>3214945631.559453</v>
      </c>
      <c r="K10" s="9">
        <f>SUM($C$8:K9)</f>
        <v>3672314215.898201</v>
      </c>
      <c r="L10" s="9">
        <f>SUM($C$8:L9)</f>
        <v>4142470040.737783</v>
      </c>
      <c r="M10" s="9">
        <f>SUM($C$8:M9)</f>
        <v>4638921877.0429411</v>
      </c>
      <c r="N10" s="9">
        <f>SUM($C$8:N9)</f>
        <v>5161849747.1973896</v>
      </c>
      <c r="O10" s="9">
        <f>SUM($C$8:O9)</f>
        <v>5711437149.784543</v>
      </c>
      <c r="P10" s="9">
        <f>SUM($C$8:P9)</f>
        <v>6287870932.6296616</v>
      </c>
      <c r="Q10" s="9">
        <f>SUM($C$8:Q9)</f>
        <v>6891468901.5222855</v>
      </c>
      <c r="R10" s="9">
        <f>SUM($C$8:R9)</f>
        <v>7522551734.9593477</v>
      </c>
      <c r="S10" s="9">
        <f>SUM($C$8:S9)</f>
        <v>8181442891.2933521</v>
      </c>
      <c r="T10" s="9">
        <f>SUM($C$8:T9)</f>
        <v>8868468510.0177155</v>
      </c>
      <c r="U10" s="9">
        <f>SUM($C$8:U9)</f>
        <v>9583957306.9631786</v>
      </c>
      <c r="V10" s="9">
        <f>SUM($C$8:V9)</f>
        <v>10328709009.678499</v>
      </c>
      <c r="W10" s="9">
        <f>SUM($C$8:W9)</f>
        <v>11108108399.225597</v>
      </c>
      <c r="X10" s="9">
        <f>SUM($C$8:X9)</f>
        <v>11923153565.274998</v>
      </c>
      <c r="Y10" s="9">
        <f>SUM($C$8:Y9)</f>
        <v>12774866779.968704</v>
      </c>
      <c r="Z10" s="9">
        <f>SUM($C$8:Z9)</f>
        <v>13664295025.93395</v>
      </c>
      <c r="AA10" s="9">
        <f>SUM($C$8:AA9)</f>
        <v>14592510534.879688</v>
      </c>
      <c r="AB10" s="9">
        <f>SUM($C$8:AB9)</f>
        <v>15560611336.969013</v>
      </c>
      <c r="AC10" s="9">
        <f>SUM($C$8:AC9)</f>
        <v>16569721821.163797</v>
      </c>
      <c r="AD10" s="9">
        <f>SUM($C$8:AD9)</f>
        <v>17620993306.740902</v>
      </c>
      <c r="AE10" s="9">
        <f>SUM($C$8:AE9)</f>
        <v>18715604626.18251</v>
      </c>
      <c r="AF10" s="9">
        <f>SUM($C$8:AF9)</f>
        <v>19854762719.646324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11765312534.427446</v>
      </c>
      <c r="D12" s="9">
        <f>D7+D8+D9</f>
        <v>12136801358.269524</v>
      </c>
      <c r="E12" s="9">
        <f>E7+E8+E9</f>
        <v>12520107002.328373</v>
      </c>
      <c r="F12" s="9">
        <f t="shared" ref="F12:H12" si="26">F7+F8+F9</f>
        <v>12915554522.94883</v>
      </c>
      <c r="G12" s="9">
        <f t="shared" si="26"/>
        <v>13323212025.241076</v>
      </c>
      <c r="H12" s="9">
        <f t="shared" si="26"/>
        <v>13743157289.545391</v>
      </c>
      <c r="I12" s="9">
        <f t="shared" ref="I12:AF12" si="27">I7+I8+I9</f>
        <v>14175477538.786503</v>
      </c>
      <c r="J12" s="9">
        <f t="shared" si="27"/>
        <v>14620269220.831364</v>
      </c>
      <c r="K12" s="9">
        <f t="shared" si="27"/>
        <v>15077637805.170113</v>
      </c>
      <c r="L12" s="9">
        <f t="shared" si="27"/>
        <v>15547793630.009695</v>
      </c>
      <c r="M12" s="9">
        <f t="shared" si="27"/>
        <v>16044245466.314854</v>
      </c>
      <c r="N12" s="9">
        <f t="shared" si="27"/>
        <v>16567173336.469303</v>
      </c>
      <c r="O12" s="9">
        <f t="shared" si="27"/>
        <v>17116760739.056456</v>
      </c>
      <c r="P12" s="9">
        <f t="shared" si="27"/>
        <v>17693194521.901573</v>
      </c>
      <c r="Q12" s="9">
        <f t="shared" si="27"/>
        <v>18296792490.794201</v>
      </c>
      <c r="R12" s="9">
        <f t="shared" si="27"/>
        <v>18927875324.231262</v>
      </c>
      <c r="S12" s="9">
        <f t="shared" si="27"/>
        <v>19586766480.565266</v>
      </c>
      <c r="T12" s="9">
        <f t="shared" si="27"/>
        <v>20273792099.289631</v>
      </c>
      <c r="U12" s="9">
        <f t="shared" si="27"/>
        <v>20989280896.235096</v>
      </c>
      <c r="V12" s="9">
        <f t="shared" si="27"/>
        <v>21734032598.95042</v>
      </c>
      <c r="W12" s="9">
        <f t="shared" si="27"/>
        <v>22513431988.49752</v>
      </c>
      <c r="X12" s="9">
        <f t="shared" si="27"/>
        <v>23328477154.546921</v>
      </c>
      <c r="Y12" s="9">
        <f t="shared" si="27"/>
        <v>24180190369.240627</v>
      </c>
      <c r="Z12" s="9">
        <f t="shared" si="27"/>
        <v>25069618615.205872</v>
      </c>
      <c r="AA12" s="9">
        <f t="shared" si="27"/>
        <v>25997834124.151608</v>
      </c>
      <c r="AB12" s="9">
        <f t="shared" si="27"/>
        <v>26965934926.240932</v>
      </c>
      <c r="AC12" s="9">
        <f t="shared" si="27"/>
        <v>27975045410.435719</v>
      </c>
      <c r="AD12" s="9">
        <f t="shared" si="27"/>
        <v>29026316896.012821</v>
      </c>
      <c r="AE12" s="9">
        <f t="shared" si="27"/>
        <v>30120928215.45443</v>
      </c>
      <c r="AF12" s="9">
        <f t="shared" si="27"/>
        <v>31260086308.918243</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505085146.34224308</v>
      </c>
      <c r="D18" s="9">
        <f>Investment!D25</f>
        <v>517657603.26128781</v>
      </c>
      <c r="E18" s="9">
        <f>Investment!E25</f>
        <v>530503403.7099095</v>
      </c>
      <c r="F18" s="9">
        <f>Investment!F25</f>
        <v>543628100.1284225</v>
      </c>
      <c r="G18" s="9">
        <f>Investment!G25</f>
        <v>545724709.3890208</v>
      </c>
      <c r="H18" s="9">
        <f>Investment!H25</f>
        <v>548147400.4846468</v>
      </c>
      <c r="I18" s="9">
        <f>Investment!I25</f>
        <v>550886429.61295378</v>
      </c>
      <c r="J18" s="9">
        <f>Investment!J25</f>
        <v>553932536.39353549</v>
      </c>
      <c r="K18" s="9">
        <f>Investment!K25</f>
        <v>557276921.31790698</v>
      </c>
      <c r="L18" s="9">
        <f>Investment!L25</f>
        <v>565004972.24908721</v>
      </c>
      <c r="M18" s="9">
        <f>Investment!M25</f>
        <v>1139468348.6796505</v>
      </c>
      <c r="N18" s="9">
        <f>Investment!N25</f>
        <v>1146159332.9781959</v>
      </c>
      <c r="O18" s="9">
        <f>Investment!O25</f>
        <v>1152807732.2721369</v>
      </c>
      <c r="P18" s="9">
        <f>Investment!P25</f>
        <v>1159407328.8129597</v>
      </c>
      <c r="Q18" s="9">
        <f>Investment!Q25</f>
        <v>1171394372.9970069</v>
      </c>
      <c r="R18" s="9">
        <f>Investment!R25</f>
        <v>1183312206.573314</v>
      </c>
      <c r="S18" s="9">
        <f>Investment!S25</f>
        <v>1195154492.2104955</v>
      </c>
      <c r="T18" s="9">
        <f>Investment!T25</f>
        <v>1206914622.5444546</v>
      </c>
      <c r="U18" s="9">
        <f>Investment!U25</f>
        <v>1218585712.6124172</v>
      </c>
      <c r="V18" s="9">
        <f>Investment!V25</f>
        <v>1250115382.7691216</v>
      </c>
      <c r="W18" s="9">
        <f>Investment!W25</f>
        <v>1476693065.6754808</v>
      </c>
      <c r="X18" s="9">
        <f>Investment!X25</f>
        <v>1516222276.5796008</v>
      </c>
      <c r="Y18" s="9">
        <f>Investment!Y25</f>
        <v>1556523016.6550255</v>
      </c>
      <c r="Z18" s="9">
        <f>Investment!Z25</f>
        <v>1597607779.3892488</v>
      </c>
      <c r="AA18" s="9">
        <f>Investment!AA25</f>
        <v>1639489221.8498123</v>
      </c>
      <c r="AB18" s="9">
        <f>Investment!AB25</f>
        <v>1682180165.9772048</v>
      </c>
      <c r="AC18" s="9">
        <f>Investment!AC25</f>
        <v>1725693599.8626294</v>
      </c>
      <c r="AD18" s="9">
        <f>Investment!AD25</f>
        <v>1770042679.0095296</v>
      </c>
      <c r="AE18" s="9">
        <f>Investment!AE25</f>
        <v>1815240727.5777373</v>
      </c>
      <c r="AF18" s="9">
        <f>Investment!AF25</f>
        <v>1861301239.6090326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60</v>
      </c>
      <c r="C19" s="9">
        <f>$C$6-C7+C18</f>
        <v>11910408735.614159</v>
      </c>
      <c r="D19" s="9">
        <f>D18+C20</f>
        <v>12068077393.719915</v>
      </c>
      <c r="E19" s="9">
        <f>E18+D20</f>
        <v>12227091973.587748</v>
      </c>
      <c r="F19" s="9">
        <f t="shared" ref="F19:AF19" si="28">F18+E20</f>
        <v>12387414429.65732</v>
      </c>
      <c r="G19" s="9">
        <f t="shared" si="28"/>
        <v>12537691618.425884</v>
      </c>
      <c r="H19" s="9">
        <f t="shared" si="28"/>
        <v>12678181516.618286</v>
      </c>
      <c r="I19" s="9">
        <f t="shared" si="28"/>
        <v>12809122681.926924</v>
      </c>
      <c r="J19" s="9">
        <f t="shared" si="28"/>
        <v>12930734969.079348</v>
      </c>
      <c r="K19" s="9">
        <f t="shared" si="28"/>
        <v>13043220208.352394</v>
      </c>
      <c r="L19" s="9">
        <f t="shared" si="28"/>
        <v>13150856596.262732</v>
      </c>
      <c r="M19" s="9">
        <f t="shared" si="28"/>
        <v>13820169120.1028</v>
      </c>
      <c r="N19" s="9">
        <f t="shared" si="28"/>
        <v>14469876616.775837</v>
      </c>
      <c r="O19" s="9">
        <f t="shared" si="28"/>
        <v>15099756478.893524</v>
      </c>
      <c r="P19" s="9">
        <f t="shared" si="28"/>
        <v>15709576405.119331</v>
      </c>
      <c r="Q19" s="9">
        <f t="shared" si="28"/>
        <v>16304536995.271221</v>
      </c>
      <c r="R19" s="9">
        <f t="shared" si="28"/>
        <v>16884251232.951912</v>
      </c>
      <c r="S19" s="9">
        <f t="shared" si="28"/>
        <v>17448322891.725346</v>
      </c>
      <c r="T19" s="9">
        <f t="shared" si="28"/>
        <v>17996346357.935799</v>
      </c>
      <c r="U19" s="9">
        <f t="shared" si="28"/>
        <v>18527906451.823853</v>
      </c>
      <c r="V19" s="9">
        <f t="shared" si="28"/>
        <v>19062533037.647511</v>
      </c>
      <c r="W19" s="9">
        <f t="shared" si="28"/>
        <v>19794474400.607666</v>
      </c>
      <c r="X19" s="9">
        <f t="shared" si="28"/>
        <v>20531297287.640167</v>
      </c>
      <c r="Y19" s="9">
        <f t="shared" si="28"/>
        <v>21272775138.245792</v>
      </c>
      <c r="Z19" s="9">
        <f t="shared" si="28"/>
        <v>22018669702.941334</v>
      </c>
      <c r="AA19" s="9">
        <f t="shared" si="28"/>
        <v>22768730678.825901</v>
      </c>
      <c r="AB19" s="9">
        <f t="shared" si="28"/>
        <v>23522695335.857368</v>
      </c>
      <c r="AC19" s="9">
        <f t="shared" si="28"/>
        <v>24280288133.630672</v>
      </c>
      <c r="AD19" s="9">
        <f t="shared" si="28"/>
        <v>25041220328.445415</v>
      </c>
      <c r="AE19" s="9">
        <f t="shared" si="28"/>
        <v>25805189570.446049</v>
      </c>
      <c r="AF19" s="9">
        <f t="shared" si="28"/>
        <v>26571879490.613472</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11550419790.458628</v>
      </c>
      <c r="D20" s="9">
        <f>D19-D8-D9</f>
        <v>11696588569.877838</v>
      </c>
      <c r="E20" s="9">
        <f t="shared" ref="E20:AF20" si="29">E19-E8-E9</f>
        <v>11843786329.528898</v>
      </c>
      <c r="F20" s="9">
        <f t="shared" si="29"/>
        <v>11991966909.036863</v>
      </c>
      <c r="G20" s="9">
        <f t="shared" si="29"/>
        <v>12130034116.133638</v>
      </c>
      <c r="H20" s="9">
        <f t="shared" si="29"/>
        <v>12258236252.313971</v>
      </c>
      <c r="I20" s="9">
        <f t="shared" si="29"/>
        <v>12376802432.685812</v>
      </c>
      <c r="J20" s="9">
        <f t="shared" si="29"/>
        <v>12485943287.034487</v>
      </c>
      <c r="K20" s="9">
        <f t="shared" si="29"/>
        <v>12585851624.013645</v>
      </c>
      <c r="L20" s="9">
        <f t="shared" si="29"/>
        <v>12680700771.423149</v>
      </c>
      <c r="M20" s="9">
        <f t="shared" si="29"/>
        <v>13323717283.797642</v>
      </c>
      <c r="N20" s="9">
        <f t="shared" si="29"/>
        <v>13946948746.621387</v>
      </c>
      <c r="O20" s="9">
        <f t="shared" si="29"/>
        <v>14550169076.306372</v>
      </c>
      <c r="P20" s="9">
        <f t="shared" si="29"/>
        <v>15133142622.274214</v>
      </c>
      <c r="Q20" s="9">
        <f t="shared" si="29"/>
        <v>15700939026.378597</v>
      </c>
      <c r="R20" s="9">
        <f t="shared" si="29"/>
        <v>16253168399.514849</v>
      </c>
      <c r="S20" s="9">
        <f t="shared" si="29"/>
        <v>16789431735.391342</v>
      </c>
      <c r="T20" s="9">
        <f t="shared" si="29"/>
        <v>17309320739.211433</v>
      </c>
      <c r="U20" s="9">
        <f t="shared" si="29"/>
        <v>17812417654.878387</v>
      </c>
      <c r="V20" s="9">
        <f t="shared" si="29"/>
        <v>18317781334.932186</v>
      </c>
      <c r="W20" s="9">
        <f t="shared" si="29"/>
        <v>19015075011.060566</v>
      </c>
      <c r="X20" s="9">
        <f t="shared" si="29"/>
        <v>19716252121.590767</v>
      </c>
      <c r="Y20" s="9">
        <f t="shared" si="29"/>
        <v>20421061923.552086</v>
      </c>
      <c r="Z20" s="9">
        <f t="shared" si="29"/>
        <v>21129241456.976089</v>
      </c>
      <c r="AA20" s="9">
        <f t="shared" si="29"/>
        <v>21840515169.880165</v>
      </c>
      <c r="AB20" s="9">
        <f t="shared" si="29"/>
        <v>22554594533.768044</v>
      </c>
      <c r="AC20" s="9">
        <f t="shared" si="29"/>
        <v>23271177649.435886</v>
      </c>
      <c r="AD20" s="9">
        <f t="shared" si="29"/>
        <v>23989948842.868313</v>
      </c>
      <c r="AE20" s="9">
        <f t="shared" si="29"/>
        <v>24710578251.00444</v>
      </c>
      <c r="AF20" s="9">
        <f t="shared" si="29"/>
        <v>25432721397.149658</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914310740.03901911</v>
      </c>
      <c r="D22" s="9">
        <f ca="1">'Balance Sheet'!C11</f>
        <v>1964563063.1898696</v>
      </c>
      <c r="E22" s="9">
        <f ca="1">'Balance Sheet'!D11</f>
        <v>2325863614.2381983</v>
      </c>
      <c r="F22" s="9">
        <f ca="1">'Balance Sheet'!E11</f>
        <v>2662672773.3624978</v>
      </c>
      <c r="G22" s="9">
        <f ca="1">'Balance Sheet'!F11</f>
        <v>2983204315.3460751</v>
      </c>
      <c r="H22" s="9">
        <f ca="1">'Balance Sheet'!G11</f>
        <v>3263900939.5003843</v>
      </c>
      <c r="I22" s="9">
        <f ca="1">'Balance Sheet'!H11</f>
        <v>3404100936.511549</v>
      </c>
      <c r="J22" s="9">
        <f ca="1">'Balance Sheet'!I11</f>
        <v>3501968252.9818029</v>
      </c>
      <c r="K22" s="9">
        <f ca="1">'Balance Sheet'!J11</f>
        <v>3555833808.9883881</v>
      </c>
      <c r="L22" s="9">
        <f ca="1">'Balance Sheet'!K11</f>
        <v>3563858220.8552251</v>
      </c>
      <c r="M22" s="9">
        <f ca="1">'Balance Sheet'!L11</f>
        <v>3537920224.8723722</v>
      </c>
      <c r="N22" s="9">
        <f ca="1">'Balance Sheet'!M11</f>
        <v>4062645046.2701001</v>
      </c>
      <c r="O22" s="9">
        <f ca="1">'Balance Sheet'!N11</f>
        <v>4568145988.9142265</v>
      </c>
      <c r="P22" s="9">
        <f ca="1">'Balance Sheet'!O11</f>
        <v>5052125359.6916513</v>
      </c>
      <c r="Q22" s="9">
        <f ca="1">'Balance Sheet'!P11</f>
        <v>5512130724.7974653</v>
      </c>
      <c r="R22" s="9">
        <f ca="1">'Balance Sheet'!Q11</f>
        <v>5952985162.7215805</v>
      </c>
      <c r="S22" s="9">
        <f ca="1">'Balance Sheet'!R11</f>
        <v>6372117949.4348793</v>
      </c>
      <c r="T22" s="9">
        <f ca="1">'Balance Sheet'!S11</f>
        <v>6766786750.4384775</v>
      </c>
      <c r="U22" s="9">
        <f ca="1">'Balance Sheet'!T11</f>
        <v>7134068315.3849936</v>
      </c>
      <c r="V22" s="9">
        <f ca="1">'Balance Sheet'!U11</f>
        <v>7470848718.0869122</v>
      </c>
      <c r="W22" s="9">
        <f ca="1">'Balance Sheet'!V11</f>
        <v>7805108794.4241381</v>
      </c>
      <c r="X22" s="9">
        <f ca="1">'Balance Sheet'!W11</f>
        <v>8336996592.5885963</v>
      </c>
      <c r="Y22" s="9">
        <f ca="1">'Balance Sheet'!X11</f>
        <v>8877890191.2887573</v>
      </c>
      <c r="Z22" s="9">
        <f ca="1">'Balance Sheet'!Y11</f>
        <v>9426881347.9790211</v>
      </c>
      <c r="AA22" s="9">
        <f ca="1">'Balance Sheet'!Z11</f>
        <v>9982961555.316143</v>
      </c>
      <c r="AB22" s="9">
        <f ca="1">'Balance Sheet'!AA11</f>
        <v>10545015422.810579</v>
      </c>
      <c r="AC22" s="9">
        <f ca="1">'Balance Sheet'!AB11</f>
        <v>11111813696.574673</v>
      </c>
      <c r="AD22" s="9">
        <f ca="1">'Balance Sheet'!AC11</f>
        <v>11682005899.226578</v>
      </c>
      <c r="AE22" s="9">
        <f ca="1">'Balance Sheet'!AD11</f>
        <v>12254112571.170534</v>
      </c>
      <c r="AF22" s="9">
        <f ca="1">'Balance Sheet'!AE11</f>
        <v>12826517093.598186</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10636109050.419609</v>
      </c>
      <c r="D23" s="9">
        <f t="shared" ref="D23:AF23" ca="1" si="30">D20-D22</f>
        <v>9732025506.6879692</v>
      </c>
      <c r="E23" s="9">
        <f t="shared" ca="1" si="30"/>
        <v>9517922715.290699</v>
      </c>
      <c r="F23" s="9">
        <f t="shared" ca="1" si="30"/>
        <v>9329294135.674366</v>
      </c>
      <c r="G23" s="9">
        <f t="shared" ca="1" si="30"/>
        <v>9146829800.7875633</v>
      </c>
      <c r="H23" s="9">
        <f t="shared" ca="1" si="30"/>
        <v>8994335312.8135872</v>
      </c>
      <c r="I23" s="9">
        <f t="shared" ca="1" si="30"/>
        <v>8972701496.174263</v>
      </c>
      <c r="J23" s="9">
        <f ca="1">J20-J22</f>
        <v>8983975034.0526848</v>
      </c>
      <c r="K23" s="9">
        <f t="shared" ca="1" si="30"/>
        <v>9030017815.0252571</v>
      </c>
      <c r="L23" s="9">
        <f t="shared" ca="1" si="30"/>
        <v>9116842550.5679245</v>
      </c>
      <c r="M23" s="9">
        <f t="shared" ca="1" si="30"/>
        <v>9785797058.9252701</v>
      </c>
      <c r="N23" s="9">
        <f t="shared" ca="1" si="30"/>
        <v>9884303700.3512878</v>
      </c>
      <c r="O23" s="9">
        <f t="shared" ca="1" si="30"/>
        <v>9982023087.3921452</v>
      </c>
      <c r="P23" s="9">
        <f t="shared" ca="1" si="30"/>
        <v>10081017262.582561</v>
      </c>
      <c r="Q23" s="9">
        <f t="shared" ca="1" si="30"/>
        <v>10188808301.581131</v>
      </c>
      <c r="R23" s="9">
        <f t="shared" ca="1" si="30"/>
        <v>10300183236.793268</v>
      </c>
      <c r="S23" s="9">
        <f t="shared" ca="1" si="30"/>
        <v>10417313785.956463</v>
      </c>
      <c r="T23" s="9">
        <f t="shared" ca="1" si="30"/>
        <v>10542533988.772957</v>
      </c>
      <c r="U23" s="9">
        <f t="shared" ca="1" si="30"/>
        <v>10678349339.493393</v>
      </c>
      <c r="V23" s="9">
        <f t="shared" ca="1" si="30"/>
        <v>10846932616.845274</v>
      </c>
      <c r="W23" s="9">
        <f t="shared" ca="1" si="30"/>
        <v>11209966216.636429</v>
      </c>
      <c r="X23" s="9">
        <f t="shared" ca="1" si="30"/>
        <v>11379255529.002171</v>
      </c>
      <c r="Y23" s="9">
        <f t="shared" ca="1" si="30"/>
        <v>11543171732.263329</v>
      </c>
      <c r="Z23" s="9">
        <f t="shared" ca="1" si="30"/>
        <v>11702360108.997068</v>
      </c>
      <c r="AA23" s="9">
        <f t="shared" ca="1" si="30"/>
        <v>11857553614.564022</v>
      </c>
      <c r="AB23" s="9">
        <f t="shared" ca="1" si="30"/>
        <v>12009579110.957464</v>
      </c>
      <c r="AC23" s="9">
        <f t="shared" ca="1" si="30"/>
        <v>12159363952.861214</v>
      </c>
      <c r="AD23" s="9">
        <f t="shared" ca="1" si="30"/>
        <v>12307942943.641735</v>
      </c>
      <c r="AE23" s="9">
        <f t="shared" ca="1" si="30"/>
        <v>12456465679.833906</v>
      </c>
      <c r="AF23" s="9">
        <f t="shared" ca="1" si="30"/>
        <v>12606204303.551472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1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4" bestFit="1" customWidth="1"/>
    <col min="2" max="2" width="21.83203125" style="64" customWidth="1"/>
    <col min="3" max="3" width="15.5" style="64" bestFit="1" customWidth="1"/>
    <col min="4" max="4" width="16.08203125" style="64" bestFit="1" customWidth="1"/>
    <col min="5" max="9" width="15.5" style="64" bestFit="1" customWidth="1"/>
    <col min="10" max="31" width="16.5" style="64" bestFit="1" customWidth="1"/>
    <col min="32" max="32" width="18.08203125" style="64" bestFit="1" customWidth="1"/>
    <col min="33" max="42" width="16.5" style="64" bestFit="1" customWidth="1"/>
    <col min="43" max="16384" width="10.83203125" style="64"/>
  </cols>
  <sheetData>
    <row r="1" spans="1:42" ht="21" x14ac:dyDescent="0.5">
      <c r="A1" s="15" t="s">
        <v>171</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4" t="s">
        <v>2</v>
      </c>
      <c r="C5" s="1">
        <f>Assumptions!C20</f>
        <v>914310740.03901911</v>
      </c>
      <c r="D5" s="1">
        <f ca="1">C5+C6+C7+C8+C9</f>
        <v>1964563063.1898696</v>
      </c>
      <c r="E5" s="1">
        <f ca="1">D5+D6+D7+D8+D9</f>
        <v>2325863614.2381983</v>
      </c>
      <c r="F5" s="1">
        <f t="shared" ref="F5:AF5" ca="1" si="1">E5+E6+E7+E8+E9</f>
        <v>2662672773.3624978</v>
      </c>
      <c r="G5" s="1">
        <f t="shared" ca="1" si="1"/>
        <v>2983204315.3460751</v>
      </c>
      <c r="H5" s="1">
        <f t="shared" ca="1" si="1"/>
        <v>3263900939.5003843</v>
      </c>
      <c r="I5" s="1">
        <f t="shared" ca="1" si="1"/>
        <v>3404100936.511549</v>
      </c>
      <c r="J5" s="1">
        <f ca="1">I5+I6+I7+I8+I9</f>
        <v>3501968252.9818029</v>
      </c>
      <c r="K5" s="1">
        <f t="shared" ca="1" si="1"/>
        <v>3555833808.9883881</v>
      </c>
      <c r="L5" s="1">
        <f t="shared" ca="1" si="1"/>
        <v>3563858220.8552251</v>
      </c>
      <c r="M5" s="1">
        <f t="shared" ca="1" si="1"/>
        <v>3537920224.8723722</v>
      </c>
      <c r="N5" s="1">
        <f t="shared" ca="1" si="1"/>
        <v>4062645046.2701001</v>
      </c>
      <c r="O5" s="1">
        <f t="shared" ca="1" si="1"/>
        <v>4568145988.9142265</v>
      </c>
      <c r="P5" s="1">
        <f t="shared" ca="1" si="1"/>
        <v>5052125359.6916513</v>
      </c>
      <c r="Q5" s="1">
        <f t="shared" ca="1" si="1"/>
        <v>5512130724.7974653</v>
      </c>
      <c r="R5" s="1">
        <f t="shared" ca="1" si="1"/>
        <v>5952985162.7215805</v>
      </c>
      <c r="S5" s="1">
        <f t="shared" ca="1" si="1"/>
        <v>6372117949.4348793</v>
      </c>
      <c r="T5" s="1">
        <f t="shared" ca="1" si="1"/>
        <v>6766786750.4384775</v>
      </c>
      <c r="U5" s="1">
        <f t="shared" ca="1" si="1"/>
        <v>7134068315.3849936</v>
      </c>
      <c r="V5" s="1">
        <f t="shared" ca="1" si="1"/>
        <v>7470848718.0869122</v>
      </c>
      <c r="W5" s="1">
        <f t="shared" ca="1" si="1"/>
        <v>7805108794.4241381</v>
      </c>
      <c r="X5" s="1">
        <f t="shared" ca="1" si="1"/>
        <v>8336996592.5885963</v>
      </c>
      <c r="Y5" s="1">
        <f t="shared" ca="1" si="1"/>
        <v>8877890191.2887573</v>
      </c>
      <c r="Z5" s="1">
        <f t="shared" ca="1" si="1"/>
        <v>9426881347.9790211</v>
      </c>
      <c r="AA5" s="1">
        <f t="shared" ca="1" si="1"/>
        <v>9982961555.316143</v>
      </c>
      <c r="AB5" s="1">
        <f t="shared" ca="1" si="1"/>
        <v>10545015422.810579</v>
      </c>
      <c r="AC5" s="1">
        <f t="shared" ca="1" si="1"/>
        <v>11111813696.574673</v>
      </c>
      <c r="AD5" s="1">
        <f t="shared" ca="1" si="1"/>
        <v>11682005899.226578</v>
      </c>
      <c r="AE5" s="1">
        <f t="shared" ca="1" si="1"/>
        <v>12254112571.170534</v>
      </c>
      <c r="AF5" s="1">
        <f t="shared" ca="1" si="1"/>
        <v>12826517093.598186</v>
      </c>
      <c r="AG5" s="1"/>
      <c r="AH5" s="1"/>
      <c r="AI5" s="1"/>
      <c r="AJ5" s="1"/>
      <c r="AK5" s="1"/>
      <c r="AL5" s="1"/>
      <c r="AM5" s="1"/>
      <c r="AN5" s="1"/>
      <c r="AO5" s="1"/>
      <c r="AP5" s="1"/>
    </row>
    <row r="6" spans="1:42" x14ac:dyDescent="0.35">
      <c r="A6" s="64" t="s">
        <v>224</v>
      </c>
      <c r="C6" s="1">
        <f>Assumptions!C37</f>
        <v>659628109.30998075</v>
      </c>
      <c r="D6" s="1">
        <f>Assumptions!D37</f>
        <v>0</v>
      </c>
      <c r="E6" s="1">
        <f>Assumptions!E37</f>
        <v>0</v>
      </c>
      <c r="F6" s="1">
        <f>Assumptions!F37</f>
        <v>0</v>
      </c>
      <c r="G6" s="1">
        <f>Assumptions!G37</f>
        <v>0</v>
      </c>
      <c r="H6" s="1">
        <f>Assumptions!H37</f>
        <v>0</v>
      </c>
      <c r="I6" s="1">
        <f>Assumptions!I37</f>
        <v>0</v>
      </c>
      <c r="J6" s="1">
        <f>Assumptions!J37</f>
        <v>0</v>
      </c>
      <c r="K6" s="1">
        <f>Assumptions!K37</f>
        <v>0</v>
      </c>
      <c r="L6" s="1">
        <f>Assumptions!L37</f>
        <v>0</v>
      </c>
      <c r="M6" s="1">
        <f>Assumptions!M37</f>
        <v>0</v>
      </c>
      <c r="N6" s="1">
        <f>Assumptions!N37</f>
        <v>0</v>
      </c>
      <c r="O6" s="1">
        <f>Assumptions!O37</f>
        <v>0</v>
      </c>
      <c r="P6" s="1">
        <f>Assumptions!P37</f>
        <v>0</v>
      </c>
      <c r="Q6" s="1">
        <f>Assumptions!Q37</f>
        <v>0</v>
      </c>
      <c r="R6" s="1">
        <f>Assumptions!R37</f>
        <v>0</v>
      </c>
      <c r="S6" s="1">
        <f>Assumptions!S37</f>
        <v>0</v>
      </c>
      <c r="T6" s="1">
        <f>Assumptions!T37</f>
        <v>0</v>
      </c>
      <c r="U6" s="1">
        <f>Assumptions!U37</f>
        <v>0</v>
      </c>
      <c r="V6" s="1">
        <f>Assumptions!V37</f>
        <v>0</v>
      </c>
      <c r="W6" s="1">
        <f>Assumptions!W37</f>
        <v>0</v>
      </c>
      <c r="X6" s="1">
        <f>Assumptions!X37</f>
        <v>0</v>
      </c>
      <c r="Y6" s="1">
        <f>Assumptions!Y37</f>
        <v>0</v>
      </c>
      <c r="Z6" s="1">
        <f>Assumptions!Z37</f>
        <v>0</v>
      </c>
      <c r="AA6" s="1">
        <f>Assumptions!AA37</f>
        <v>0</v>
      </c>
      <c r="AB6" s="1">
        <f>Assumptions!AB37</f>
        <v>0</v>
      </c>
      <c r="AC6" s="1">
        <f>Assumptions!AC37</f>
        <v>0</v>
      </c>
      <c r="AD6" s="1">
        <f>Assumptions!AD37</f>
        <v>0</v>
      </c>
      <c r="AE6" s="1">
        <f>Assumptions!AE37</f>
        <v>0</v>
      </c>
      <c r="AF6" s="1">
        <f>Assumptions!AF37</f>
        <v>0</v>
      </c>
      <c r="AG6" s="1"/>
      <c r="AH6" s="1"/>
      <c r="AI6" s="1"/>
      <c r="AJ6" s="1"/>
      <c r="AK6" s="1"/>
      <c r="AL6" s="1"/>
      <c r="AM6" s="1"/>
      <c r="AN6" s="1"/>
      <c r="AO6" s="1"/>
      <c r="AP6" s="1"/>
    </row>
    <row r="7" spans="1:42" x14ac:dyDescent="0.35">
      <c r="A7" s="64" t="s">
        <v>225</v>
      </c>
      <c r="C7" s="1">
        <f>Assumptions!D47*Assumptions!D9</f>
        <v>44942661.847653352</v>
      </c>
      <c r="D7" s="1">
        <f>Assumptions!E47*Assumptions!E9</f>
        <v>45931400.408301719</v>
      </c>
      <c r="E7" s="1">
        <f>Assumptions!F47*Assumptions!F9</f>
        <v>46941891.217284359</v>
      </c>
      <c r="F7" s="1">
        <f>Assumptions!G47*Assumptions!G9</f>
        <v>47974612.82406462</v>
      </c>
      <c r="G7" s="1">
        <f>Assumptions!H47*Assumptions!H9</f>
        <v>49030054.306194037</v>
      </c>
      <c r="H7" s="1">
        <f>Assumptions!I47*Assumptions!I9</f>
        <v>0</v>
      </c>
      <c r="I7" s="1">
        <f>Assumptions!J47*Assumptions!J9</f>
        <v>0</v>
      </c>
      <c r="J7" s="1">
        <f>Assumptions!K47*Assumptions!K9</f>
        <v>0</v>
      </c>
      <c r="K7" s="1">
        <f>Assumptions!L47*Assumptions!L9</f>
        <v>0</v>
      </c>
      <c r="L7" s="1">
        <f>Assumptions!M47*Assumptions!M9</f>
        <v>0</v>
      </c>
      <c r="M7" s="1">
        <f>Assumptions!N47*Assumptions!N9</f>
        <v>0</v>
      </c>
      <c r="N7" s="1">
        <f>Assumptions!O47*Assumptions!O9</f>
        <v>0</v>
      </c>
      <c r="O7" s="1">
        <f>Assumptions!P47*Assumptions!P9</f>
        <v>0</v>
      </c>
      <c r="P7" s="1">
        <f>Assumptions!Q47*Assumptions!Q9</f>
        <v>0</v>
      </c>
      <c r="Q7" s="1">
        <f>Assumptions!R47*Assumptions!R9</f>
        <v>0</v>
      </c>
      <c r="R7" s="1">
        <f>Assumptions!S47*Assumptions!S9</f>
        <v>0</v>
      </c>
      <c r="S7" s="1">
        <f>Assumptions!T47*Assumptions!T9</f>
        <v>0</v>
      </c>
      <c r="T7" s="1">
        <f>Assumptions!U47*Assumptions!U9</f>
        <v>0</v>
      </c>
      <c r="U7" s="1">
        <f>Assumptions!V47*Assumptions!V9</f>
        <v>0</v>
      </c>
      <c r="V7" s="1">
        <f>Assumptions!W47*Assumptions!W9</f>
        <v>0</v>
      </c>
      <c r="W7" s="1">
        <f>Assumptions!X47*Assumptions!X9</f>
        <v>0</v>
      </c>
      <c r="X7" s="1">
        <f>Assumptions!Y47*Assumptions!Y9</f>
        <v>0</v>
      </c>
      <c r="Y7" s="1">
        <f>Assumptions!Z47*Assumptions!Z9</f>
        <v>0</v>
      </c>
      <c r="Z7" s="1">
        <f>Assumptions!AA47*Assumptions!AA9</f>
        <v>0</v>
      </c>
      <c r="AA7" s="1">
        <f>Assumptions!AB47*Assumptions!AB9</f>
        <v>0</v>
      </c>
      <c r="AB7" s="1">
        <f>Assumptions!AC47*Assumptions!AC9</f>
        <v>0</v>
      </c>
      <c r="AC7" s="1">
        <f>Assumptions!AD47*Assumptions!AD9</f>
        <v>0</v>
      </c>
      <c r="AD7" s="1">
        <f>Assumptions!AE47*Assumptions!AE9</f>
        <v>0</v>
      </c>
      <c r="AE7" s="1">
        <f>Assumptions!AF47*Assumptions!AF9</f>
        <v>0</v>
      </c>
      <c r="AF7" s="1">
        <f>Assumptions!AG47*Assumptions!AG9</f>
        <v>0</v>
      </c>
      <c r="AG7" s="1"/>
      <c r="AH7" s="1"/>
      <c r="AI7" s="1"/>
      <c r="AJ7" s="1"/>
      <c r="AK7" s="1"/>
      <c r="AL7" s="1"/>
      <c r="AM7" s="1"/>
      <c r="AN7" s="1"/>
      <c r="AO7" s="1"/>
      <c r="AP7" s="1"/>
    </row>
    <row r="8" spans="1:42" x14ac:dyDescent="0.35">
      <c r="A8" s="64" t="s">
        <v>221</v>
      </c>
      <c r="C8" s="1">
        <f>-'Cash Flow'!C9</f>
        <v>-21987603.643666025</v>
      </c>
      <c r="D8" s="1">
        <f>-'Cash Flow'!D9</f>
        <v>-21987603.643666025</v>
      </c>
      <c r="E8" s="1">
        <f>-'Cash Flow'!E9</f>
        <v>-21987603.643666025</v>
      </c>
      <c r="F8" s="1">
        <f>-'Cash Flow'!F9</f>
        <v>-21987603.643666025</v>
      </c>
      <c r="G8" s="1">
        <f>-'Cash Flow'!G9</f>
        <v>-21987603.643666025</v>
      </c>
      <c r="H8" s="1">
        <f>-'Cash Flow'!H9</f>
        <v>-21987603.643666025</v>
      </c>
      <c r="I8" s="1">
        <f>-'Cash Flow'!I9</f>
        <v>-21987603.643666025</v>
      </c>
      <c r="J8" s="1">
        <f>-'Cash Flow'!J9</f>
        <v>-21987603.643666025</v>
      </c>
      <c r="K8" s="1">
        <f>-'Cash Flow'!K9</f>
        <v>-21987603.643666025</v>
      </c>
      <c r="L8" s="1">
        <f>-'Cash Flow'!L9</f>
        <v>-21987603.643666025</v>
      </c>
      <c r="M8" s="1">
        <f>-'Cash Flow'!M9</f>
        <v>-21987603.643666025</v>
      </c>
      <c r="N8" s="1">
        <f>-'Cash Flow'!N9</f>
        <v>-21987603.643666025</v>
      </c>
      <c r="O8" s="1">
        <f>-'Cash Flow'!O9</f>
        <v>-21987603.643666025</v>
      </c>
      <c r="P8" s="1">
        <f>-'Cash Flow'!P9</f>
        <v>-21987603.643666025</v>
      </c>
      <c r="Q8" s="1">
        <f>-'Cash Flow'!Q9</f>
        <v>-21987603.643666025</v>
      </c>
      <c r="R8" s="1">
        <f>-'Cash Flow'!R9</f>
        <v>-21987603.643666025</v>
      </c>
      <c r="S8" s="1">
        <f>-'Cash Flow'!S9</f>
        <v>-21987603.643666025</v>
      </c>
      <c r="T8" s="1">
        <f>-'Cash Flow'!T9</f>
        <v>-21987603.643666025</v>
      </c>
      <c r="U8" s="1">
        <f>-'Cash Flow'!U9</f>
        <v>-21987603.643666025</v>
      </c>
      <c r="V8" s="1">
        <f>-'Cash Flow'!V9</f>
        <v>-21987603.643666025</v>
      </c>
      <c r="W8" s="1">
        <f>-'Cash Flow'!W9</f>
        <v>-21987603.643666025</v>
      </c>
      <c r="X8" s="1">
        <f>-'Cash Flow'!X9</f>
        <v>-21987603.643666025</v>
      </c>
      <c r="Y8" s="1">
        <f>-'Cash Flow'!Y9</f>
        <v>-21987603.643666025</v>
      </c>
      <c r="Z8" s="1">
        <f>-'Cash Flow'!Z9</f>
        <v>-21987603.643666025</v>
      </c>
      <c r="AA8" s="1">
        <f>-'Cash Flow'!AA9</f>
        <v>-21987603.643666025</v>
      </c>
      <c r="AB8" s="1">
        <f>-'Cash Flow'!AB9</f>
        <v>-21987603.643666025</v>
      </c>
      <c r="AC8" s="1">
        <f>-'Cash Flow'!AC9</f>
        <v>-21987603.643666025</v>
      </c>
      <c r="AD8" s="1">
        <f>-'Cash Flow'!AD9</f>
        <v>-21987603.643666025</v>
      </c>
      <c r="AE8" s="1">
        <f>-'Cash Flow'!AE9</f>
        <v>-21987603.643666025</v>
      </c>
      <c r="AF8" s="1">
        <f>-'Cash Flow'!AF9</f>
        <v>-21987603.643666025</v>
      </c>
      <c r="AG8" s="1"/>
      <c r="AH8" s="1"/>
      <c r="AI8" s="1"/>
      <c r="AJ8" s="1"/>
      <c r="AK8" s="1"/>
      <c r="AL8" s="1"/>
      <c r="AM8" s="1"/>
      <c r="AN8" s="1"/>
      <c r="AO8" s="1"/>
      <c r="AP8" s="1"/>
    </row>
    <row r="9" spans="1:42" x14ac:dyDescent="0.35">
      <c r="A9" s="64" t="s">
        <v>3</v>
      </c>
      <c r="C9" s="1">
        <f ca="1">-'Cash Flow'!C13</f>
        <v>367669155.63688225</v>
      </c>
      <c r="D9" s="1">
        <f ca="1">-'Cash Flow'!D13</f>
        <v>337356754.28369296</v>
      </c>
      <c r="E9" s="1">
        <f ca="1">-'Cash Flow'!E13</f>
        <v>311854871.55068111</v>
      </c>
      <c r="F9" s="1">
        <f ca="1">-'Cash Flow'!F13</f>
        <v>294544532.80317843</v>
      </c>
      <c r="G9" s="1">
        <f ca="1">-'Cash Flow'!G13</f>
        <v>253654173.49178129</v>
      </c>
      <c r="H9" s="1">
        <f ca="1">-'Cash Flow'!H13</f>
        <v>162187600.65483034</v>
      </c>
      <c r="I9" s="1">
        <f ca="1">-'Cash Flow'!I13</f>
        <v>119854920.11391973</v>
      </c>
      <c r="J9" s="1">
        <f ca="1">-'Cash Flow'!J13</f>
        <v>75853159.650250852</v>
      </c>
      <c r="K9" s="1">
        <f ca="1">-'Cash Flow'!K13</f>
        <v>30012015.510502696</v>
      </c>
      <c r="L9" s="1">
        <f ca="1">-'Cash Flow'!L13</f>
        <v>-3950392.3391872644</v>
      </c>
      <c r="M9" s="1">
        <f ca="1">-'Cash Flow'!M13</f>
        <v>546712425.04139388</v>
      </c>
      <c r="N9" s="1">
        <f ca="1">-'Cash Flow'!N13</f>
        <v>527488546.28779233</v>
      </c>
      <c r="O9" s="1">
        <f ca="1">-'Cash Flow'!O13</f>
        <v>505966974.42109108</v>
      </c>
      <c r="P9" s="1">
        <f ca="1">-'Cash Flow'!P13</f>
        <v>481992968.74948037</v>
      </c>
      <c r="Q9" s="1">
        <f ca="1">-'Cash Flow'!Q13</f>
        <v>462842041.56778121</v>
      </c>
      <c r="R9" s="1">
        <f ca="1">-'Cash Flow'!R13</f>
        <v>441120390.35696483</v>
      </c>
      <c r="S9" s="1">
        <f ca="1">-'Cash Flow'!S13</f>
        <v>416656404.64726424</v>
      </c>
      <c r="T9" s="1">
        <f ca="1">-'Cash Flow'!T13</f>
        <v>389269168.59018207</v>
      </c>
      <c r="U9" s="1">
        <f ca="1">-'Cash Flow'!U13</f>
        <v>358768006.34558475</v>
      </c>
      <c r="V9" s="1">
        <f ca="1">-'Cash Flow'!V13</f>
        <v>356247679.98089242</v>
      </c>
      <c r="W9" s="1">
        <f ca="1">-'Cash Flow'!W13</f>
        <v>553875401.80812502</v>
      </c>
      <c r="X9" s="1">
        <f ca="1">-'Cash Flow'!X13</f>
        <v>562881202.34382749</v>
      </c>
      <c r="Y9" s="1">
        <f ca="1">-'Cash Flow'!Y13</f>
        <v>570978760.33392906</v>
      </c>
      <c r="Z9" s="1">
        <f ca="1">-'Cash Flow'!Z13</f>
        <v>578067810.98078728</v>
      </c>
      <c r="AA9" s="1">
        <f ca="1">-'Cash Flow'!AA13</f>
        <v>584041471.13810158</v>
      </c>
      <c r="AB9" s="1">
        <f ca="1">-'Cash Flow'!AB13</f>
        <v>588785877.40775943</v>
      </c>
      <c r="AC9" s="1">
        <f ca="1">-'Cash Flow'!AC13</f>
        <v>592179806.29557037</v>
      </c>
      <c r="AD9" s="1">
        <f ca="1">-'Cash Flow'!AD13</f>
        <v>594094275.58762097</v>
      </c>
      <c r="AE9" s="1">
        <f ca="1">-'Cash Flow'!AE13</f>
        <v>594392126.07131863</v>
      </c>
      <c r="AF9" s="1">
        <f ca="1">-'Cash Flow'!AF13</f>
        <v>592927582.68585992</v>
      </c>
      <c r="AG9" s="1"/>
      <c r="AH9" s="1"/>
      <c r="AI9" s="1"/>
      <c r="AJ9" s="1"/>
      <c r="AK9" s="1"/>
      <c r="AL9" s="1"/>
      <c r="AM9" s="1"/>
      <c r="AN9" s="1"/>
      <c r="AO9" s="1"/>
      <c r="AP9" s="1"/>
    </row>
    <row r="10" spans="1:42" x14ac:dyDescent="0.3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42" x14ac:dyDescent="0.35">
      <c r="A11" s="64" t="s">
        <v>5</v>
      </c>
      <c r="C11" s="1">
        <f ca="1">IF(SUM(C5:C9)&gt;0,Assumptions!$C$26*SUM(C5:C9),Assumptions!$C$27*(SUM(C5:C9)))</f>
        <v>68759707.211645439</v>
      </c>
      <c r="D11" s="1">
        <f ca="1">IF(SUM(D5:D9)&gt;0,Assumptions!$C$26*SUM(D5:D9),Assumptions!$C$27*(SUM(D5:D9)))</f>
        <v>81405226.498336941</v>
      </c>
      <c r="E11" s="1">
        <f ca="1">IF(SUM(E5:E9)&gt;0,Assumptions!$C$26*SUM(E5:E9),Assumptions!$C$27*(SUM(E5:E9)))</f>
        <v>93193547.067687437</v>
      </c>
      <c r="F11" s="1">
        <f ca="1">IF(SUM(F5:F9)&gt;0,Assumptions!$C$26*SUM(F5:F9),Assumptions!$C$27*(SUM(F5:F9)))</f>
        <v>104412151.03711264</v>
      </c>
      <c r="G11" s="1">
        <f ca="1">IF(SUM(G5:G9)&gt;0,Assumptions!$C$26*SUM(G5:G9),Assumptions!$C$27*(SUM(G5:G9)))</f>
        <v>114236532.88251346</v>
      </c>
      <c r="H11" s="1">
        <f ca="1">IF(SUM(H5:H9)&gt;0,Assumptions!$C$26*SUM(H5:H9),Assumptions!$C$27*(SUM(H5:H9)))</f>
        <v>119143532.77790423</v>
      </c>
      <c r="I11" s="1">
        <f ca="1">IF(SUM(I5:I9)&gt;0,Assumptions!$C$26*SUM(I5:I9),Assumptions!$C$27*(SUM(I5:I9)))</f>
        <v>122568888.85436311</v>
      </c>
      <c r="J11" s="1">
        <f ca="1">IF(SUM(J5:J9)&gt;0,Assumptions!$C$26*SUM(J5:J9),Assumptions!$C$27*(SUM(J5:J9)))</f>
        <v>124454183.3145936</v>
      </c>
      <c r="K11" s="1">
        <f ca="1">IF(SUM(K5:K9)&gt;0,Assumptions!$C$26*SUM(K5:K9),Assumptions!$C$27*(SUM(K5:K9)))</f>
        <v>124735037.72993289</v>
      </c>
      <c r="L11" s="1">
        <f ca="1">IF(SUM(L5:L9)&gt;0,Assumptions!$C$26*SUM(L5:L9),Assumptions!$C$27*(SUM(L5:L9)))</f>
        <v>123827207.87053303</v>
      </c>
      <c r="M11" s="1">
        <f ca="1">IF(SUM(M5:M9)&gt;0,Assumptions!$C$26*SUM(M5:M9),Assumptions!$C$27*(SUM(M5:M9)))</f>
        <v>142192576.61945352</v>
      </c>
      <c r="N11" s="1">
        <f ca="1">IF(SUM(N5:N9)&gt;0,Assumptions!$C$26*SUM(N5:N9),Assumptions!$C$27*(SUM(N5:N9)))</f>
        <v>159885109.61199793</v>
      </c>
      <c r="O11" s="1">
        <f ca="1">IF(SUM(O5:O9)&gt;0,Assumptions!$C$26*SUM(O5:O9),Assumptions!$C$27*(SUM(O5:O9)))</f>
        <v>176824387.58920783</v>
      </c>
      <c r="P11" s="1">
        <f ca="1">IF(SUM(P5:P9)&gt;0,Assumptions!$C$26*SUM(P5:P9),Assumptions!$C$27*(SUM(P5:P9)))</f>
        <v>192924575.36791131</v>
      </c>
      <c r="Q11" s="1">
        <f ca="1">IF(SUM(Q5:Q9)&gt;0,Assumptions!$C$26*SUM(Q5:Q9),Assumptions!$C$27*(SUM(Q5:Q9)))</f>
        <v>208354480.69525534</v>
      </c>
      <c r="R11" s="1">
        <f ca="1">IF(SUM(R5:R9)&gt;0,Assumptions!$C$26*SUM(R5:R9),Assumptions!$C$27*(SUM(R5:R9)))</f>
        <v>223024128.23022079</v>
      </c>
      <c r="S11" s="1">
        <f ca="1">IF(SUM(S5:S9)&gt;0,Assumptions!$C$26*SUM(S5:S9),Assumptions!$C$27*(SUM(S5:S9)))</f>
        <v>236837536.26534674</v>
      </c>
      <c r="T11" s="1">
        <f ca="1">IF(SUM(T5:T9)&gt;0,Assumptions!$C$26*SUM(T5:T9),Assumptions!$C$27*(SUM(T5:T9)))</f>
        <v>249692391.0384748</v>
      </c>
      <c r="U11" s="1">
        <f ca="1">IF(SUM(U5:U9)&gt;0,Assumptions!$C$26*SUM(U5:U9),Assumptions!$C$27*(SUM(U5:U9)))</f>
        <v>261479705.13304195</v>
      </c>
      <c r="V11" s="1">
        <f ca="1">IF(SUM(V5:V9)&gt;0,Assumptions!$C$26*SUM(V5:V9),Assumptions!$C$27*(SUM(V5:V9)))</f>
        <v>273178807.80484486</v>
      </c>
      <c r="W11" s="1">
        <f ca="1">IF(SUM(W5:W9)&gt;0,Assumptions!$C$26*SUM(W5:W9),Assumptions!$C$27*(SUM(W5:W9)))</f>
        <v>291794880.74060088</v>
      </c>
      <c r="X11" s="1">
        <f ca="1">IF(SUM(X5:X9)&gt;0,Assumptions!$C$26*SUM(X5:X9),Assumptions!$C$27*(SUM(X5:X9)))</f>
        <v>310726156.69510651</v>
      </c>
      <c r="Y11" s="1">
        <f ca="1">IF(SUM(Y5:Y9)&gt;0,Assumptions!$C$26*SUM(Y5:Y9),Assumptions!$C$27*(SUM(Y5:Y9)))</f>
        <v>329940847.1792658</v>
      </c>
      <c r="Z11" s="1">
        <f ca="1">IF(SUM(Z5:Z9)&gt;0,Assumptions!$C$26*SUM(Z5:Z9),Assumptions!$C$27*(SUM(Z5:Z9)))</f>
        <v>349403654.43606502</v>
      </c>
      <c r="AA11" s="1">
        <f ca="1">IF(SUM(AA5:AA9)&gt;0,Assumptions!$C$26*SUM(AA5:AA9),Assumptions!$C$27*(SUM(AA5:AA9)))</f>
        <v>369075539.7983703</v>
      </c>
      <c r="AB11" s="1">
        <f ca="1">IF(SUM(AB5:AB9)&gt;0,Assumptions!$C$26*SUM(AB5:AB9),Assumptions!$C$27*(SUM(AB5:AB9)))</f>
        <v>388913479.3801136</v>
      </c>
      <c r="AC11" s="1">
        <f ca="1">IF(SUM(AC5:AC9)&gt;0,Assumptions!$C$26*SUM(AC5:AC9),Assumptions!$C$27*(SUM(AC5:AC9)))</f>
        <v>408870206.47293025</v>
      </c>
      <c r="AD11" s="1">
        <f ca="1">IF(SUM(AD5:AD9)&gt;0,Assumptions!$C$26*SUM(AD5:AD9),Assumptions!$C$27*(SUM(AD5:AD9)))</f>
        <v>428893939.99096876</v>
      </c>
      <c r="AE11" s="1">
        <f ca="1">IF(SUM(AE5:AE9)&gt;0,Assumptions!$C$26*SUM(AE5:AE9),Assumptions!$C$27*(SUM(AE5:AE9)))</f>
        <v>448928098.27593654</v>
      </c>
      <c r="AF11" s="1">
        <f ca="1">IF(SUM(AF5:AF9)&gt;0,Assumptions!$C$26*SUM(AF5:AF9),Assumptions!$C$27*(SUM(AF5:AF9)))</f>
        <v>468910997.54241335</v>
      </c>
      <c r="AG11" s="1"/>
      <c r="AH11" s="1"/>
      <c r="AI11" s="1"/>
      <c r="AJ11" s="1"/>
      <c r="AK11" s="1"/>
      <c r="AL11" s="1"/>
      <c r="AM11" s="1"/>
      <c r="AN11" s="1"/>
      <c r="AO11" s="1"/>
      <c r="AP11" s="1"/>
    </row>
    <row r="12" spans="1:42" x14ac:dyDescent="0.3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row>
    <row r="14" spans="1:42" x14ac:dyDescent="0.35">
      <c r="K14" s="5"/>
      <c r="L14" s="5"/>
      <c r="M14" s="5"/>
      <c r="N14" s="5"/>
      <c r="O14" s="5"/>
      <c r="P14" s="5"/>
      <c r="Q14" s="5"/>
      <c r="R14" s="5"/>
      <c r="S14" s="5"/>
      <c r="T14" s="5"/>
      <c r="U14" s="5"/>
      <c r="V14" s="5"/>
      <c r="W14" s="5"/>
      <c r="X14" s="5"/>
      <c r="Y14" s="5"/>
      <c r="Z14" s="5"/>
      <c r="AA14" s="5"/>
      <c r="AB14" s="5"/>
      <c r="AC14" s="5"/>
      <c r="AD14" s="5"/>
      <c r="AE14" s="5"/>
      <c r="AF14" s="5"/>
    </row>
  </sheetData>
  <sheetProtection algorithmName="SHA-512" hashValue="iHrvx7tU3ZgCTGfV+d66ByvDBqKV+yi6NYNqqZP8SNWnNzswVp4c8F3i1hOvsKFDwtCsKuuEcKpgbEWsZeeuhQ==" saltValue="DTfOnxp0IY35V1rze320O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69"/>
  </cols>
  <sheetData>
    <row r="1" spans="1:1" x14ac:dyDescent="0.35">
      <c r="A1" s="170"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Normal="100" workbookViewId="0">
      <selection sqref="A1:XFD1048576"/>
    </sheetView>
  </sheetViews>
  <sheetFormatPr defaultRowHeight="15.5" x14ac:dyDescent="0.35"/>
  <cols>
    <col min="1" max="1" width="107.9140625" style="64" customWidth="1"/>
    <col min="2" max="2" width="18.1640625" style="64" bestFit="1" customWidth="1"/>
    <col min="3" max="3" width="63.25" style="64" customWidth="1"/>
    <col min="4" max="16384" width="8.6640625" style="64"/>
  </cols>
  <sheetData>
    <row r="1" spans="1:3" ht="26" x14ac:dyDescent="0.6">
      <c r="A1" s="13" t="s">
        <v>191</v>
      </c>
    </row>
    <row r="2" spans="1:3" ht="26" x14ac:dyDescent="0.6">
      <c r="A2" s="13"/>
    </row>
    <row r="3" spans="1:3" ht="186" x14ac:dyDescent="0.35">
      <c r="A3" s="168" t="s">
        <v>194</v>
      </c>
    </row>
    <row r="4" spans="1:3" ht="26" x14ac:dyDescent="0.6">
      <c r="A4" s="13"/>
    </row>
    <row r="5" spans="1:3" ht="18.5" x14ac:dyDescent="0.45">
      <c r="A5" s="88" t="s">
        <v>183</v>
      </c>
      <c r="B5" s="89"/>
    </row>
    <row r="6" spans="1:3" ht="18.5" x14ac:dyDescent="0.45">
      <c r="A6" s="89"/>
      <c r="B6" s="89"/>
    </row>
    <row r="7" spans="1:3" ht="18.5" x14ac:dyDescent="0.45">
      <c r="A7" s="89" t="s">
        <v>122</v>
      </c>
      <c r="B7" s="222">
        <f>Assumptions!C24</f>
        <v>483196250.47000009</v>
      </c>
      <c r="C7" s="171" t="s">
        <v>284</v>
      </c>
    </row>
    <row r="8" spans="1:3" ht="18.5" x14ac:dyDescent="0.45">
      <c r="A8" s="89" t="s">
        <v>180</v>
      </c>
      <c r="B8" s="223">
        <f>Assumptions!$C$140</f>
        <v>0.7</v>
      </c>
      <c r="C8" s="171" t="s">
        <v>283</v>
      </c>
    </row>
    <row r="9" spans="1:3" ht="18.5" x14ac:dyDescent="0.45">
      <c r="A9" s="89"/>
      <c r="B9" s="224"/>
      <c r="C9" s="171"/>
    </row>
    <row r="10" spans="1:3" ht="18.5" x14ac:dyDescent="0.45">
      <c r="A10" s="93" t="s">
        <v>127</v>
      </c>
      <c r="B10" s="225">
        <f>Assumptions!C142</f>
        <v>353834.76666666666</v>
      </c>
      <c r="C10" s="171" t="s">
        <v>284</v>
      </c>
    </row>
    <row r="11" spans="1:3" ht="18.5" x14ac:dyDescent="0.45">
      <c r="A11" s="93"/>
      <c r="B11" s="226"/>
      <c r="C11" s="171"/>
    </row>
    <row r="12" spans="1:3" ht="18.5" x14ac:dyDescent="0.45">
      <c r="A12" s="93" t="s">
        <v>190</v>
      </c>
      <c r="B12" s="222">
        <f>(B7*B8)/B10</f>
        <v>955.91899720707693</v>
      </c>
      <c r="C12" s="171"/>
    </row>
    <row r="13" spans="1:3" ht="18.5" x14ac:dyDescent="0.45">
      <c r="A13" s="95"/>
      <c r="B13" s="227"/>
      <c r="C13" s="171"/>
    </row>
    <row r="14" spans="1:3" ht="18.5" x14ac:dyDescent="0.45">
      <c r="A14" s="93" t="s">
        <v>128</v>
      </c>
      <c r="B14" s="228">
        <v>1</v>
      </c>
      <c r="C14" s="171"/>
    </row>
    <row r="15" spans="1:3" ht="18.5" x14ac:dyDescent="0.45">
      <c r="A15" s="95"/>
      <c r="B15" s="229"/>
      <c r="C15" s="171"/>
    </row>
    <row r="16" spans="1:3" ht="18.5" x14ac:dyDescent="0.45">
      <c r="A16" s="95" t="s">
        <v>185</v>
      </c>
      <c r="B16" s="230">
        <f>B12/B14</f>
        <v>955.91899720707693</v>
      </c>
      <c r="C16" s="171"/>
    </row>
    <row r="17" spans="1:3" ht="18.5" x14ac:dyDescent="0.45">
      <c r="A17" s="93"/>
      <c r="B17" s="231"/>
      <c r="C17" s="171"/>
    </row>
    <row r="18" spans="1:3" ht="18.5" x14ac:dyDescent="0.45">
      <c r="A18" s="101" t="s">
        <v>184</v>
      </c>
      <c r="B18" s="231"/>
      <c r="C18" s="171"/>
    </row>
    <row r="19" spans="1:3" ht="18.5" x14ac:dyDescent="0.45">
      <c r="A19" s="93"/>
      <c r="B19" s="231"/>
      <c r="C19" s="171"/>
    </row>
    <row r="20" spans="1:3" ht="18.5" x14ac:dyDescent="0.45">
      <c r="A20" s="93" t="s">
        <v>85</v>
      </c>
      <c r="B20" s="222">
        <f>'Profit and Loss'!L5</f>
        <v>942342051.66977441</v>
      </c>
      <c r="C20" s="171" t="s">
        <v>284</v>
      </c>
    </row>
    <row r="21" spans="1:3" ht="18.5" x14ac:dyDescent="0.45">
      <c r="A21" s="93" t="str">
        <f>A8</f>
        <v>Assumed revenue from households</v>
      </c>
      <c r="B21" s="223">
        <f>B8</f>
        <v>0.7</v>
      </c>
      <c r="C21" s="171" t="s">
        <v>283</v>
      </c>
    </row>
    <row r="22" spans="1:3" ht="18.5" x14ac:dyDescent="0.45">
      <c r="A22" s="93"/>
      <c r="B22" s="226"/>
      <c r="C22" s="171"/>
    </row>
    <row r="23" spans="1:3" ht="18.5" x14ac:dyDescent="0.45">
      <c r="A23" s="93" t="s">
        <v>126</v>
      </c>
      <c r="B23" s="225">
        <f>Assumptions!M142</f>
        <v>413553.07271575759</v>
      </c>
      <c r="C23" s="171" t="s">
        <v>284</v>
      </c>
    </row>
    <row r="24" spans="1:3" ht="18.5" x14ac:dyDescent="0.45">
      <c r="A24" s="93"/>
      <c r="B24" s="226"/>
      <c r="C24" s="171"/>
    </row>
    <row r="25" spans="1:3" ht="18.5" x14ac:dyDescent="0.45">
      <c r="A25" s="93" t="s">
        <v>189</v>
      </c>
      <c r="B25" s="222">
        <f>(B20*B21)/B23</f>
        <v>1595.053887127624</v>
      </c>
      <c r="C25" s="171"/>
    </row>
    <row r="26" spans="1:3" ht="18.5" x14ac:dyDescent="0.45">
      <c r="A26" s="93"/>
      <c r="B26" s="222"/>
      <c r="C26" s="171"/>
    </row>
    <row r="27" spans="1:3" ht="32" x14ac:dyDescent="0.45">
      <c r="A27" s="93" t="s">
        <v>128</v>
      </c>
      <c r="B27" s="228">
        <f>1.022^11</f>
        <v>1.2704566586717592</v>
      </c>
      <c r="C27" s="171" t="s">
        <v>285</v>
      </c>
    </row>
    <row r="28" spans="1:3" ht="18.5" x14ac:dyDescent="0.45">
      <c r="A28" s="95"/>
      <c r="B28" s="227"/>
      <c r="C28" s="171"/>
    </row>
    <row r="29" spans="1:3" ht="18.5" x14ac:dyDescent="0.45">
      <c r="A29" s="95" t="s">
        <v>186</v>
      </c>
      <c r="B29" s="222">
        <f>B25/B27</f>
        <v>1255.4964990267561</v>
      </c>
      <c r="C29" s="171"/>
    </row>
    <row r="30" spans="1:3" ht="18.5" x14ac:dyDescent="0.45">
      <c r="A30" s="95"/>
      <c r="B30" s="227"/>
      <c r="C30" s="171"/>
    </row>
    <row r="31" spans="1:3" ht="18.5" x14ac:dyDescent="0.45">
      <c r="A31" s="101" t="s">
        <v>192</v>
      </c>
      <c r="B31" s="232"/>
      <c r="C31" s="171"/>
    </row>
    <row r="32" spans="1:3" ht="18.5" x14ac:dyDescent="0.45">
      <c r="A32" s="93"/>
      <c r="B32" s="222"/>
      <c r="C32" s="171"/>
    </row>
    <row r="33" spans="1:3" ht="18.5" x14ac:dyDescent="0.45">
      <c r="A33" s="93" t="s">
        <v>86</v>
      </c>
      <c r="B33" s="222">
        <f>'Profit and Loss'!AF5</f>
        <v>1989243674.09431</v>
      </c>
      <c r="C33" s="171" t="s">
        <v>284</v>
      </c>
    </row>
    <row r="34" spans="1:3" ht="18.5" x14ac:dyDescent="0.45">
      <c r="A34" s="93" t="str">
        <f>A21</f>
        <v>Assumed revenue from households</v>
      </c>
      <c r="B34" s="223">
        <f>B21</f>
        <v>0.7</v>
      </c>
      <c r="C34" s="171" t="s">
        <v>283</v>
      </c>
    </row>
    <row r="35" spans="1:3" ht="18.5" x14ac:dyDescent="0.45">
      <c r="A35" s="93"/>
      <c r="B35" s="226"/>
      <c r="C35" s="171"/>
    </row>
    <row r="36" spans="1:3" ht="18.5" x14ac:dyDescent="0.45">
      <c r="A36" s="93" t="s">
        <v>125</v>
      </c>
      <c r="B36" s="225">
        <f>Assumptions!AG142</f>
        <v>564927.54384406796</v>
      </c>
      <c r="C36" s="171" t="s">
        <v>284</v>
      </c>
    </row>
    <row r="37" spans="1:3" ht="18.5" x14ac:dyDescent="0.45">
      <c r="A37" s="93"/>
      <c r="B37" s="226"/>
      <c r="C37" s="171"/>
    </row>
    <row r="38" spans="1:3" ht="18.5" x14ac:dyDescent="0.45">
      <c r="A38" s="93" t="s">
        <v>188</v>
      </c>
      <c r="B38" s="222">
        <f>(B33*B34)/B36</f>
        <v>2464.8657815317433</v>
      </c>
      <c r="C38" s="171"/>
    </row>
    <row r="39" spans="1:3" ht="18.5" x14ac:dyDescent="0.45">
      <c r="A39" s="93"/>
      <c r="B39" s="226"/>
      <c r="C39" s="171"/>
    </row>
    <row r="40" spans="1:3" ht="32" x14ac:dyDescent="0.45">
      <c r="A40" s="93" t="s">
        <v>128</v>
      </c>
      <c r="B40" s="228">
        <f>1.022^31</f>
        <v>1.9632597808456462</v>
      </c>
      <c r="C40" s="171" t="s">
        <v>285</v>
      </c>
    </row>
    <row r="41" spans="1:3" ht="18.5" x14ac:dyDescent="0.45">
      <c r="A41" s="95"/>
      <c r="B41" s="227"/>
    </row>
    <row r="42" spans="1:3" ht="18.5" x14ac:dyDescent="0.45">
      <c r="A42" s="95" t="s">
        <v>187</v>
      </c>
      <c r="B42" s="222">
        <f>B38/B40</f>
        <v>1255.4964990267551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69"/>
  </cols>
  <sheetData>
    <row r="1" spans="1:1" x14ac:dyDescent="0.35">
      <c r="A1" s="170"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BF43-D3FD-481F-AEAC-4042EC153BC7}">
  <dimension ref="A1:BD28"/>
  <sheetViews>
    <sheetView zoomScaleNormal="100" workbookViewId="0">
      <selection activeCell="AR7" sqref="A1:XFD1048576"/>
    </sheetView>
  </sheetViews>
  <sheetFormatPr defaultColWidth="21.4140625" defaultRowHeight="15.5" x14ac:dyDescent="0.35"/>
  <cols>
    <col min="1" max="1" width="25.6640625" style="182" customWidth="1"/>
    <col min="2" max="2" width="28.33203125" style="180" bestFit="1" customWidth="1"/>
    <col min="3" max="3" width="24.25" style="180" bestFit="1" customWidth="1"/>
    <col min="4" max="4" width="53.4140625" style="180" customWidth="1"/>
    <col min="5" max="5" width="21.4140625" style="180"/>
    <col min="6" max="6" width="28.33203125" style="180" bestFit="1" customWidth="1"/>
    <col min="7" max="7" width="24.25" style="180" bestFit="1" customWidth="1"/>
    <col min="8" max="8" width="39.83203125" style="180" bestFit="1" customWidth="1"/>
    <col min="9" max="11" width="21.4140625" style="182"/>
    <col min="12" max="12" width="61.08203125" style="182" customWidth="1"/>
    <col min="13" max="13" width="21.4140625" style="180"/>
    <col min="14" max="14" width="36.25" style="180" bestFit="1" customWidth="1"/>
    <col min="15" max="15" width="12.5" style="180" bestFit="1" customWidth="1"/>
    <col min="16" max="16" width="39.83203125" style="180" bestFit="1" customWidth="1"/>
    <col min="17" max="17" width="21.4140625" style="180"/>
    <col min="18" max="18" width="36.25" style="180" bestFit="1" customWidth="1"/>
    <col min="19" max="19" width="21.4140625" style="180"/>
    <col min="20" max="20" width="39.83203125" style="180" bestFit="1" customWidth="1"/>
    <col min="21" max="21" width="21.4140625" style="180"/>
    <col min="22" max="22" width="26.1640625" style="180" bestFit="1" customWidth="1"/>
    <col min="23" max="23" width="12" style="180" bestFit="1" customWidth="1"/>
    <col min="24" max="24" width="170" style="180" bestFit="1" customWidth="1"/>
    <col min="25" max="25" width="11.5" style="180" customWidth="1"/>
    <col min="26" max="26" width="28" style="180" bestFit="1" customWidth="1"/>
    <col min="27" max="27" width="30.08203125" style="180" customWidth="1"/>
    <col min="28" max="28" width="25.4140625" style="180" customWidth="1"/>
    <col min="29" max="29" width="26.5" style="180" customWidth="1"/>
    <col min="30" max="30" width="23.25" style="180" customWidth="1"/>
    <col min="31" max="31" width="26.83203125" style="180" customWidth="1"/>
    <col min="32" max="32" width="31.6640625" style="180" customWidth="1"/>
    <col min="33" max="41" width="31.6640625" style="182" customWidth="1"/>
    <col min="42" max="42" width="49" style="182" bestFit="1" customWidth="1"/>
    <col min="43" max="43" width="49.5" style="182" bestFit="1" customWidth="1"/>
    <col min="44" max="44" width="49.5" style="182" customWidth="1"/>
    <col min="45" max="50" width="31.6640625" style="182" customWidth="1"/>
    <col min="51" max="51" width="40.5" style="182" customWidth="1"/>
    <col min="52" max="56" width="31.6640625" style="182" customWidth="1"/>
    <col min="57" max="16384" width="21.4140625" style="180"/>
  </cols>
  <sheetData>
    <row r="1" spans="1:56" ht="23.5" customHeight="1" x14ac:dyDescent="0.35"/>
    <row r="3" spans="1:56" s="182" customFormat="1" x14ac:dyDescent="0.35">
      <c r="A3" s="186"/>
      <c r="Z3" s="183"/>
      <c r="AD3" s="183"/>
    </row>
    <row r="4" spans="1:56" s="192" customFormat="1" ht="57" x14ac:dyDescent="0.35">
      <c r="A4" s="209"/>
      <c r="B4" s="201" t="s">
        <v>0</v>
      </c>
      <c r="D4" s="183"/>
      <c r="E4" s="183"/>
      <c r="F4" s="202" t="s">
        <v>110</v>
      </c>
      <c r="G4" s="183"/>
      <c r="H4" s="183"/>
      <c r="I4" s="183"/>
      <c r="J4" s="202" t="s">
        <v>111</v>
      </c>
      <c r="K4" s="183"/>
      <c r="L4" s="183"/>
      <c r="M4" s="183"/>
      <c r="N4" s="202" t="s">
        <v>65</v>
      </c>
      <c r="O4" s="183"/>
      <c r="P4" s="183"/>
      <c r="Q4" s="183"/>
      <c r="R4" s="202" t="s">
        <v>66</v>
      </c>
      <c r="S4" s="183"/>
      <c r="T4" s="183"/>
      <c r="U4" s="183"/>
      <c r="V4" s="202" t="s">
        <v>31</v>
      </c>
      <c r="W4" s="183"/>
      <c r="X4" s="183"/>
      <c r="Y4" s="183"/>
      <c r="Z4" s="202" t="s">
        <v>279</v>
      </c>
      <c r="AA4" s="183"/>
      <c r="AB4" s="183"/>
      <c r="AE4" s="183"/>
      <c r="AF4" s="183"/>
      <c r="AG4" s="183"/>
      <c r="AH4" s="215" t="s">
        <v>235</v>
      </c>
      <c r="AI4" s="183"/>
      <c r="AJ4" s="183"/>
      <c r="AK4" s="183"/>
      <c r="AL4" s="183"/>
      <c r="AM4" s="215" t="s">
        <v>236</v>
      </c>
      <c r="AN4" s="183"/>
      <c r="AO4" s="183"/>
      <c r="AP4" s="183"/>
      <c r="AQ4" s="183"/>
      <c r="AR4" s="183"/>
      <c r="AS4" s="202" t="s">
        <v>280</v>
      </c>
      <c r="AT4" s="183"/>
      <c r="AU4" s="183"/>
      <c r="AV4" s="183"/>
      <c r="AW4" s="183"/>
      <c r="AX4" s="183"/>
      <c r="AY4" s="202" t="s">
        <v>281</v>
      </c>
      <c r="AZ4" s="183"/>
      <c r="BA4" s="183"/>
      <c r="BB4" s="183"/>
      <c r="BC4" s="183"/>
      <c r="BD4" s="183"/>
    </row>
    <row r="5" spans="1:56" ht="31" x14ac:dyDescent="0.35">
      <c r="A5" s="194"/>
      <c r="B5" s="195" t="s">
        <v>226</v>
      </c>
      <c r="C5" s="195" t="s">
        <v>26</v>
      </c>
      <c r="D5" s="195" t="s">
        <v>139</v>
      </c>
      <c r="E5" s="181"/>
      <c r="F5" s="195" t="s">
        <v>226</v>
      </c>
      <c r="G5" s="195" t="s">
        <v>26</v>
      </c>
      <c r="H5" s="195" t="s">
        <v>139</v>
      </c>
      <c r="I5" s="184"/>
      <c r="J5" s="195" t="s">
        <v>226</v>
      </c>
      <c r="K5" s="195" t="s">
        <v>26</v>
      </c>
      <c r="L5" s="195" t="s">
        <v>139</v>
      </c>
      <c r="M5" s="181"/>
      <c r="N5" s="195" t="s">
        <v>226</v>
      </c>
      <c r="O5" s="195" t="s">
        <v>26</v>
      </c>
      <c r="P5" s="195" t="s">
        <v>139</v>
      </c>
      <c r="Q5" s="181"/>
      <c r="R5" s="195" t="s">
        <v>226</v>
      </c>
      <c r="S5" s="195" t="s">
        <v>26</v>
      </c>
      <c r="T5" s="195" t="s">
        <v>139</v>
      </c>
      <c r="U5" s="181"/>
      <c r="V5" s="195" t="s">
        <v>226</v>
      </c>
      <c r="W5" s="195" t="s">
        <v>26</v>
      </c>
      <c r="X5" s="195" t="s">
        <v>139</v>
      </c>
      <c r="Y5" s="181"/>
      <c r="Z5" s="195" t="s">
        <v>226</v>
      </c>
      <c r="AA5" s="195" t="s">
        <v>229</v>
      </c>
      <c r="AB5" s="195" t="s">
        <v>230</v>
      </c>
      <c r="AC5" s="195" t="s">
        <v>231</v>
      </c>
      <c r="AD5" s="195" t="s">
        <v>232</v>
      </c>
      <c r="AE5" s="195" t="s">
        <v>233</v>
      </c>
      <c r="AF5" s="195" t="s">
        <v>234</v>
      </c>
      <c r="AG5" s="184"/>
      <c r="AH5" s="195" t="s">
        <v>226</v>
      </c>
      <c r="AI5" s="195" t="s">
        <v>133</v>
      </c>
      <c r="AJ5" s="195" t="s">
        <v>134</v>
      </c>
      <c r="AK5" s="195" t="s">
        <v>228</v>
      </c>
      <c r="AL5" s="184"/>
      <c r="AM5" s="195" t="s">
        <v>226</v>
      </c>
      <c r="AN5" s="195" t="s">
        <v>174</v>
      </c>
      <c r="AO5" s="195" t="s">
        <v>134</v>
      </c>
      <c r="AP5" s="237" t="s">
        <v>228</v>
      </c>
      <c r="AQ5" s="237"/>
      <c r="AR5" s="181"/>
      <c r="AS5" s="195" t="s">
        <v>226</v>
      </c>
      <c r="AT5" s="195" t="s">
        <v>241</v>
      </c>
      <c r="AU5" s="195" t="s">
        <v>237</v>
      </c>
      <c r="AV5" s="195" t="s">
        <v>238</v>
      </c>
      <c r="AW5" s="195" t="s">
        <v>239</v>
      </c>
      <c r="AX5" s="181"/>
      <c r="AY5" s="195" t="s">
        <v>226</v>
      </c>
      <c r="AZ5" s="195" t="s">
        <v>240</v>
      </c>
      <c r="BA5" s="195" t="s">
        <v>237</v>
      </c>
      <c r="BB5" s="195" t="s">
        <v>238</v>
      </c>
      <c r="BC5" s="195" t="s">
        <v>239</v>
      </c>
      <c r="BD5" s="181"/>
    </row>
    <row r="6" spans="1:56" x14ac:dyDescent="0.35">
      <c r="A6" s="181"/>
      <c r="B6" s="196" t="s">
        <v>243</v>
      </c>
      <c r="C6" s="200">
        <v>1113000</v>
      </c>
      <c r="D6" s="197" t="s">
        <v>269</v>
      </c>
      <c r="E6" s="187"/>
      <c r="F6" s="196" t="s">
        <v>243</v>
      </c>
      <c r="G6" s="200">
        <v>4216000</v>
      </c>
      <c r="H6" s="197" t="s">
        <v>264</v>
      </c>
      <c r="I6" s="187"/>
      <c r="J6" s="196" t="s">
        <v>243</v>
      </c>
      <c r="K6" s="200">
        <v>3313000</v>
      </c>
      <c r="L6" s="203" t="s">
        <v>265</v>
      </c>
      <c r="M6" s="187"/>
      <c r="N6" s="196" t="s">
        <v>243</v>
      </c>
      <c r="O6" s="205">
        <v>9888</v>
      </c>
      <c r="P6" s="206" t="s">
        <v>270</v>
      </c>
      <c r="Q6" s="187"/>
      <c r="R6" s="196" t="s">
        <v>243</v>
      </c>
      <c r="S6" s="205">
        <v>9888</v>
      </c>
      <c r="T6" s="208" t="s">
        <v>154</v>
      </c>
      <c r="U6" s="187"/>
      <c r="V6" s="196" t="s">
        <v>40</v>
      </c>
      <c r="W6" s="210">
        <v>1.6671207030333202E-2</v>
      </c>
      <c r="X6" s="206" t="s">
        <v>267</v>
      </c>
      <c r="Y6" s="189"/>
      <c r="Z6" s="196" t="s">
        <v>243</v>
      </c>
      <c r="AA6" s="205">
        <v>9888</v>
      </c>
      <c r="AB6" s="208">
        <v>2.7</v>
      </c>
      <c r="AC6" s="205">
        <v>3662.2222222222222</v>
      </c>
      <c r="AD6" s="211">
        <v>1.6671207030333202E-2</v>
      </c>
      <c r="AE6" s="205">
        <v>6013.9583791752357</v>
      </c>
      <c r="AF6" s="212"/>
      <c r="AG6" s="190"/>
      <c r="AH6" s="196" t="s">
        <v>243</v>
      </c>
      <c r="AI6" s="216">
        <v>326297615.97610742</v>
      </c>
      <c r="AJ6" s="216">
        <v>381558710.05673552</v>
      </c>
      <c r="AK6" s="206" t="s">
        <v>286</v>
      </c>
      <c r="AL6" s="190"/>
      <c r="AM6" s="196" t="s">
        <v>243</v>
      </c>
      <c r="AN6" s="216">
        <v>191827200</v>
      </c>
      <c r="AO6" s="216">
        <v>191827200</v>
      </c>
      <c r="AP6" s="212" t="s">
        <v>287</v>
      </c>
      <c r="AQ6" s="212" t="s">
        <v>287</v>
      </c>
      <c r="AR6" s="190"/>
      <c r="AS6" s="217" t="s">
        <v>243</v>
      </c>
      <c r="AT6" s="216">
        <v>191827200</v>
      </c>
      <c r="AU6" s="218">
        <v>0.1</v>
      </c>
      <c r="AV6" s="216">
        <v>19182720</v>
      </c>
      <c r="AW6" s="212"/>
      <c r="AX6" s="190"/>
      <c r="AY6" s="217" t="s">
        <v>243</v>
      </c>
      <c r="AZ6" s="216">
        <v>353928163.01642144</v>
      </c>
      <c r="BA6" s="220">
        <v>0.6</v>
      </c>
      <c r="BB6" s="216">
        <v>212356897.80985287</v>
      </c>
      <c r="BC6" s="212"/>
      <c r="BD6" s="190"/>
    </row>
    <row r="7" spans="1:56" x14ac:dyDescent="0.35">
      <c r="A7" s="181"/>
      <c r="B7" s="196" t="s">
        <v>244</v>
      </c>
      <c r="C7" s="200">
        <v>7674520.9899999993</v>
      </c>
      <c r="D7" s="197" t="s">
        <v>242</v>
      </c>
      <c r="E7" s="187"/>
      <c r="F7" s="196" t="s">
        <v>244</v>
      </c>
      <c r="G7" s="200">
        <v>17600120.16</v>
      </c>
      <c r="H7" s="197" t="s">
        <v>264</v>
      </c>
      <c r="I7" s="187"/>
      <c r="J7" s="196" t="s">
        <v>244</v>
      </c>
      <c r="K7" s="200">
        <v>4754445.4400000004</v>
      </c>
      <c r="L7" s="203" t="s">
        <v>265</v>
      </c>
      <c r="M7" s="187"/>
      <c r="N7" s="196" t="s">
        <v>244</v>
      </c>
      <c r="O7" s="205">
        <v>10589</v>
      </c>
      <c r="P7" s="206" t="s">
        <v>153</v>
      </c>
      <c r="Q7" s="187"/>
      <c r="R7" s="196" t="s">
        <v>244</v>
      </c>
      <c r="S7" s="205">
        <v>8330</v>
      </c>
      <c r="T7" s="208" t="s">
        <v>154</v>
      </c>
      <c r="U7" s="187"/>
      <c r="V7" s="196" t="s">
        <v>41</v>
      </c>
      <c r="W7" s="210">
        <v>2.5727382481078864E-2</v>
      </c>
      <c r="X7" s="206" t="s">
        <v>267</v>
      </c>
      <c r="Y7" s="189"/>
      <c r="Z7" s="196" t="s">
        <v>244</v>
      </c>
      <c r="AA7" s="205">
        <v>9459.5</v>
      </c>
      <c r="AB7" s="208">
        <v>2.7</v>
      </c>
      <c r="AC7" s="205">
        <v>3503.5185185185182</v>
      </c>
      <c r="AD7" s="211">
        <v>2.5727382481078864E-2</v>
      </c>
      <c r="AE7" s="205">
        <v>7506.9392439183339</v>
      </c>
      <c r="AF7" s="212"/>
      <c r="AG7" s="190"/>
      <c r="AH7" s="196" t="s">
        <v>244</v>
      </c>
      <c r="AI7" s="216">
        <v>662165000</v>
      </c>
      <c r="AJ7" s="216">
        <v>662165000</v>
      </c>
      <c r="AK7" s="206" t="s">
        <v>182</v>
      </c>
      <c r="AL7" s="190"/>
      <c r="AM7" s="196" t="s">
        <v>244</v>
      </c>
      <c r="AN7" s="216">
        <v>191880129.13000005</v>
      </c>
      <c r="AO7" s="216">
        <v>193228620.13000003</v>
      </c>
      <c r="AP7" s="212" t="s">
        <v>266</v>
      </c>
      <c r="AQ7" s="212" t="s">
        <v>268</v>
      </c>
      <c r="AR7" s="190"/>
      <c r="AS7" s="217" t="s">
        <v>244</v>
      </c>
      <c r="AT7" s="216">
        <v>193228620.13000003</v>
      </c>
      <c r="AU7" s="218">
        <v>0.1</v>
      </c>
      <c r="AV7" s="216">
        <v>19322862.013000004</v>
      </c>
      <c r="AW7" s="212"/>
      <c r="AX7" s="190"/>
      <c r="AY7" s="217" t="s">
        <v>244</v>
      </c>
      <c r="AZ7" s="216">
        <v>662165000</v>
      </c>
      <c r="BA7" s="220">
        <v>0.6</v>
      </c>
      <c r="BB7" s="216">
        <v>397299000</v>
      </c>
      <c r="BC7" s="212"/>
      <c r="BD7" s="190"/>
    </row>
    <row r="8" spans="1:56" x14ac:dyDescent="0.35">
      <c r="A8" s="183"/>
      <c r="B8" s="196" t="s">
        <v>245</v>
      </c>
      <c r="C8" s="200">
        <v>135000</v>
      </c>
      <c r="D8" s="197" t="s">
        <v>269</v>
      </c>
      <c r="E8" s="187"/>
      <c r="F8" s="196" t="s">
        <v>245</v>
      </c>
      <c r="G8" s="200">
        <v>0</v>
      </c>
      <c r="H8" s="197" t="s">
        <v>264</v>
      </c>
      <c r="I8" s="187"/>
      <c r="J8" s="196" t="s">
        <v>245</v>
      </c>
      <c r="K8" s="200">
        <v>429586.06030000001</v>
      </c>
      <c r="L8" s="203" t="s">
        <v>265</v>
      </c>
      <c r="M8" s="187"/>
      <c r="N8" s="196" t="s">
        <v>245</v>
      </c>
      <c r="O8" s="205">
        <v>230</v>
      </c>
      <c r="P8" s="206" t="s">
        <v>153</v>
      </c>
      <c r="Q8" s="187"/>
      <c r="R8" s="196" t="s">
        <v>245</v>
      </c>
      <c r="S8" s="205">
        <v>170</v>
      </c>
      <c r="T8" s="208" t="s">
        <v>154</v>
      </c>
      <c r="U8" s="187"/>
      <c r="V8" s="196" t="s">
        <v>42</v>
      </c>
      <c r="W8" s="210">
        <v>0</v>
      </c>
      <c r="X8" s="206" t="s">
        <v>267</v>
      </c>
      <c r="Y8" s="189"/>
      <c r="Z8" s="196" t="s">
        <v>245</v>
      </c>
      <c r="AA8" s="205">
        <v>200</v>
      </c>
      <c r="AB8" s="208">
        <v>2.7</v>
      </c>
      <c r="AC8" s="205">
        <v>74.074074074074076</v>
      </c>
      <c r="AD8" s="211">
        <v>0</v>
      </c>
      <c r="AE8" s="205">
        <v>74.074074074074076</v>
      </c>
      <c r="AF8" s="212"/>
      <c r="AG8" s="190"/>
      <c r="AH8" s="196" t="s">
        <v>245</v>
      </c>
      <c r="AI8" s="216">
        <v>14000000</v>
      </c>
      <c r="AJ8" s="216">
        <v>14000000</v>
      </c>
      <c r="AK8" s="206" t="s">
        <v>286</v>
      </c>
      <c r="AL8" s="190"/>
      <c r="AM8" s="196" t="s">
        <v>245</v>
      </c>
      <c r="AN8" s="216">
        <v>10938500</v>
      </c>
      <c r="AO8" s="216">
        <v>21877000</v>
      </c>
      <c r="AP8" s="212" t="s">
        <v>266</v>
      </c>
      <c r="AQ8" s="212" t="s">
        <v>268</v>
      </c>
      <c r="AR8" s="190"/>
      <c r="AS8" s="217" t="s">
        <v>245</v>
      </c>
      <c r="AT8" s="216">
        <v>21877000</v>
      </c>
      <c r="AU8" s="218">
        <v>0.1</v>
      </c>
      <c r="AV8" s="216">
        <v>2187700</v>
      </c>
      <c r="AW8" s="212"/>
      <c r="AX8" s="190"/>
      <c r="AY8" s="217" t="s">
        <v>245</v>
      </c>
      <c r="AZ8" s="216">
        <v>14000000</v>
      </c>
      <c r="BA8" s="220">
        <v>0.6</v>
      </c>
      <c r="BB8" s="216">
        <v>8400000</v>
      </c>
      <c r="BC8" s="212"/>
      <c r="BD8" s="190"/>
    </row>
    <row r="9" spans="1:56" x14ac:dyDescent="0.35">
      <c r="A9" s="181"/>
      <c r="B9" s="196" t="s">
        <v>246</v>
      </c>
      <c r="C9" s="200">
        <v>19842000</v>
      </c>
      <c r="D9" s="197" t="s">
        <v>269</v>
      </c>
      <c r="E9" s="182"/>
      <c r="F9" s="196" t="s">
        <v>246</v>
      </c>
      <c r="G9" s="200">
        <v>31801000</v>
      </c>
      <c r="H9" s="197" t="s">
        <v>264</v>
      </c>
      <c r="J9" s="196" t="s">
        <v>246</v>
      </c>
      <c r="K9" s="200">
        <v>13223850</v>
      </c>
      <c r="L9" s="203" t="s">
        <v>265</v>
      </c>
      <c r="M9" s="182"/>
      <c r="N9" s="196" t="s">
        <v>246</v>
      </c>
      <c r="O9" s="205">
        <v>38000</v>
      </c>
      <c r="P9" s="206" t="s">
        <v>270</v>
      </c>
      <c r="Q9" s="182"/>
      <c r="R9" s="196" t="s">
        <v>246</v>
      </c>
      <c r="S9" s="205">
        <v>38000</v>
      </c>
      <c r="T9" s="208" t="s">
        <v>154</v>
      </c>
      <c r="U9" s="182"/>
      <c r="V9" s="196" t="s">
        <v>43</v>
      </c>
      <c r="W9" s="210">
        <v>6.0000000000000001E-3</v>
      </c>
      <c r="X9" s="206" t="s">
        <v>288</v>
      </c>
      <c r="Y9" s="189"/>
      <c r="Z9" s="196" t="s">
        <v>246</v>
      </c>
      <c r="AA9" s="205">
        <v>38000</v>
      </c>
      <c r="AB9" s="208">
        <v>2.7</v>
      </c>
      <c r="AC9" s="205">
        <v>14074.074074074073</v>
      </c>
      <c r="AD9" s="211">
        <v>6.0000000000000001E-3</v>
      </c>
      <c r="AE9" s="205">
        <v>16840.6656685216</v>
      </c>
      <c r="AF9" s="212"/>
      <c r="AG9" s="190"/>
      <c r="AH9" s="196" t="s">
        <v>246</v>
      </c>
      <c r="AI9" s="216">
        <v>2170150350.5846286</v>
      </c>
      <c r="AJ9" s="216">
        <v>2660000000</v>
      </c>
      <c r="AK9" s="206" t="s">
        <v>182</v>
      </c>
      <c r="AL9" s="190"/>
      <c r="AM9" s="196" t="s">
        <v>246</v>
      </c>
      <c r="AN9" s="216">
        <v>477537286.28228104</v>
      </c>
      <c r="AO9" s="216">
        <v>573068564.26173735</v>
      </c>
      <c r="AP9" s="212" t="s">
        <v>266</v>
      </c>
      <c r="AQ9" s="212" t="s">
        <v>268</v>
      </c>
      <c r="AR9" s="190"/>
      <c r="AS9" s="217" t="s">
        <v>246</v>
      </c>
      <c r="AT9" s="216">
        <v>573068564.26173735</v>
      </c>
      <c r="AU9" s="218">
        <v>0.1</v>
      </c>
      <c r="AV9" s="216">
        <v>57306856.426173739</v>
      </c>
      <c r="AW9" s="212"/>
      <c r="AX9" s="190"/>
      <c r="AY9" s="217" t="s">
        <v>246</v>
      </c>
      <c r="AZ9" s="216">
        <v>2415075175.2923145</v>
      </c>
      <c r="BA9" s="220">
        <v>0.6</v>
      </c>
      <c r="BB9" s="216">
        <v>1449045105.1753886</v>
      </c>
      <c r="BC9" s="212"/>
      <c r="BD9" s="190"/>
    </row>
    <row r="10" spans="1:56" x14ac:dyDescent="0.35">
      <c r="A10" s="181"/>
      <c r="B10" s="196" t="s">
        <v>247</v>
      </c>
      <c r="C10" s="200">
        <v>26541762.800000001</v>
      </c>
      <c r="D10" s="197" t="s">
        <v>289</v>
      </c>
      <c r="E10" s="182"/>
      <c r="F10" s="196" t="s">
        <v>247</v>
      </c>
      <c r="G10" s="200">
        <v>105016198.68000002</v>
      </c>
      <c r="H10" s="197" t="s">
        <v>264</v>
      </c>
      <c r="J10" s="196" t="s">
        <v>247</v>
      </c>
      <c r="K10" s="200">
        <v>14753185.372090848</v>
      </c>
      <c r="L10" s="203" t="s">
        <v>265</v>
      </c>
      <c r="M10" s="182"/>
      <c r="N10" s="196" t="s">
        <v>247</v>
      </c>
      <c r="O10" s="205">
        <v>61720</v>
      </c>
      <c r="P10" s="206" t="s">
        <v>153</v>
      </c>
      <c r="Q10" s="182"/>
      <c r="R10" s="196" t="s">
        <v>247</v>
      </c>
      <c r="S10" s="205">
        <v>61489</v>
      </c>
      <c r="T10" s="208" t="s">
        <v>154</v>
      </c>
      <c r="U10" s="182"/>
      <c r="V10" s="196" t="s">
        <v>44</v>
      </c>
      <c r="W10" s="210">
        <v>1.3912474071101633E-2</v>
      </c>
      <c r="X10" s="206" t="s">
        <v>267</v>
      </c>
      <c r="Y10" s="189"/>
      <c r="Z10" s="196" t="s">
        <v>247</v>
      </c>
      <c r="AA10" s="205">
        <v>61604.5</v>
      </c>
      <c r="AB10" s="208">
        <v>2.7</v>
      </c>
      <c r="AC10" s="205">
        <v>22816.481481481482</v>
      </c>
      <c r="AD10" s="211">
        <v>1.3912474071101633E-2</v>
      </c>
      <c r="AE10" s="205">
        <v>34535.25428377161</v>
      </c>
      <c r="AF10" s="212"/>
      <c r="AG10" s="190"/>
      <c r="AH10" s="196" t="s">
        <v>247</v>
      </c>
      <c r="AI10" s="216">
        <v>1819698978.9881728</v>
      </c>
      <c r="AJ10" s="216">
        <v>1983623963.7466488</v>
      </c>
      <c r="AK10" s="206" t="s">
        <v>290</v>
      </c>
      <c r="AL10" s="190"/>
      <c r="AM10" s="196" t="s">
        <v>247</v>
      </c>
      <c r="AN10" s="216">
        <v>1000484879.7399998</v>
      </c>
      <c r="AO10" s="216">
        <v>1386517974.2024996</v>
      </c>
      <c r="AP10" s="212" t="s">
        <v>266</v>
      </c>
      <c r="AQ10" s="212" t="s">
        <v>268</v>
      </c>
      <c r="AR10" s="190"/>
      <c r="AS10" s="217" t="s">
        <v>247</v>
      </c>
      <c r="AT10" s="216">
        <v>1386517974.2024996</v>
      </c>
      <c r="AU10" s="218">
        <v>0.1</v>
      </c>
      <c r="AV10" s="216">
        <v>138651797.42024997</v>
      </c>
      <c r="AW10" s="212"/>
      <c r="AX10" s="190"/>
      <c r="AY10" s="217" t="s">
        <v>247</v>
      </c>
      <c r="AZ10" s="216">
        <v>1901661471.3674107</v>
      </c>
      <c r="BA10" s="220">
        <v>0.6</v>
      </c>
      <c r="BB10" s="216">
        <v>1140996882.8204463</v>
      </c>
      <c r="BC10" s="212"/>
      <c r="BD10" s="190"/>
    </row>
    <row r="11" spans="1:56" x14ac:dyDescent="0.35">
      <c r="A11" s="181"/>
      <c r="B11" s="196" t="s">
        <v>248</v>
      </c>
      <c r="C11" s="200">
        <v>17040000</v>
      </c>
      <c r="D11" s="197" t="s">
        <v>242</v>
      </c>
      <c r="E11" s="182"/>
      <c r="F11" s="196" t="s">
        <v>248</v>
      </c>
      <c r="G11" s="200">
        <v>50745000</v>
      </c>
      <c r="H11" s="197" t="s">
        <v>264</v>
      </c>
      <c r="J11" s="196" t="s">
        <v>248</v>
      </c>
      <c r="K11" s="200">
        <v>8642000</v>
      </c>
      <c r="L11" s="203" t="s">
        <v>265</v>
      </c>
      <c r="M11" s="182"/>
      <c r="N11" s="196" t="s">
        <v>248</v>
      </c>
      <c r="O11" s="205">
        <v>28112</v>
      </c>
      <c r="P11" s="206" t="s">
        <v>153</v>
      </c>
      <c r="Q11" s="182"/>
      <c r="R11" s="196" t="s">
        <v>248</v>
      </c>
      <c r="S11" s="205">
        <v>28112</v>
      </c>
      <c r="T11" s="208" t="s">
        <v>154</v>
      </c>
      <c r="U11" s="182"/>
      <c r="V11" s="196" t="s">
        <v>45</v>
      </c>
      <c r="W11" s="210">
        <v>2.9902871712606638E-2</v>
      </c>
      <c r="X11" s="206" t="s">
        <v>267</v>
      </c>
      <c r="Y11" s="189"/>
      <c r="Z11" s="196" t="s">
        <v>248</v>
      </c>
      <c r="AA11" s="205">
        <v>28112</v>
      </c>
      <c r="AB11" s="208">
        <v>2.7</v>
      </c>
      <c r="AC11" s="205">
        <v>10411.85185185185</v>
      </c>
      <c r="AD11" s="211">
        <v>2.9902871712606638E-2</v>
      </c>
      <c r="AE11" s="205">
        <v>25200.900122909603</v>
      </c>
      <c r="AF11" s="212"/>
      <c r="AG11" s="190"/>
      <c r="AH11" s="196" t="s">
        <v>248</v>
      </c>
      <c r="AI11" s="216">
        <v>711249938.76840651</v>
      </c>
      <c r="AJ11" s="216">
        <v>834298024.53583503</v>
      </c>
      <c r="AK11" s="206" t="s">
        <v>286</v>
      </c>
      <c r="AL11" s="190"/>
      <c r="AM11" s="196" t="s">
        <v>248</v>
      </c>
      <c r="AN11" s="216">
        <v>350677259</v>
      </c>
      <c r="AO11" s="216">
        <v>526015888.50000012</v>
      </c>
      <c r="AP11" s="212" t="s">
        <v>266</v>
      </c>
      <c r="AQ11" s="212" t="s">
        <v>268</v>
      </c>
      <c r="AR11" s="190"/>
      <c r="AS11" s="217" t="s">
        <v>248</v>
      </c>
      <c r="AT11" s="216">
        <v>526015888.50000012</v>
      </c>
      <c r="AU11" s="218">
        <v>0.1</v>
      </c>
      <c r="AV11" s="216">
        <v>52601588.850000016</v>
      </c>
      <c r="AW11" s="212"/>
      <c r="AX11" s="190"/>
      <c r="AY11" s="217" t="s">
        <v>248</v>
      </c>
      <c r="AZ11" s="216">
        <v>772773981.65212083</v>
      </c>
      <c r="BA11" s="220">
        <v>0.6</v>
      </c>
      <c r="BB11" s="216">
        <v>463664388.99127251</v>
      </c>
      <c r="BC11" s="212"/>
      <c r="BD11" s="190"/>
    </row>
    <row r="12" spans="1:56" x14ac:dyDescent="0.35">
      <c r="A12" s="181"/>
      <c r="B12" s="196" t="s">
        <v>249</v>
      </c>
      <c r="C12" s="200">
        <v>23040794.340000004</v>
      </c>
      <c r="D12" s="197" t="s">
        <v>269</v>
      </c>
      <c r="E12" s="182"/>
      <c r="F12" s="196" t="s">
        <v>249</v>
      </c>
      <c r="G12" s="200">
        <v>49920000</v>
      </c>
      <c r="H12" s="197" t="s">
        <v>264</v>
      </c>
      <c r="J12" s="196" t="s">
        <v>249</v>
      </c>
      <c r="K12" s="200">
        <v>15650000</v>
      </c>
      <c r="L12" s="203" t="s">
        <v>265</v>
      </c>
      <c r="M12" s="182"/>
      <c r="N12" s="196" t="s">
        <v>249</v>
      </c>
      <c r="O12" s="205">
        <v>50424</v>
      </c>
      <c r="P12" s="206" t="s">
        <v>153</v>
      </c>
      <c r="Q12" s="182"/>
      <c r="R12" s="196" t="s">
        <v>249</v>
      </c>
      <c r="S12" s="205">
        <v>46545</v>
      </c>
      <c r="T12" s="208" t="s">
        <v>154</v>
      </c>
      <c r="U12" s="182"/>
      <c r="V12" s="196" t="s">
        <v>46</v>
      </c>
      <c r="W12" s="210">
        <v>7.7877977116158625E-3</v>
      </c>
      <c r="X12" s="206" t="s">
        <v>267</v>
      </c>
      <c r="Y12" s="189"/>
      <c r="Z12" s="196" t="s">
        <v>249</v>
      </c>
      <c r="AA12" s="205">
        <v>48484.5</v>
      </c>
      <c r="AB12" s="208">
        <v>2.7</v>
      </c>
      <c r="AC12" s="205">
        <v>17957.222222222223</v>
      </c>
      <c r="AD12" s="211">
        <v>7.7877977116158625E-3</v>
      </c>
      <c r="AE12" s="205">
        <v>22662.719611132517</v>
      </c>
      <c r="AF12" s="212"/>
      <c r="AG12" s="190"/>
      <c r="AH12" s="196" t="s">
        <v>249</v>
      </c>
      <c r="AI12" s="216">
        <v>334159603.97381526</v>
      </c>
      <c r="AJ12" s="216">
        <v>696960230.58082223</v>
      </c>
      <c r="AK12" s="206" t="s">
        <v>291</v>
      </c>
      <c r="AL12" s="190"/>
      <c r="AM12" s="196" t="s">
        <v>249</v>
      </c>
      <c r="AN12" s="216">
        <v>940599300</v>
      </c>
      <c r="AO12" s="216">
        <v>940599300</v>
      </c>
      <c r="AP12" s="212" t="s">
        <v>292</v>
      </c>
      <c r="AQ12" s="212" t="s">
        <v>292</v>
      </c>
      <c r="AR12" s="190"/>
      <c r="AS12" s="217" t="s">
        <v>249</v>
      </c>
      <c r="AT12" s="216">
        <v>940599300</v>
      </c>
      <c r="AU12" s="218">
        <v>0.1</v>
      </c>
      <c r="AV12" s="216">
        <v>94059930</v>
      </c>
      <c r="AW12" s="212"/>
      <c r="AX12" s="190"/>
      <c r="AY12" s="217" t="s">
        <v>249</v>
      </c>
      <c r="AZ12" s="216">
        <v>515559917.27731872</v>
      </c>
      <c r="BA12" s="220">
        <v>0.6</v>
      </c>
      <c r="BB12" s="216">
        <v>309335950.36639124</v>
      </c>
      <c r="BC12" s="212"/>
      <c r="BD12" s="190"/>
    </row>
    <row r="13" spans="1:56" ht="93" x14ac:dyDescent="0.35">
      <c r="A13" s="181"/>
      <c r="B13" s="196" t="s">
        <v>250</v>
      </c>
      <c r="C13" s="200">
        <v>50258000</v>
      </c>
      <c r="D13" s="197" t="s">
        <v>293</v>
      </c>
      <c r="E13" s="182"/>
      <c r="F13" s="196" t="s">
        <v>250</v>
      </c>
      <c r="G13" s="200">
        <v>75070859.219999999</v>
      </c>
      <c r="H13" s="197" t="s">
        <v>294</v>
      </c>
      <c r="J13" s="196" t="s">
        <v>250</v>
      </c>
      <c r="K13" s="200">
        <v>29495349.789966043</v>
      </c>
      <c r="L13" s="203" t="s">
        <v>295</v>
      </c>
      <c r="M13" s="182"/>
      <c r="N13" s="196" t="s">
        <v>250</v>
      </c>
      <c r="O13" s="205">
        <v>107400</v>
      </c>
      <c r="P13" s="206" t="s">
        <v>153</v>
      </c>
      <c r="Q13" s="182"/>
      <c r="R13" s="196" t="s">
        <v>250</v>
      </c>
      <c r="S13" s="205">
        <v>107400</v>
      </c>
      <c r="T13" s="208" t="s">
        <v>154</v>
      </c>
      <c r="U13" s="182"/>
      <c r="V13" s="196" t="s">
        <v>87</v>
      </c>
      <c r="W13" s="210">
        <v>1.5246008397444832E-2</v>
      </c>
      <c r="X13" s="206" t="s">
        <v>296</v>
      </c>
      <c r="Y13" s="189"/>
      <c r="Z13" s="196" t="s">
        <v>250</v>
      </c>
      <c r="AA13" s="205">
        <v>107400</v>
      </c>
      <c r="AB13" s="208">
        <v>2.7</v>
      </c>
      <c r="AC13" s="205">
        <v>39777.777777777774</v>
      </c>
      <c r="AD13" s="211">
        <v>1.5246008397444832E-2</v>
      </c>
      <c r="AE13" s="205">
        <v>62629.542206079284</v>
      </c>
      <c r="AF13" s="212"/>
      <c r="AG13" s="190"/>
      <c r="AH13" s="196" t="s">
        <v>250</v>
      </c>
      <c r="AI13" s="216">
        <v>530716821.29342633</v>
      </c>
      <c r="AJ13" s="216">
        <v>1356976100.6434495</v>
      </c>
      <c r="AK13" s="206" t="s">
        <v>297</v>
      </c>
      <c r="AL13" s="190"/>
      <c r="AM13" s="196" t="s">
        <v>250</v>
      </c>
      <c r="AN13" s="216">
        <v>1411095388.7392805</v>
      </c>
      <c r="AO13" s="216">
        <v>5447343026.8542967</v>
      </c>
      <c r="AP13" s="212" t="s">
        <v>298</v>
      </c>
      <c r="AQ13" s="212" t="s">
        <v>299</v>
      </c>
      <c r="AR13" s="190"/>
      <c r="AS13" s="217" t="s">
        <v>250</v>
      </c>
      <c r="AT13" s="216">
        <v>5447343026.8542967</v>
      </c>
      <c r="AU13" s="218">
        <v>0.1</v>
      </c>
      <c r="AV13" s="216">
        <v>544734302.68542969</v>
      </c>
      <c r="AW13" s="212"/>
      <c r="AX13" s="190"/>
      <c r="AY13" s="217" t="s">
        <v>250</v>
      </c>
      <c r="AZ13" s="216">
        <v>943846460.96843791</v>
      </c>
      <c r="BA13" s="220">
        <v>0.6</v>
      </c>
      <c r="BB13" s="216">
        <v>566307876.58106267</v>
      </c>
      <c r="BC13" s="212"/>
      <c r="BD13" s="190"/>
    </row>
    <row r="14" spans="1:56" ht="31" x14ac:dyDescent="0.35">
      <c r="A14" s="181"/>
      <c r="B14" s="196" t="s">
        <v>251</v>
      </c>
      <c r="C14" s="200">
        <v>14252433.27</v>
      </c>
      <c r="D14" s="197" t="s">
        <v>300</v>
      </c>
      <c r="E14" s="182"/>
      <c r="F14" s="196" t="s">
        <v>251</v>
      </c>
      <c r="G14" s="200">
        <v>19676750</v>
      </c>
      <c r="H14" s="197" t="s">
        <v>264</v>
      </c>
      <c r="J14" s="196" t="s">
        <v>251</v>
      </c>
      <c r="K14" s="200">
        <v>6577682.0000000009</v>
      </c>
      <c r="L14" s="203" t="s">
        <v>265</v>
      </c>
      <c r="M14" s="182"/>
      <c r="N14" s="196" t="s">
        <v>251</v>
      </c>
      <c r="O14" s="205">
        <v>19590</v>
      </c>
      <c r="P14" s="206" t="s">
        <v>153</v>
      </c>
      <c r="Q14" s="182"/>
      <c r="R14" s="196" t="s">
        <v>251</v>
      </c>
      <c r="S14" s="205">
        <v>21400</v>
      </c>
      <c r="T14" s="208" t="s">
        <v>154</v>
      </c>
      <c r="U14" s="182"/>
      <c r="V14" s="196" t="s">
        <v>47</v>
      </c>
      <c r="W14" s="210">
        <v>1.204796536155861E-2</v>
      </c>
      <c r="X14" s="206" t="s">
        <v>267</v>
      </c>
      <c r="Y14" s="189"/>
      <c r="Z14" s="196" t="s">
        <v>251</v>
      </c>
      <c r="AA14" s="205">
        <v>20495</v>
      </c>
      <c r="AB14" s="208">
        <v>2.7</v>
      </c>
      <c r="AC14" s="205">
        <v>7590.74074074074</v>
      </c>
      <c r="AD14" s="211">
        <v>1.204796536155861E-2</v>
      </c>
      <c r="AE14" s="205">
        <v>10872.190201104553</v>
      </c>
      <c r="AF14" s="212"/>
      <c r="AG14" s="190"/>
      <c r="AH14" s="196" t="s">
        <v>251</v>
      </c>
      <c r="AI14" s="216">
        <v>784376142.8505733</v>
      </c>
      <c r="AJ14" s="216">
        <v>812508480.09586751</v>
      </c>
      <c r="AK14" s="206" t="s">
        <v>301</v>
      </c>
      <c r="AL14" s="190"/>
      <c r="AM14" s="196" t="s">
        <v>251</v>
      </c>
      <c r="AN14" s="216">
        <v>331632508.07999992</v>
      </c>
      <c r="AO14" s="216">
        <v>431192130.50400001</v>
      </c>
      <c r="AP14" s="212" t="s">
        <v>266</v>
      </c>
      <c r="AQ14" s="212" t="s">
        <v>268</v>
      </c>
      <c r="AR14" s="190"/>
      <c r="AS14" s="217" t="s">
        <v>251</v>
      </c>
      <c r="AT14" s="216">
        <v>431192130.50400001</v>
      </c>
      <c r="AU14" s="218">
        <v>0.1</v>
      </c>
      <c r="AV14" s="216">
        <v>43119213.050400004</v>
      </c>
      <c r="AW14" s="212"/>
      <c r="AX14" s="190"/>
      <c r="AY14" s="217" t="s">
        <v>251</v>
      </c>
      <c r="AZ14" s="216">
        <v>798442311.47322035</v>
      </c>
      <c r="BA14" s="220">
        <v>0.6</v>
      </c>
      <c r="BB14" s="216">
        <v>479065386.88393217</v>
      </c>
      <c r="BC14" s="212"/>
      <c r="BD14" s="190"/>
    </row>
    <row r="15" spans="1:56" x14ac:dyDescent="0.35">
      <c r="A15" s="181"/>
      <c r="B15" s="196" t="s">
        <v>252</v>
      </c>
      <c r="C15" s="200">
        <v>23597312.390000001</v>
      </c>
      <c r="D15" s="197" t="s">
        <v>269</v>
      </c>
      <c r="E15" s="182"/>
      <c r="F15" s="196" t="s">
        <v>252</v>
      </c>
      <c r="G15" s="200">
        <v>60175000</v>
      </c>
      <c r="H15" s="197" t="s">
        <v>264</v>
      </c>
      <c r="J15" s="196" t="s">
        <v>252</v>
      </c>
      <c r="K15" s="200">
        <v>13944839.17</v>
      </c>
      <c r="L15" s="203" t="s">
        <v>265</v>
      </c>
      <c r="M15" s="182"/>
      <c r="N15" s="196" t="s">
        <v>252</v>
      </c>
      <c r="O15" s="205">
        <v>31840</v>
      </c>
      <c r="P15" s="206" t="s">
        <v>153</v>
      </c>
      <c r="Q15" s="182"/>
      <c r="R15" s="196" t="s">
        <v>252</v>
      </c>
      <c r="S15" s="205">
        <v>32585</v>
      </c>
      <c r="T15" s="208" t="s">
        <v>154</v>
      </c>
      <c r="U15" s="182"/>
      <c r="V15" s="196" t="s">
        <v>48</v>
      </c>
      <c r="W15" s="210">
        <v>3.1568229052595598E-2</v>
      </c>
      <c r="X15" s="206" t="s">
        <v>267</v>
      </c>
      <c r="Y15" s="189"/>
      <c r="Z15" s="196" t="s">
        <v>252</v>
      </c>
      <c r="AA15" s="205">
        <v>32212.5</v>
      </c>
      <c r="AB15" s="208">
        <v>2.7</v>
      </c>
      <c r="AC15" s="205">
        <v>11930.555555555555</v>
      </c>
      <c r="AD15" s="211">
        <v>3.1568229052595598E-2</v>
      </c>
      <c r="AE15" s="205">
        <v>30310.940117315986</v>
      </c>
      <c r="AF15" s="212"/>
      <c r="AG15" s="190"/>
      <c r="AH15" s="196" t="s">
        <v>252</v>
      </c>
      <c r="AI15" s="216">
        <v>2254875000</v>
      </c>
      <c r="AJ15" s="216">
        <v>2254875000</v>
      </c>
      <c r="AK15" s="206" t="s">
        <v>302</v>
      </c>
      <c r="AL15" s="190"/>
      <c r="AM15" s="196" t="s">
        <v>252</v>
      </c>
      <c r="AN15" s="216">
        <v>636351000.00000024</v>
      </c>
      <c r="AO15" s="216">
        <v>1189471000.0000002</v>
      </c>
      <c r="AP15" s="212" t="s">
        <v>266</v>
      </c>
      <c r="AQ15" s="212" t="s">
        <v>268</v>
      </c>
      <c r="AR15" s="190"/>
      <c r="AS15" s="217" t="s">
        <v>252</v>
      </c>
      <c r="AT15" s="216">
        <v>1189471000.0000002</v>
      </c>
      <c r="AU15" s="218">
        <v>0.1</v>
      </c>
      <c r="AV15" s="216">
        <v>118947100.00000003</v>
      </c>
      <c r="AW15" s="212"/>
      <c r="AX15" s="190"/>
      <c r="AY15" s="217" t="s">
        <v>252</v>
      </c>
      <c r="AZ15" s="216">
        <v>2254875000</v>
      </c>
      <c r="BA15" s="220">
        <v>0.6</v>
      </c>
      <c r="BB15" s="216">
        <v>1352925000</v>
      </c>
      <c r="BC15" s="212"/>
      <c r="BD15" s="190"/>
    </row>
    <row r="16" spans="1:56" x14ac:dyDescent="0.35">
      <c r="A16" s="181"/>
      <c r="B16" s="196" t="s">
        <v>253</v>
      </c>
      <c r="C16" s="200">
        <v>13238000</v>
      </c>
      <c r="D16" s="197" t="s">
        <v>269</v>
      </c>
      <c r="E16" s="182"/>
      <c r="F16" s="196" t="s">
        <v>253</v>
      </c>
      <c r="G16" s="200">
        <v>47619000</v>
      </c>
      <c r="H16" s="197" t="s">
        <v>264</v>
      </c>
      <c r="J16" s="196" t="s">
        <v>253</v>
      </c>
      <c r="K16" s="200">
        <v>4401595</v>
      </c>
      <c r="L16" s="203" t="s">
        <v>265</v>
      </c>
      <c r="M16" s="182"/>
      <c r="N16" s="196" t="s">
        <v>253</v>
      </c>
      <c r="O16" s="205">
        <v>20700</v>
      </c>
      <c r="P16" s="206" t="s">
        <v>270</v>
      </c>
      <c r="Q16" s="182"/>
      <c r="R16" s="196" t="s">
        <v>253</v>
      </c>
      <c r="S16" s="205">
        <v>21450</v>
      </c>
      <c r="T16" s="208" t="s">
        <v>154</v>
      </c>
      <c r="U16" s="182"/>
      <c r="V16" s="196" t="s">
        <v>88</v>
      </c>
      <c r="W16" s="210">
        <v>1.0463424698795576E-2</v>
      </c>
      <c r="X16" s="206" t="s">
        <v>267</v>
      </c>
      <c r="Y16" s="189"/>
      <c r="Z16" s="196" t="s">
        <v>253</v>
      </c>
      <c r="AA16" s="205">
        <v>21075</v>
      </c>
      <c r="AB16" s="208">
        <v>2.7</v>
      </c>
      <c r="AC16" s="205">
        <v>7805.5555555555547</v>
      </c>
      <c r="AD16" s="211">
        <v>1.0463424698795576E-2</v>
      </c>
      <c r="AE16" s="205">
        <v>10666.495739057164</v>
      </c>
      <c r="AF16" s="212"/>
      <c r="AG16" s="190"/>
      <c r="AH16" s="196" t="s">
        <v>253</v>
      </c>
      <c r="AI16" s="216">
        <v>600438466.51435447</v>
      </c>
      <c r="AJ16" s="216">
        <v>722119755.2953614</v>
      </c>
      <c r="AK16" s="206" t="s">
        <v>301</v>
      </c>
      <c r="AL16" s="190"/>
      <c r="AM16" s="196" t="s">
        <v>253</v>
      </c>
      <c r="AN16" s="216">
        <v>290027999.99999994</v>
      </c>
      <c r="AO16" s="216">
        <v>325581000</v>
      </c>
      <c r="AP16" s="212" t="s">
        <v>266</v>
      </c>
      <c r="AQ16" s="212" t="s">
        <v>268</v>
      </c>
      <c r="AR16" s="190"/>
      <c r="AS16" s="217" t="s">
        <v>253</v>
      </c>
      <c r="AT16" s="216">
        <v>325581000</v>
      </c>
      <c r="AU16" s="218">
        <v>0.1</v>
      </c>
      <c r="AV16" s="216">
        <v>32558100</v>
      </c>
      <c r="AW16" s="212"/>
      <c r="AX16" s="190"/>
      <c r="AY16" s="217" t="s">
        <v>253</v>
      </c>
      <c r="AZ16" s="216">
        <v>661279110.90485787</v>
      </c>
      <c r="BA16" s="220">
        <v>0.6</v>
      </c>
      <c r="BB16" s="216">
        <v>396767466.54291469</v>
      </c>
      <c r="BC16" s="212"/>
      <c r="BD16" s="190"/>
    </row>
    <row r="17" spans="1:56" x14ac:dyDescent="0.35">
      <c r="A17" s="181"/>
      <c r="B17" s="196" t="s">
        <v>254</v>
      </c>
      <c r="C17" s="200">
        <v>19116000</v>
      </c>
      <c r="D17" s="197" t="s">
        <v>269</v>
      </c>
      <c r="E17" s="182"/>
      <c r="F17" s="196" t="s">
        <v>254</v>
      </c>
      <c r="G17" s="200">
        <v>10978000</v>
      </c>
      <c r="H17" s="197" t="s">
        <v>264</v>
      </c>
      <c r="J17" s="196" t="s">
        <v>254</v>
      </c>
      <c r="K17" s="200">
        <v>10719000</v>
      </c>
      <c r="L17" s="203" t="s">
        <v>265</v>
      </c>
      <c r="M17" s="182"/>
      <c r="N17" s="196" t="s">
        <v>254</v>
      </c>
      <c r="O17" s="205">
        <v>59055</v>
      </c>
      <c r="P17" s="206" t="s">
        <v>270</v>
      </c>
      <c r="Q17" s="182"/>
      <c r="R17" s="196" t="s">
        <v>254</v>
      </c>
      <c r="S17" s="205">
        <v>59060</v>
      </c>
      <c r="T17" s="208" t="s">
        <v>154</v>
      </c>
      <c r="U17" s="182"/>
      <c r="V17" s="196" t="s">
        <v>89</v>
      </c>
      <c r="W17" s="210">
        <v>5.7872509881948808E-3</v>
      </c>
      <c r="X17" s="206" t="s">
        <v>267</v>
      </c>
      <c r="Y17" s="189"/>
      <c r="Z17" s="196" t="s">
        <v>254</v>
      </c>
      <c r="AA17" s="205">
        <v>59057.5</v>
      </c>
      <c r="AB17" s="208">
        <v>2.7</v>
      </c>
      <c r="AC17" s="205">
        <v>21873.148148148146</v>
      </c>
      <c r="AD17" s="211">
        <v>5.7872509881948808E-3</v>
      </c>
      <c r="AE17" s="205">
        <v>26007.289081490602</v>
      </c>
      <c r="AF17" s="212"/>
      <c r="AG17" s="190"/>
      <c r="AH17" s="196" t="s">
        <v>254</v>
      </c>
      <c r="AI17" s="216">
        <v>549564171.33471286</v>
      </c>
      <c r="AJ17" s="216">
        <v>841468496.70201218</v>
      </c>
      <c r="AK17" s="206" t="s">
        <v>303</v>
      </c>
      <c r="AL17" s="190"/>
      <c r="AM17" s="196" t="s">
        <v>254</v>
      </c>
      <c r="AN17" s="216">
        <v>703591431.20000005</v>
      </c>
      <c r="AO17" s="216">
        <v>1055386666.7999997</v>
      </c>
      <c r="AP17" s="212" t="s">
        <v>266</v>
      </c>
      <c r="AQ17" s="212" t="s">
        <v>268</v>
      </c>
      <c r="AR17" s="190"/>
      <c r="AS17" s="217" t="s">
        <v>254</v>
      </c>
      <c r="AT17" s="216">
        <v>1055386666.7999997</v>
      </c>
      <c r="AU17" s="218">
        <v>0.1</v>
      </c>
      <c r="AV17" s="216">
        <v>105538666.67999998</v>
      </c>
      <c r="AW17" s="212"/>
      <c r="AX17" s="190"/>
      <c r="AY17" s="217" t="s">
        <v>254</v>
      </c>
      <c r="AZ17" s="216">
        <v>695516334.01836252</v>
      </c>
      <c r="BA17" s="220">
        <v>0.6</v>
      </c>
      <c r="BB17" s="216">
        <v>417309800.41101748</v>
      </c>
      <c r="BC17" s="212"/>
      <c r="BD17" s="190"/>
    </row>
    <row r="18" spans="1:56" x14ac:dyDescent="0.35">
      <c r="A18" s="181"/>
      <c r="B18" s="196" t="s">
        <v>255</v>
      </c>
      <c r="C18" s="200">
        <v>29085000</v>
      </c>
      <c r="D18" s="197" t="s">
        <v>269</v>
      </c>
      <c r="E18" s="182"/>
      <c r="F18" s="196" t="s">
        <v>255</v>
      </c>
      <c r="G18" s="200">
        <v>39320000</v>
      </c>
      <c r="H18" s="197" t="s">
        <v>264</v>
      </c>
      <c r="J18" s="196" t="s">
        <v>255</v>
      </c>
      <c r="K18" s="200">
        <v>16547731.999999996</v>
      </c>
      <c r="L18" s="203" t="s">
        <v>265</v>
      </c>
      <c r="M18" s="182"/>
      <c r="N18" s="196" t="s">
        <v>255</v>
      </c>
      <c r="O18" s="205">
        <v>52600</v>
      </c>
      <c r="P18" s="206" t="s">
        <v>153</v>
      </c>
      <c r="Q18" s="182"/>
      <c r="R18" s="196" t="s">
        <v>255</v>
      </c>
      <c r="S18" s="205">
        <v>52600</v>
      </c>
      <c r="T18" s="208" t="s">
        <v>154</v>
      </c>
      <c r="U18" s="182"/>
      <c r="V18" s="196" t="s">
        <v>49</v>
      </c>
      <c r="W18" s="210">
        <v>2.0317308981472326E-2</v>
      </c>
      <c r="X18" s="206" t="s">
        <v>267</v>
      </c>
      <c r="Y18" s="189"/>
      <c r="Z18" s="196" t="s">
        <v>255</v>
      </c>
      <c r="AA18" s="205">
        <v>52600</v>
      </c>
      <c r="AB18" s="208">
        <v>2.7</v>
      </c>
      <c r="AC18" s="205">
        <v>19481.481481481482</v>
      </c>
      <c r="AD18" s="211">
        <v>2.0317308981472326E-2</v>
      </c>
      <c r="AE18" s="205">
        <v>35618.826466118167</v>
      </c>
      <c r="AF18" s="212"/>
      <c r="AG18" s="190"/>
      <c r="AH18" s="196" t="s">
        <v>255</v>
      </c>
      <c r="AI18" s="216">
        <v>385345403.27330482</v>
      </c>
      <c r="AJ18" s="216">
        <v>825860542.49151111</v>
      </c>
      <c r="AK18" s="206" t="s">
        <v>286</v>
      </c>
      <c r="AL18" s="190"/>
      <c r="AM18" s="196" t="s">
        <v>255</v>
      </c>
      <c r="AN18" s="216">
        <v>996985539.73869932</v>
      </c>
      <c r="AO18" s="216">
        <v>1993971079.4773986</v>
      </c>
      <c r="AP18" s="212" t="s">
        <v>266</v>
      </c>
      <c r="AQ18" s="212" t="s">
        <v>268</v>
      </c>
      <c r="AR18" s="190"/>
      <c r="AS18" s="217" t="s">
        <v>255</v>
      </c>
      <c r="AT18" s="216">
        <v>1993971079.4773986</v>
      </c>
      <c r="AU18" s="218">
        <v>0.1</v>
      </c>
      <c r="AV18" s="216">
        <v>199397107.94773987</v>
      </c>
      <c r="AW18" s="212"/>
      <c r="AX18" s="190"/>
      <c r="AY18" s="217" t="s">
        <v>255</v>
      </c>
      <c r="AZ18" s="216">
        <v>605602972.8824079</v>
      </c>
      <c r="BA18" s="220">
        <v>0.6</v>
      </c>
      <c r="BB18" s="216">
        <v>363361783.72944474</v>
      </c>
      <c r="BC18" s="212"/>
      <c r="BD18" s="190"/>
    </row>
    <row r="19" spans="1:56" x14ac:dyDescent="0.35">
      <c r="A19" s="181"/>
      <c r="B19" s="196" t="s">
        <v>256</v>
      </c>
      <c r="C19" s="200">
        <v>23289000</v>
      </c>
      <c r="D19" s="197" t="s">
        <v>269</v>
      </c>
      <c r="E19" s="182"/>
      <c r="F19" s="196" t="s">
        <v>256</v>
      </c>
      <c r="G19" s="200">
        <v>32438000</v>
      </c>
      <c r="H19" s="197" t="s">
        <v>264</v>
      </c>
      <c r="J19" s="196" t="s">
        <v>256</v>
      </c>
      <c r="K19" s="200">
        <v>14712600</v>
      </c>
      <c r="L19" s="203" t="s">
        <v>265</v>
      </c>
      <c r="M19" s="182"/>
      <c r="N19" s="196" t="s">
        <v>256</v>
      </c>
      <c r="O19" s="205">
        <v>89100</v>
      </c>
      <c r="P19" s="206" t="s">
        <v>153</v>
      </c>
      <c r="Q19" s="182"/>
      <c r="R19" s="196" t="s">
        <v>256</v>
      </c>
      <c r="S19" s="205">
        <v>89100</v>
      </c>
      <c r="T19" s="208" t="s">
        <v>154</v>
      </c>
      <c r="U19" s="182"/>
      <c r="V19" s="196" t="s">
        <v>50</v>
      </c>
      <c r="W19" s="210">
        <v>9.018275672927567E-3</v>
      </c>
      <c r="X19" s="206" t="s">
        <v>267</v>
      </c>
      <c r="Y19" s="189"/>
      <c r="Z19" s="196" t="s">
        <v>256</v>
      </c>
      <c r="AA19" s="205">
        <v>89100</v>
      </c>
      <c r="AB19" s="208">
        <v>2.7</v>
      </c>
      <c r="AC19" s="205">
        <v>33000</v>
      </c>
      <c r="AD19" s="211">
        <v>9.018275672927567E-3</v>
      </c>
      <c r="AE19" s="205">
        <v>43200.115871605871</v>
      </c>
      <c r="AF19" s="212"/>
      <c r="AG19" s="190"/>
      <c r="AH19" s="196" t="s">
        <v>256</v>
      </c>
      <c r="AI19" s="216">
        <v>1394031426.0514655</v>
      </c>
      <c r="AJ19" s="216">
        <v>2119858283.3530726</v>
      </c>
      <c r="AK19" s="206" t="s">
        <v>182</v>
      </c>
      <c r="AL19" s="190"/>
      <c r="AM19" s="196" t="s">
        <v>256</v>
      </c>
      <c r="AN19" s="216">
        <v>962196000.00000012</v>
      </c>
      <c r="AO19" s="216">
        <v>1251534999.9999995</v>
      </c>
      <c r="AP19" s="212" t="s">
        <v>266</v>
      </c>
      <c r="AQ19" s="212" t="s">
        <v>268</v>
      </c>
      <c r="AR19" s="190"/>
      <c r="AS19" s="217" t="s">
        <v>256</v>
      </c>
      <c r="AT19" s="216">
        <v>1251534999.9999995</v>
      </c>
      <c r="AU19" s="218">
        <v>0.1</v>
      </c>
      <c r="AV19" s="216">
        <v>125153499.99999996</v>
      </c>
      <c r="AW19" s="212"/>
      <c r="AX19" s="190"/>
      <c r="AY19" s="217" t="s">
        <v>256</v>
      </c>
      <c r="AZ19" s="216">
        <v>1756944854.7022691</v>
      </c>
      <c r="BA19" s="220">
        <v>0.6</v>
      </c>
      <c r="BB19" s="216">
        <v>1054166912.8213614</v>
      </c>
      <c r="BC19" s="212"/>
      <c r="BD19" s="190"/>
    </row>
    <row r="20" spans="1:56" ht="93" x14ac:dyDescent="0.35">
      <c r="A20" s="181"/>
      <c r="B20" s="196" t="s">
        <v>257</v>
      </c>
      <c r="C20" s="200">
        <v>32375000</v>
      </c>
      <c r="D20" s="197" t="s">
        <v>269</v>
      </c>
      <c r="E20" s="182"/>
      <c r="F20" s="196" t="s">
        <v>257</v>
      </c>
      <c r="G20" s="200">
        <v>58526059.219999999</v>
      </c>
      <c r="H20" s="197" t="s">
        <v>304</v>
      </c>
      <c r="J20" s="196" t="s">
        <v>257</v>
      </c>
      <c r="K20" s="200">
        <v>14260504.656663088</v>
      </c>
      <c r="L20" s="203" t="s">
        <v>305</v>
      </c>
      <c r="M20" s="182"/>
      <c r="N20" s="196" t="s">
        <v>257</v>
      </c>
      <c r="O20" s="205">
        <v>58300</v>
      </c>
      <c r="P20" s="206" t="s">
        <v>153</v>
      </c>
      <c r="Q20" s="182"/>
      <c r="R20" s="196" t="s">
        <v>257</v>
      </c>
      <c r="S20" s="205">
        <v>58300</v>
      </c>
      <c r="T20" s="208" t="s">
        <v>154</v>
      </c>
      <c r="U20" s="182"/>
      <c r="V20" s="196" t="s">
        <v>90</v>
      </c>
      <c r="W20" s="210">
        <v>2.2049167456336782E-2</v>
      </c>
      <c r="X20" s="206" t="s">
        <v>267</v>
      </c>
      <c r="Y20" s="189"/>
      <c r="Z20" s="196" t="s">
        <v>257</v>
      </c>
      <c r="AA20" s="205">
        <v>58300</v>
      </c>
      <c r="AB20" s="208">
        <v>2.7</v>
      </c>
      <c r="AC20" s="205">
        <v>21592.592592592591</v>
      </c>
      <c r="AD20" s="211">
        <v>2.2049167456336782E-2</v>
      </c>
      <c r="AE20" s="205">
        <v>41539.231198913811</v>
      </c>
      <c r="AF20" s="212"/>
      <c r="AG20" s="190"/>
      <c r="AH20" s="196" t="s">
        <v>257</v>
      </c>
      <c r="AI20" s="216">
        <v>480361621.37412578</v>
      </c>
      <c r="AJ20" s="216">
        <v>929416636.52318549</v>
      </c>
      <c r="AK20" s="206" t="s">
        <v>286</v>
      </c>
      <c r="AL20" s="190"/>
      <c r="AM20" s="196" t="s">
        <v>257</v>
      </c>
      <c r="AN20" s="216">
        <v>906579696.40962005</v>
      </c>
      <c r="AO20" s="216">
        <v>2907996570.3093705</v>
      </c>
      <c r="AP20" s="212" t="s">
        <v>306</v>
      </c>
      <c r="AQ20" s="212" t="s">
        <v>307</v>
      </c>
      <c r="AR20" s="190"/>
      <c r="AS20" s="217" t="s">
        <v>257</v>
      </c>
      <c r="AT20" s="216">
        <v>2907996570.3093705</v>
      </c>
      <c r="AU20" s="218">
        <v>0.1</v>
      </c>
      <c r="AV20" s="216">
        <v>290799657.03093708</v>
      </c>
      <c r="AW20" s="212"/>
      <c r="AX20" s="190"/>
      <c r="AY20" s="217" t="s">
        <v>257</v>
      </c>
      <c r="AZ20" s="216">
        <v>704889128.94865561</v>
      </c>
      <c r="BA20" s="220">
        <v>0.6</v>
      </c>
      <c r="BB20" s="216">
        <v>422933477.36919338</v>
      </c>
      <c r="BC20" s="212"/>
      <c r="BD20" s="190"/>
    </row>
    <row r="21" spans="1:56" x14ac:dyDescent="0.35">
      <c r="A21" s="181"/>
      <c r="B21" s="196" t="s">
        <v>258</v>
      </c>
      <c r="C21" s="200">
        <v>5341093.4700000007</v>
      </c>
      <c r="D21" s="197" t="s">
        <v>269</v>
      </c>
      <c r="E21" s="182"/>
      <c r="F21" s="196" t="s">
        <v>258</v>
      </c>
      <c r="G21" s="200">
        <v>19017711.02</v>
      </c>
      <c r="H21" s="197" t="s">
        <v>264</v>
      </c>
      <c r="J21" s="196" t="s">
        <v>258</v>
      </c>
      <c r="K21" s="200">
        <v>3934677.7600108562</v>
      </c>
      <c r="L21" s="203" t="s">
        <v>265</v>
      </c>
      <c r="M21" s="182"/>
      <c r="N21" s="196" t="s">
        <v>258</v>
      </c>
      <c r="O21" s="205">
        <v>6770</v>
      </c>
      <c r="P21" s="206" t="s">
        <v>153</v>
      </c>
      <c r="Q21" s="182"/>
      <c r="R21" s="196" t="s">
        <v>258</v>
      </c>
      <c r="S21" s="205">
        <v>6770</v>
      </c>
      <c r="T21" s="208" t="s">
        <v>154</v>
      </c>
      <c r="U21" s="182"/>
      <c r="V21" s="196" t="s">
        <v>61</v>
      </c>
      <c r="W21" s="210">
        <v>1.4724143683338298E-2</v>
      </c>
      <c r="X21" s="206" t="s">
        <v>267</v>
      </c>
      <c r="Y21" s="189"/>
      <c r="Z21" s="196" t="s">
        <v>258</v>
      </c>
      <c r="AA21" s="205">
        <v>6770</v>
      </c>
      <c r="AB21" s="208">
        <v>2.7</v>
      </c>
      <c r="AC21" s="205">
        <v>2507.4074074074074</v>
      </c>
      <c r="AD21" s="211">
        <v>1.4724143683338298E-2</v>
      </c>
      <c r="AE21" s="205">
        <v>3887.4491300162931</v>
      </c>
      <c r="AF21" s="212"/>
      <c r="AG21" s="190"/>
      <c r="AH21" s="196" t="s">
        <v>258</v>
      </c>
      <c r="AI21" s="216">
        <v>473900000</v>
      </c>
      <c r="AJ21" s="216">
        <v>473900000</v>
      </c>
      <c r="AK21" s="206" t="s">
        <v>301</v>
      </c>
      <c r="AL21" s="190"/>
      <c r="AM21" s="196" t="s">
        <v>258</v>
      </c>
      <c r="AN21" s="216">
        <v>99111122.000000015</v>
      </c>
      <c r="AO21" s="216">
        <v>243177797.5</v>
      </c>
      <c r="AP21" s="212" t="s">
        <v>266</v>
      </c>
      <c r="AQ21" s="212" t="s">
        <v>268</v>
      </c>
      <c r="AR21" s="190"/>
      <c r="AS21" s="217" t="s">
        <v>258</v>
      </c>
      <c r="AT21" s="216">
        <v>243177797.5</v>
      </c>
      <c r="AU21" s="218">
        <v>0.1</v>
      </c>
      <c r="AV21" s="216">
        <v>24317779.75</v>
      </c>
      <c r="AW21" s="212"/>
      <c r="AX21" s="190"/>
      <c r="AY21" s="217" t="s">
        <v>258</v>
      </c>
      <c r="AZ21" s="216">
        <v>473900000</v>
      </c>
      <c r="BA21" s="220">
        <v>0.6</v>
      </c>
      <c r="BB21" s="216">
        <v>284340000</v>
      </c>
      <c r="BC21" s="212"/>
      <c r="BD21" s="190"/>
    </row>
    <row r="22" spans="1:56" x14ac:dyDescent="0.35">
      <c r="A22" s="181"/>
      <c r="B22" s="196" t="s">
        <v>259</v>
      </c>
      <c r="C22" s="200">
        <v>6344648.6199999992</v>
      </c>
      <c r="D22" s="197" t="s">
        <v>242</v>
      </c>
      <c r="E22" s="182"/>
      <c r="F22" s="196" t="s">
        <v>259</v>
      </c>
      <c r="G22" s="200">
        <v>25209814.829999998</v>
      </c>
      <c r="H22" s="197" t="s">
        <v>264</v>
      </c>
      <c r="J22" s="196" t="s">
        <v>259</v>
      </c>
      <c r="K22" s="200">
        <v>3520020.8899999997</v>
      </c>
      <c r="L22" s="203" t="s">
        <v>265</v>
      </c>
      <c r="M22" s="182"/>
      <c r="N22" s="196" t="s">
        <v>259</v>
      </c>
      <c r="O22" s="205">
        <v>11150</v>
      </c>
      <c r="P22" s="206" t="s">
        <v>270</v>
      </c>
      <c r="Q22" s="182"/>
      <c r="R22" s="196" t="s">
        <v>259</v>
      </c>
      <c r="S22" s="205">
        <v>11200</v>
      </c>
      <c r="T22" s="208" t="s">
        <v>154</v>
      </c>
      <c r="U22" s="182"/>
      <c r="V22" s="196" t="s">
        <v>51</v>
      </c>
      <c r="W22" s="210">
        <v>1.9069984240096538E-3</v>
      </c>
      <c r="X22" s="206" t="s">
        <v>267</v>
      </c>
      <c r="Y22" s="189"/>
      <c r="Z22" s="196" t="s">
        <v>259</v>
      </c>
      <c r="AA22" s="205">
        <v>11175</v>
      </c>
      <c r="AB22" s="208">
        <v>2.7</v>
      </c>
      <c r="AC22" s="205">
        <v>4138.8888888888887</v>
      </c>
      <c r="AD22" s="211">
        <v>1.9069984240096538E-3</v>
      </c>
      <c r="AE22" s="205">
        <v>4382.3400504481151</v>
      </c>
      <c r="AF22" s="212"/>
      <c r="AG22" s="190"/>
      <c r="AH22" s="196" t="s">
        <v>259</v>
      </c>
      <c r="AI22" s="216">
        <v>782250000</v>
      </c>
      <c r="AJ22" s="216">
        <v>782250000</v>
      </c>
      <c r="AK22" s="206" t="s">
        <v>286</v>
      </c>
      <c r="AL22" s="190"/>
      <c r="AM22" s="196" t="s">
        <v>259</v>
      </c>
      <c r="AN22" s="216">
        <v>147647362.62536874</v>
      </c>
      <c r="AO22" s="216">
        <v>180226776.54211733</v>
      </c>
      <c r="AP22" s="212" t="s">
        <v>266</v>
      </c>
      <c r="AQ22" s="212" t="s">
        <v>268</v>
      </c>
      <c r="AR22" s="190"/>
      <c r="AS22" s="217" t="s">
        <v>259</v>
      </c>
      <c r="AT22" s="216">
        <v>180226776.54211733</v>
      </c>
      <c r="AU22" s="218">
        <v>0.1</v>
      </c>
      <c r="AV22" s="216">
        <v>18022677.654211733</v>
      </c>
      <c r="AW22" s="212"/>
      <c r="AX22" s="190"/>
      <c r="AY22" s="217" t="s">
        <v>259</v>
      </c>
      <c r="AZ22" s="216">
        <v>782250000</v>
      </c>
      <c r="BA22" s="220">
        <v>0.6</v>
      </c>
      <c r="BB22" s="216">
        <v>469350000</v>
      </c>
      <c r="BC22" s="212"/>
      <c r="BD22" s="190"/>
    </row>
    <row r="23" spans="1:56" x14ac:dyDescent="0.35">
      <c r="A23" s="181"/>
      <c r="B23" s="196" t="s">
        <v>260</v>
      </c>
      <c r="C23" s="200">
        <v>38005194.170000002</v>
      </c>
      <c r="D23" s="197" t="s">
        <v>269</v>
      </c>
      <c r="E23" s="182"/>
      <c r="F23" s="196" t="s">
        <v>260</v>
      </c>
      <c r="G23" s="200">
        <v>92513548.199018985</v>
      </c>
      <c r="H23" s="197" t="s">
        <v>264</v>
      </c>
      <c r="J23" s="196" t="s">
        <v>260</v>
      </c>
      <c r="K23" s="200">
        <v>19597504.140000001</v>
      </c>
      <c r="L23" s="203" t="s">
        <v>265</v>
      </c>
      <c r="M23" s="182"/>
      <c r="N23" s="196" t="s">
        <v>260</v>
      </c>
      <c r="O23" s="205">
        <v>29350.74</v>
      </c>
      <c r="P23" s="206" t="s">
        <v>153</v>
      </c>
      <c r="Q23" s="182"/>
      <c r="R23" s="196" t="s">
        <v>260</v>
      </c>
      <c r="S23" s="205">
        <v>33321</v>
      </c>
      <c r="T23" s="208" t="s">
        <v>154</v>
      </c>
      <c r="U23" s="182"/>
      <c r="V23" s="196" t="s">
        <v>52</v>
      </c>
      <c r="W23" s="210">
        <v>2.8020694353665831E-2</v>
      </c>
      <c r="X23" s="206" t="s">
        <v>267</v>
      </c>
      <c r="Y23" s="189"/>
      <c r="Z23" s="196" t="s">
        <v>260</v>
      </c>
      <c r="AA23" s="205">
        <v>31335.870000000003</v>
      </c>
      <c r="AB23" s="208">
        <v>2.7</v>
      </c>
      <c r="AC23" s="205">
        <v>11605.877777777778</v>
      </c>
      <c r="AD23" s="211">
        <v>2.8020694353665831E-2</v>
      </c>
      <c r="AE23" s="205">
        <v>26590.941176195709</v>
      </c>
      <c r="AF23" s="212"/>
      <c r="AG23" s="190"/>
      <c r="AH23" s="196" t="s">
        <v>260</v>
      </c>
      <c r="AI23" s="216">
        <v>1766243774.0390334</v>
      </c>
      <c r="AJ23" s="216">
        <v>2178926310.570395</v>
      </c>
      <c r="AK23" s="206" t="s">
        <v>303</v>
      </c>
      <c r="AL23" s="190"/>
      <c r="AM23" s="196" t="s">
        <v>260</v>
      </c>
      <c r="AN23" s="216">
        <v>681440000</v>
      </c>
      <c r="AO23" s="216">
        <v>885872000.00000012</v>
      </c>
      <c r="AP23" s="212" t="s">
        <v>266</v>
      </c>
      <c r="AQ23" s="212" t="s">
        <v>268</v>
      </c>
      <c r="AR23" s="190"/>
      <c r="AS23" s="217" t="s">
        <v>260</v>
      </c>
      <c r="AT23" s="216">
        <v>885872000.00000012</v>
      </c>
      <c r="AU23" s="218">
        <v>0.1</v>
      </c>
      <c r="AV23" s="216">
        <v>88587200.000000015</v>
      </c>
      <c r="AW23" s="212"/>
      <c r="AX23" s="190"/>
      <c r="AY23" s="217" t="s">
        <v>260</v>
      </c>
      <c r="AZ23" s="216">
        <v>1972585042.3047142</v>
      </c>
      <c r="BA23" s="220">
        <v>0.6</v>
      </c>
      <c r="BB23" s="216">
        <v>1183551025.3828285</v>
      </c>
      <c r="BC23" s="212"/>
      <c r="BD23" s="190"/>
    </row>
    <row r="24" spans="1:56" ht="93" x14ac:dyDescent="0.35">
      <c r="A24" s="181"/>
      <c r="B24" s="196" t="s">
        <v>261</v>
      </c>
      <c r="C24" s="200">
        <v>17538490.420000002</v>
      </c>
      <c r="D24" s="197" t="s">
        <v>289</v>
      </c>
      <c r="E24" s="182"/>
      <c r="F24" s="196" t="s">
        <v>261</v>
      </c>
      <c r="G24" s="200">
        <v>31519008.710000001</v>
      </c>
      <c r="H24" s="197" t="s">
        <v>308</v>
      </c>
      <c r="J24" s="196" t="s">
        <v>261</v>
      </c>
      <c r="K24" s="200">
        <v>12242945.311289145</v>
      </c>
      <c r="L24" s="203" t="s">
        <v>305</v>
      </c>
      <c r="M24" s="182"/>
      <c r="N24" s="196" t="s">
        <v>261</v>
      </c>
      <c r="O24" s="205">
        <v>42000</v>
      </c>
      <c r="P24" s="206" t="s">
        <v>270</v>
      </c>
      <c r="Q24" s="182"/>
      <c r="R24" s="196" t="s">
        <v>261</v>
      </c>
      <c r="S24" s="205">
        <v>42000</v>
      </c>
      <c r="T24" s="208" t="s">
        <v>154</v>
      </c>
      <c r="U24" s="182"/>
      <c r="V24" s="196" t="s">
        <v>54</v>
      </c>
      <c r="W24" s="210">
        <v>1.5246008397444832E-2</v>
      </c>
      <c r="X24" s="206" t="s">
        <v>309</v>
      </c>
      <c r="Y24" s="189"/>
      <c r="Z24" s="196" t="s">
        <v>261</v>
      </c>
      <c r="AA24" s="205">
        <v>42000</v>
      </c>
      <c r="AB24" s="208">
        <v>2.7</v>
      </c>
      <c r="AC24" s="205">
        <v>15555.555555555555</v>
      </c>
      <c r="AD24" s="211">
        <v>1.5246008397444832E-2</v>
      </c>
      <c r="AE24" s="205">
        <v>24491.999745394136</v>
      </c>
      <c r="AF24" s="212"/>
      <c r="AG24" s="190"/>
      <c r="AH24" s="196" t="s">
        <v>261</v>
      </c>
      <c r="AI24" s="216">
        <v>311249548.18536454</v>
      </c>
      <c r="AJ24" s="216">
        <v>627232515.44005239</v>
      </c>
      <c r="AK24" s="206" t="s">
        <v>310</v>
      </c>
      <c r="AL24" s="190"/>
      <c r="AM24" s="196" t="s">
        <v>261</v>
      </c>
      <c r="AN24" s="216">
        <v>754910907.35562003</v>
      </c>
      <c r="AO24" s="216">
        <v>1705784364.0343697</v>
      </c>
      <c r="AP24" s="212" t="s">
        <v>311</v>
      </c>
      <c r="AQ24" s="212" t="s">
        <v>312</v>
      </c>
      <c r="AR24" s="190"/>
      <c r="AS24" s="217" t="s">
        <v>261</v>
      </c>
      <c r="AT24" s="216">
        <v>1705784364.0343697</v>
      </c>
      <c r="AU24" s="218">
        <v>0.1</v>
      </c>
      <c r="AV24" s="216">
        <v>170578436.40343699</v>
      </c>
      <c r="AW24" s="212"/>
      <c r="AX24" s="190"/>
      <c r="AY24" s="217" t="s">
        <v>261</v>
      </c>
      <c r="AZ24" s="216">
        <v>469241031.8127085</v>
      </c>
      <c r="BA24" s="220">
        <v>0.6</v>
      </c>
      <c r="BB24" s="216">
        <v>281544619.08762509</v>
      </c>
      <c r="BC24" s="212"/>
      <c r="BD24" s="190"/>
    </row>
    <row r="25" spans="1:56" ht="124" x14ac:dyDescent="0.35">
      <c r="A25" s="181"/>
      <c r="B25" s="196" t="s">
        <v>262</v>
      </c>
      <c r="C25" s="200">
        <v>3203000</v>
      </c>
      <c r="D25" s="197" t="s">
        <v>269</v>
      </c>
      <c r="E25" s="182"/>
      <c r="F25" s="196" t="s">
        <v>262</v>
      </c>
      <c r="G25" s="200">
        <v>8599000</v>
      </c>
      <c r="H25" s="197" t="s">
        <v>264</v>
      </c>
      <c r="J25" s="196" t="s">
        <v>262</v>
      </c>
      <c r="K25" s="200">
        <v>4828000</v>
      </c>
      <c r="L25" s="203" t="s">
        <v>313</v>
      </c>
      <c r="M25" s="182"/>
      <c r="N25" s="196" t="s">
        <v>262</v>
      </c>
      <c r="O25" s="205">
        <v>4830</v>
      </c>
      <c r="P25" s="206" t="s">
        <v>270</v>
      </c>
      <c r="Q25" s="182"/>
      <c r="R25" s="196" t="s">
        <v>262</v>
      </c>
      <c r="S25" s="205">
        <v>6139</v>
      </c>
      <c r="T25" s="208" t="s">
        <v>154</v>
      </c>
      <c r="U25" s="182"/>
      <c r="V25" s="196" t="s">
        <v>53</v>
      </c>
      <c r="W25" s="210">
        <v>9.1933529717347362E-4</v>
      </c>
      <c r="X25" s="206" t="s">
        <v>267</v>
      </c>
      <c r="Y25" s="189"/>
      <c r="Z25" s="196" t="s">
        <v>262</v>
      </c>
      <c r="AA25" s="205">
        <v>5484.5</v>
      </c>
      <c r="AB25" s="208">
        <v>2.7</v>
      </c>
      <c r="AC25" s="205">
        <v>2031.2962962962961</v>
      </c>
      <c r="AD25" s="211">
        <v>9.1933529717347362E-4</v>
      </c>
      <c r="AE25" s="205">
        <v>2088.0728262366929</v>
      </c>
      <c r="AF25" s="212"/>
      <c r="AG25" s="190"/>
      <c r="AH25" s="196" t="s">
        <v>262</v>
      </c>
      <c r="AI25" s="216">
        <v>383915000</v>
      </c>
      <c r="AJ25" s="216">
        <v>383915000</v>
      </c>
      <c r="AK25" s="206" t="s">
        <v>314</v>
      </c>
      <c r="AL25" s="190"/>
      <c r="AM25" s="196" t="s">
        <v>262</v>
      </c>
      <c r="AN25" s="216">
        <v>93100000</v>
      </c>
      <c r="AO25" s="216">
        <v>111710000.00000003</v>
      </c>
      <c r="AP25" s="212" t="s">
        <v>266</v>
      </c>
      <c r="AQ25" s="212" t="s">
        <v>268</v>
      </c>
      <c r="AR25" s="190"/>
      <c r="AS25" s="217" t="s">
        <v>262</v>
      </c>
      <c r="AT25" s="216">
        <v>111710000.00000003</v>
      </c>
      <c r="AU25" s="218">
        <v>0.1</v>
      </c>
      <c r="AV25" s="216">
        <v>11171000.000000004</v>
      </c>
      <c r="AW25" s="212"/>
      <c r="AX25" s="190"/>
      <c r="AY25" s="217" t="s">
        <v>262</v>
      </c>
      <c r="AZ25" s="216">
        <v>383915000</v>
      </c>
      <c r="BA25" s="220">
        <v>0.6</v>
      </c>
      <c r="BB25" s="216">
        <v>230349000</v>
      </c>
      <c r="BC25" s="212"/>
      <c r="BD25" s="190"/>
    </row>
    <row r="26" spans="1:56" ht="93" x14ac:dyDescent="0.35">
      <c r="A26" s="181"/>
      <c r="B26" s="196" t="s">
        <v>263</v>
      </c>
      <c r="C26" s="200">
        <v>112166000</v>
      </c>
      <c r="D26" s="197" t="s">
        <v>315</v>
      </c>
      <c r="E26" s="182"/>
      <c r="F26" s="196" t="s">
        <v>263</v>
      </c>
      <c r="G26" s="200">
        <v>134349670</v>
      </c>
      <c r="H26" s="197" t="s">
        <v>316</v>
      </c>
      <c r="J26" s="196" t="s">
        <v>263</v>
      </c>
      <c r="K26" s="200">
        <v>66390921.568859689</v>
      </c>
      <c r="L26" s="203" t="s">
        <v>305</v>
      </c>
      <c r="M26" s="182"/>
      <c r="N26" s="196" t="s">
        <v>263</v>
      </c>
      <c r="O26" s="205">
        <v>222600</v>
      </c>
      <c r="P26" s="206" t="s">
        <v>153</v>
      </c>
      <c r="Q26" s="182"/>
      <c r="R26" s="196" t="s">
        <v>263</v>
      </c>
      <c r="S26" s="205">
        <v>222600</v>
      </c>
      <c r="T26" s="208" t="s">
        <v>154</v>
      </c>
      <c r="U26" s="182"/>
      <c r="V26" s="196" t="s">
        <v>39</v>
      </c>
      <c r="W26" s="210">
        <v>1.5246008397444832E-2</v>
      </c>
      <c r="X26" s="206" t="s">
        <v>309</v>
      </c>
      <c r="Y26" s="189"/>
      <c r="Z26" s="196" t="s">
        <v>263</v>
      </c>
      <c r="AA26" s="205">
        <v>222600</v>
      </c>
      <c r="AB26" s="208">
        <v>2.7</v>
      </c>
      <c r="AC26" s="205">
        <v>82444.444444444438</v>
      </c>
      <c r="AD26" s="211">
        <v>1.5246008397444832E-2</v>
      </c>
      <c r="AE26" s="205">
        <v>129807.59865058892</v>
      </c>
      <c r="AF26" s="212"/>
      <c r="AG26" s="190"/>
      <c r="AH26" s="196" t="s">
        <v>263</v>
      </c>
      <c r="AI26" s="216">
        <v>1598206410.9519236</v>
      </c>
      <c r="AJ26" s="216">
        <v>3319641493.1704788</v>
      </c>
      <c r="AK26" s="206" t="s">
        <v>317</v>
      </c>
      <c r="AL26" s="190"/>
      <c r="AM26" s="196" t="s">
        <v>263</v>
      </c>
      <c r="AN26" s="216">
        <v>4456605423.1660004</v>
      </c>
      <c r="AO26" s="216">
        <v>8423693464.5050001</v>
      </c>
      <c r="AP26" s="212" t="s">
        <v>318</v>
      </c>
      <c r="AQ26" s="199" t="s">
        <v>319</v>
      </c>
      <c r="AR26" s="190"/>
      <c r="AS26" s="217" t="s">
        <v>263</v>
      </c>
      <c r="AT26" s="216">
        <v>8423693464.5050001</v>
      </c>
      <c r="AU26" s="218">
        <v>0.1</v>
      </c>
      <c r="AV26" s="216">
        <v>842369346.45050001</v>
      </c>
      <c r="AW26" s="212"/>
      <c r="AX26" s="190"/>
      <c r="AY26" s="217" t="s">
        <v>263</v>
      </c>
      <c r="AZ26" s="216">
        <v>2458923952.0612011</v>
      </c>
      <c r="BA26" s="220">
        <v>0.6</v>
      </c>
      <c r="BB26" s="216">
        <v>1475354371.2367206</v>
      </c>
      <c r="BC26" s="212"/>
      <c r="BD26" s="190"/>
    </row>
    <row r="27" spans="1:56" x14ac:dyDescent="0.35">
      <c r="A27" s="181"/>
      <c r="B27" s="196"/>
      <c r="C27" s="200"/>
      <c r="D27" s="197"/>
      <c r="E27" s="182"/>
      <c r="F27" s="196"/>
      <c r="G27" s="200"/>
      <c r="H27" s="197"/>
      <c r="J27" s="196"/>
      <c r="K27" s="204"/>
      <c r="L27" s="203"/>
      <c r="M27" s="182"/>
      <c r="N27" s="196"/>
      <c r="O27" s="205"/>
      <c r="P27" s="206"/>
      <c r="Q27" s="182"/>
      <c r="R27" s="196"/>
      <c r="S27" s="205"/>
      <c r="T27" s="208"/>
      <c r="U27" s="182"/>
      <c r="V27" s="185"/>
      <c r="W27" s="179"/>
      <c r="X27" s="188"/>
      <c r="Y27" s="189"/>
      <c r="Z27" s="196"/>
      <c r="AA27" s="205"/>
      <c r="AB27" s="208"/>
      <c r="AC27" s="205"/>
      <c r="AD27" s="211"/>
      <c r="AE27" s="205"/>
      <c r="AF27" s="212"/>
      <c r="AG27" s="190"/>
      <c r="AH27" s="196"/>
      <c r="AI27" s="216"/>
      <c r="AJ27" s="216"/>
      <c r="AK27" s="206"/>
      <c r="AL27" s="190"/>
      <c r="AM27" s="196"/>
      <c r="AN27" s="216"/>
      <c r="AO27" s="216"/>
      <c r="AP27" s="212"/>
      <c r="AQ27" s="212"/>
      <c r="AR27" s="190"/>
      <c r="AS27" s="217"/>
      <c r="AT27" s="216"/>
      <c r="AU27" s="218"/>
      <c r="AV27" s="216"/>
      <c r="AW27" s="212"/>
      <c r="AX27" s="190"/>
      <c r="AY27" s="217"/>
      <c r="AZ27" s="216"/>
      <c r="BA27" s="220"/>
      <c r="BB27" s="221"/>
      <c r="BC27" s="212"/>
      <c r="BD27" s="190"/>
    </row>
    <row r="28" spans="1:56" x14ac:dyDescent="0.35">
      <c r="B28" s="198" t="s">
        <v>227</v>
      </c>
      <c r="C28" s="200">
        <v>483196250.47000009</v>
      </c>
      <c r="D28" s="199" t="s">
        <v>271</v>
      </c>
      <c r="F28" s="198" t="s">
        <v>227</v>
      </c>
      <c r="G28" s="200">
        <v>914310740.03901911</v>
      </c>
      <c r="H28" s="199" t="s">
        <v>271</v>
      </c>
      <c r="J28" s="198" t="s">
        <v>227</v>
      </c>
      <c r="K28" s="200">
        <v>281939439.15917969</v>
      </c>
      <c r="L28" s="199" t="s">
        <v>271</v>
      </c>
      <c r="N28" s="198" t="s">
        <v>227</v>
      </c>
      <c r="O28" s="207">
        <v>954248.74</v>
      </c>
      <c r="P28" s="199" t="s">
        <v>271</v>
      </c>
      <c r="R28" s="198" t="s">
        <v>227</v>
      </c>
      <c r="S28" s="207">
        <v>956459</v>
      </c>
      <c r="T28" s="199" t="s">
        <v>271</v>
      </c>
      <c r="V28" s="191"/>
      <c r="W28" s="191"/>
      <c r="X28" s="191"/>
      <c r="Y28" s="191"/>
      <c r="Z28" s="198" t="s">
        <v>227</v>
      </c>
      <c r="AA28" s="207">
        <v>955353.87</v>
      </c>
      <c r="AB28" s="208">
        <v>2.7</v>
      </c>
      <c r="AC28" s="207">
        <v>353834.76666666666</v>
      </c>
      <c r="AD28" s="213"/>
      <c r="AE28" s="207">
        <v>564927.54384406842</v>
      </c>
      <c r="AF28" s="214">
        <v>1.5717827035585552E-2</v>
      </c>
      <c r="AG28" s="193"/>
      <c r="AH28" s="198" t="s">
        <v>227</v>
      </c>
      <c r="AI28" s="200">
        <v>18333195274.159416</v>
      </c>
      <c r="AJ28" s="200">
        <v>24861554543.205429</v>
      </c>
      <c r="AK28" s="199" t="s">
        <v>271</v>
      </c>
      <c r="AL28" s="193"/>
      <c r="AM28" s="198" t="s">
        <v>227</v>
      </c>
      <c r="AN28" s="216">
        <v>15635218933.466867</v>
      </c>
      <c r="AO28" s="216">
        <v>29986075423.620792</v>
      </c>
      <c r="AP28" s="199"/>
      <c r="AQ28" s="208"/>
      <c r="AR28" s="193"/>
      <c r="AS28" s="217" t="s">
        <v>62</v>
      </c>
      <c r="AT28" s="216">
        <v>29986075423.620792</v>
      </c>
      <c r="AU28" s="199"/>
      <c r="AV28" s="216">
        <v>2998607542.3620791</v>
      </c>
      <c r="AW28" s="219">
        <v>9.9999999999999992E-2</v>
      </c>
      <c r="AX28" s="193"/>
      <c r="AY28" s="217" t="s">
        <v>62</v>
      </c>
      <c r="AZ28" s="216">
        <v>21597374908.682419</v>
      </c>
      <c r="BA28" s="199"/>
      <c r="BB28" s="216">
        <v>12958424945.209452</v>
      </c>
      <c r="BC28" s="219">
        <v>0.6</v>
      </c>
      <c r="BD28" s="193"/>
    </row>
  </sheetData>
  <autoFilter ref="A5:BD5" xr:uid="{22BC79C2-BEDF-4D83-B9CC-C94441EF55F3}"/>
  <mergeCells count="1">
    <mergeCell ref="AP5:AQ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202"/>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7" bestFit="1" customWidth="1"/>
    <col min="2" max="2" width="94.6640625" style="77" bestFit="1" customWidth="1"/>
    <col min="3" max="3" width="21.58203125" style="108" bestFit="1" customWidth="1"/>
    <col min="4" max="4" width="29.58203125" style="109" customWidth="1"/>
    <col min="5" max="5" width="25.75" style="77" customWidth="1"/>
    <col min="6" max="8" width="15.4140625" style="77" bestFit="1" customWidth="1"/>
    <col min="9" max="9" width="18.25" style="77" bestFit="1" customWidth="1"/>
    <col min="10" max="10" width="18" style="77" bestFit="1" customWidth="1"/>
    <col min="11" max="11" width="18.25" style="77" bestFit="1" customWidth="1"/>
    <col min="12" max="12" width="18" style="77" bestFit="1" customWidth="1"/>
    <col min="13" max="13" width="18.83203125" style="77" bestFit="1" customWidth="1"/>
    <col min="14" max="14" width="18.25" style="77" bestFit="1" customWidth="1"/>
    <col min="15" max="15" width="18.83203125" style="77" bestFit="1" customWidth="1"/>
    <col min="16" max="16" width="19.25" style="77" bestFit="1" customWidth="1"/>
    <col min="17" max="17" width="18.83203125" style="77" bestFit="1" customWidth="1"/>
    <col min="18" max="18" width="18.4140625" style="77" bestFit="1" customWidth="1"/>
    <col min="19" max="21" width="18.83203125" style="77" bestFit="1" customWidth="1"/>
    <col min="22" max="33" width="19.25" style="77" bestFit="1" customWidth="1"/>
    <col min="34" max="16384" width="10.83203125" style="77"/>
  </cols>
  <sheetData>
    <row r="1" spans="1:33" ht="21" x14ac:dyDescent="0.35">
      <c r="A1" s="107" t="s">
        <v>166</v>
      </c>
    </row>
    <row r="2" spans="1:33" ht="26.5" thickBot="1" x14ac:dyDescent="0.4">
      <c r="A2" s="110"/>
      <c r="B2" s="110"/>
      <c r="D2" s="111"/>
    </row>
    <row r="3" spans="1:33" s="113" customFormat="1" ht="21.5" thickBot="1" x14ac:dyDescent="0.4">
      <c r="A3" s="85"/>
      <c r="B3" s="85"/>
      <c r="C3" s="112"/>
      <c r="D3" s="238" t="s">
        <v>27</v>
      </c>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row>
    <row r="4" spans="1:33" s="119" customFormat="1" ht="16" thickBot="1" x14ac:dyDescent="0.4">
      <c r="A4" s="114" t="s">
        <v>25</v>
      </c>
      <c r="B4" s="114" t="s">
        <v>201</v>
      </c>
      <c r="C4" s="115" t="s">
        <v>26</v>
      </c>
      <c r="D4" s="116">
        <v>2022</v>
      </c>
      <c r="E4" s="117">
        <f t="shared" ref="E4:AG4" si="0">D4+1</f>
        <v>2023</v>
      </c>
      <c r="F4" s="118">
        <f t="shared" si="0"/>
        <v>2024</v>
      </c>
      <c r="G4" s="117">
        <f t="shared" si="0"/>
        <v>2025</v>
      </c>
      <c r="H4" s="118">
        <f t="shared" si="0"/>
        <v>2026</v>
      </c>
      <c r="I4" s="117">
        <f t="shared" si="0"/>
        <v>2027</v>
      </c>
      <c r="J4" s="118">
        <f t="shared" si="0"/>
        <v>2028</v>
      </c>
      <c r="K4" s="117">
        <f t="shared" si="0"/>
        <v>2029</v>
      </c>
      <c r="L4" s="118">
        <f t="shared" si="0"/>
        <v>2030</v>
      </c>
      <c r="M4" s="117">
        <f t="shared" si="0"/>
        <v>2031</v>
      </c>
      <c r="N4" s="118">
        <f t="shared" si="0"/>
        <v>2032</v>
      </c>
      <c r="O4" s="117">
        <f t="shared" si="0"/>
        <v>2033</v>
      </c>
      <c r="P4" s="118">
        <f t="shared" si="0"/>
        <v>2034</v>
      </c>
      <c r="Q4" s="117">
        <f t="shared" si="0"/>
        <v>2035</v>
      </c>
      <c r="R4" s="118">
        <f t="shared" si="0"/>
        <v>2036</v>
      </c>
      <c r="S4" s="117">
        <f t="shared" si="0"/>
        <v>2037</v>
      </c>
      <c r="T4" s="118">
        <f t="shared" si="0"/>
        <v>2038</v>
      </c>
      <c r="U4" s="117">
        <f t="shared" si="0"/>
        <v>2039</v>
      </c>
      <c r="V4" s="118">
        <f t="shared" si="0"/>
        <v>2040</v>
      </c>
      <c r="W4" s="117">
        <f t="shared" si="0"/>
        <v>2041</v>
      </c>
      <c r="X4" s="118">
        <f t="shared" si="0"/>
        <v>2042</v>
      </c>
      <c r="Y4" s="117">
        <f t="shared" si="0"/>
        <v>2043</v>
      </c>
      <c r="Z4" s="118">
        <f t="shared" si="0"/>
        <v>2044</v>
      </c>
      <c r="AA4" s="117">
        <f t="shared" si="0"/>
        <v>2045</v>
      </c>
      <c r="AB4" s="118">
        <f t="shared" si="0"/>
        <v>2046</v>
      </c>
      <c r="AC4" s="117">
        <f t="shared" si="0"/>
        <v>2047</v>
      </c>
      <c r="AD4" s="118">
        <f t="shared" si="0"/>
        <v>2048</v>
      </c>
      <c r="AE4" s="117">
        <f t="shared" si="0"/>
        <v>2049</v>
      </c>
      <c r="AF4" s="118">
        <f t="shared" si="0"/>
        <v>2050</v>
      </c>
      <c r="AG4" s="117">
        <f t="shared" si="0"/>
        <v>2051</v>
      </c>
    </row>
    <row r="5" spans="1:33" s="119" customFormat="1" x14ac:dyDescent="0.35">
      <c r="A5" s="120"/>
      <c r="B5" s="120"/>
      <c r="C5" s="121"/>
      <c r="D5" s="122"/>
      <c r="E5" s="123"/>
      <c r="F5" s="122"/>
      <c r="G5" s="123"/>
      <c r="H5" s="122"/>
      <c r="I5" s="123"/>
      <c r="J5" s="122"/>
      <c r="K5" s="123"/>
      <c r="L5" s="122"/>
      <c r="M5" s="123"/>
      <c r="N5" s="122"/>
      <c r="O5" s="123"/>
      <c r="P5" s="122"/>
      <c r="Q5" s="123"/>
      <c r="R5" s="122"/>
      <c r="S5" s="123"/>
      <c r="T5" s="122"/>
      <c r="U5" s="123"/>
      <c r="V5" s="122"/>
      <c r="W5" s="123"/>
      <c r="X5" s="122"/>
      <c r="Y5" s="123"/>
      <c r="Z5" s="122"/>
      <c r="AA5" s="123"/>
      <c r="AB5" s="122"/>
      <c r="AC5" s="123"/>
      <c r="AD5" s="122"/>
      <c r="AE5" s="123"/>
      <c r="AF5" s="122"/>
      <c r="AG5" s="123"/>
    </row>
    <row r="6" spans="1:33" s="119" customFormat="1" x14ac:dyDescent="0.35">
      <c r="A6" s="124" t="s">
        <v>28</v>
      </c>
      <c r="B6" s="124"/>
      <c r="C6" s="115"/>
      <c r="D6" s="116"/>
      <c r="E6" s="117"/>
      <c r="F6" s="116"/>
      <c r="G6" s="117"/>
      <c r="H6" s="116"/>
      <c r="I6" s="117"/>
      <c r="J6" s="116"/>
      <c r="K6" s="117"/>
      <c r="L6" s="116"/>
      <c r="M6" s="117"/>
      <c r="N6" s="116"/>
      <c r="O6" s="117"/>
      <c r="P6" s="116"/>
      <c r="Q6" s="117"/>
      <c r="R6" s="116"/>
      <c r="S6" s="117"/>
      <c r="T6" s="116"/>
      <c r="U6" s="117"/>
      <c r="V6" s="116"/>
      <c r="W6" s="117"/>
      <c r="X6" s="116"/>
      <c r="Y6" s="117"/>
      <c r="Z6" s="116"/>
      <c r="AA6" s="117"/>
      <c r="AB6" s="116"/>
      <c r="AC6" s="117"/>
      <c r="AD6" s="116"/>
      <c r="AE6" s="117"/>
      <c r="AF6" s="116"/>
      <c r="AG6" s="117"/>
    </row>
    <row r="7" spans="1:33" s="119" customFormat="1" x14ac:dyDescent="0.35">
      <c r="A7" s="124"/>
      <c r="B7" s="124"/>
      <c r="C7" s="115"/>
      <c r="D7" s="116"/>
      <c r="E7" s="117"/>
      <c r="F7" s="116"/>
      <c r="G7" s="117"/>
      <c r="H7" s="116"/>
      <c r="I7" s="117"/>
      <c r="J7" s="116"/>
      <c r="K7" s="117"/>
      <c r="L7" s="116"/>
      <c r="M7" s="117"/>
      <c r="N7" s="116"/>
      <c r="O7" s="117"/>
      <c r="P7" s="116"/>
      <c r="Q7" s="117"/>
      <c r="R7" s="116"/>
      <c r="S7" s="117"/>
      <c r="T7" s="116"/>
      <c r="U7" s="117"/>
      <c r="V7" s="116"/>
      <c r="W7" s="117"/>
      <c r="X7" s="116"/>
      <c r="Y7" s="117"/>
      <c r="Z7" s="116"/>
      <c r="AA7" s="117"/>
      <c r="AB7" s="116"/>
      <c r="AC7" s="117"/>
      <c r="AD7" s="116"/>
      <c r="AE7" s="117"/>
      <c r="AF7" s="116"/>
      <c r="AG7" s="117"/>
    </row>
    <row r="8" spans="1:33" x14ac:dyDescent="0.35">
      <c r="A8" s="78" t="s">
        <v>29</v>
      </c>
      <c r="B8" s="78"/>
      <c r="C8" s="125"/>
      <c r="D8" s="75">
        <v>1</v>
      </c>
      <c r="E8" s="74">
        <v>2</v>
      </c>
      <c r="F8" s="74">
        <v>3</v>
      </c>
      <c r="G8" s="74">
        <v>4</v>
      </c>
      <c r="H8" s="74">
        <v>5</v>
      </c>
      <c r="I8" s="74">
        <v>6</v>
      </c>
      <c r="J8" s="74">
        <v>7</v>
      </c>
      <c r="K8" s="74">
        <v>8</v>
      </c>
      <c r="L8" s="74">
        <v>9</v>
      </c>
      <c r="M8" s="74">
        <v>10</v>
      </c>
      <c r="N8" s="74">
        <v>11</v>
      </c>
      <c r="O8" s="74">
        <v>12</v>
      </c>
      <c r="P8" s="74">
        <v>13</v>
      </c>
      <c r="Q8" s="74">
        <v>14</v>
      </c>
      <c r="R8" s="74">
        <v>15</v>
      </c>
      <c r="S8" s="74">
        <v>16</v>
      </c>
      <c r="T8" s="74">
        <v>17</v>
      </c>
      <c r="U8" s="74">
        <v>18</v>
      </c>
      <c r="V8" s="74">
        <v>19</v>
      </c>
      <c r="W8" s="74">
        <v>20</v>
      </c>
      <c r="X8" s="74">
        <v>21</v>
      </c>
      <c r="Y8" s="74">
        <v>22</v>
      </c>
      <c r="Z8" s="74">
        <v>23</v>
      </c>
      <c r="AA8" s="74">
        <v>24</v>
      </c>
      <c r="AB8" s="74">
        <v>25</v>
      </c>
      <c r="AC8" s="74">
        <v>26</v>
      </c>
      <c r="AD8" s="74">
        <v>27</v>
      </c>
      <c r="AE8" s="74">
        <v>28</v>
      </c>
      <c r="AF8" s="74">
        <v>29</v>
      </c>
      <c r="AG8" s="74">
        <v>30</v>
      </c>
    </row>
    <row r="9" spans="1:33" s="119" customFormat="1" x14ac:dyDescent="0.35">
      <c r="A9" s="79" t="s">
        <v>82</v>
      </c>
      <c r="B9" s="79" t="s">
        <v>151</v>
      </c>
      <c r="C9" s="126">
        <v>2.1999999999999999E-2</v>
      </c>
      <c r="D9" s="127">
        <f t="shared" ref="D9:AG9" si="1">(1+$C$9)^D8</f>
        <v>1.022</v>
      </c>
      <c r="E9" s="127">
        <f t="shared" si="1"/>
        <v>1.044484</v>
      </c>
      <c r="F9" s="127">
        <f t="shared" si="1"/>
        <v>1.067462648</v>
      </c>
      <c r="G9" s="127">
        <f t="shared" si="1"/>
        <v>1.090946826256</v>
      </c>
      <c r="H9" s="127">
        <f t="shared" si="1"/>
        <v>1.114947656433632</v>
      </c>
      <c r="I9" s="127">
        <f t="shared" si="1"/>
        <v>1.1394765048751718</v>
      </c>
      <c r="J9" s="127">
        <f t="shared" si="1"/>
        <v>1.1645449879824257</v>
      </c>
      <c r="K9" s="127">
        <f t="shared" si="1"/>
        <v>1.1901649777180392</v>
      </c>
      <c r="L9" s="127">
        <f t="shared" si="1"/>
        <v>1.216348607227836</v>
      </c>
      <c r="M9" s="127">
        <f t="shared" si="1"/>
        <v>1.2431082765868484</v>
      </c>
      <c r="N9" s="127">
        <f t="shared" si="1"/>
        <v>1.2704566586717592</v>
      </c>
      <c r="O9" s="127">
        <f t="shared" si="1"/>
        <v>1.2984067051625379</v>
      </c>
      <c r="P9" s="127">
        <f t="shared" si="1"/>
        <v>1.3269716526761137</v>
      </c>
      <c r="Q9" s="127">
        <f t="shared" si="1"/>
        <v>1.356165029034988</v>
      </c>
      <c r="R9" s="127">
        <f t="shared" si="1"/>
        <v>1.386000659673758</v>
      </c>
      <c r="S9" s="127">
        <f t="shared" si="1"/>
        <v>1.4164926741865806</v>
      </c>
      <c r="T9" s="127">
        <f t="shared" si="1"/>
        <v>1.4476555130186854</v>
      </c>
      <c r="U9" s="127">
        <f t="shared" si="1"/>
        <v>1.4795039343050964</v>
      </c>
      <c r="V9" s="127">
        <f t="shared" si="1"/>
        <v>1.5120530208598086</v>
      </c>
      <c r="W9" s="127">
        <f t="shared" si="1"/>
        <v>1.5453181873187245</v>
      </c>
      <c r="X9" s="127">
        <f t="shared" si="1"/>
        <v>1.5793151874397364</v>
      </c>
      <c r="Y9" s="127">
        <f t="shared" si="1"/>
        <v>1.6140601215634105</v>
      </c>
      <c r="Z9" s="127">
        <f t="shared" si="1"/>
        <v>1.6495694442378055</v>
      </c>
      <c r="AA9" s="127">
        <f t="shared" si="1"/>
        <v>1.6858599720110374</v>
      </c>
      <c r="AB9" s="127">
        <f t="shared" si="1"/>
        <v>1.7229488913952802</v>
      </c>
      <c r="AC9" s="127">
        <f t="shared" si="1"/>
        <v>1.7608537670059765</v>
      </c>
      <c r="AD9" s="127">
        <f t="shared" si="1"/>
        <v>1.799592549880108</v>
      </c>
      <c r="AE9" s="127">
        <f t="shared" si="1"/>
        <v>1.8391835859774703</v>
      </c>
      <c r="AF9" s="127">
        <f t="shared" si="1"/>
        <v>1.8796456248689748</v>
      </c>
      <c r="AG9" s="127">
        <f t="shared" si="1"/>
        <v>1.920997828616092</v>
      </c>
    </row>
    <row r="10" spans="1:33" s="119" customFormat="1" x14ac:dyDescent="0.35">
      <c r="A10" s="79"/>
      <c r="B10" s="79"/>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row>
    <row r="11" spans="1:33" s="119" customFormat="1" x14ac:dyDescent="0.35">
      <c r="A11" s="78" t="s">
        <v>83</v>
      </c>
      <c r="B11" s="79" t="s">
        <v>272</v>
      </c>
      <c r="C11" s="126">
        <v>0</v>
      </c>
      <c r="D11" s="127">
        <f t="shared" ref="D11:AG11" si="2">(1+$C$9+$C$11)^D8</f>
        <v>1.022</v>
      </c>
      <c r="E11" s="127">
        <f t="shared" si="2"/>
        <v>1.044484</v>
      </c>
      <c r="F11" s="127">
        <f t="shared" si="2"/>
        <v>1.067462648</v>
      </c>
      <c r="G11" s="127">
        <f t="shared" si="2"/>
        <v>1.090946826256</v>
      </c>
      <c r="H11" s="127">
        <f t="shared" si="2"/>
        <v>1.114947656433632</v>
      </c>
      <c r="I11" s="127">
        <f t="shared" si="2"/>
        <v>1.1394765048751718</v>
      </c>
      <c r="J11" s="127">
        <f t="shared" si="2"/>
        <v>1.1645449879824257</v>
      </c>
      <c r="K11" s="127">
        <f t="shared" si="2"/>
        <v>1.1901649777180392</v>
      </c>
      <c r="L11" s="127">
        <f t="shared" si="2"/>
        <v>1.216348607227836</v>
      </c>
      <c r="M11" s="127">
        <f t="shared" si="2"/>
        <v>1.2431082765868484</v>
      </c>
      <c r="N11" s="127">
        <f t="shared" si="2"/>
        <v>1.2704566586717592</v>
      </c>
      <c r="O11" s="127">
        <f t="shared" si="2"/>
        <v>1.2984067051625379</v>
      </c>
      <c r="P11" s="127">
        <f t="shared" si="2"/>
        <v>1.3269716526761137</v>
      </c>
      <c r="Q11" s="127">
        <f t="shared" si="2"/>
        <v>1.356165029034988</v>
      </c>
      <c r="R11" s="127">
        <f t="shared" si="2"/>
        <v>1.386000659673758</v>
      </c>
      <c r="S11" s="127">
        <f t="shared" si="2"/>
        <v>1.4164926741865806</v>
      </c>
      <c r="T11" s="127">
        <f t="shared" si="2"/>
        <v>1.4476555130186854</v>
      </c>
      <c r="U11" s="127">
        <f t="shared" si="2"/>
        <v>1.4795039343050964</v>
      </c>
      <c r="V11" s="127">
        <f t="shared" si="2"/>
        <v>1.5120530208598086</v>
      </c>
      <c r="W11" s="127">
        <f t="shared" si="2"/>
        <v>1.5453181873187245</v>
      </c>
      <c r="X11" s="127">
        <f t="shared" si="2"/>
        <v>1.5793151874397364</v>
      </c>
      <c r="Y11" s="127">
        <f t="shared" si="2"/>
        <v>1.6140601215634105</v>
      </c>
      <c r="Z11" s="127">
        <f t="shared" si="2"/>
        <v>1.6495694442378055</v>
      </c>
      <c r="AA11" s="127">
        <f t="shared" si="2"/>
        <v>1.6858599720110374</v>
      </c>
      <c r="AB11" s="127">
        <f t="shared" si="2"/>
        <v>1.7229488913952802</v>
      </c>
      <c r="AC11" s="127">
        <f t="shared" si="2"/>
        <v>1.7608537670059765</v>
      </c>
      <c r="AD11" s="127">
        <f t="shared" si="2"/>
        <v>1.799592549880108</v>
      </c>
      <c r="AE11" s="127">
        <f t="shared" si="2"/>
        <v>1.8391835859774703</v>
      </c>
      <c r="AF11" s="127">
        <f t="shared" si="2"/>
        <v>1.8796456248689748</v>
      </c>
      <c r="AG11" s="127">
        <f t="shared" si="2"/>
        <v>1.920997828616092</v>
      </c>
    </row>
    <row r="12" spans="1:33" s="119" customFormat="1" x14ac:dyDescent="0.35">
      <c r="A12" s="78"/>
      <c r="B12" s="78"/>
      <c r="C12" s="126"/>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row>
    <row r="13" spans="1:33" s="119" customFormat="1" x14ac:dyDescent="0.35">
      <c r="A13" s="78" t="s">
        <v>31</v>
      </c>
      <c r="B13" s="105" t="s">
        <v>273</v>
      </c>
      <c r="C13" s="126">
        <f>'Data sheet'!AF28</f>
        <v>1.5717827035585552E-2</v>
      </c>
      <c r="D13" s="127">
        <f t="shared" ref="D13:AG13" si="3">(1+$C$13)^D8</f>
        <v>1.0157178270355856</v>
      </c>
      <c r="E13" s="127">
        <f t="shared" si="3"/>
        <v>1.0316827041578918</v>
      </c>
      <c r="F13" s="127">
        <f t="shared" si="3"/>
        <v>1.0478985144574506</v>
      </c>
      <c r="G13" s="127">
        <f t="shared" si="3"/>
        <v>1.06436920205854</v>
      </c>
      <c r="H13" s="127">
        <f t="shared" si="3"/>
        <v>1.0810987730785004</v>
      </c>
      <c r="I13" s="127">
        <f t="shared" si="3"/>
        <v>1.0980912966021321</v>
      </c>
      <c r="J13" s="127">
        <f t="shared" si="3"/>
        <v>1.1153509056714062</v>
      </c>
      <c r="K13" s="127">
        <f t="shared" si="3"/>
        <v>1.1328817982907331</v>
      </c>
      <c r="L13" s="127">
        <f t="shared" si="3"/>
        <v>1.1506882384480299</v>
      </c>
      <c r="M13" s="127">
        <f t="shared" si="3"/>
        <v>1.1687745571518389</v>
      </c>
      <c r="N13" s="127">
        <f t="shared" si="3"/>
        <v>1.1871451534847444</v>
      </c>
      <c r="O13" s="127">
        <f t="shared" si="3"/>
        <v>1.2058044956733516</v>
      </c>
      <c r="P13" s="127">
        <f t="shared" si="3"/>
        <v>1.2247571221750768</v>
      </c>
      <c r="Q13" s="127">
        <f t="shared" si="3"/>
        <v>1.2440076427820261</v>
      </c>
      <c r="R13" s="127">
        <f t="shared" si="3"/>
        <v>1.2635607397422204</v>
      </c>
      <c r="S13" s="127">
        <f t="shared" si="3"/>
        <v>1.2834211688984454</v>
      </c>
      <c r="T13" s="127">
        <f t="shared" si="3"/>
        <v>1.3035937608450001</v>
      </c>
      <c r="U13" s="127">
        <f t="shared" si="3"/>
        <v>1.3240834221026305</v>
      </c>
      <c r="V13" s="127">
        <f t="shared" si="3"/>
        <v>1.3448951363119257</v>
      </c>
      <c r="W13" s="127">
        <f t="shared" si="3"/>
        <v>1.3660339654454769</v>
      </c>
      <c r="X13" s="127">
        <f t="shared" si="3"/>
        <v>1.3875050510390843</v>
      </c>
      <c r="Y13" s="127">
        <f t="shared" si="3"/>
        <v>1.4093136154423178</v>
      </c>
      <c r="Z13" s="127">
        <f t="shared" si="3"/>
        <v>1.4314649630887357</v>
      </c>
      <c r="AA13" s="127">
        <f t="shared" si="3"/>
        <v>1.4539644817860655</v>
      </c>
      <c r="AB13" s="127">
        <f t="shared" si="3"/>
        <v>1.4768176440266636</v>
      </c>
      <c r="AC13" s="127">
        <f t="shared" si="3"/>
        <v>1.5000300083185758</v>
      </c>
      <c r="AD13" s="127">
        <f t="shared" si="3"/>
        <v>1.5236072205375149</v>
      </c>
      <c r="AE13" s="127">
        <f t="shared" si="3"/>
        <v>1.5475550153000932</v>
      </c>
      <c r="AF13" s="127">
        <f t="shared" si="3"/>
        <v>1.5718792173586331</v>
      </c>
      <c r="AG13" s="127">
        <f t="shared" si="3"/>
        <v>1.5965857430179076</v>
      </c>
    </row>
    <row r="14" spans="1:33" ht="16" thickBot="1" x14ac:dyDescent="0.4">
      <c r="A14" s="80"/>
      <c r="B14" s="80"/>
      <c r="C14" s="128"/>
      <c r="D14" s="163"/>
      <c r="E14" s="130"/>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row>
    <row r="15" spans="1:33" x14ac:dyDescent="0.35">
      <c r="A15" s="81" t="s">
        <v>198</v>
      </c>
      <c r="B15" s="174" t="s">
        <v>199</v>
      </c>
      <c r="C15" s="132"/>
      <c r="D15" s="133"/>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row>
    <row r="16" spans="1:33" x14ac:dyDescent="0.35">
      <c r="A16" s="78"/>
      <c r="B16" s="78"/>
      <c r="C16" s="125"/>
      <c r="D16" s="73"/>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row>
    <row r="17" spans="1:33" x14ac:dyDescent="0.35">
      <c r="A17" s="78" t="s">
        <v>152</v>
      </c>
      <c r="B17" s="78" t="s">
        <v>176</v>
      </c>
      <c r="C17" s="135">
        <f>AVERAGE(C69:C70)</f>
        <v>22810647178.543831</v>
      </c>
      <c r="D17" s="73"/>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row>
    <row r="18" spans="1:33" x14ac:dyDescent="0.35">
      <c r="A18" s="78" t="s">
        <v>14</v>
      </c>
      <c r="B18" s="78" t="s">
        <v>149</v>
      </c>
      <c r="C18" s="135">
        <f>C17/2</f>
        <v>11405323589.271915</v>
      </c>
      <c r="D18" s="73"/>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row>
    <row r="19" spans="1:33" x14ac:dyDescent="0.35">
      <c r="A19" s="78"/>
      <c r="B19" s="78"/>
      <c r="C19" s="135"/>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row>
    <row r="20" spans="1:33" x14ac:dyDescent="0.35">
      <c r="A20" s="78" t="s">
        <v>84</v>
      </c>
      <c r="B20" s="105" t="s">
        <v>273</v>
      </c>
      <c r="C20" s="136">
        <f>'Data sheet'!G28</f>
        <v>914310740.03901911</v>
      </c>
      <c r="D20" s="139"/>
      <c r="E20" s="74"/>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row>
    <row r="21" spans="1:33" ht="16" thickBot="1" x14ac:dyDescent="0.4">
      <c r="A21" s="78"/>
      <c r="B21" s="78"/>
      <c r="C21" s="136"/>
      <c r="D21" s="73"/>
      <c r="E21" s="74"/>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row>
    <row r="22" spans="1:33" s="137" customFormat="1" x14ac:dyDescent="0.35">
      <c r="A22" s="81" t="s">
        <v>164</v>
      </c>
      <c r="B22" s="174" t="s">
        <v>199</v>
      </c>
      <c r="C22" s="132"/>
      <c r="D22" s="133"/>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row>
    <row r="23" spans="1:33" x14ac:dyDescent="0.35">
      <c r="A23" s="78"/>
      <c r="B23" s="78"/>
      <c r="C23" s="125"/>
      <c r="D23" s="73"/>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row>
    <row r="24" spans="1:33" x14ac:dyDescent="0.35">
      <c r="A24" s="78" t="s">
        <v>7</v>
      </c>
      <c r="B24" s="105" t="s">
        <v>273</v>
      </c>
      <c r="C24" s="135">
        <f>'Data sheet'!C28</f>
        <v>483196250.47000009</v>
      </c>
      <c r="D24" s="139"/>
      <c r="E24" s="16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row>
    <row r="25" spans="1:33" x14ac:dyDescent="0.35">
      <c r="A25" s="78" t="s">
        <v>1</v>
      </c>
      <c r="B25" s="105" t="s">
        <v>273</v>
      </c>
      <c r="C25" s="135">
        <f>'Data sheet'!K28</f>
        <v>281939439.15917969</v>
      </c>
      <c r="D25" s="139"/>
      <c r="E25" s="16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33" x14ac:dyDescent="0.35">
      <c r="A26" s="78" t="s">
        <v>4</v>
      </c>
      <c r="B26" s="79" t="s">
        <v>151</v>
      </c>
      <c r="C26" s="138">
        <v>3.5000000000000003E-2</v>
      </c>
      <c r="D26" s="73"/>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row>
    <row r="27" spans="1:33" x14ac:dyDescent="0.35">
      <c r="A27" s="78" t="s">
        <v>64</v>
      </c>
      <c r="B27" s="79" t="s">
        <v>151</v>
      </c>
      <c r="C27" s="138">
        <v>5.0000000000000001E-3</v>
      </c>
      <c r="D27" s="73"/>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row>
    <row r="28" spans="1:33" ht="16" thickBot="1" x14ac:dyDescent="0.4">
      <c r="A28" s="78"/>
      <c r="B28" s="78"/>
      <c r="C28" s="125"/>
      <c r="D28" s="73"/>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row>
    <row r="29" spans="1:33" s="137" customFormat="1" x14ac:dyDescent="0.35">
      <c r="A29" s="81" t="s">
        <v>202</v>
      </c>
      <c r="B29" s="81"/>
      <c r="C29" s="132"/>
      <c r="D29" s="133"/>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row>
    <row r="30" spans="1:33" s="74" customFormat="1" x14ac:dyDescent="0.35">
      <c r="A30" s="87"/>
      <c r="B30" s="87"/>
      <c r="C30" s="125"/>
      <c r="D30" s="73"/>
    </row>
    <row r="31" spans="1:33" s="74" customFormat="1" x14ac:dyDescent="0.35">
      <c r="A31" s="175" t="s">
        <v>203</v>
      </c>
      <c r="B31" s="175" t="s">
        <v>176</v>
      </c>
      <c r="C31" s="72">
        <f>C136</f>
        <v>955353.87</v>
      </c>
      <c r="D31" s="233"/>
    </row>
    <row r="32" spans="1:33" x14ac:dyDescent="0.35">
      <c r="A32" s="78" t="s">
        <v>204</v>
      </c>
      <c r="B32" s="78" t="s">
        <v>212</v>
      </c>
      <c r="C32" s="72">
        <v>4344965.8520436771</v>
      </c>
      <c r="D32" s="73"/>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row>
    <row r="33" spans="1:33" x14ac:dyDescent="0.35">
      <c r="A33" s="78" t="s">
        <v>205</v>
      </c>
      <c r="B33" s="78" t="s">
        <v>112</v>
      </c>
      <c r="C33" s="147">
        <f>C31/C32</f>
        <v>0.21987603643666023</v>
      </c>
      <c r="D33" s="73"/>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row>
    <row r="34" spans="1:33" x14ac:dyDescent="0.35">
      <c r="A34" s="78"/>
      <c r="B34" s="78"/>
      <c r="C34" s="125"/>
      <c r="D34" s="73"/>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row>
    <row r="35" spans="1:33" s="74" customFormat="1" x14ac:dyDescent="0.35">
      <c r="A35" s="78" t="s">
        <v>206</v>
      </c>
      <c r="B35" s="175" t="s">
        <v>149</v>
      </c>
      <c r="C35" s="135">
        <v>3000000000</v>
      </c>
      <c r="D35" s="73"/>
    </row>
    <row r="36" spans="1:33" x14ac:dyDescent="0.35">
      <c r="A36" s="78"/>
      <c r="B36" s="78"/>
      <c r="C36" s="125"/>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row>
    <row r="37" spans="1:33" x14ac:dyDescent="0.35">
      <c r="A37" s="78" t="s">
        <v>207</v>
      </c>
      <c r="B37" s="78" t="s">
        <v>112</v>
      </c>
      <c r="C37" s="135">
        <f>C35*$C$33</f>
        <v>659628109.30998075</v>
      </c>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row>
    <row r="38" spans="1:33" x14ac:dyDescent="0.35">
      <c r="A38" s="78"/>
      <c r="B38" s="78"/>
      <c r="C38" s="125"/>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row>
    <row r="39" spans="1:33" x14ac:dyDescent="0.35">
      <c r="A39" s="78" t="s">
        <v>222</v>
      </c>
      <c r="B39" s="78"/>
      <c r="C39" s="125">
        <v>30</v>
      </c>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row>
    <row r="40" spans="1:33" x14ac:dyDescent="0.35">
      <c r="A40" s="78"/>
      <c r="B40" s="78"/>
      <c r="C40" s="125"/>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row>
    <row r="41" spans="1:33" x14ac:dyDescent="0.35">
      <c r="A41" s="78" t="s">
        <v>209</v>
      </c>
      <c r="B41" s="175" t="s">
        <v>149</v>
      </c>
      <c r="C41" s="135">
        <v>1000000000</v>
      </c>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row>
    <row r="42" spans="1:33" x14ac:dyDescent="0.35">
      <c r="A42" s="78"/>
      <c r="B42" s="78"/>
      <c r="C42" s="125"/>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row>
    <row r="43" spans="1:33" x14ac:dyDescent="0.35">
      <c r="A43" s="77" t="s">
        <v>210</v>
      </c>
      <c r="B43" s="78" t="s">
        <v>112</v>
      </c>
      <c r="C43" s="135">
        <f>C41*$C$33</f>
        <v>219876036.43666023</v>
      </c>
    </row>
    <row r="44" spans="1:33" x14ac:dyDescent="0.35">
      <c r="B44" s="78"/>
      <c r="C44" s="125"/>
    </row>
    <row r="45" spans="1:33" x14ac:dyDescent="0.35">
      <c r="A45" s="77" t="s">
        <v>211</v>
      </c>
      <c r="B45" s="78" t="s">
        <v>149</v>
      </c>
      <c r="C45" s="125">
        <v>5</v>
      </c>
    </row>
    <row r="46" spans="1:33" x14ac:dyDescent="0.35">
      <c r="B46" s="78"/>
      <c r="C46" s="125"/>
    </row>
    <row r="47" spans="1:33" x14ac:dyDescent="0.35">
      <c r="A47" s="77" t="s">
        <v>208</v>
      </c>
      <c r="B47" s="78" t="s">
        <v>112</v>
      </c>
      <c r="C47" s="135">
        <f>SUM(D47:H47)</f>
        <v>219876036.43666023</v>
      </c>
      <c r="D47" s="109">
        <f>$C$43/$C$45</f>
        <v>43975207.287332043</v>
      </c>
      <c r="E47" s="109">
        <f t="shared" ref="E47:H47" si="4">$C$43/$C$45</f>
        <v>43975207.287332043</v>
      </c>
      <c r="F47" s="109">
        <f t="shared" si="4"/>
        <v>43975207.287332043</v>
      </c>
      <c r="G47" s="109">
        <f t="shared" si="4"/>
        <v>43975207.287332043</v>
      </c>
      <c r="H47" s="109">
        <f t="shared" si="4"/>
        <v>43975207.287332043</v>
      </c>
    </row>
    <row r="48" spans="1:33" s="74" customFormat="1" ht="16" thickBot="1" x14ac:dyDescent="0.4">
      <c r="A48" s="87"/>
      <c r="B48" s="87"/>
      <c r="C48" s="125"/>
      <c r="D48" s="73"/>
    </row>
    <row r="49" spans="1:33" s="137" customFormat="1" x14ac:dyDescent="0.35">
      <c r="A49" s="81" t="s">
        <v>70</v>
      </c>
      <c r="B49" s="81"/>
      <c r="C49" s="132"/>
      <c r="D49" s="133"/>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row>
    <row r="50" spans="1:33" x14ac:dyDescent="0.35">
      <c r="A50" s="78"/>
      <c r="B50" s="78"/>
      <c r="C50" s="125"/>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row>
    <row r="51" spans="1:33" x14ac:dyDescent="0.35">
      <c r="A51" s="70" t="s">
        <v>71</v>
      </c>
      <c r="B51" s="71" t="s">
        <v>215</v>
      </c>
      <c r="C51" s="126">
        <v>-0.61942326766608846</v>
      </c>
      <c r="D51" s="139"/>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row>
    <row r="52" spans="1:33" x14ac:dyDescent="0.35">
      <c r="A52" s="70" t="s">
        <v>72</v>
      </c>
      <c r="B52" s="71" t="s">
        <v>214</v>
      </c>
      <c r="C52" s="126">
        <v>-0.5</v>
      </c>
      <c r="D52" s="139"/>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row>
    <row r="53" spans="1:33" x14ac:dyDescent="0.35">
      <c r="A53" s="82" t="s">
        <v>129</v>
      </c>
      <c r="B53" s="83" t="s">
        <v>274</v>
      </c>
      <c r="C53" s="234">
        <v>-4.0499999999999998E-3</v>
      </c>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row>
    <row r="54" spans="1:33" x14ac:dyDescent="0.35">
      <c r="A54" s="70"/>
      <c r="B54" s="70"/>
      <c r="C54" s="126"/>
      <c r="D54" s="73"/>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row>
    <row r="55" spans="1:33" x14ac:dyDescent="0.35">
      <c r="A55" s="70" t="s">
        <v>73</v>
      </c>
      <c r="B55" s="70" t="s">
        <v>213</v>
      </c>
      <c r="C55" s="126">
        <v>-8.8745310297932867E-2</v>
      </c>
      <c r="D55" s="73"/>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row>
    <row r="56" spans="1:33" x14ac:dyDescent="0.35">
      <c r="A56" s="70" t="s">
        <v>74</v>
      </c>
      <c r="B56" s="70" t="s">
        <v>213</v>
      </c>
      <c r="C56" s="126">
        <v>-5.2560793456995714E-2</v>
      </c>
      <c r="D56" s="73"/>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row>
    <row r="57" spans="1:33" x14ac:dyDescent="0.35">
      <c r="A57" s="70" t="s">
        <v>75</v>
      </c>
      <c r="B57" s="70" t="s">
        <v>213</v>
      </c>
      <c r="C57" s="126">
        <v>-4.5233180869698519E-2</v>
      </c>
      <c r="D57" s="73"/>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row>
    <row r="58" spans="1:33" x14ac:dyDescent="0.35">
      <c r="A58" s="70"/>
      <c r="B58" s="70"/>
      <c r="C58" s="126"/>
      <c r="D58" s="73"/>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row>
    <row r="59" spans="1:33" x14ac:dyDescent="0.35">
      <c r="A59" s="70" t="s">
        <v>76</v>
      </c>
      <c r="B59" s="70" t="s">
        <v>213</v>
      </c>
      <c r="C59" s="126">
        <v>-6.8850084905162312E-2</v>
      </c>
      <c r="D59" s="73"/>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row>
    <row r="60" spans="1:33" x14ac:dyDescent="0.35">
      <c r="A60" s="70" t="s">
        <v>77</v>
      </c>
      <c r="B60" s="70" t="s">
        <v>213</v>
      </c>
      <c r="C60" s="126">
        <v>-3.6911957664870432E-2</v>
      </c>
      <c r="D60" s="73"/>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row>
    <row r="61" spans="1:33" x14ac:dyDescent="0.35">
      <c r="A61" s="70" t="s">
        <v>78</v>
      </c>
      <c r="B61" s="70" t="s">
        <v>213</v>
      </c>
      <c r="C61" s="126">
        <v>-2.9247758199096863E-2</v>
      </c>
      <c r="D61" s="73"/>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row>
    <row r="62" spans="1:33" x14ac:dyDescent="0.35">
      <c r="A62" s="70"/>
      <c r="B62" s="70"/>
      <c r="C62" s="126"/>
      <c r="D62" s="73"/>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row>
    <row r="63" spans="1:33" x14ac:dyDescent="0.35">
      <c r="A63" s="70" t="s">
        <v>79</v>
      </c>
      <c r="B63" s="70" t="s">
        <v>112</v>
      </c>
      <c r="C63" s="140">
        <v>1</v>
      </c>
      <c r="D63" s="40">
        <v>1</v>
      </c>
      <c r="E63" s="40">
        <v>1</v>
      </c>
      <c r="F63" s="40">
        <v>1</v>
      </c>
      <c r="G63" s="40">
        <v>1</v>
      </c>
      <c r="H63" s="40">
        <f>G63*(1+$C$55)</f>
        <v>0.91125468970206713</v>
      </c>
      <c r="I63" s="40">
        <f t="shared" ref="I63:L63" si="5">H63*(1+$C$55)</f>
        <v>0.83038510950401068</v>
      </c>
      <c r="J63" s="40">
        <f t="shared" si="5"/>
        <v>0.75669232529429431</v>
      </c>
      <c r="K63" s="40">
        <f t="shared" si="5"/>
        <v>0.68953943008598784</v>
      </c>
      <c r="L63" s="40">
        <f t="shared" si="5"/>
        <v>0.62834603940034706</v>
      </c>
      <c r="M63" s="40">
        <f>L63*(1+$C$56)</f>
        <v>0.59531967300390409</v>
      </c>
      <c r="N63" s="40">
        <f t="shared" ref="N63:Q63" si="6">M63*(1+$C$56)</f>
        <v>0.56402919863025969</v>
      </c>
      <c r="O63" s="40">
        <f t="shared" si="6"/>
        <v>0.53438337641733979</v>
      </c>
      <c r="P63" s="40">
        <f t="shared" si="6"/>
        <v>0.50629576214261596</v>
      </c>
      <c r="Q63" s="40">
        <f t="shared" si="6"/>
        <v>0.47968445516048569</v>
      </c>
      <c r="R63" s="40">
        <f>Q63*(1+$C$57)</f>
        <v>0.45798680143982867</v>
      </c>
      <c r="S63" s="40">
        <f t="shared" ref="S63:V63" si="7">R63*(1+$C$57)</f>
        <v>0.43727060161436621</v>
      </c>
      <c r="T63" s="40">
        <f t="shared" si="7"/>
        <v>0.41749146140254167</v>
      </c>
      <c r="U63" s="40">
        <f t="shared" si="7"/>
        <v>0.39860699461736576</v>
      </c>
      <c r="V63" s="40">
        <f t="shared" si="7"/>
        <v>0.38057673233391154</v>
      </c>
      <c r="W63" s="40">
        <f t="shared" ref="W63:AG64" si="8">V63</f>
        <v>0.38057673233391154</v>
      </c>
      <c r="X63" s="40">
        <f t="shared" si="8"/>
        <v>0.38057673233391154</v>
      </c>
      <c r="Y63" s="40">
        <f t="shared" si="8"/>
        <v>0.38057673233391154</v>
      </c>
      <c r="Z63" s="40">
        <f t="shared" si="8"/>
        <v>0.38057673233391154</v>
      </c>
      <c r="AA63" s="40">
        <f t="shared" si="8"/>
        <v>0.38057673233391154</v>
      </c>
      <c r="AB63" s="40">
        <f t="shared" si="8"/>
        <v>0.38057673233391154</v>
      </c>
      <c r="AC63" s="40">
        <f t="shared" si="8"/>
        <v>0.38057673233391154</v>
      </c>
      <c r="AD63" s="40">
        <f t="shared" si="8"/>
        <v>0.38057673233391154</v>
      </c>
      <c r="AE63" s="40">
        <f t="shared" si="8"/>
        <v>0.38057673233391154</v>
      </c>
      <c r="AF63" s="40">
        <f t="shared" si="8"/>
        <v>0.38057673233391154</v>
      </c>
      <c r="AG63" s="40">
        <f t="shared" si="8"/>
        <v>0.38057673233391154</v>
      </c>
    </row>
    <row r="64" spans="1:33" x14ac:dyDescent="0.35">
      <c r="A64" s="70" t="s">
        <v>80</v>
      </c>
      <c r="B64" s="70" t="s">
        <v>112</v>
      </c>
      <c r="C64" s="140">
        <v>1</v>
      </c>
      <c r="D64" s="40">
        <v>1</v>
      </c>
      <c r="E64" s="40">
        <v>1</v>
      </c>
      <c r="F64" s="40">
        <v>1</v>
      </c>
      <c r="G64" s="40">
        <v>1</v>
      </c>
      <c r="H64" s="40">
        <f>G64*(1+$C$59)</f>
        <v>0.93114991509483769</v>
      </c>
      <c r="I64" s="40">
        <f t="shared" ref="I64:L64" si="9">H64*(1+$C$59)</f>
        <v>0.86704016438112341</v>
      </c>
      <c r="J64" s="40">
        <f t="shared" si="9"/>
        <v>0.8073443754472972</v>
      </c>
      <c r="K64" s="40">
        <f t="shared" si="9"/>
        <v>0.75175864665004555</v>
      </c>
      <c r="L64" s="40">
        <f t="shared" si="9"/>
        <v>0.7</v>
      </c>
      <c r="M64" s="40">
        <f>L64*(1+$C$60)</f>
        <v>0.6741616296345907</v>
      </c>
      <c r="N64" s="40">
        <f t="shared" ref="N64:Q64" si="10">M64*(1+$C$60)</f>
        <v>0.64927700410223865</v>
      </c>
      <c r="O64" s="40">
        <f t="shared" si="10"/>
        <v>0.62531091881404288</v>
      </c>
      <c r="P64" s="40">
        <f t="shared" si="10"/>
        <v>0.6022294686513977</v>
      </c>
      <c r="Q64" s="40">
        <f t="shared" si="10"/>
        <v>0.57999999999999985</v>
      </c>
      <c r="R64" s="40">
        <f>Q64*(1+$C$61)</f>
        <v>0.56303630024452367</v>
      </c>
      <c r="S64" s="40">
        <f t="shared" ref="S64:V64" si="11">R64*(1+$C$61)</f>
        <v>0.54656875067765776</v>
      </c>
      <c r="T64" s="40">
        <f t="shared" si="11"/>
        <v>0.53058284001865519</v>
      </c>
      <c r="U64" s="40">
        <f t="shared" si="11"/>
        <v>0.51506448140919947</v>
      </c>
      <c r="V64" s="40">
        <f t="shared" si="11"/>
        <v>0.5</v>
      </c>
      <c r="W64" s="40">
        <f t="shared" si="8"/>
        <v>0.5</v>
      </c>
      <c r="X64" s="40">
        <f t="shared" si="8"/>
        <v>0.5</v>
      </c>
      <c r="Y64" s="40">
        <f t="shared" si="8"/>
        <v>0.5</v>
      </c>
      <c r="Z64" s="40">
        <f t="shared" si="8"/>
        <v>0.5</v>
      </c>
      <c r="AA64" s="40">
        <f t="shared" si="8"/>
        <v>0.5</v>
      </c>
      <c r="AB64" s="40">
        <f t="shared" si="8"/>
        <v>0.5</v>
      </c>
      <c r="AC64" s="40">
        <f t="shared" si="8"/>
        <v>0.5</v>
      </c>
      <c r="AD64" s="40">
        <f t="shared" si="8"/>
        <v>0.5</v>
      </c>
      <c r="AE64" s="40">
        <f t="shared" si="8"/>
        <v>0.5</v>
      </c>
      <c r="AF64" s="40">
        <f t="shared" si="8"/>
        <v>0.5</v>
      </c>
      <c r="AG64" s="40">
        <f t="shared" si="8"/>
        <v>0.5</v>
      </c>
    </row>
    <row r="65" spans="1:33" x14ac:dyDescent="0.35">
      <c r="A65" s="70" t="s">
        <v>113</v>
      </c>
      <c r="B65" s="70" t="s">
        <v>112</v>
      </c>
      <c r="C65" s="140">
        <v>1</v>
      </c>
      <c r="D65" s="40">
        <f>C65*(1+$C$53)</f>
        <v>0.99595</v>
      </c>
      <c r="E65" s="40">
        <f>D65*(1+$C$53)</f>
        <v>0.99191640250000002</v>
      </c>
      <c r="F65" s="40">
        <f t="shared" ref="F65:AG65" si="12">E65*(1+$C$53)</f>
        <v>0.98789914106987498</v>
      </c>
      <c r="G65" s="40">
        <f t="shared" si="12"/>
        <v>0.98389814954854193</v>
      </c>
      <c r="H65" s="40">
        <f t="shared" si="12"/>
        <v>0.97991336204287038</v>
      </c>
      <c r="I65" s="40">
        <f t="shared" si="12"/>
        <v>0.97594471292659679</v>
      </c>
      <c r="J65" s="40">
        <f t="shared" si="12"/>
        <v>0.97199213683924413</v>
      </c>
      <c r="K65" s="40">
        <f t="shared" si="12"/>
        <v>0.96805556868504516</v>
      </c>
      <c r="L65" s="40">
        <f t="shared" si="12"/>
        <v>0.96413494363187069</v>
      </c>
      <c r="M65" s="40">
        <f t="shared" si="12"/>
        <v>0.96023019711016167</v>
      </c>
      <c r="N65" s="40">
        <f t="shared" si="12"/>
        <v>0.95634126481186554</v>
      </c>
      <c r="O65" s="40">
        <f t="shared" si="12"/>
        <v>0.95246808268937744</v>
      </c>
      <c r="P65" s="40">
        <f t="shared" si="12"/>
        <v>0.94861058695448541</v>
      </c>
      <c r="Q65" s="40">
        <f t="shared" si="12"/>
        <v>0.94476871407731977</v>
      </c>
      <c r="R65" s="40">
        <f t="shared" si="12"/>
        <v>0.94094240078530667</v>
      </c>
      <c r="S65" s="40">
        <f t="shared" si="12"/>
        <v>0.93713158406212616</v>
      </c>
      <c r="T65" s="40">
        <f t="shared" si="12"/>
        <v>0.93333620114667459</v>
      </c>
      <c r="U65" s="40">
        <f t="shared" si="12"/>
        <v>0.92955618953203056</v>
      </c>
      <c r="V65" s="40">
        <f t="shared" si="12"/>
        <v>0.92579148696442581</v>
      </c>
      <c r="W65" s="40">
        <f t="shared" si="12"/>
        <v>0.92204203144221986</v>
      </c>
      <c r="X65" s="40">
        <f t="shared" si="12"/>
        <v>0.91830776121487889</v>
      </c>
      <c r="Y65" s="40">
        <f t="shared" si="12"/>
        <v>0.91458861478195863</v>
      </c>
      <c r="Z65" s="40">
        <f t="shared" si="12"/>
        <v>0.91088453089209165</v>
      </c>
      <c r="AA65" s="40">
        <f t="shared" si="12"/>
        <v>0.90719544854197864</v>
      </c>
      <c r="AB65" s="40">
        <f t="shared" si="12"/>
        <v>0.90352130697538369</v>
      </c>
      <c r="AC65" s="40">
        <f t="shared" si="12"/>
        <v>0.89986204568213335</v>
      </c>
      <c r="AD65" s="40">
        <f t="shared" si="12"/>
        <v>0.89621760439712073</v>
      </c>
      <c r="AE65" s="40">
        <f t="shared" si="12"/>
        <v>0.89258792309931234</v>
      </c>
      <c r="AF65" s="40">
        <f t="shared" si="12"/>
        <v>0.88897294201076016</v>
      </c>
      <c r="AG65" s="40">
        <f t="shared" si="12"/>
        <v>0.88537260159561659</v>
      </c>
    </row>
    <row r="66" spans="1:33" ht="16" thickBot="1" x14ac:dyDescent="0.4">
      <c r="A66" s="84"/>
      <c r="B66" s="84"/>
      <c r="C66" s="141"/>
      <c r="D66" s="129"/>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row>
    <row r="67" spans="1:33" x14ac:dyDescent="0.35">
      <c r="A67" s="85" t="s">
        <v>165</v>
      </c>
      <c r="B67" s="85"/>
      <c r="C67" s="132"/>
      <c r="D67" s="133"/>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row>
    <row r="68" spans="1:33" x14ac:dyDescent="0.35">
      <c r="A68" s="70"/>
      <c r="B68" s="70"/>
      <c r="C68" s="125"/>
      <c r="D68" s="73"/>
      <c r="E68" s="74"/>
      <c r="F68" s="75"/>
      <c r="G68" s="74"/>
      <c r="H68" s="76"/>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row>
    <row r="69" spans="1:33" x14ac:dyDescent="0.35">
      <c r="A69" s="70" t="s">
        <v>131</v>
      </c>
      <c r="B69" s="105" t="s">
        <v>273</v>
      </c>
      <c r="C69" s="72">
        <f>'Data sheet'!AN28</f>
        <v>15635218933.466867</v>
      </c>
      <c r="D69" s="139"/>
      <c r="E69" s="74"/>
      <c r="F69" s="75"/>
      <c r="G69" s="74"/>
      <c r="H69" s="76"/>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row>
    <row r="70" spans="1:33" x14ac:dyDescent="0.35">
      <c r="A70" s="70" t="s">
        <v>132</v>
      </c>
      <c r="B70" s="105" t="s">
        <v>273</v>
      </c>
      <c r="C70" s="72">
        <f>'Data sheet'!AO28</f>
        <v>29986075423.620792</v>
      </c>
      <c r="D70" s="139"/>
      <c r="E70" s="74"/>
      <c r="F70" s="75"/>
      <c r="G70" s="74"/>
      <c r="H70" s="76"/>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row>
    <row r="71" spans="1:33" x14ac:dyDescent="0.35">
      <c r="A71" s="70"/>
      <c r="B71" s="70"/>
      <c r="C71" s="125"/>
      <c r="D71" s="73"/>
      <c r="E71" s="74"/>
      <c r="F71" s="75"/>
      <c r="G71" s="74"/>
      <c r="H71" s="76"/>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row>
    <row r="72" spans="1:33" x14ac:dyDescent="0.35">
      <c r="A72" s="176" t="s">
        <v>145</v>
      </c>
      <c r="B72" s="177" t="s">
        <v>275</v>
      </c>
      <c r="C72" s="142">
        <v>0.1</v>
      </c>
      <c r="D72" s="177"/>
      <c r="E72" s="74"/>
      <c r="F72" s="75"/>
      <c r="G72" s="74"/>
      <c r="H72" s="76"/>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row>
    <row r="73" spans="1:33" x14ac:dyDescent="0.35">
      <c r="A73" s="176" t="s">
        <v>146</v>
      </c>
      <c r="B73" s="177" t="s">
        <v>275</v>
      </c>
      <c r="C73" s="142">
        <f>1-C72</f>
        <v>0.9</v>
      </c>
      <c r="D73" s="177"/>
      <c r="E73" s="74"/>
      <c r="F73" s="75"/>
      <c r="G73" s="74"/>
      <c r="H73" s="76"/>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row>
    <row r="74" spans="1:33" x14ac:dyDescent="0.35">
      <c r="A74" s="176"/>
      <c r="B74" s="176"/>
      <c r="C74" s="142"/>
      <c r="D74" s="73"/>
      <c r="E74" s="74"/>
      <c r="F74" s="75"/>
      <c r="G74" s="74"/>
      <c r="H74" s="76"/>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row>
    <row r="75" spans="1:33" x14ac:dyDescent="0.35">
      <c r="A75" s="178" t="s">
        <v>144</v>
      </c>
      <c r="B75" s="178"/>
      <c r="C75" s="142"/>
      <c r="D75" s="73"/>
      <c r="E75" s="74"/>
      <c r="F75" s="75"/>
      <c r="G75" s="74"/>
      <c r="H75" s="76"/>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row>
    <row r="76" spans="1:33" x14ac:dyDescent="0.35">
      <c r="A76" s="176" t="s">
        <v>133</v>
      </c>
      <c r="B76" s="177" t="s">
        <v>177</v>
      </c>
      <c r="C76" s="72">
        <v>23.939688236227312</v>
      </c>
      <c r="D76" s="73"/>
      <c r="E76" s="74"/>
      <c r="F76" s="75"/>
      <c r="G76" s="74"/>
      <c r="H76" s="76"/>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row>
    <row r="77" spans="1:33" x14ac:dyDescent="0.35">
      <c r="A77" s="176" t="s">
        <v>134</v>
      </c>
      <c r="B77" s="177" t="s">
        <v>177</v>
      </c>
      <c r="C77" s="72">
        <v>33.857631051616707</v>
      </c>
      <c r="D77" s="73"/>
      <c r="E77" s="74"/>
      <c r="F77" s="75"/>
      <c r="G77" s="74"/>
      <c r="H77" s="76"/>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row>
    <row r="78" spans="1:33" x14ac:dyDescent="0.35">
      <c r="A78" s="176" t="s">
        <v>135</v>
      </c>
      <c r="B78" s="176" t="s">
        <v>112</v>
      </c>
      <c r="C78" s="72">
        <f>AVERAGE(C76:C77)</f>
        <v>28.898659643922009</v>
      </c>
      <c r="D78" s="73"/>
      <c r="E78" s="74"/>
      <c r="F78" s="75"/>
      <c r="G78" s="74"/>
      <c r="H78" s="76"/>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row>
    <row r="79" spans="1:33" x14ac:dyDescent="0.35">
      <c r="A79" s="176"/>
      <c r="B79" s="176"/>
      <c r="C79" s="72"/>
      <c r="D79" s="73"/>
      <c r="E79" s="74"/>
      <c r="F79" s="75"/>
      <c r="G79" s="74"/>
      <c r="H79" s="76"/>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row>
    <row r="80" spans="1:33" x14ac:dyDescent="0.35">
      <c r="A80" s="178" t="s">
        <v>142</v>
      </c>
      <c r="B80" s="178"/>
      <c r="C80" s="72"/>
      <c r="D80" s="73"/>
      <c r="E80" s="74"/>
      <c r="F80" s="75"/>
      <c r="G80" s="74"/>
      <c r="H80" s="76"/>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row>
    <row r="81" spans="1:33" x14ac:dyDescent="0.35">
      <c r="A81" s="176" t="s">
        <v>133</v>
      </c>
      <c r="B81" s="177" t="s">
        <v>140</v>
      </c>
      <c r="C81" s="72">
        <v>84.01794006534017</v>
      </c>
      <c r="D81" s="73"/>
      <c r="E81" s="74"/>
      <c r="F81" s="75"/>
      <c r="G81" s="74"/>
      <c r="H81" s="76"/>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row>
    <row r="82" spans="1:33" x14ac:dyDescent="0.35">
      <c r="A82" s="176" t="s">
        <v>134</v>
      </c>
      <c r="B82" s="177" t="s">
        <v>140</v>
      </c>
      <c r="C82" s="72">
        <v>111.79379467063849</v>
      </c>
      <c r="D82" s="73"/>
      <c r="E82" s="74"/>
      <c r="F82" s="75"/>
      <c r="G82" s="74"/>
      <c r="H82" s="76"/>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row>
    <row r="83" spans="1:33" x14ac:dyDescent="0.35">
      <c r="A83" s="176" t="s">
        <v>135</v>
      </c>
      <c r="B83" s="176" t="s">
        <v>112</v>
      </c>
      <c r="C83" s="72">
        <f>AVERAGE(C81:C82)</f>
        <v>97.90586736798933</v>
      </c>
      <c r="D83" s="73"/>
      <c r="E83" s="74"/>
      <c r="F83" s="75"/>
      <c r="G83" s="74"/>
      <c r="H83" s="76"/>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row>
    <row r="84" spans="1:33" x14ac:dyDescent="0.35">
      <c r="A84" s="176"/>
      <c r="B84" s="176"/>
      <c r="C84" s="125"/>
      <c r="D84" s="73"/>
      <c r="E84" s="74"/>
      <c r="F84" s="75"/>
      <c r="G84" s="74"/>
      <c r="H84" s="76"/>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row>
    <row r="85" spans="1:33" x14ac:dyDescent="0.35">
      <c r="A85" s="178" t="s">
        <v>141</v>
      </c>
      <c r="B85" s="178"/>
      <c r="C85" s="125"/>
      <c r="D85" s="73"/>
      <c r="E85" s="74"/>
      <c r="F85" s="75"/>
      <c r="G85" s="74"/>
      <c r="H85" s="76"/>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row>
    <row r="86" spans="1:33" x14ac:dyDescent="0.35">
      <c r="A86" s="176" t="s">
        <v>133</v>
      </c>
      <c r="B86" s="176" t="s">
        <v>112</v>
      </c>
      <c r="C86" s="72">
        <f>C69*C72/C77</f>
        <v>46179305.662675075</v>
      </c>
      <c r="D86" s="73"/>
      <c r="E86" s="74"/>
      <c r="F86" s="75"/>
      <c r="G86" s="74"/>
      <c r="H86" s="76"/>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row>
    <row r="87" spans="1:33" x14ac:dyDescent="0.35">
      <c r="A87" s="176" t="s">
        <v>134</v>
      </c>
      <c r="B87" s="176" t="s">
        <v>112</v>
      </c>
      <c r="C87" s="72">
        <f>C70*C72/C76</f>
        <v>125256749.91140296</v>
      </c>
      <c r="D87" s="73"/>
      <c r="E87" s="74"/>
      <c r="F87" s="75"/>
      <c r="G87" s="74"/>
      <c r="H87" s="76"/>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row>
    <row r="88" spans="1:33" x14ac:dyDescent="0.35">
      <c r="A88" s="176" t="s">
        <v>135</v>
      </c>
      <c r="B88" s="176" t="s">
        <v>112</v>
      </c>
      <c r="C88" s="143">
        <f>AVERAGE(C86:C87)</f>
        <v>85718027.787039012</v>
      </c>
      <c r="D88" s="73"/>
      <c r="E88" s="74"/>
      <c r="F88" s="75"/>
      <c r="G88" s="74"/>
      <c r="H88" s="76"/>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row>
    <row r="89" spans="1:33" x14ac:dyDescent="0.35">
      <c r="A89" s="176"/>
      <c r="B89" s="176"/>
      <c r="C89" s="125"/>
      <c r="D89" s="73"/>
      <c r="E89" s="74"/>
      <c r="F89" s="75"/>
      <c r="G89" s="74"/>
      <c r="H89" s="76"/>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row>
    <row r="90" spans="1:33" x14ac:dyDescent="0.35">
      <c r="A90" s="178" t="s">
        <v>143</v>
      </c>
      <c r="B90" s="178"/>
      <c r="C90" s="125"/>
      <c r="D90" s="73"/>
      <c r="E90" s="74"/>
      <c r="F90" s="75"/>
      <c r="G90" s="74"/>
      <c r="H90" s="76"/>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row>
    <row r="91" spans="1:33" x14ac:dyDescent="0.35">
      <c r="A91" s="176" t="s">
        <v>133</v>
      </c>
      <c r="B91" s="176" t="s">
        <v>112</v>
      </c>
      <c r="C91" s="72">
        <f>C69*C73/C82</f>
        <v>125871897.28712168</v>
      </c>
      <c r="D91" s="73"/>
      <c r="E91" s="74"/>
      <c r="F91" s="75"/>
      <c r="G91" s="74"/>
      <c r="H91" s="76"/>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row>
    <row r="92" spans="1:33" x14ac:dyDescent="0.35">
      <c r="A92" s="176" t="s">
        <v>134</v>
      </c>
      <c r="B92" s="176" t="s">
        <v>112</v>
      </c>
      <c r="C92" s="72">
        <f>C70*C73/C81</f>
        <v>321210777.84424073</v>
      </c>
      <c r="D92" s="73"/>
      <c r="E92" s="74"/>
      <c r="F92" s="75"/>
      <c r="G92" s="74"/>
      <c r="H92" s="76"/>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row>
    <row r="93" spans="1:33" x14ac:dyDescent="0.35">
      <c r="A93" s="176" t="s">
        <v>135</v>
      </c>
      <c r="B93" s="176" t="s">
        <v>112</v>
      </c>
      <c r="C93" s="143">
        <f>AVERAGE(C91:C92)</f>
        <v>223541337.56568122</v>
      </c>
      <c r="D93" s="73"/>
      <c r="E93" s="74"/>
      <c r="F93" s="75"/>
      <c r="G93" s="74"/>
      <c r="H93" s="76"/>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row>
    <row r="94" spans="1:33" x14ac:dyDescent="0.35">
      <c r="A94" s="176"/>
      <c r="B94" s="176"/>
      <c r="C94" s="143"/>
      <c r="D94" s="73"/>
      <c r="E94" s="74"/>
      <c r="F94" s="75"/>
      <c r="G94" s="74"/>
      <c r="H94" s="76"/>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row>
    <row r="95" spans="1:33" x14ac:dyDescent="0.35">
      <c r="A95" s="70" t="s">
        <v>136</v>
      </c>
      <c r="B95" s="71" t="s">
        <v>212</v>
      </c>
      <c r="C95" s="72">
        <f>C87+C93</f>
        <v>348798087.47708416</v>
      </c>
      <c r="D95" s="73"/>
      <c r="E95" s="74"/>
      <c r="F95" s="75"/>
      <c r="G95" s="74"/>
      <c r="H95" s="76"/>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row>
    <row r="96" spans="1:33" x14ac:dyDescent="0.35">
      <c r="A96" s="70"/>
      <c r="B96" s="70"/>
      <c r="C96" s="235"/>
      <c r="D96" s="144"/>
      <c r="E96" s="144"/>
      <c r="F96" s="145"/>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row>
    <row r="97" spans="1:33" x14ac:dyDescent="0.35">
      <c r="A97" s="70" t="s">
        <v>157</v>
      </c>
      <c r="B97" s="177" t="s">
        <v>275</v>
      </c>
      <c r="C97" s="236">
        <f>'Data sheet'!AI28</f>
        <v>18333195274.159416</v>
      </c>
      <c r="D97" s="144"/>
      <c r="E97" s="146"/>
      <c r="F97" s="145"/>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row>
    <row r="98" spans="1:33" x14ac:dyDescent="0.35">
      <c r="A98" s="70" t="s">
        <v>158</v>
      </c>
      <c r="B98" s="177" t="s">
        <v>275</v>
      </c>
      <c r="C98" s="236">
        <f>'Data sheet'!AJ28</f>
        <v>24861554543.205429</v>
      </c>
      <c r="D98" s="144"/>
      <c r="E98" s="144"/>
      <c r="F98" s="145"/>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row>
    <row r="99" spans="1:33" x14ac:dyDescent="0.35">
      <c r="A99" s="70"/>
      <c r="B99" s="70"/>
      <c r="C99" s="236"/>
      <c r="D99" s="144"/>
      <c r="E99" s="144"/>
      <c r="F99" s="145"/>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row>
    <row r="100" spans="1:33" x14ac:dyDescent="0.35">
      <c r="A100" s="70" t="s">
        <v>216</v>
      </c>
      <c r="B100" s="177" t="s">
        <v>275</v>
      </c>
      <c r="C100" s="72">
        <f>AVERAGE(C97:C98)</f>
        <v>21597374908.682423</v>
      </c>
      <c r="D100" s="165"/>
      <c r="E100" s="166"/>
      <c r="F100" s="75"/>
      <c r="G100" s="74"/>
      <c r="H100" s="76"/>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row>
    <row r="101" spans="1:33" x14ac:dyDescent="0.35">
      <c r="A101" s="70"/>
      <c r="B101" s="70"/>
      <c r="C101" s="72"/>
      <c r="D101" s="144"/>
      <c r="E101" s="74"/>
      <c r="F101" s="75"/>
      <c r="G101" s="74"/>
      <c r="H101" s="76"/>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row>
    <row r="102" spans="1:33" x14ac:dyDescent="0.35">
      <c r="A102" s="70" t="s">
        <v>68</v>
      </c>
      <c r="B102" s="70"/>
      <c r="C102" s="125">
        <v>30</v>
      </c>
      <c r="D102" s="144"/>
      <c r="E102" s="74"/>
      <c r="F102" s="75"/>
      <c r="G102" s="74"/>
      <c r="H102" s="76"/>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row>
    <row r="103" spans="1:33" x14ac:dyDescent="0.35">
      <c r="A103" s="70"/>
      <c r="B103" s="70"/>
      <c r="C103" s="125"/>
      <c r="D103" s="144"/>
      <c r="E103" s="74"/>
      <c r="F103" s="75"/>
      <c r="G103" s="74"/>
      <c r="H103" s="76"/>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row>
    <row r="104" spans="1:33" x14ac:dyDescent="0.35">
      <c r="A104" s="70" t="s">
        <v>69</v>
      </c>
      <c r="B104" s="70" t="s">
        <v>112</v>
      </c>
      <c r="C104" s="72">
        <f>C100/C102</f>
        <v>719912496.95608079</v>
      </c>
      <c r="D104" s="144"/>
      <c r="E104" s="74"/>
      <c r="F104" s="75"/>
      <c r="G104" s="74"/>
      <c r="H104" s="76"/>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row>
    <row r="105" spans="1:33" x14ac:dyDescent="0.35">
      <c r="A105" s="70"/>
      <c r="B105" s="70"/>
      <c r="C105" s="72"/>
      <c r="D105" s="144"/>
      <c r="E105" s="74"/>
      <c r="F105" s="75"/>
      <c r="G105" s="74"/>
      <c r="H105" s="76"/>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row>
    <row r="106" spans="1:33" x14ac:dyDescent="0.35">
      <c r="A106" s="70" t="s">
        <v>217</v>
      </c>
      <c r="B106" s="70"/>
      <c r="C106" s="72"/>
      <c r="D106" s="144"/>
      <c r="E106" s="74"/>
      <c r="F106" s="75"/>
      <c r="G106" s="74"/>
      <c r="H106" s="76"/>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row>
    <row r="107" spans="1:33" x14ac:dyDescent="0.35">
      <c r="A107" s="70" t="s">
        <v>218</v>
      </c>
      <c r="B107" s="70"/>
      <c r="C107" s="147">
        <v>0.2</v>
      </c>
      <c r="D107" s="144"/>
      <c r="E107" s="74"/>
      <c r="F107" s="75"/>
      <c r="G107" s="74"/>
      <c r="H107" s="76"/>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row>
    <row r="108" spans="1:33" x14ac:dyDescent="0.35">
      <c r="A108" s="70" t="s">
        <v>219</v>
      </c>
      <c r="B108" s="70"/>
      <c r="C108" s="147">
        <v>1.2</v>
      </c>
      <c r="D108" s="144"/>
      <c r="E108" s="74"/>
      <c r="F108" s="75"/>
      <c r="G108" s="74"/>
      <c r="H108" s="76"/>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row>
    <row r="109" spans="1:33" x14ac:dyDescent="0.35">
      <c r="A109" s="70" t="s">
        <v>220</v>
      </c>
      <c r="B109" s="70"/>
      <c r="C109" s="147">
        <v>1.6</v>
      </c>
      <c r="D109" s="144"/>
      <c r="E109" s="74"/>
      <c r="F109" s="75"/>
      <c r="G109" s="74"/>
      <c r="H109" s="76"/>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row>
    <row r="110" spans="1:33" x14ac:dyDescent="0.35">
      <c r="A110" s="70"/>
      <c r="B110" s="70"/>
      <c r="C110" s="72"/>
      <c r="D110" s="144"/>
      <c r="E110" s="74"/>
      <c r="F110" s="75"/>
      <c r="G110" s="74"/>
      <c r="H110" s="76"/>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row>
    <row r="111" spans="1:33" ht="31" x14ac:dyDescent="0.35">
      <c r="A111" s="70" t="s">
        <v>56</v>
      </c>
      <c r="B111" s="71" t="s">
        <v>277</v>
      </c>
      <c r="C111" s="147">
        <v>0.6</v>
      </c>
      <c r="D111" s="73"/>
      <c r="E111" s="74"/>
      <c r="F111" s="75"/>
      <c r="G111" s="74"/>
      <c r="H111" s="76"/>
      <c r="I111" s="74"/>
      <c r="J111" s="74"/>
      <c r="K111" s="74"/>
      <c r="L111" s="146"/>
      <c r="M111" s="74"/>
      <c r="N111" s="74"/>
      <c r="O111" s="74"/>
      <c r="P111" s="74"/>
      <c r="Q111" s="74"/>
      <c r="R111" s="74"/>
      <c r="S111" s="74"/>
      <c r="T111" s="74"/>
      <c r="U111" s="74"/>
      <c r="V111" s="74"/>
      <c r="W111" s="74"/>
      <c r="X111" s="74"/>
      <c r="Y111" s="74"/>
      <c r="Z111" s="74"/>
      <c r="AA111" s="74"/>
      <c r="AB111" s="74"/>
      <c r="AC111" s="74"/>
      <c r="AD111" s="74"/>
      <c r="AE111" s="74"/>
      <c r="AF111" s="74"/>
      <c r="AG111" s="74"/>
    </row>
    <row r="112" spans="1:33" ht="31" x14ac:dyDescent="0.35">
      <c r="A112" s="70" t="s">
        <v>57</v>
      </c>
      <c r="B112" s="71" t="s">
        <v>276</v>
      </c>
      <c r="C112" s="147">
        <f>1-C111</f>
        <v>0.4</v>
      </c>
      <c r="D112" s="73"/>
      <c r="E112" s="74"/>
      <c r="F112" s="75"/>
      <c r="G112" s="74"/>
      <c r="H112" s="76"/>
      <c r="I112" s="74"/>
      <c r="J112" s="74"/>
      <c r="K112" s="74"/>
      <c r="L112" s="148"/>
      <c r="M112" s="74"/>
      <c r="N112" s="74"/>
      <c r="O112" s="74"/>
      <c r="P112" s="74"/>
      <c r="Q112" s="74"/>
      <c r="R112" s="74"/>
      <c r="S112" s="74"/>
      <c r="T112" s="74"/>
      <c r="U112" s="74"/>
      <c r="V112" s="74"/>
      <c r="W112" s="74"/>
      <c r="X112" s="74"/>
      <c r="Y112" s="74"/>
      <c r="Z112" s="74"/>
      <c r="AA112" s="74"/>
      <c r="AB112" s="74"/>
      <c r="AC112" s="74"/>
      <c r="AD112" s="74"/>
      <c r="AE112" s="74"/>
      <c r="AF112" s="74"/>
      <c r="AG112" s="74"/>
    </row>
    <row r="113" spans="1:33" x14ac:dyDescent="0.35">
      <c r="A113" s="70" t="s">
        <v>58</v>
      </c>
      <c r="B113" s="70" t="s">
        <v>175</v>
      </c>
      <c r="C113" s="143">
        <v>30</v>
      </c>
      <c r="D113" s="73"/>
      <c r="E113" s="74"/>
      <c r="F113" s="75"/>
      <c r="G113" s="74"/>
      <c r="H113" s="76"/>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3" x14ac:dyDescent="0.35">
      <c r="A114" s="70" t="s">
        <v>59</v>
      </c>
      <c r="B114" s="70" t="s">
        <v>175</v>
      </c>
      <c r="C114" s="143">
        <v>100</v>
      </c>
      <c r="D114" s="73"/>
      <c r="E114" s="146"/>
      <c r="F114" s="75"/>
      <c r="G114" s="74"/>
      <c r="H114" s="76"/>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row>
    <row r="115" spans="1:33" x14ac:dyDescent="0.35">
      <c r="A115" s="70"/>
      <c r="B115" s="70"/>
      <c r="C115" s="125"/>
      <c r="D115" s="73"/>
      <c r="E115" s="74"/>
      <c r="F115" s="75"/>
      <c r="G115" s="74"/>
      <c r="H115" s="76"/>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row>
    <row r="116" spans="1:33" x14ac:dyDescent="0.35">
      <c r="A116" s="70" t="s">
        <v>137</v>
      </c>
      <c r="B116" s="70" t="s">
        <v>278</v>
      </c>
      <c r="C116" s="138">
        <v>0</v>
      </c>
      <c r="D116" s="73"/>
      <c r="E116" s="74"/>
      <c r="F116" s="75"/>
      <c r="G116" s="74"/>
      <c r="H116" s="76"/>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row>
    <row r="117" spans="1:33" x14ac:dyDescent="0.35">
      <c r="A117" s="70"/>
      <c r="B117" s="70"/>
      <c r="C117" s="147"/>
      <c r="D117" s="73"/>
      <c r="E117" s="74"/>
      <c r="F117" s="75"/>
      <c r="G117" s="74"/>
      <c r="H117" s="76"/>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3" x14ac:dyDescent="0.35">
      <c r="A118" s="70" t="s">
        <v>91</v>
      </c>
      <c r="B118" s="70" t="s">
        <v>150</v>
      </c>
      <c r="C118" s="72"/>
      <c r="D118" s="146">
        <f t="shared" ref="D118:AG118" si="13">$C$95</f>
        <v>348798087.47708416</v>
      </c>
      <c r="E118" s="146">
        <f t="shared" si="13"/>
        <v>348798087.47708416</v>
      </c>
      <c r="F118" s="146">
        <f t="shared" si="13"/>
        <v>348798087.47708416</v>
      </c>
      <c r="G118" s="146">
        <f t="shared" si="13"/>
        <v>348798087.47708416</v>
      </c>
      <c r="H118" s="146">
        <f t="shared" si="13"/>
        <v>348798087.47708416</v>
      </c>
      <c r="I118" s="146">
        <f t="shared" si="13"/>
        <v>348798087.47708416</v>
      </c>
      <c r="J118" s="146">
        <f t="shared" si="13"/>
        <v>348798087.47708416</v>
      </c>
      <c r="K118" s="146">
        <f t="shared" si="13"/>
        <v>348798087.47708416</v>
      </c>
      <c r="L118" s="146">
        <f t="shared" si="13"/>
        <v>348798087.47708416</v>
      </c>
      <c r="M118" s="146">
        <f t="shared" si="13"/>
        <v>348798087.47708416</v>
      </c>
      <c r="N118" s="146">
        <f t="shared" si="13"/>
        <v>348798087.47708416</v>
      </c>
      <c r="O118" s="146">
        <f t="shared" si="13"/>
        <v>348798087.47708416</v>
      </c>
      <c r="P118" s="146">
        <f t="shared" si="13"/>
        <v>348798087.47708416</v>
      </c>
      <c r="Q118" s="146">
        <f t="shared" si="13"/>
        <v>348798087.47708416</v>
      </c>
      <c r="R118" s="146">
        <f t="shared" si="13"/>
        <v>348798087.47708416</v>
      </c>
      <c r="S118" s="146">
        <f t="shared" si="13"/>
        <v>348798087.47708416</v>
      </c>
      <c r="T118" s="146">
        <f t="shared" si="13"/>
        <v>348798087.47708416</v>
      </c>
      <c r="U118" s="146">
        <f t="shared" si="13"/>
        <v>348798087.47708416</v>
      </c>
      <c r="V118" s="146">
        <f t="shared" si="13"/>
        <v>348798087.47708416</v>
      </c>
      <c r="W118" s="146">
        <f t="shared" si="13"/>
        <v>348798087.47708416</v>
      </c>
      <c r="X118" s="146">
        <f t="shared" si="13"/>
        <v>348798087.47708416</v>
      </c>
      <c r="Y118" s="146">
        <f t="shared" si="13"/>
        <v>348798087.47708416</v>
      </c>
      <c r="Z118" s="146">
        <f t="shared" si="13"/>
        <v>348798087.47708416</v>
      </c>
      <c r="AA118" s="146">
        <f t="shared" si="13"/>
        <v>348798087.47708416</v>
      </c>
      <c r="AB118" s="146">
        <f t="shared" si="13"/>
        <v>348798087.47708416</v>
      </c>
      <c r="AC118" s="146">
        <f t="shared" si="13"/>
        <v>348798087.47708416</v>
      </c>
      <c r="AD118" s="146">
        <f t="shared" si="13"/>
        <v>348798087.47708416</v>
      </c>
      <c r="AE118" s="146">
        <f t="shared" si="13"/>
        <v>348798087.47708416</v>
      </c>
      <c r="AF118" s="146">
        <f t="shared" si="13"/>
        <v>348798087.47708416</v>
      </c>
      <c r="AG118" s="146">
        <f t="shared" si="13"/>
        <v>348798087.47708416</v>
      </c>
    </row>
    <row r="119" spans="1:33" x14ac:dyDescent="0.35">
      <c r="A119" s="70"/>
      <c r="B119" s="70"/>
      <c r="C119" s="72"/>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row>
    <row r="120" spans="1:33" s="149" customFormat="1" x14ac:dyDescent="0.35">
      <c r="A120" s="70" t="s">
        <v>92</v>
      </c>
      <c r="B120" s="70" t="s">
        <v>112</v>
      </c>
      <c r="C120" s="72">
        <f>SUM(D120:AG120)</f>
        <v>21597374908.68243</v>
      </c>
      <c r="D120" s="146">
        <f>$C$104*$C$107</f>
        <v>143982499.39121616</v>
      </c>
      <c r="E120" s="146">
        <f t="shared" ref="E120:L120" si="14">$C$104*$C$107</f>
        <v>143982499.39121616</v>
      </c>
      <c r="F120" s="146">
        <f t="shared" si="14"/>
        <v>143982499.39121616</v>
      </c>
      <c r="G120" s="146">
        <f t="shared" si="14"/>
        <v>143982499.39121616</v>
      </c>
      <c r="H120" s="146">
        <f t="shared" si="14"/>
        <v>143982499.39121616</v>
      </c>
      <c r="I120" s="146">
        <f t="shared" si="14"/>
        <v>143982499.39121616</v>
      </c>
      <c r="J120" s="146">
        <f t="shared" si="14"/>
        <v>143982499.39121616</v>
      </c>
      <c r="K120" s="146">
        <f t="shared" si="14"/>
        <v>143982499.39121616</v>
      </c>
      <c r="L120" s="146">
        <f t="shared" si="14"/>
        <v>143982499.39121616</v>
      </c>
      <c r="M120" s="146">
        <f>$C$104*$C$107</f>
        <v>143982499.39121616</v>
      </c>
      <c r="N120" s="146">
        <f t="shared" ref="N120:W120" si="15">$C$104*$C$108</f>
        <v>863894996.34729695</v>
      </c>
      <c r="O120" s="146">
        <f t="shared" si="15"/>
        <v>863894996.34729695</v>
      </c>
      <c r="P120" s="146">
        <f t="shared" si="15"/>
        <v>863894996.34729695</v>
      </c>
      <c r="Q120" s="146">
        <f t="shared" si="15"/>
        <v>863894996.34729695</v>
      </c>
      <c r="R120" s="146">
        <f t="shared" si="15"/>
        <v>863894996.34729695</v>
      </c>
      <c r="S120" s="146">
        <f t="shared" si="15"/>
        <v>863894996.34729695</v>
      </c>
      <c r="T120" s="146">
        <f t="shared" si="15"/>
        <v>863894996.34729695</v>
      </c>
      <c r="U120" s="146">
        <f t="shared" si="15"/>
        <v>863894996.34729695</v>
      </c>
      <c r="V120" s="146">
        <f t="shared" si="15"/>
        <v>863894996.34729695</v>
      </c>
      <c r="W120" s="146">
        <f t="shared" si="15"/>
        <v>863894996.34729695</v>
      </c>
      <c r="X120" s="146">
        <f>$C$104*$C$109</f>
        <v>1151859995.1297293</v>
      </c>
      <c r="Y120" s="146">
        <f t="shared" ref="Y120:AG120" si="16">$C$104*$C$109</f>
        <v>1151859995.1297293</v>
      </c>
      <c r="Z120" s="146">
        <f t="shared" si="16"/>
        <v>1151859995.1297293</v>
      </c>
      <c r="AA120" s="146">
        <f t="shared" si="16"/>
        <v>1151859995.1297293</v>
      </c>
      <c r="AB120" s="146">
        <f t="shared" si="16"/>
        <v>1151859995.1297293</v>
      </c>
      <c r="AC120" s="146">
        <f t="shared" si="16"/>
        <v>1151859995.1297293</v>
      </c>
      <c r="AD120" s="146">
        <f t="shared" si="16"/>
        <v>1151859995.1297293</v>
      </c>
      <c r="AE120" s="146">
        <f t="shared" si="16"/>
        <v>1151859995.1297293</v>
      </c>
      <c r="AF120" s="146">
        <f t="shared" si="16"/>
        <v>1151859995.1297293</v>
      </c>
      <c r="AG120" s="146">
        <f t="shared" si="16"/>
        <v>1151859995.1297293</v>
      </c>
    </row>
    <row r="121" spans="1:33" s="149" customFormat="1" x14ac:dyDescent="0.35">
      <c r="A121" s="70"/>
      <c r="B121" s="70"/>
      <c r="C121" s="150">
        <f>C120-C100</f>
        <v>0</v>
      </c>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row>
    <row r="122" spans="1:33" s="149" customFormat="1" x14ac:dyDescent="0.35">
      <c r="A122" s="70" t="s">
        <v>114</v>
      </c>
      <c r="B122" s="70" t="s">
        <v>112</v>
      </c>
      <c r="C122" s="125"/>
      <c r="D122" s="146">
        <f>(D120*D$64)-D120</f>
        <v>0</v>
      </c>
      <c r="E122" s="146">
        <f t="shared" ref="E122:AG122" si="17">(E120*E$64)-E120</f>
        <v>0</v>
      </c>
      <c r="F122" s="146">
        <f t="shared" si="17"/>
        <v>0</v>
      </c>
      <c r="G122" s="146">
        <f t="shared" si="17"/>
        <v>0</v>
      </c>
      <c r="H122" s="146">
        <f>(H120*H$64)-H120</f>
        <v>-9913207.3079427183</v>
      </c>
      <c r="I122" s="146">
        <f t="shared" si="17"/>
        <v>-19143889.451051101</v>
      </c>
      <c r="J122" s="146">
        <f t="shared" si="17"/>
        <v>-27739038.344873905</v>
      </c>
      <c r="K122" s="146">
        <f t="shared" si="17"/>
        <v>-35742410.507584497</v>
      </c>
      <c r="L122" s="146">
        <f t="shared" si="17"/>
        <v>-43194749.817364857</v>
      </c>
      <c r="M122" s="146">
        <f t="shared" si="17"/>
        <v>-46915022.962772414</v>
      </c>
      <c r="N122" s="146">
        <f t="shared" si="17"/>
        <v>-302987841.26000953</v>
      </c>
      <c r="O122" s="146">
        <f t="shared" si="17"/>
        <v>-323692022.42251444</v>
      </c>
      <c r="P122" s="146">
        <f t="shared" si="17"/>
        <v>-343631971.72646314</v>
      </c>
      <c r="Q122" s="146">
        <f t="shared" si="17"/>
        <v>-362835898.46586484</v>
      </c>
      <c r="R122" s="146">
        <f t="shared" si="17"/>
        <v>-377490753.80415857</v>
      </c>
      <c r="S122" s="146">
        <f t="shared" si="17"/>
        <v>-391716987.47707516</v>
      </c>
      <c r="T122" s="146">
        <f t="shared" si="17"/>
        <v>-405527135.7074424</v>
      </c>
      <c r="U122" s="146">
        <f t="shared" si="17"/>
        <v>-418933368.06167418</v>
      </c>
      <c r="V122" s="146">
        <f t="shared" si="17"/>
        <v>-431947498.17364848</v>
      </c>
      <c r="W122" s="146">
        <f t="shared" si="17"/>
        <v>-431947498.17364848</v>
      </c>
      <c r="X122" s="146">
        <f t="shared" si="17"/>
        <v>-575929997.56486464</v>
      </c>
      <c r="Y122" s="146">
        <f t="shared" si="17"/>
        <v>-575929997.56486464</v>
      </c>
      <c r="Z122" s="146">
        <f t="shared" si="17"/>
        <v>-575929997.56486464</v>
      </c>
      <c r="AA122" s="146">
        <f t="shared" si="17"/>
        <v>-575929997.56486464</v>
      </c>
      <c r="AB122" s="146">
        <f t="shared" si="17"/>
        <v>-575929997.56486464</v>
      </c>
      <c r="AC122" s="146">
        <f t="shared" si="17"/>
        <v>-575929997.56486464</v>
      </c>
      <c r="AD122" s="146">
        <f t="shared" si="17"/>
        <v>-575929997.56486464</v>
      </c>
      <c r="AE122" s="146">
        <f t="shared" si="17"/>
        <v>-575929997.56486464</v>
      </c>
      <c r="AF122" s="146">
        <f t="shared" si="17"/>
        <v>-575929997.56486464</v>
      </c>
      <c r="AG122" s="146">
        <f t="shared" si="17"/>
        <v>-575929997.56486464</v>
      </c>
    </row>
    <row r="123" spans="1:33" s="149" customFormat="1" x14ac:dyDescent="0.35">
      <c r="A123" s="70" t="s">
        <v>115</v>
      </c>
      <c r="B123" s="70" t="s">
        <v>112</v>
      </c>
      <c r="C123" s="125"/>
      <c r="D123" s="146">
        <f t="shared" ref="D123:AG123" si="18">(D120*D$65)-D120</f>
        <v>-583129.12253442407</v>
      </c>
      <c r="E123" s="146">
        <f t="shared" si="18"/>
        <v>-1163896.5721225739</v>
      </c>
      <c r="F123" s="146">
        <f t="shared" si="18"/>
        <v>-1742311.9135399163</v>
      </c>
      <c r="G123" s="146">
        <f t="shared" si="18"/>
        <v>-2318384.672824502</v>
      </c>
      <c r="H123" s="146">
        <f t="shared" si="18"/>
        <v>-2892124.3374339938</v>
      </c>
      <c r="I123" s="146">
        <f t="shared" si="18"/>
        <v>-3463540.3564018011</v>
      </c>
      <c r="J123" s="146">
        <f t="shared" si="18"/>
        <v>-4032642.1404927969</v>
      </c>
      <c r="K123" s="146">
        <f t="shared" si="18"/>
        <v>-4599439.0623582304</v>
      </c>
      <c r="L123" s="146">
        <f t="shared" si="18"/>
        <v>-5163940.4566901028</v>
      </c>
      <c r="M123" s="146">
        <f t="shared" si="18"/>
        <v>-5726155.6203749478</v>
      </c>
      <c r="N123" s="146">
        <f t="shared" si="18"/>
        <v>-37716562.875881076</v>
      </c>
      <c r="O123" s="146">
        <f t="shared" si="18"/>
        <v>-41062585.531440258</v>
      </c>
      <c r="P123" s="146">
        <f t="shared" si="18"/>
        <v>-44395056.795244575</v>
      </c>
      <c r="Q123" s="146">
        <f t="shared" si="18"/>
        <v>-47714031.550430298</v>
      </c>
      <c r="R123" s="146">
        <f t="shared" si="18"/>
        <v>-51019564.457857609</v>
      </c>
      <c r="S123" s="146">
        <f t="shared" si="18"/>
        <v>-54311709.957009912</v>
      </c>
      <c r="T123" s="146">
        <f t="shared" si="18"/>
        <v>-57590522.266890526</v>
      </c>
      <c r="U123" s="146">
        <f t="shared" si="18"/>
        <v>-60856055.386916161</v>
      </c>
      <c r="V123" s="146">
        <f t="shared" si="18"/>
        <v>-64108363.097805738</v>
      </c>
      <c r="W123" s="146">
        <f t="shared" si="18"/>
        <v>-67347498.962466121</v>
      </c>
      <c r="X123" s="146">
        <f t="shared" si="18"/>
        <v>-94098021.769166231</v>
      </c>
      <c r="Y123" s="146">
        <f t="shared" si="18"/>
        <v>-98381957.761276603</v>
      </c>
      <c r="Z123" s="146">
        <f t="shared" si="18"/>
        <v>-102648543.81261885</v>
      </c>
      <c r="AA123" s="146">
        <f t="shared" si="18"/>
        <v>-106897850.19045317</v>
      </c>
      <c r="AB123" s="146">
        <f t="shared" si="18"/>
        <v>-111129946.87745714</v>
      </c>
      <c r="AC123" s="146">
        <f t="shared" si="18"/>
        <v>-115344903.57287896</v>
      </c>
      <c r="AD123" s="146">
        <f t="shared" si="18"/>
        <v>-119542789.6936841</v>
      </c>
      <c r="AE123" s="146">
        <f t="shared" si="18"/>
        <v>-123723674.37570024</v>
      </c>
      <c r="AF123" s="146">
        <f t="shared" si="18"/>
        <v>-127887626.47475398</v>
      </c>
      <c r="AG123" s="146">
        <f t="shared" si="18"/>
        <v>-132034714.5678066</v>
      </c>
    </row>
    <row r="124" spans="1:33" s="149" customFormat="1" x14ac:dyDescent="0.35">
      <c r="A124" s="70"/>
      <c r="B124" s="70"/>
      <c r="C124" s="125"/>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row>
    <row r="125" spans="1:33" s="149" customFormat="1" x14ac:dyDescent="0.35">
      <c r="A125" s="70" t="s">
        <v>116</v>
      </c>
      <c r="B125" s="70" t="s">
        <v>112</v>
      </c>
      <c r="C125" s="125"/>
      <c r="D125" s="146">
        <f>D120+D122+D123</f>
        <v>143399370.26868173</v>
      </c>
      <c r="E125" s="146">
        <f t="shared" ref="E125:AG125" si="19">E120+E122+E123</f>
        <v>142818602.81909359</v>
      </c>
      <c r="F125" s="146">
        <f>F120+F122+F123</f>
        <v>142240187.47767624</v>
      </c>
      <c r="G125" s="146">
        <f t="shared" si="19"/>
        <v>141664114.71839166</v>
      </c>
      <c r="H125" s="146">
        <f t="shared" si="19"/>
        <v>131177167.74583945</v>
      </c>
      <c r="I125" s="146">
        <f t="shared" si="19"/>
        <v>121375069.58376326</v>
      </c>
      <c r="J125" s="146">
        <f t="shared" si="19"/>
        <v>112210818.90584946</v>
      </c>
      <c r="K125" s="146">
        <f t="shared" si="19"/>
        <v>103640649.82127343</v>
      </c>
      <c r="L125" s="146">
        <f t="shared" si="19"/>
        <v>95623809.117161199</v>
      </c>
      <c r="M125" s="146">
        <f t="shared" si="19"/>
        <v>91341320.808068797</v>
      </c>
      <c r="N125" s="146">
        <f t="shared" si="19"/>
        <v>523190592.21140635</v>
      </c>
      <c r="O125" s="146">
        <f t="shared" si="19"/>
        <v>499140388.39334226</v>
      </c>
      <c r="P125" s="146">
        <f t="shared" si="19"/>
        <v>475867967.82558924</v>
      </c>
      <c r="Q125" s="146">
        <f t="shared" si="19"/>
        <v>453345066.33100182</v>
      </c>
      <c r="R125" s="146">
        <f t="shared" si="19"/>
        <v>435384678.08528078</v>
      </c>
      <c r="S125" s="146">
        <f t="shared" si="19"/>
        <v>417866298.91321188</v>
      </c>
      <c r="T125" s="146">
        <f t="shared" si="19"/>
        <v>400777338.37296402</v>
      </c>
      <c r="U125" s="146">
        <f t="shared" si="19"/>
        <v>384105572.89870661</v>
      </c>
      <c r="V125" s="146">
        <f t="shared" si="19"/>
        <v>367839135.07584274</v>
      </c>
      <c r="W125" s="146">
        <f t="shared" si="19"/>
        <v>364599999.21118236</v>
      </c>
      <c r="X125" s="146">
        <f t="shared" si="19"/>
        <v>481831975.7956984</v>
      </c>
      <c r="Y125" s="146">
        <f t="shared" si="19"/>
        <v>477548039.80358803</v>
      </c>
      <c r="Z125" s="146">
        <f t="shared" si="19"/>
        <v>473281453.75224578</v>
      </c>
      <c r="AA125" s="146">
        <f t="shared" si="19"/>
        <v>469032147.37441146</v>
      </c>
      <c r="AB125" s="146">
        <f t="shared" si="19"/>
        <v>464800050.68740749</v>
      </c>
      <c r="AC125" s="146">
        <f t="shared" si="19"/>
        <v>460585093.99198568</v>
      </c>
      <c r="AD125" s="146">
        <f t="shared" si="19"/>
        <v>456387207.87118053</v>
      </c>
      <c r="AE125" s="146">
        <f t="shared" si="19"/>
        <v>452206323.1891644</v>
      </c>
      <c r="AF125" s="146">
        <f t="shared" si="19"/>
        <v>448042371.09011066</v>
      </c>
      <c r="AG125" s="146">
        <f t="shared" si="19"/>
        <v>443895282.99705803</v>
      </c>
    </row>
    <row r="126" spans="1:33" s="149" customFormat="1" x14ac:dyDescent="0.35">
      <c r="A126" s="70"/>
      <c r="B126" s="70"/>
      <c r="C126" s="125"/>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row>
    <row r="127" spans="1:33" s="149" customFormat="1" x14ac:dyDescent="0.35">
      <c r="A127" s="70" t="s">
        <v>93</v>
      </c>
      <c r="B127" s="70" t="s">
        <v>112</v>
      </c>
      <c r="C127" s="125"/>
      <c r="D127" s="146">
        <f>(SUM($D$125:D125)*$C$111/$C$113)+(SUM($D$125:D125)*$C$112/$C$114)</f>
        <v>3441584.886448361</v>
      </c>
      <c r="E127" s="146">
        <f>(SUM($D$125:E125)*$C$111/$C$113)+(SUM($D$125:E125)*$C$112/$C$114)</f>
        <v>6869231.3541066088</v>
      </c>
      <c r="F127" s="146">
        <f>(SUM($D$125:F125)*$C$111/$C$113)+(SUM($D$125:F125)*$C$112/$C$114)</f>
        <v>10282995.853570839</v>
      </c>
      <c r="G127" s="146">
        <f>(SUM($D$125:G125)*$C$111/$C$113)+(SUM($D$125:G125)*$C$112/$C$114)</f>
        <v>13682934.606812239</v>
      </c>
      <c r="H127" s="146">
        <f>(SUM($D$125:H125)*$C$111/$C$113)+(SUM($D$125:H125)*$C$112/$C$114)</f>
        <v>16831186.632712387</v>
      </c>
      <c r="I127" s="146">
        <f>(SUM($D$125:I125)*$C$111/$C$113)+(SUM($D$125:I125)*$C$112/$C$114)</f>
        <v>19744188.302722704</v>
      </c>
      <c r="J127" s="146">
        <f>(SUM($D$125:J125)*$C$111/$C$113)+(SUM($D$125:J125)*$C$112/$C$114)</f>
        <v>22437247.956463091</v>
      </c>
      <c r="K127" s="146">
        <f>(SUM($D$125:K125)*$C$111/$C$113)+(SUM($D$125:K125)*$C$112/$C$114)</f>
        <v>24924623.552173652</v>
      </c>
      <c r="L127" s="146">
        <f>(SUM($D$125:L125)*$C$111/$C$113)+(SUM($D$125:L125)*$C$112/$C$114)</f>
        <v>27219594.970985524</v>
      </c>
      <c r="M127" s="146">
        <f>(SUM($D$125:M125)*$C$111/$C$113)+(SUM($D$125:M125)*$C$112/$C$114)</f>
        <v>29411786.670379173</v>
      </c>
      <c r="N127" s="146">
        <f>(SUM($D$125:N125)*$C$111/$C$113)+(SUM($D$125:N125)*$C$112/$C$114)</f>
        <v>41968360.88345293</v>
      </c>
      <c r="O127" s="146">
        <f>(SUM($D$125:O125)*$C$111/$C$113)+(SUM($D$125:O125)*$C$112/$C$114)</f>
        <v>53947730.204893135</v>
      </c>
      <c r="P127" s="146">
        <f>(SUM($D$125:P125)*$C$111/$C$113)+(SUM($D$125:P125)*$C$112/$C$114)</f>
        <v>65368561.432707272</v>
      </c>
      <c r="Q127" s="146">
        <f>(SUM($D$125:Q125)*$C$111/$C$113)+(SUM($D$125:Q125)*$C$112/$C$114)</f>
        <v>76248843.024651319</v>
      </c>
      <c r="R127" s="146">
        <f>(SUM($D$125:R125)*$C$111/$C$113)+(SUM($D$125:R125)*$C$112/$C$114)</f>
        <v>86698075.298698068</v>
      </c>
      <c r="S127" s="146">
        <f>(SUM($D$125:S125)*$C$111/$C$113)+(SUM($D$125:S125)*$C$112/$C$114)</f>
        <v>96726866.472615138</v>
      </c>
      <c r="T127" s="146">
        <f>(SUM($D$125:T125)*$C$111/$C$113)+(SUM($D$125:T125)*$C$112/$C$114)</f>
        <v>106345522.59356627</v>
      </c>
      <c r="U127" s="146">
        <f>(SUM($D$125:U125)*$C$111/$C$113)+(SUM($D$125:U125)*$C$112/$C$114)</f>
        <v>115564056.34313524</v>
      </c>
      <c r="V127" s="146">
        <f>(SUM($D$125:V125)*$C$111/$C$113)+(SUM($D$125:V125)*$C$112/$C$114)</f>
        <v>124392195.58495547</v>
      </c>
      <c r="W127" s="146">
        <f>(SUM($D$125:W125)*$C$111/$C$113)+(SUM($D$125:W125)*$C$112/$C$114)</f>
        <v>133142595.56602386</v>
      </c>
      <c r="X127" s="146">
        <f>(SUM($D$125:X125)*$C$111/$C$113)+(SUM($D$125:X125)*$C$112/$C$114)</f>
        <v>144706562.98512059</v>
      </c>
      <c r="Y127" s="146">
        <f>(SUM($D$125:Y125)*$C$111/$C$113)+(SUM($D$125:Y125)*$C$112/$C$114)</f>
        <v>156167715.94040671</v>
      </c>
      <c r="Z127" s="146">
        <f>(SUM($D$125:Z125)*$C$111/$C$113)+(SUM($D$125:Z125)*$C$112/$C$114)</f>
        <v>167526470.83046061</v>
      </c>
      <c r="AA127" s="146">
        <f>(SUM($D$125:AA125)*$C$111/$C$113)+(SUM($D$125:AA125)*$C$112/$C$114)</f>
        <v>178783242.36744648</v>
      </c>
      <c r="AB127" s="146">
        <f>(SUM($D$125:AB125)*$C$111/$C$113)+(SUM($D$125:AB125)*$C$112/$C$114)</f>
        <v>189938443.58394423</v>
      </c>
      <c r="AC127" s="146">
        <f>(SUM($D$125:AC125)*$C$111/$C$113)+(SUM($D$125:AC125)*$C$112/$C$114)</f>
        <v>200992485.8397519</v>
      </c>
      <c r="AD127" s="146">
        <f>(SUM($D$125:AD125)*$C$111/$C$113)+(SUM($D$125:AD125)*$C$112/$C$114)</f>
        <v>211945778.82866025</v>
      </c>
      <c r="AE127" s="146">
        <f>(SUM($D$125:AE125)*$C$111/$C$113)+(SUM($D$125:AE125)*$C$112/$C$114)</f>
        <v>222798730.58520019</v>
      </c>
      <c r="AF127" s="146">
        <f>(SUM($D$125:AF125)*$C$111/$C$113)+(SUM($D$125:AF125)*$C$112/$C$114)</f>
        <v>233551747.4913629</v>
      </c>
      <c r="AG127" s="146">
        <f>(SUM($D$125:AG125)*$C$111/$C$113)+(SUM($D$125:AG125)*$C$112/$C$114)</f>
        <v>244205234.28329226</v>
      </c>
    </row>
    <row r="128" spans="1:33" s="149" customFormat="1" x14ac:dyDescent="0.35">
      <c r="A128" s="86"/>
      <c r="B128" s="86"/>
      <c r="C128" s="125"/>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row>
    <row r="129" spans="1:33" x14ac:dyDescent="0.35">
      <c r="A129" s="70" t="s">
        <v>117</v>
      </c>
      <c r="B129" s="70" t="s">
        <v>112</v>
      </c>
      <c r="C129" s="125"/>
      <c r="D129" s="73">
        <f>(SUM($D$125:D125)*$C$116)</f>
        <v>0</v>
      </c>
      <c r="E129" s="73">
        <f>(SUM($D$125:E125)*$C$116)</f>
        <v>0</v>
      </c>
      <c r="F129" s="73">
        <f>(SUM($D$125:F125)*$C$116)</f>
        <v>0</v>
      </c>
      <c r="G129" s="73">
        <f>(SUM($D$125:G125)*$C$116)</f>
        <v>0</v>
      </c>
      <c r="H129" s="73">
        <f>(SUM($D$125:H125)*$C$116)</f>
        <v>0</v>
      </c>
      <c r="I129" s="73">
        <f>(SUM($D$125:I125)*$C$116)</f>
        <v>0</v>
      </c>
      <c r="J129" s="73">
        <f>(SUM($D$125:J125)*$C$116)</f>
        <v>0</v>
      </c>
      <c r="K129" s="73">
        <f>(SUM($D$125:K125)*$C$116)</f>
        <v>0</v>
      </c>
      <c r="L129" s="73">
        <f>(SUM($D$125:L125)*$C$116)</f>
        <v>0</v>
      </c>
      <c r="M129" s="73">
        <f>(SUM($D$125:M125)*$C$116)</f>
        <v>0</v>
      </c>
      <c r="N129" s="73">
        <f>(SUM($D$125:N125)*$C$116)</f>
        <v>0</v>
      </c>
      <c r="O129" s="73">
        <f>(SUM($D$125:O125)*$C$116)</f>
        <v>0</v>
      </c>
      <c r="P129" s="73">
        <f>(SUM($D$125:P125)*$C$116)</f>
        <v>0</v>
      </c>
      <c r="Q129" s="73">
        <f>(SUM($D$125:Q125)*$C$116)</f>
        <v>0</v>
      </c>
      <c r="R129" s="73">
        <f>(SUM($D$125:R125)*$C$116)</f>
        <v>0</v>
      </c>
      <c r="S129" s="73">
        <f>(SUM($D$125:S125)*$C$116)</f>
        <v>0</v>
      </c>
      <c r="T129" s="73">
        <f>(SUM($D$125:T125)*$C$116)</f>
        <v>0</v>
      </c>
      <c r="U129" s="73">
        <f>(SUM($D$125:U125)*$C$116)</f>
        <v>0</v>
      </c>
      <c r="V129" s="73">
        <f>(SUM($D$125:V125)*$C$116)</f>
        <v>0</v>
      </c>
      <c r="W129" s="73">
        <f>(SUM($D$125:W125)*$C$116)</f>
        <v>0</v>
      </c>
      <c r="X129" s="73">
        <f>(SUM($D$125:X125)*$C$116)</f>
        <v>0</v>
      </c>
      <c r="Y129" s="73">
        <f>(SUM($D$125:Y125)*$C$116)</f>
        <v>0</v>
      </c>
      <c r="Z129" s="73">
        <f>(SUM($D$125:Z125)*$C$116)</f>
        <v>0</v>
      </c>
      <c r="AA129" s="73">
        <f>(SUM($D$125:AA125)*$C$116)</f>
        <v>0</v>
      </c>
      <c r="AB129" s="73">
        <f>(SUM($D$125:AB125)*$C$116)</f>
        <v>0</v>
      </c>
      <c r="AC129" s="73">
        <f>(SUM($D$125:AC125)*$C$116)</f>
        <v>0</v>
      </c>
      <c r="AD129" s="73">
        <f>(SUM($D$125:AD125)*$C$116)</f>
        <v>0</v>
      </c>
      <c r="AE129" s="73">
        <f>(SUM($D$125:AE125)*$C$116)</f>
        <v>0</v>
      </c>
      <c r="AF129" s="73">
        <f>(SUM($D$125:AF125)*$C$116)</f>
        <v>0</v>
      </c>
      <c r="AG129" s="73">
        <f>(SUM($D$125:AG125)*$C$116)</f>
        <v>0</v>
      </c>
    </row>
    <row r="130" spans="1:33" ht="16" thickBot="1" x14ac:dyDescent="0.4">
      <c r="A130" s="84"/>
      <c r="B130" s="84"/>
      <c r="C130" s="128"/>
      <c r="D130" s="129"/>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row>
    <row r="131" spans="1:33" s="137" customFormat="1" x14ac:dyDescent="0.35">
      <c r="A131" s="81" t="s">
        <v>67</v>
      </c>
      <c r="B131" s="81"/>
      <c r="C131" s="132"/>
      <c r="D131" s="133"/>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row>
    <row r="132" spans="1:33" s="74" customFormat="1" x14ac:dyDescent="0.35">
      <c r="A132" s="87"/>
      <c r="B132" s="87"/>
      <c r="C132" s="125"/>
      <c r="D132" s="73"/>
    </row>
    <row r="133" spans="1:33" s="74" customFormat="1" x14ac:dyDescent="0.35">
      <c r="A133" s="78" t="s">
        <v>160</v>
      </c>
      <c r="B133" s="78" t="s">
        <v>273</v>
      </c>
      <c r="C133" s="72">
        <f>'Data sheet'!O28</f>
        <v>954248.74</v>
      </c>
      <c r="D133" s="139"/>
    </row>
    <row r="134" spans="1:33" x14ac:dyDescent="0.35">
      <c r="A134" s="78" t="s">
        <v>159</v>
      </c>
      <c r="B134" s="78" t="s">
        <v>273</v>
      </c>
      <c r="C134" s="72">
        <f>'Data sheet'!S28</f>
        <v>956459</v>
      </c>
      <c r="D134" s="139"/>
      <c r="E134" s="74"/>
      <c r="F134" s="74"/>
      <c r="G134" s="74"/>
      <c r="H134" s="74"/>
      <c r="I134" s="74"/>
      <c r="J134" s="74"/>
      <c r="K134" s="74"/>
      <c r="L134" s="74"/>
      <c r="M134" s="74"/>
      <c r="N134" s="74"/>
      <c r="O134" s="74"/>
      <c r="P134" s="74"/>
      <c r="Q134" s="151"/>
      <c r="R134" s="74"/>
      <c r="S134" s="74"/>
      <c r="T134" s="74"/>
      <c r="U134" s="74"/>
      <c r="V134" s="74"/>
      <c r="W134" s="74"/>
      <c r="X134" s="74"/>
      <c r="Y134" s="74"/>
      <c r="Z134" s="74"/>
      <c r="AA134" s="74"/>
      <c r="AB134" s="74"/>
      <c r="AC134" s="74"/>
      <c r="AD134" s="74"/>
      <c r="AE134" s="74"/>
      <c r="AF134" s="74"/>
      <c r="AG134" s="74"/>
    </row>
    <row r="135" spans="1:33" x14ac:dyDescent="0.35">
      <c r="A135" s="78"/>
      <c r="B135" s="78"/>
      <c r="C135" s="125"/>
      <c r="D135" s="73"/>
      <c r="E135" s="74"/>
      <c r="F135" s="74"/>
      <c r="G135" s="74"/>
      <c r="H135" s="74"/>
      <c r="I135" s="74"/>
      <c r="J135" s="74"/>
      <c r="K135" s="74"/>
      <c r="L135" s="74"/>
      <c r="M135" s="74"/>
      <c r="N135" s="74"/>
      <c r="O135" s="74"/>
      <c r="P135" s="74"/>
      <c r="Q135" s="151"/>
      <c r="R135" s="74"/>
      <c r="S135" s="74"/>
      <c r="T135" s="74"/>
      <c r="U135" s="74"/>
      <c r="V135" s="74"/>
      <c r="W135" s="74"/>
      <c r="X135" s="74"/>
      <c r="Y135" s="74"/>
      <c r="Z135" s="74"/>
      <c r="AA135" s="74"/>
      <c r="AB135" s="74"/>
      <c r="AC135" s="74"/>
      <c r="AD135" s="74"/>
      <c r="AE135" s="74"/>
      <c r="AF135" s="74"/>
      <c r="AG135" s="74"/>
    </row>
    <row r="136" spans="1:33" x14ac:dyDescent="0.35">
      <c r="A136" s="78" t="s">
        <v>138</v>
      </c>
      <c r="B136" s="78" t="s">
        <v>112</v>
      </c>
      <c r="C136" s="72">
        <f>AVERAGE(C133:C134)</f>
        <v>955353.87</v>
      </c>
      <c r="D136" s="73"/>
      <c r="E136" s="74"/>
      <c r="F136" s="74"/>
      <c r="G136" s="74"/>
      <c r="H136" s="74"/>
      <c r="I136" s="74"/>
      <c r="J136" s="74"/>
      <c r="K136" s="74"/>
      <c r="L136" s="74"/>
      <c r="M136" s="74"/>
      <c r="N136" s="74"/>
      <c r="O136" s="74"/>
      <c r="P136" s="74"/>
      <c r="Q136" s="151"/>
      <c r="R136" s="74"/>
      <c r="S136" s="74"/>
      <c r="T136" s="74"/>
      <c r="U136" s="74"/>
      <c r="V136" s="74"/>
      <c r="W136" s="74"/>
      <c r="X136" s="74"/>
      <c r="Y136" s="74"/>
      <c r="Z136" s="74"/>
      <c r="AA136" s="74"/>
      <c r="AB136" s="74"/>
      <c r="AC136" s="74"/>
      <c r="AD136" s="74"/>
      <c r="AE136" s="74"/>
      <c r="AF136" s="74"/>
      <c r="AG136" s="74"/>
    </row>
    <row r="137" spans="1:33" x14ac:dyDescent="0.35">
      <c r="A137" s="78"/>
      <c r="B137" s="78"/>
      <c r="C137" s="125"/>
      <c r="D137" s="73"/>
      <c r="E137" s="74"/>
      <c r="F137" s="74"/>
      <c r="G137" s="74"/>
      <c r="H137" s="74"/>
      <c r="I137" s="74"/>
      <c r="J137" s="74"/>
      <c r="K137" s="74"/>
      <c r="L137" s="74"/>
      <c r="M137" s="74"/>
      <c r="N137" s="74"/>
      <c r="O137" s="74"/>
      <c r="P137" s="74"/>
      <c r="Q137" s="151"/>
      <c r="R137" s="74"/>
      <c r="S137" s="74"/>
      <c r="T137" s="74"/>
      <c r="U137" s="74"/>
      <c r="V137" s="74"/>
      <c r="W137" s="74"/>
      <c r="X137" s="74"/>
      <c r="Y137" s="74"/>
      <c r="Z137" s="74"/>
      <c r="AA137" s="74"/>
      <c r="AB137" s="74"/>
      <c r="AC137" s="74"/>
      <c r="AD137" s="74"/>
      <c r="AE137" s="74"/>
      <c r="AF137" s="74"/>
      <c r="AG137" s="74"/>
    </row>
    <row r="138" spans="1:33" x14ac:dyDescent="0.35">
      <c r="A138" s="78" t="s">
        <v>148</v>
      </c>
      <c r="B138" s="78" t="s">
        <v>147</v>
      </c>
      <c r="C138" s="125">
        <v>2.7</v>
      </c>
      <c r="D138" s="73"/>
      <c r="E138" s="74"/>
      <c r="F138" s="74"/>
      <c r="G138" s="74"/>
      <c r="H138" s="74"/>
      <c r="I138" s="74"/>
      <c r="J138" s="74"/>
      <c r="K138" s="74"/>
      <c r="L138" s="74"/>
      <c r="M138" s="74"/>
      <c r="N138" s="74"/>
      <c r="O138" s="74"/>
      <c r="P138" s="74"/>
      <c r="Q138" s="151"/>
      <c r="R138" s="74"/>
      <c r="S138" s="74"/>
      <c r="T138" s="74"/>
      <c r="U138" s="74"/>
      <c r="V138" s="74"/>
      <c r="W138" s="74"/>
      <c r="X138" s="74"/>
      <c r="Y138" s="74"/>
      <c r="Z138" s="74"/>
      <c r="AA138" s="74"/>
      <c r="AB138" s="74"/>
      <c r="AC138" s="74"/>
      <c r="AD138" s="74"/>
      <c r="AE138" s="74"/>
      <c r="AF138" s="74"/>
      <c r="AG138" s="74"/>
    </row>
    <row r="139" spans="1:33" x14ac:dyDescent="0.35">
      <c r="A139" s="78"/>
      <c r="B139" s="78"/>
      <c r="C139" s="125"/>
      <c r="D139" s="73"/>
      <c r="E139" s="74"/>
      <c r="F139" s="74"/>
      <c r="G139" s="74"/>
      <c r="H139" s="74"/>
      <c r="I139" s="74"/>
      <c r="J139" s="74"/>
      <c r="K139" s="74"/>
      <c r="L139" s="74"/>
      <c r="M139" s="74"/>
      <c r="N139" s="74"/>
      <c r="O139" s="74"/>
      <c r="P139" s="74"/>
      <c r="Q139" s="151"/>
      <c r="R139" s="74"/>
      <c r="S139" s="74"/>
      <c r="T139" s="74"/>
      <c r="U139" s="74"/>
      <c r="V139" s="74"/>
      <c r="W139" s="74"/>
      <c r="X139" s="74"/>
      <c r="Y139" s="74"/>
      <c r="Z139" s="74"/>
      <c r="AA139" s="74"/>
      <c r="AB139" s="74"/>
      <c r="AC139" s="74"/>
      <c r="AD139" s="74"/>
      <c r="AE139" s="74"/>
      <c r="AF139" s="74"/>
      <c r="AG139" s="74"/>
    </row>
    <row r="140" spans="1:33" x14ac:dyDescent="0.35">
      <c r="A140" s="78" t="s">
        <v>161</v>
      </c>
      <c r="B140" s="78" t="s">
        <v>162</v>
      </c>
      <c r="C140" s="142">
        <v>0.7</v>
      </c>
      <c r="D140" s="73"/>
      <c r="E140" s="74"/>
      <c r="F140" s="74"/>
      <c r="G140" s="74"/>
      <c r="H140" s="74"/>
      <c r="I140" s="74"/>
      <c r="J140" s="74"/>
      <c r="K140" s="74"/>
      <c r="L140" s="74"/>
      <c r="M140" s="74"/>
      <c r="N140" s="74"/>
      <c r="O140" s="74"/>
      <c r="P140" s="74"/>
      <c r="Q140" s="151"/>
      <c r="R140" s="74"/>
      <c r="S140" s="74"/>
      <c r="T140" s="74"/>
      <c r="U140" s="74"/>
      <c r="V140" s="74"/>
      <c r="W140" s="74"/>
      <c r="X140" s="74"/>
      <c r="Y140" s="74"/>
      <c r="Z140" s="74"/>
      <c r="AA140" s="74"/>
      <c r="AB140" s="74"/>
      <c r="AC140" s="74"/>
      <c r="AD140" s="74"/>
      <c r="AE140" s="74"/>
      <c r="AF140" s="74"/>
      <c r="AG140" s="74"/>
    </row>
    <row r="141" spans="1:33" x14ac:dyDescent="0.35">
      <c r="A141" s="78"/>
      <c r="B141" s="78"/>
      <c r="C141" s="125"/>
      <c r="D141" s="73"/>
      <c r="E141" s="74"/>
      <c r="F141" s="74"/>
      <c r="G141" s="74"/>
      <c r="H141" s="74"/>
      <c r="I141" s="74"/>
      <c r="J141" s="74"/>
      <c r="K141" s="74"/>
      <c r="L141" s="74"/>
      <c r="M141" s="74"/>
      <c r="N141" s="74"/>
      <c r="O141" s="74"/>
      <c r="P141" s="74"/>
      <c r="Q141" s="151"/>
      <c r="R141" s="74"/>
      <c r="S141" s="74"/>
      <c r="T141" s="74"/>
      <c r="U141" s="74"/>
      <c r="V141" s="74"/>
      <c r="W141" s="74"/>
      <c r="X141" s="74"/>
      <c r="Y141" s="74"/>
      <c r="Z141" s="74"/>
      <c r="AA141" s="74"/>
      <c r="AB141" s="74"/>
      <c r="AC141" s="74"/>
      <c r="AD141" s="74"/>
      <c r="AE141" s="74"/>
      <c r="AF141" s="74"/>
      <c r="AG141" s="74"/>
    </row>
    <row r="142" spans="1:33" ht="16" thickBot="1" x14ac:dyDescent="0.4">
      <c r="A142" s="80" t="s">
        <v>124</v>
      </c>
      <c r="B142" s="80" t="s">
        <v>112</v>
      </c>
      <c r="C142" s="152">
        <f>C136/C138</f>
        <v>353834.76666666666</v>
      </c>
      <c r="D142" s="153">
        <f t="shared" ref="D142:AG142" si="20">$C$142*D13</f>
        <v>359396.28032831009</v>
      </c>
      <c r="E142" s="153">
        <f t="shared" si="20"/>
        <v>365045.20889974333</v>
      </c>
      <c r="F142" s="153">
        <f t="shared" si="20"/>
        <v>370782.92635339865</v>
      </c>
      <c r="G142" s="153">
        <f t="shared" si="20"/>
        <v>376610.82825756969</v>
      </c>
      <c r="H142" s="153">
        <f t="shared" si="20"/>
        <v>382530.33211585082</v>
      </c>
      <c r="I142" s="153">
        <f t="shared" si="20"/>
        <v>388542.87771191285</v>
      </c>
      <c r="J142" s="153">
        <f t="shared" si="20"/>
        <v>394649.92745969736</v>
      </c>
      <c r="K142" s="153">
        <f t="shared" si="20"/>
        <v>400852.96675911528</v>
      </c>
      <c r="L142" s="153">
        <f t="shared" si="20"/>
        <v>407153.50435733638</v>
      </c>
      <c r="M142" s="153">
        <f t="shared" si="20"/>
        <v>413553.07271575759</v>
      </c>
      <c r="N142" s="153">
        <f t="shared" si="20"/>
        <v>420053.22838273871</v>
      </c>
      <c r="O142" s="153">
        <f t="shared" si="20"/>
        <v>426655.55237219803</v>
      </c>
      <c r="P142" s="153">
        <f t="shared" si="20"/>
        <v>433361.65054815647</v>
      </c>
      <c r="Q142" s="153">
        <f t="shared" si="20"/>
        <v>440173.15401532821</v>
      </c>
      <c r="R142" s="153">
        <f t="shared" si="20"/>
        <v>447091.71951584925</v>
      </c>
      <c r="S142" s="153">
        <f t="shared" si="20"/>
        <v>454119.029832242</v>
      </c>
      <c r="T142" s="153">
        <f t="shared" si="20"/>
        <v>461256.79419671308</v>
      </c>
      <c r="U142" s="153">
        <f t="shared" si="20"/>
        <v>468506.74870688579</v>
      </c>
      <c r="V142" s="153">
        <f t="shared" si="20"/>
        <v>475870.65674806508</v>
      </c>
      <c r="W142" s="153">
        <f t="shared" si="20"/>
        <v>483350.30942214176</v>
      </c>
      <c r="X142" s="153">
        <f t="shared" si="20"/>
        <v>490947.5259832358</v>
      </c>
      <c r="Y142" s="153">
        <f t="shared" si="20"/>
        <v>498664.1542801889</v>
      </c>
      <c r="Z142" s="153">
        <f t="shared" si="20"/>
        <v>506502.0712060114</v>
      </c>
      <c r="AA142" s="153">
        <f t="shared" si="20"/>
        <v>514463.18315439339</v>
      </c>
      <c r="AB142" s="153">
        <f t="shared" si="20"/>
        <v>522549.42648339091</v>
      </c>
      <c r="AC142" s="153">
        <f t="shared" si="20"/>
        <v>530762.76798640133</v>
      </c>
      <c r="AD142" s="153">
        <f t="shared" si="20"/>
        <v>539105.20537054015</v>
      </c>
      <c r="AE142" s="153">
        <f t="shared" si="20"/>
        <v>547578.76774253824</v>
      </c>
      <c r="AF142" s="153">
        <f t="shared" si="20"/>
        <v>556185.51610227453</v>
      </c>
      <c r="AG142" s="153">
        <f t="shared" si="20"/>
        <v>564927.54384406796</v>
      </c>
    </row>
    <row r="144" spans="1:33" customFormat="1" x14ac:dyDescent="0.35">
      <c r="C144" s="37"/>
    </row>
    <row r="145" spans="3:33" customFormat="1" x14ac:dyDescent="0.35">
      <c r="C145" s="37"/>
    </row>
    <row r="146" spans="3:33" customFormat="1" x14ac:dyDescent="0.35">
      <c r="C146" s="37"/>
    </row>
    <row r="147" spans="3:33" customFormat="1" x14ac:dyDescent="0.35">
      <c r="C147" s="37"/>
    </row>
    <row r="148" spans="3:33" customFormat="1" x14ac:dyDescent="0.35">
      <c r="C148" s="37"/>
    </row>
    <row r="153" spans="3:33" x14ac:dyDescent="0.35">
      <c r="D153" s="154"/>
    </row>
    <row r="160" spans="3:33" x14ac:dyDescent="0.3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row>
    <row r="163" spans="4:33" x14ac:dyDescent="0.35">
      <c r="D163" s="156"/>
    </row>
    <row r="166" spans="4:33" x14ac:dyDescent="0.35">
      <c r="D166" s="157"/>
    </row>
    <row r="169" spans="4:33" x14ac:dyDescent="0.35">
      <c r="D169" s="154"/>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row>
    <row r="170" spans="4:33" x14ac:dyDescent="0.35">
      <c r="D170" s="154"/>
    </row>
    <row r="173" spans="4:33" x14ac:dyDescent="0.35">
      <c r="M173" s="159"/>
    </row>
    <row r="181" spans="4:4" x14ac:dyDescent="0.35">
      <c r="D181" s="160"/>
    </row>
    <row r="182" spans="4:4" x14ac:dyDescent="0.35">
      <c r="D182" s="160"/>
    </row>
    <row r="183" spans="4:4" x14ac:dyDescent="0.35">
      <c r="D183" s="154"/>
    </row>
    <row r="184" spans="4:4" x14ac:dyDescent="0.35">
      <c r="D184" s="154"/>
    </row>
    <row r="186" spans="4:4" x14ac:dyDescent="0.35">
      <c r="D186" s="161"/>
    </row>
    <row r="187" spans="4:4" x14ac:dyDescent="0.35">
      <c r="D187" s="160"/>
    </row>
    <row r="188" spans="4:4" x14ac:dyDescent="0.35">
      <c r="D188" s="160"/>
    </row>
    <row r="193" spans="4:4" x14ac:dyDescent="0.35">
      <c r="D193" s="162"/>
    </row>
    <row r="202" spans="4:4" x14ac:dyDescent="0.35">
      <c r="D202" s="154"/>
    </row>
  </sheetData>
  <mergeCells count="1">
    <mergeCell ref="D3:A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4" bestFit="1" customWidth="1"/>
    <col min="2" max="2" width="24.5" style="64" bestFit="1" customWidth="1"/>
    <col min="3" max="3" width="22" style="64" bestFit="1" customWidth="1"/>
    <col min="4" max="4" width="5.4140625" style="64" customWidth="1"/>
    <col min="5" max="5" width="14.08203125" style="64" bestFit="1" customWidth="1"/>
    <col min="6" max="8" width="19.75" style="64" bestFit="1" customWidth="1"/>
    <col min="9" max="9" width="17.9140625" style="64" bestFit="1" customWidth="1"/>
    <col min="10" max="12" width="17.4140625" style="64" bestFit="1" customWidth="1"/>
    <col min="13" max="13" width="13.25" style="64" bestFit="1" customWidth="1"/>
    <col min="14" max="15" width="17.4140625" style="64" bestFit="1" customWidth="1"/>
    <col min="16" max="16" width="13" style="64" customWidth="1"/>
    <col min="17" max="24" width="17.4140625" style="64" bestFit="1" customWidth="1"/>
    <col min="25" max="33" width="16.58203125" style="64" bestFit="1" customWidth="1"/>
    <col min="34" max="34" width="19.83203125" style="64" bestFit="1" customWidth="1"/>
    <col min="35" max="35" width="12.6640625" style="64" customWidth="1"/>
    <col min="36" max="16384" width="12.6640625" style="64"/>
  </cols>
  <sheetData>
    <row r="1" spans="1:35" ht="26" x14ac:dyDescent="0.6">
      <c r="A1" s="13" t="s">
        <v>30</v>
      </c>
    </row>
    <row r="2" spans="1:35" ht="16" thickBot="1" x14ac:dyDescent="0.4"/>
    <row r="3" spans="1:35" s="15" customFormat="1" ht="21.5" thickBot="1" x14ac:dyDescent="0.55000000000000004">
      <c r="A3" s="50" t="s">
        <v>25</v>
      </c>
      <c r="B3" s="51" t="s">
        <v>34</v>
      </c>
      <c r="C3" s="33"/>
      <c r="D3" s="52"/>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8"/>
    </row>
    <row r="4" spans="1:35" s="16" customFormat="1" ht="21.5" thickBot="1" x14ac:dyDescent="0.55000000000000004">
      <c r="A4" s="53" t="s">
        <v>130</v>
      </c>
      <c r="B4" s="35"/>
      <c r="C4" s="34"/>
      <c r="D4" s="54"/>
      <c r="E4" s="66">
        <v>0.15</v>
      </c>
      <c r="F4" s="66">
        <v>0.1</v>
      </c>
      <c r="G4" s="66">
        <v>0.08</v>
      </c>
      <c r="H4" s="66">
        <v>0.06</v>
      </c>
      <c r="I4" s="66">
        <v>0.03</v>
      </c>
      <c r="J4" s="66">
        <v>2.5399999999999999E-2</v>
      </c>
      <c r="K4" s="66">
        <v>2.1999999999999999E-2</v>
      </c>
      <c r="L4" s="66">
        <v>2.1999999999999999E-2</v>
      </c>
      <c r="M4" s="66">
        <v>2.1999999999999999E-2</v>
      </c>
      <c r="N4" s="66">
        <v>2.1999999999999999E-2</v>
      </c>
      <c r="O4" s="66">
        <v>2.1999999999999999E-2</v>
      </c>
      <c r="P4" s="66">
        <v>2.1999999999999999E-2</v>
      </c>
      <c r="Q4" s="66">
        <v>2.1999999999999999E-2</v>
      </c>
      <c r="R4" s="66">
        <v>2.1999999999999999E-2</v>
      </c>
      <c r="S4" s="66">
        <v>2.1999999999999999E-2</v>
      </c>
      <c r="T4" s="66">
        <v>2.1999999999999999E-2</v>
      </c>
      <c r="U4" s="66">
        <v>2.1999999999999999E-2</v>
      </c>
      <c r="V4" s="66">
        <v>2.1999999999999999E-2</v>
      </c>
      <c r="W4" s="66">
        <v>2.1999999999999999E-2</v>
      </c>
      <c r="X4" s="66">
        <v>2.1999999999999999E-2</v>
      </c>
      <c r="Y4" s="66">
        <v>2.1999999999999999E-2</v>
      </c>
      <c r="Z4" s="66">
        <v>2.1999999999999999E-2</v>
      </c>
      <c r="AA4" s="66">
        <v>2.1999999999999999E-2</v>
      </c>
      <c r="AB4" s="66">
        <v>2.1999999999999999E-2</v>
      </c>
      <c r="AC4" s="66">
        <v>2.1999999999999999E-2</v>
      </c>
      <c r="AD4" s="66">
        <v>2.1999999999999999E-2</v>
      </c>
      <c r="AE4" s="66">
        <v>2.1999999999999999E-2</v>
      </c>
      <c r="AF4" s="66">
        <v>2.1999999999999999E-2</v>
      </c>
      <c r="AG4" s="66">
        <v>2.1999999999999999E-2</v>
      </c>
      <c r="AH4" s="66">
        <v>2.1999999999999999E-2</v>
      </c>
      <c r="AI4" s="59"/>
    </row>
    <row r="5" spans="1:35" s="16" customFormat="1" ht="21.5" thickBot="1" x14ac:dyDescent="0.55000000000000004">
      <c r="A5" s="55"/>
      <c r="B5" s="36"/>
      <c r="C5" s="63"/>
      <c r="D5" s="56"/>
      <c r="E5" s="47"/>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8"/>
    </row>
    <row r="6" spans="1:35" s="65" customFormat="1" ht="21" x14ac:dyDescent="0.5">
      <c r="A6" s="24" t="s">
        <v>55</v>
      </c>
      <c r="B6" s="69">
        <f ca="1">MAX(E6:AH6)</f>
        <v>6.4479366005464449</v>
      </c>
      <c r="C6" s="25"/>
      <c r="D6" s="25"/>
      <c r="E6" s="27">
        <f>'Debt worksheet'!C5/'Profit and Loss'!C5</f>
        <v>1.619941571100741</v>
      </c>
      <c r="F6" s="28">
        <f ca="1">'Debt worksheet'!D5/'Profit and Loss'!D5</f>
        <v>3.1153420958854694</v>
      </c>
      <c r="G6" s="28">
        <f ca="1">'Debt worksheet'!E5/'Profit and Loss'!E5</f>
        <v>3.3622281768408344</v>
      </c>
      <c r="H6" s="28">
        <f ca="1">'Debt worksheet'!F5/'Profit and Loss'!F5</f>
        <v>3.5750473325346852</v>
      </c>
      <c r="I6" s="28">
        <f ca="1">'Debt worksheet'!G5/'Profit and Loss'!G5</f>
        <v>3.8285709309923024</v>
      </c>
      <c r="J6" s="28">
        <f ca="1">'Debt worksheet'!H5/'Profit and Loss'!H5</f>
        <v>4.0218352875307746</v>
      </c>
      <c r="K6" s="28">
        <f ca="1">'Debt worksheet'!I5/'Profit and Loss'!I5</f>
        <v>4.040785242086451</v>
      </c>
      <c r="L6" s="28">
        <f ca="1">'Debt worksheet'!J5/'Profit and Loss'!J5</f>
        <v>4.0045302097416888</v>
      </c>
      <c r="M6" s="28">
        <f ca="1">'Debt worksheet'!K5/'Profit and Loss'!K5</f>
        <v>3.9170296036345151</v>
      </c>
      <c r="N6" s="28">
        <f ca="1">'Debt worksheet'!L5/'Profit and Loss'!L5</f>
        <v>3.7819157221523532</v>
      </c>
      <c r="O6" s="28">
        <f ca="1">'Debt worksheet'!M5/'Profit and Loss'!M5</f>
        <v>3.6167250442972327</v>
      </c>
      <c r="P6" s="28">
        <f ca="1">'Debt worksheet'!N5/'Profit and Loss'!N5</f>
        <v>4.0008508968844785</v>
      </c>
      <c r="Q6" s="28">
        <f ca="1">'Debt worksheet'!O5/'Profit and Loss'!O5</f>
        <v>4.3337064538523098</v>
      </c>
      <c r="R6" s="28">
        <f ca="1">'Debt worksheet'!P5/'Profit and Loss'!P5</f>
        <v>4.6171040701805408</v>
      </c>
      <c r="S6" s="28">
        <f ca="1">'Debt worksheet'!Q5/'Profit and Loss'!Q5</f>
        <v>4.8527853672584929</v>
      </c>
      <c r="T6" s="28">
        <f ca="1">'Debt worksheet'!R5/'Profit and Loss'!R5</f>
        <v>5.0487330039114768</v>
      </c>
      <c r="U6" s="28">
        <f ca="1">'Debt worksheet'!S5/'Profit and Loss'!S5</f>
        <v>5.2060392666571413</v>
      </c>
      <c r="V6" s="28">
        <f ca="1">'Debt worksheet'!T5/'Profit and Loss'!T5</f>
        <v>5.3257668849853683</v>
      </c>
      <c r="W6" s="28">
        <f ca="1">'Debt worksheet'!U5/'Profit and Loss'!U5</f>
        <v>5.4089498618045448</v>
      </c>
      <c r="X6" s="28">
        <f ca="1">'Debt worksheet'!V5/'Profit and Loss'!V5</f>
        <v>5.456594280709762</v>
      </c>
      <c r="Y6" s="28">
        <f ca="1">'Debt worksheet'!W5/'Profit and Loss'!W5</f>
        <v>5.491698823799771</v>
      </c>
      <c r="Z6" s="28">
        <f ca="1">'Debt worksheet'!X5/'Profit and Loss'!X5</f>
        <v>5.650845116077984</v>
      </c>
      <c r="AA6" s="28">
        <f ca="1">'Debt worksheet'!Y5/'Profit and Loss'!Y5</f>
        <v>5.7968168385551841</v>
      </c>
      <c r="AB6" s="28">
        <f ca="1">'Debt worksheet'!Z5/'Profit and Loss'!Z5</f>
        <v>5.9295792701974932</v>
      </c>
      <c r="AC6" s="28">
        <f ca="1">'Debt worksheet'!AA5/'Profit and Loss'!AA5</f>
        <v>6.0491069976127632</v>
      </c>
      <c r="AD6" s="28">
        <f ca="1">'Debt worksheet'!AB5/'Profit and Loss'!AB5</f>
        <v>6.1553835048362684</v>
      </c>
      <c r="AE6" s="28">
        <f ca="1">'Debt worksheet'!AC5/'Profit and Loss'!AC5</f>
        <v>6.2484007769854735</v>
      </c>
      <c r="AF6" s="28">
        <f ca="1">'Debt worksheet'!AD5/'Profit and Loss'!AD5</f>
        <v>6.3281589173661459</v>
      </c>
      <c r="AG6" s="28">
        <f ca="1">'Debt worksheet'!AE5/'Profit and Loss'!AE5</f>
        <v>6.3946657776238629</v>
      </c>
      <c r="AH6" s="28">
        <f ca="1">'Debt worksheet'!AF5/'Profit and Loss'!AF5</f>
        <v>6.4479366005464449</v>
      </c>
      <c r="AI6" s="31"/>
    </row>
    <row r="7" spans="1:35" ht="21" x14ac:dyDescent="0.5">
      <c r="A7" s="19" t="s">
        <v>38</v>
      </c>
      <c r="B7" s="26">
        <f ca="1">MIN('Price and Financial ratios'!E7:AH7)</f>
        <v>0.10060106349609653</v>
      </c>
      <c r="C7" s="26"/>
      <c r="D7" s="26"/>
      <c r="E7" s="57">
        <f ca="1">'Cash Flow'!C7/'Debt worksheet'!C5</f>
        <v>0.17434290921948939</v>
      </c>
      <c r="F7" s="32">
        <f ca="1">'Cash Flow'!D7/'Debt worksheet'!D5</f>
        <v>0.10296867349872912</v>
      </c>
      <c r="G7" s="32">
        <f ca="1">'Cash Flow'!E7/'Debt worksheet'!E5</f>
        <v>0.10346098297844999</v>
      </c>
      <c r="H7" s="32">
        <f ca="1">'Cash Flow'!F7/'Debt worksheet'!F5</f>
        <v>0.10180416222403245</v>
      </c>
      <c r="I7" s="32">
        <f ca="1">'Cash Flow'!G7/'Debt worksheet'!G5</f>
        <v>0.10527543753049054</v>
      </c>
      <c r="J7" s="32">
        <f ca="1">'Cash Flow'!H7/'Debt worksheet'!H5</f>
        <v>0.12498767917139308</v>
      </c>
      <c r="K7" s="32">
        <f ca="1">'Cash Flow'!I7/'Debt worksheet'!I5</f>
        <v>0.13308039966844948</v>
      </c>
      <c r="L7" s="32">
        <f ca="1">'Cash Flow'!J7/'Debt worksheet'!J5</f>
        <v>0.14279597765089994</v>
      </c>
      <c r="M7" s="17">
        <f ca="1">'Cash Flow'!K7/'Debt worksheet'!K5</f>
        <v>0.15446518002688353</v>
      </c>
      <c r="N7" s="17">
        <f ca="1">'Cash Flow'!L7/'Debt worksheet'!L5</f>
        <v>0.16581550993634392</v>
      </c>
      <c r="O7" s="17">
        <f ca="1">'Cash Flow'!M7/'Debt worksheet'!M5</f>
        <v>0.17375844796051021</v>
      </c>
      <c r="P7" s="17">
        <f ca="1">'Cash Flow'!N7/'Debt worksheet'!N5</f>
        <v>0.15769489656061778</v>
      </c>
      <c r="Q7" s="17">
        <f ca="1">'Cash Flow'!O7/'Debt worksheet'!O5</f>
        <v>0.14641133692263661</v>
      </c>
      <c r="R7" s="17">
        <f ca="1">'Cash Flow'!P7/'Debt worksheet'!P5</f>
        <v>0.1384371752307097</v>
      </c>
      <c r="S7" s="17">
        <f ca="1">'Cash Flow'!Q7/'Debt worksheet'!Q5</f>
        <v>0.13253312948229004</v>
      </c>
      <c r="T7" s="17">
        <f ca="1">'Cash Flow'!R7/'Debt worksheet'!R5</f>
        <v>0.12836911212972826</v>
      </c>
      <c r="U7" s="17">
        <f ca="1">'Cash Flow'!S7/'Debt worksheet'!S5</f>
        <v>0.12562317545893661</v>
      </c>
      <c r="V7" s="17">
        <f ca="1">'Cash Flow'!T7/'Debt worksheet'!T5</f>
        <v>0.1240815010970357</v>
      </c>
      <c r="W7" s="17">
        <f ca="1">'Cash Flow'!U7/'Debt worksheet'!U5</f>
        <v>0.12360483120253264</v>
      </c>
      <c r="X7" s="17">
        <f ca="1">'Cash Flow'!V7/'Debt worksheet'!V5</f>
        <v>0.12259053033889056</v>
      </c>
      <c r="Y7" s="17">
        <f ca="1">'Cash Flow'!W7/'Debt worksheet'!W5</f>
        <v>0.12104959615501806</v>
      </c>
      <c r="Z7" s="17">
        <f ca="1">'Cash Flow'!X7/'Debt worksheet'!X5</f>
        <v>0.11698801445432816</v>
      </c>
      <c r="AA7" s="17">
        <f ca="1">'Cash Flow'!Y7/'Debt worksheet'!Y5</f>
        <v>0.11348775871922609</v>
      </c>
      <c r="AB7" s="17">
        <f ca="1">'Cash Flow'!Z7/'Debt worksheet'!Z5</f>
        <v>0.11048485003743207</v>
      </c>
      <c r="AC7" s="17">
        <f ca="1">'Cash Flow'!AA7/'Debt worksheet'!AA5</f>
        <v>0.10792742698499315</v>
      </c>
      <c r="AD7" s="17">
        <f ca="1">'Cash Flow'!AB7/'Debt worksheet'!AB5</f>
        <v>0.10577337704033693</v>
      </c>
      <c r="AE7" s="17">
        <f ca="1">'Cash Flow'!AC7/'Debt worksheet'!AC5</f>
        <v>0.10398855027302338</v>
      </c>
      <c r="AF7" s="17">
        <f ca="1">'Cash Flow'!AD7/'Debt worksheet'!AD5</f>
        <v>0.10254540336646172</v>
      </c>
      <c r="AG7" s="17">
        <f ca="1">'Cash Flow'!AE7/'Debt worksheet'!AE5</f>
        <v>0.10142196735437423</v>
      </c>
      <c r="AH7" s="17">
        <f ca="1">'Cash Flow'!AF7/'Debt worksheet'!AF5</f>
        <v>0.10060106349609653</v>
      </c>
      <c r="AI7" s="29"/>
    </row>
    <row r="8" spans="1:35" ht="21" x14ac:dyDescent="0.5">
      <c r="A8" s="19" t="s">
        <v>33</v>
      </c>
      <c r="B8" s="26">
        <f ca="1">MAX('Price and Financial ratios'!E8:AH8)</f>
        <v>0.55277774238078303</v>
      </c>
      <c r="C8" s="26"/>
      <c r="D8" s="172"/>
      <c r="E8" s="17">
        <f>'Balance Sheet'!B11/'Balance Sheet'!B8</f>
        <v>8.2778002613624113E-2</v>
      </c>
      <c r="F8" s="17">
        <f ca="1">'Balance Sheet'!C11/'Balance Sheet'!C8</f>
        <v>0.18171450266745967</v>
      </c>
      <c r="G8" s="17">
        <f ca="1">'Balance Sheet'!D11/'Balance Sheet'!D8</f>
        <v>0.2124927539992581</v>
      </c>
      <c r="H8" s="17">
        <f ca="1">'Balance Sheet'!E11/'Balance Sheet'!E8</f>
        <v>0.24029890400859891</v>
      </c>
      <c r="I8" s="17">
        <f ca="1">'Balance Sheet'!F11/'Balance Sheet'!F8</f>
        <v>0.26596237808834589</v>
      </c>
      <c r="J8" s="17">
        <f ca="1">'Balance Sheet'!G11/'Balance Sheet'!G8</f>
        <v>0.28776055082814911</v>
      </c>
      <c r="K8" s="17">
        <f ca="1">'Balance Sheet'!H11/'Balance Sheet'!H8</f>
        <v>0.29708741501526376</v>
      </c>
      <c r="L8" s="17">
        <f ca="1">'Balance Sheet'!I11/'Balance Sheet'!I8</f>
        <v>0.30282469816480473</v>
      </c>
      <c r="M8" s="17">
        <f ca="1">'Balance Sheet'!J11/'Balance Sheet'!J8</f>
        <v>0.3049363357449757</v>
      </c>
      <c r="N8" s="17">
        <f ca="1">'Balance Sheet'!K11/'Balance Sheet'!K8</f>
        <v>0.30335803016039076</v>
      </c>
      <c r="O8" s="17">
        <f ca="1">'Balance Sheet'!L11/'Balance Sheet'!L8</f>
        <v>0.29940306678382456</v>
      </c>
      <c r="P8" s="17">
        <f ca="1">'Balance Sheet'!M11/'Balance Sheet'!M8</f>
        <v>0.32675989308910292</v>
      </c>
      <c r="Q8" s="17">
        <f ca="1">'Balance Sheet'!N11/'Balance Sheet'!N8</f>
        <v>0.35059508105510423</v>
      </c>
      <c r="R8" s="17">
        <f ca="1">'Balance Sheet'!O11/'Balance Sheet'!O8</f>
        <v>0.37131418504919117</v>
      </c>
      <c r="S8" s="17">
        <f ca="1">'Balance Sheet'!P11/'Balance Sheet'!P8</f>
        <v>0.38922321592752879</v>
      </c>
      <c r="T8" s="17">
        <f ca="1">'Balance Sheet'!Q11/'Balance Sheet'!Q8</f>
        <v>0.40490473611965028</v>
      </c>
      <c r="U8" s="17">
        <f ca="1">'Balance Sheet'!R11/'Balance Sheet'!R8</f>
        <v>0.41848571348254215</v>
      </c>
      <c r="V8" s="17">
        <f ca="1">'Balance Sheet'!S11/'Balance Sheet'!S8</f>
        <v>0.43005401152860995</v>
      </c>
      <c r="W8" s="17">
        <f ca="1">'Balance Sheet'!T11/'Balance Sheet'!T8</f>
        <v>0.43966453493636298</v>
      </c>
      <c r="X8" s="17">
        <f ca="1">'Balance Sheet'!U11/'Balance Sheet'!U8</f>
        <v>0.44735629647791014</v>
      </c>
      <c r="Y8" s="17">
        <f ca="1">'Balance Sheet'!V11/'Balance Sheet'!V8</f>
        <v>0.45455939366036069</v>
      </c>
      <c r="Z8" s="17">
        <f ca="1">'Balance Sheet'!W11/'Balance Sheet'!W8</f>
        <v>0.46752063497438912</v>
      </c>
      <c r="AA8" s="17">
        <f ca="1">'Balance Sheet'!X11/'Balance Sheet'!X8</f>
        <v>0.47996716799521816</v>
      </c>
      <c r="AB8" s="17">
        <f ca="1">'Balance Sheet'!Y11/'Balance Sheet'!Y8</f>
        <v>0.49190663743828655</v>
      </c>
      <c r="AC8" s="17">
        <f ca="1">'Balance Sheet'!Z11/'Balance Sheet'!Z8</f>
        <v>0.5033420040698724</v>
      </c>
      <c r="AD8" s="17">
        <f ca="1">'Balance Sheet'!AA11/'Balance Sheet'!AA8</f>
        <v>0.51427195576954254</v>
      </c>
      <c r="AE8" s="17">
        <f ca="1">'Balance Sheet'!AB11/'Balance Sheet'!AB8</f>
        <v>0.52469122769394894</v>
      </c>
      <c r="AF8" s="17">
        <f ca="1">'Balance Sheet'!AC11/'Balance Sheet'!AC8</f>
        <v>0.53459084737325624</v>
      </c>
      <c r="AG8" s="17">
        <f ca="1">'Balance Sheet'!AD11/'Balance Sheet'!AD8</f>
        <v>0.54395831699526997</v>
      </c>
      <c r="AH8" s="17">
        <f ca="1">'Balance Sheet'!AE11/'Balance Sheet'!AE8</f>
        <v>0.55277774238078303</v>
      </c>
      <c r="AI8" s="29"/>
    </row>
    <row r="9" spans="1:35" ht="21.5" thickBot="1" x14ac:dyDescent="0.55000000000000004">
      <c r="A9" s="20" t="s">
        <v>32</v>
      </c>
      <c r="B9" s="21">
        <f ca="1">MIN('Price and Financial ratios'!E9:AH9)</f>
        <v>3.3182704059279295</v>
      </c>
      <c r="C9" s="21"/>
      <c r="D9" s="173"/>
      <c r="E9" s="21">
        <f ca="1">('Cash Flow'!C7+'Profit and Loss'!C8)/('Profit and Loss'!C8)</f>
        <v>3.3182704059279295</v>
      </c>
      <c r="F9" s="21">
        <f ca="1">('Cash Flow'!D7+'Profit and Loss'!D8)/('Profit and Loss'!D8)</f>
        <v>3.4849565724799438</v>
      </c>
      <c r="G9" s="21">
        <f ca="1">('Cash Flow'!E7+'Profit and Loss'!E8)/('Profit and Loss'!E8)</f>
        <v>3.5821115664598313</v>
      </c>
      <c r="H9" s="21">
        <f ca="1">('Cash Flow'!F7+'Profit and Loss'!F8)/('Profit and Loss'!F8)</f>
        <v>3.5961649891932557</v>
      </c>
      <c r="I9" s="21">
        <f ca="1">('Cash Flow'!G7+'Profit and Loss'!G8)/('Profit and Loss'!G8)</f>
        <v>3.749191800699156</v>
      </c>
      <c r="J9" s="21">
        <f ca="1">('Cash Flow'!H7+'Profit and Loss'!H8)/('Profit and Loss'!H8)</f>
        <v>4.4239995571890445</v>
      </c>
      <c r="K9" s="21">
        <f ca="1">('Cash Flow'!I7+'Profit and Loss'!I8)/('Profit and Loss'!I8)</f>
        <v>4.6960367135332302</v>
      </c>
      <c r="L9" s="21">
        <f ca="1">('Cash Flow'!J7+'Profit and Loss'!J8)/('Profit and Loss'!J8)</f>
        <v>5.0180809280061576</v>
      </c>
      <c r="M9" s="21">
        <f ca="1">('Cash Flow'!K7+'Profit and Loss'!K8)/('Profit and Loss'!K8)</f>
        <v>5.4033538566787573</v>
      </c>
      <c r="N9" s="21">
        <f ca="1">('Cash Flow'!L7+'Profit and Loss'!L8)/('Profit and Loss'!L8)</f>
        <v>5.7723192535343131</v>
      </c>
      <c r="O9" s="21">
        <f ca="1">('Cash Flow'!M7+'Profit and Loss'!M8)/('Profit and Loss'!M8)</f>
        <v>5.3233166027165089</v>
      </c>
      <c r="P9" s="21">
        <f ca="1">('Cash Flow'!N7+'Profit and Loss'!N8)/('Profit and Loss'!N8)</f>
        <v>5.0069922201560288</v>
      </c>
      <c r="Q9" s="21">
        <f ca="1">('Cash Flow'!O7+'Profit and Loss'!O8)/('Profit and Loss'!O8)</f>
        <v>4.7824440995577504</v>
      </c>
      <c r="R9" s="21">
        <f ca="1">('Cash Flow'!P7+'Profit and Loss'!P8)/('Profit and Loss'!P8)</f>
        <v>4.6252611279479083</v>
      </c>
      <c r="S9" s="21">
        <f ca="1">('Cash Flow'!Q7+'Profit and Loss'!Q8)/('Profit and Loss'!Q8)</f>
        <v>4.5062357796921981</v>
      </c>
      <c r="T9" s="21">
        <f ca="1">('Cash Flow'!R7+'Profit and Loss'!R8)/('Profit and Loss'!R8)</f>
        <v>4.4264428065432311</v>
      </c>
      <c r="U9" s="21">
        <f ca="1">('Cash Flow'!S7+'Profit and Loss'!S8)/('Profit and Loss'!S8)</f>
        <v>4.3798936766089875</v>
      </c>
      <c r="V9" s="21">
        <f ca="1">('Cash Flow'!T7+'Profit and Loss'!T8)/('Profit and Loss'!T8)</f>
        <v>4.3626697798274536</v>
      </c>
      <c r="W9" s="21">
        <f ca="1">('Cash Flow'!U7+'Profit and Loss'!U8)/('Profit and Loss'!U8)</f>
        <v>4.3723661630329298</v>
      </c>
      <c r="X9" s="21">
        <f ca="1">('Cash Flow'!V7+'Profit and Loss'!V8)/('Profit and Loss'!V8)</f>
        <v>4.3525854871076586</v>
      </c>
      <c r="Y9" s="21">
        <f ca="1">('Cash Flow'!W7+'Profit and Loss'!W8)/('Profit and Loss'!W8)</f>
        <v>4.2379089897431497</v>
      </c>
      <c r="Z9" s="21">
        <f ca="1">('Cash Flow'!X7+'Profit and Loss'!X8)/('Profit and Loss'!X8)</f>
        <v>4.1388689264304839</v>
      </c>
      <c r="AA9" s="21">
        <f ca="1">('Cash Flow'!Y7+'Profit and Loss'!Y8)/('Profit and Loss'!Y8)</f>
        <v>4.0536742224503746</v>
      </c>
      <c r="AB9" s="21">
        <f ca="1">('Cash Flow'!Z7+'Profit and Loss'!Z8)/('Profit and Loss'!Z8)</f>
        <v>3.980872005283246</v>
      </c>
      <c r="AC9" s="21">
        <f ca="1">('Cash Flow'!AA7+'Profit and Loss'!AA8)/('Profit and Loss'!AA8)</f>
        <v>3.9192813886934652</v>
      </c>
      <c r="AD9" s="21">
        <f ca="1">('Cash Flow'!AB7+'Profit and Loss'!AB8)/('Profit and Loss'!AB8)</f>
        <v>3.8679435179025181</v>
      </c>
      <c r="AE9" s="21">
        <f ca="1">('Cash Flow'!AC7+'Profit and Loss'!AC8)/('Profit and Loss'!AC8)</f>
        <v>3.8260836297624108</v>
      </c>
      <c r="AF9" s="21">
        <f ca="1">('Cash Flow'!AD7+'Profit and Loss'!AD8)/('Profit and Loss'!AD8)</f>
        <v>3.7930821477468291</v>
      </c>
      <c r="AG9" s="21">
        <f ca="1">('Cash Flow'!AE7+'Profit and Loss'!AE8)/('Profit and Loss'!AE8)</f>
        <v>3.7684526986015645</v>
      </c>
      <c r="AH9" s="21">
        <f ca="1">('Cash Flow'!AF7+'Profit and Loss'!AF8)/('Profit and Loss'!AF8)</f>
        <v>3.7518255432900665</v>
      </c>
      <c r="AI9" s="30"/>
    </row>
    <row r="11" spans="1:35" ht="26" x14ac:dyDescent="0.6">
      <c r="A11" s="13"/>
      <c r="E11" s="40"/>
    </row>
    <row r="12" spans="1:35" x14ac:dyDescent="0.35">
      <c r="A12" s="14"/>
      <c r="E12" s="40"/>
    </row>
    <row r="13" spans="1:35" ht="18.5" x14ac:dyDescent="0.45">
      <c r="A13" s="88"/>
      <c r="B13" s="89"/>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9"/>
      <c r="AG13" s="49"/>
      <c r="AH13" s="49"/>
    </row>
    <row r="14" spans="1:35" ht="18.5" x14ac:dyDescent="0.45">
      <c r="A14" s="89"/>
      <c r="B14" s="8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row>
    <row r="15" spans="1:35" ht="18.5" x14ac:dyDescent="0.45">
      <c r="A15" s="89"/>
      <c r="B15" s="90"/>
      <c r="E15" s="40"/>
    </row>
    <row r="16" spans="1:35" ht="18.5" x14ac:dyDescent="0.45">
      <c r="A16" s="89"/>
      <c r="B16" s="91"/>
      <c r="E16" s="40"/>
    </row>
    <row r="17" spans="1:5" ht="18.5" x14ac:dyDescent="0.45">
      <c r="A17" s="89"/>
      <c r="B17" s="92"/>
      <c r="E17" s="40"/>
    </row>
    <row r="18" spans="1:5" ht="18.5" x14ac:dyDescent="0.45">
      <c r="A18" s="93"/>
      <c r="B18" s="94"/>
      <c r="E18" s="40"/>
    </row>
    <row r="19" spans="1:5" ht="18.5" x14ac:dyDescent="0.45">
      <c r="A19" s="93"/>
      <c r="B19" s="93"/>
    </row>
    <row r="20" spans="1:5" ht="18.5" x14ac:dyDescent="0.45">
      <c r="A20" s="93"/>
      <c r="B20" s="90"/>
    </row>
    <row r="21" spans="1:5" ht="18.5" x14ac:dyDescent="0.45">
      <c r="A21" s="95"/>
      <c r="B21" s="96"/>
    </row>
    <row r="22" spans="1:5" ht="18.5" x14ac:dyDescent="0.45">
      <c r="A22" s="93"/>
      <c r="B22" s="97"/>
    </row>
    <row r="23" spans="1:5" ht="18.5" x14ac:dyDescent="0.45">
      <c r="A23" s="95"/>
      <c r="B23" s="98"/>
    </row>
    <row r="24" spans="1:5" ht="18.5" x14ac:dyDescent="0.45">
      <c r="A24" s="95"/>
      <c r="B24" s="99"/>
    </row>
    <row r="25" spans="1:5" ht="18.5" x14ac:dyDescent="0.45">
      <c r="A25" s="93"/>
      <c r="B25" s="100"/>
    </row>
    <row r="26" spans="1:5" ht="18.5" x14ac:dyDescent="0.45">
      <c r="A26" s="101"/>
      <c r="B26" s="100"/>
    </row>
    <row r="27" spans="1:5" ht="18.5" x14ac:dyDescent="0.45">
      <c r="A27" s="93"/>
      <c r="B27" s="100"/>
    </row>
    <row r="28" spans="1:5" ht="18.5" x14ac:dyDescent="0.45">
      <c r="A28" s="93"/>
      <c r="B28" s="90"/>
    </row>
    <row r="29" spans="1:5" ht="18.5" x14ac:dyDescent="0.45">
      <c r="A29" s="93"/>
      <c r="B29" s="91"/>
    </row>
    <row r="30" spans="1:5" ht="18.5" x14ac:dyDescent="0.45">
      <c r="A30" s="93"/>
      <c r="B30" s="93"/>
    </row>
    <row r="31" spans="1:5" ht="18.5" x14ac:dyDescent="0.45">
      <c r="A31" s="93"/>
      <c r="B31" s="94"/>
    </row>
    <row r="32" spans="1:5" ht="18.5" x14ac:dyDescent="0.45">
      <c r="A32" s="93"/>
      <c r="B32" s="93"/>
    </row>
    <row r="33" spans="1:5" ht="18.5" x14ac:dyDescent="0.45">
      <c r="A33" s="93"/>
      <c r="B33" s="90"/>
    </row>
    <row r="34" spans="1:5" ht="18.5" x14ac:dyDescent="0.45">
      <c r="A34" s="93"/>
      <c r="B34" s="90"/>
    </row>
    <row r="35" spans="1:5" ht="18.5" x14ac:dyDescent="0.45">
      <c r="A35" s="93"/>
      <c r="B35" s="102"/>
    </row>
    <row r="36" spans="1:5" ht="18.5" x14ac:dyDescent="0.45">
      <c r="A36" s="95"/>
      <c r="B36" s="96"/>
    </row>
    <row r="37" spans="1:5" ht="18.5" x14ac:dyDescent="0.45">
      <c r="A37" s="95"/>
      <c r="B37" s="90"/>
    </row>
    <row r="38" spans="1:5" ht="18.5" x14ac:dyDescent="0.45">
      <c r="A38" s="95"/>
      <c r="B38" s="96"/>
    </row>
    <row r="39" spans="1:5" ht="18.5" x14ac:dyDescent="0.45">
      <c r="A39" s="101"/>
      <c r="B39" s="95"/>
    </row>
    <row r="40" spans="1:5" ht="18.5" x14ac:dyDescent="0.45">
      <c r="A40" s="93"/>
      <c r="B40" s="90"/>
      <c r="D40" s="68"/>
    </row>
    <row r="41" spans="1:5" ht="18.5" x14ac:dyDescent="0.45">
      <c r="A41" s="93"/>
      <c r="B41" s="90"/>
      <c r="D41" s="5"/>
    </row>
    <row r="42" spans="1:5" ht="18.5" x14ac:dyDescent="0.45">
      <c r="A42" s="93"/>
      <c r="B42" s="91"/>
      <c r="D42" s="3"/>
    </row>
    <row r="43" spans="1:5" ht="18.5" x14ac:dyDescent="0.45">
      <c r="A43" s="93"/>
      <c r="B43" s="93"/>
    </row>
    <row r="44" spans="1:5" ht="18.5" x14ac:dyDescent="0.45">
      <c r="A44" s="93"/>
      <c r="B44" s="94"/>
      <c r="D44" s="5"/>
    </row>
    <row r="45" spans="1:5" ht="18.5" x14ac:dyDescent="0.45">
      <c r="A45" s="93"/>
      <c r="B45" s="93"/>
      <c r="E45" s="1"/>
    </row>
    <row r="46" spans="1:5" ht="18.5" x14ac:dyDescent="0.45">
      <c r="A46" s="93"/>
      <c r="B46" s="90"/>
      <c r="D46" s="42"/>
      <c r="E46" s="1"/>
    </row>
    <row r="47" spans="1:5" ht="18.5" x14ac:dyDescent="0.45">
      <c r="A47" s="93"/>
      <c r="B47" s="93"/>
    </row>
    <row r="48" spans="1:5" ht="18.5" x14ac:dyDescent="0.45">
      <c r="A48" s="93"/>
      <c r="B48" s="102"/>
      <c r="D48" s="8"/>
    </row>
    <row r="49" spans="1:3" ht="18.5" x14ac:dyDescent="0.45">
      <c r="A49" s="95"/>
      <c r="B49" s="96"/>
    </row>
    <row r="50" spans="1:3" ht="18.5" x14ac:dyDescent="0.45">
      <c r="A50" s="95"/>
      <c r="B50" s="90"/>
    </row>
    <row r="51" spans="1:3" x14ac:dyDescent="0.35">
      <c r="A51" s="65"/>
      <c r="B51" s="65"/>
    </row>
    <row r="52" spans="1:3" x14ac:dyDescent="0.35">
      <c r="A52" s="65"/>
      <c r="B52" s="65"/>
    </row>
    <row r="53" spans="1:3" x14ac:dyDescent="0.35">
      <c r="A53" s="65"/>
      <c r="B53" s="65"/>
    </row>
    <row r="54" spans="1:3" x14ac:dyDescent="0.35">
      <c r="C54" s="9"/>
    </row>
    <row r="56" spans="1:3" x14ac:dyDescent="0.35">
      <c r="C56" s="67"/>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69"/>
  </cols>
  <sheetData>
    <row r="1" spans="1:1" x14ac:dyDescent="0.35">
      <c r="A1" s="170"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4" customFormat="1" ht="26" x14ac:dyDescent="0.6">
      <c r="A1" s="13" t="s">
        <v>167</v>
      </c>
    </row>
    <row r="2" spans="1:32" s="64"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96</v>
      </c>
      <c r="C5" s="1">
        <f>Assumptions!D118</f>
        <v>348798087.47708416</v>
      </c>
      <c r="D5" s="1">
        <f>Assumptions!E118</f>
        <v>348798087.47708416</v>
      </c>
      <c r="E5" s="1">
        <f>Assumptions!F118</f>
        <v>348798087.47708416</v>
      </c>
      <c r="F5" s="1">
        <f>Assumptions!G118</f>
        <v>348798087.47708416</v>
      </c>
      <c r="G5" s="1">
        <f>Assumptions!H118</f>
        <v>348798087.47708416</v>
      </c>
      <c r="H5" s="1">
        <f>Assumptions!I118</f>
        <v>348798087.47708416</v>
      </c>
      <c r="I5" s="1">
        <f>Assumptions!J118</f>
        <v>348798087.47708416</v>
      </c>
      <c r="J5" s="1">
        <f>Assumptions!K118</f>
        <v>348798087.47708416</v>
      </c>
      <c r="K5" s="1">
        <f>Assumptions!L118</f>
        <v>348798087.47708416</v>
      </c>
      <c r="L5" s="1">
        <f>Assumptions!M118</f>
        <v>348798087.47708416</v>
      </c>
      <c r="M5" s="1">
        <f>Assumptions!N118</f>
        <v>348798087.47708416</v>
      </c>
      <c r="N5" s="1">
        <f>Assumptions!O118</f>
        <v>348798087.47708416</v>
      </c>
      <c r="O5" s="1">
        <f>Assumptions!P118</f>
        <v>348798087.47708416</v>
      </c>
      <c r="P5" s="1">
        <f>Assumptions!Q118</f>
        <v>348798087.47708416</v>
      </c>
      <c r="Q5" s="1">
        <f>Assumptions!R118</f>
        <v>348798087.47708416</v>
      </c>
      <c r="R5" s="1">
        <f>Assumptions!S118</f>
        <v>348798087.47708416</v>
      </c>
      <c r="S5" s="1">
        <f>Assumptions!T118</f>
        <v>348798087.47708416</v>
      </c>
      <c r="T5" s="1">
        <f>Assumptions!U118</f>
        <v>348798087.47708416</v>
      </c>
      <c r="U5" s="1">
        <f>Assumptions!V118</f>
        <v>348798087.47708416</v>
      </c>
      <c r="V5" s="1">
        <f>Assumptions!W118</f>
        <v>348798087.47708416</v>
      </c>
      <c r="W5" s="1">
        <f>Assumptions!X118</f>
        <v>348798087.47708416</v>
      </c>
      <c r="X5" s="1">
        <f>Assumptions!Y118</f>
        <v>348798087.47708416</v>
      </c>
      <c r="Y5" s="1">
        <f>Assumptions!Z118</f>
        <v>348798087.47708416</v>
      </c>
      <c r="Z5" s="1">
        <f>Assumptions!AA118</f>
        <v>348798087.47708416</v>
      </c>
      <c r="AA5" s="1">
        <f>Assumptions!AB118</f>
        <v>348798087.47708416</v>
      </c>
      <c r="AB5" s="1">
        <f>Assumptions!AC118</f>
        <v>348798087.47708416</v>
      </c>
      <c r="AC5" s="1">
        <f>Assumptions!AD118</f>
        <v>348798087.47708416</v>
      </c>
      <c r="AD5" s="1">
        <f>Assumptions!AE118</f>
        <v>348798087.47708416</v>
      </c>
      <c r="AE5" s="1">
        <f>Assumptions!AF118</f>
        <v>348798087.47708416</v>
      </c>
      <c r="AF5" s="1">
        <f>Assumptions!AG118</f>
        <v>348798087.47708416</v>
      </c>
    </row>
    <row r="6" spans="1:32" x14ac:dyDescent="0.35">
      <c r="A6" t="s">
        <v>92</v>
      </c>
      <c r="C6" s="1">
        <f>Assumptions!D120</f>
        <v>143982499.39121616</v>
      </c>
      <c r="D6" s="1">
        <f>Assumptions!E120</f>
        <v>143982499.39121616</v>
      </c>
      <c r="E6" s="1">
        <f>Assumptions!F120</f>
        <v>143982499.39121616</v>
      </c>
      <c r="F6" s="1">
        <f>Assumptions!G120</f>
        <v>143982499.39121616</v>
      </c>
      <c r="G6" s="1">
        <f>Assumptions!H120</f>
        <v>143982499.39121616</v>
      </c>
      <c r="H6" s="1">
        <f>Assumptions!I120</f>
        <v>143982499.39121616</v>
      </c>
      <c r="I6" s="1">
        <f>Assumptions!J120</f>
        <v>143982499.39121616</v>
      </c>
      <c r="J6" s="1">
        <f>Assumptions!K120</f>
        <v>143982499.39121616</v>
      </c>
      <c r="K6" s="1">
        <f>Assumptions!L120</f>
        <v>143982499.39121616</v>
      </c>
      <c r="L6" s="1">
        <f>Assumptions!M120</f>
        <v>143982499.39121616</v>
      </c>
      <c r="M6" s="1">
        <f>Assumptions!N120</f>
        <v>863894996.34729695</v>
      </c>
      <c r="N6" s="1">
        <f>Assumptions!O120</f>
        <v>863894996.34729695</v>
      </c>
      <c r="O6" s="1">
        <f>Assumptions!P120</f>
        <v>863894996.34729695</v>
      </c>
      <c r="P6" s="1">
        <f>Assumptions!Q120</f>
        <v>863894996.34729695</v>
      </c>
      <c r="Q6" s="1">
        <f>Assumptions!R120</f>
        <v>863894996.34729695</v>
      </c>
      <c r="R6" s="1">
        <f>Assumptions!S120</f>
        <v>863894996.34729695</v>
      </c>
      <c r="S6" s="1">
        <f>Assumptions!T120</f>
        <v>863894996.34729695</v>
      </c>
      <c r="T6" s="1">
        <f>Assumptions!U120</f>
        <v>863894996.34729695</v>
      </c>
      <c r="U6" s="1">
        <f>Assumptions!V120</f>
        <v>863894996.34729695</v>
      </c>
      <c r="V6" s="1">
        <f>Assumptions!W120</f>
        <v>863894996.34729695</v>
      </c>
      <c r="W6" s="1">
        <f>Assumptions!X120</f>
        <v>1151859995.1297293</v>
      </c>
      <c r="X6" s="1">
        <f>Assumptions!Y120</f>
        <v>1151859995.1297293</v>
      </c>
      <c r="Y6" s="1">
        <f>Assumptions!Z120</f>
        <v>1151859995.1297293</v>
      </c>
      <c r="Z6" s="1">
        <f>Assumptions!AA120</f>
        <v>1151859995.1297293</v>
      </c>
      <c r="AA6" s="1">
        <f>Assumptions!AB120</f>
        <v>1151859995.1297293</v>
      </c>
      <c r="AB6" s="1">
        <f>Assumptions!AC120</f>
        <v>1151859995.1297293</v>
      </c>
      <c r="AC6" s="1">
        <f>Assumptions!AD120</f>
        <v>1151859995.1297293</v>
      </c>
      <c r="AD6" s="1">
        <f>Assumptions!AE120</f>
        <v>1151859995.1297293</v>
      </c>
      <c r="AE6" s="1">
        <f>Assumptions!AF120</f>
        <v>1151859995.1297293</v>
      </c>
      <c r="AF6" s="1">
        <f>Assumptions!AG120</f>
        <v>1151859995.1297293</v>
      </c>
    </row>
    <row r="7" spans="1:32" x14ac:dyDescent="0.35">
      <c r="A7" t="s">
        <v>97</v>
      </c>
      <c r="C7" s="1">
        <f>Assumptions!D127</f>
        <v>3441584.886448361</v>
      </c>
      <c r="D7" s="1">
        <f>Assumptions!E127</f>
        <v>6869231.3541066088</v>
      </c>
      <c r="E7" s="1">
        <f>Assumptions!F127</f>
        <v>10282995.853570839</v>
      </c>
      <c r="F7" s="1">
        <f>Assumptions!G127</f>
        <v>13682934.606812239</v>
      </c>
      <c r="G7" s="1">
        <f>Assumptions!H127</f>
        <v>16831186.632712387</v>
      </c>
      <c r="H7" s="1">
        <f>Assumptions!I127</f>
        <v>19744188.302722704</v>
      </c>
      <c r="I7" s="1">
        <f>Assumptions!J127</f>
        <v>22437247.956463091</v>
      </c>
      <c r="J7" s="1">
        <f>Assumptions!K127</f>
        <v>24924623.552173652</v>
      </c>
      <c r="K7" s="1">
        <f>Assumptions!L127</f>
        <v>27219594.970985524</v>
      </c>
      <c r="L7" s="1">
        <f>Assumptions!M127</f>
        <v>29411786.670379173</v>
      </c>
      <c r="M7" s="1">
        <f>Assumptions!N127</f>
        <v>41968360.88345293</v>
      </c>
      <c r="N7" s="1">
        <f>Assumptions!O127</f>
        <v>53947730.204893135</v>
      </c>
      <c r="O7" s="1">
        <f>Assumptions!P127</f>
        <v>65368561.432707272</v>
      </c>
      <c r="P7" s="1">
        <f>Assumptions!Q127</f>
        <v>76248843.024651319</v>
      </c>
      <c r="Q7" s="1">
        <f>Assumptions!R127</f>
        <v>86698075.298698068</v>
      </c>
      <c r="R7" s="1">
        <f>Assumptions!S127</f>
        <v>96726866.472615138</v>
      </c>
      <c r="S7" s="1">
        <f>Assumptions!T127</f>
        <v>106345522.59356627</v>
      </c>
      <c r="T7" s="1">
        <f>Assumptions!U127</f>
        <v>115564056.34313524</v>
      </c>
      <c r="U7" s="1">
        <f>Assumptions!V127</f>
        <v>124392195.58495547</v>
      </c>
      <c r="V7" s="1">
        <f>Assumptions!W127</f>
        <v>133142595.56602386</v>
      </c>
      <c r="W7" s="1">
        <f>Assumptions!X127</f>
        <v>144706562.98512059</v>
      </c>
      <c r="X7" s="1">
        <f>Assumptions!Y127</f>
        <v>156167715.94040671</v>
      </c>
      <c r="Y7" s="1">
        <f>Assumptions!Z127</f>
        <v>167526470.83046061</v>
      </c>
      <c r="Z7" s="1">
        <f>Assumptions!AA127</f>
        <v>178783242.36744648</v>
      </c>
      <c r="AA7" s="1">
        <f>Assumptions!AB127</f>
        <v>189938443.58394423</v>
      </c>
      <c r="AB7" s="1">
        <f>Assumptions!AC127</f>
        <v>200992485.8397519</v>
      </c>
      <c r="AC7" s="1">
        <f>Assumptions!AD127</f>
        <v>211945778.82866025</v>
      </c>
      <c r="AD7" s="1">
        <f>Assumptions!AE127</f>
        <v>222798730.58520019</v>
      </c>
      <c r="AE7" s="1">
        <f>Assumptions!AF127</f>
        <v>233551747.4913629</v>
      </c>
      <c r="AF7" s="1">
        <f>Assumptions!AG127</f>
        <v>244205234.28329226</v>
      </c>
    </row>
    <row r="9" spans="1:32" x14ac:dyDescent="0.35">
      <c r="A9" t="s">
        <v>118</v>
      </c>
      <c r="C9" s="43">
        <f>Assumptions!D11</f>
        <v>1.022</v>
      </c>
      <c r="D9" s="43">
        <f>Assumptions!E11</f>
        <v>1.044484</v>
      </c>
      <c r="E9" s="43">
        <f>Assumptions!F11</f>
        <v>1.067462648</v>
      </c>
      <c r="F9" s="43">
        <f>Assumptions!G11</f>
        <v>1.090946826256</v>
      </c>
      <c r="G9" s="43">
        <f>Assumptions!H11</f>
        <v>1.114947656433632</v>
      </c>
      <c r="H9" s="43">
        <f>Assumptions!I11</f>
        <v>1.1394765048751718</v>
      </c>
      <c r="I9" s="43">
        <f>Assumptions!J11</f>
        <v>1.1645449879824257</v>
      </c>
      <c r="J9" s="43">
        <f>Assumptions!K11</f>
        <v>1.1901649777180392</v>
      </c>
      <c r="K9" s="43">
        <f>Assumptions!L11</f>
        <v>1.216348607227836</v>
      </c>
      <c r="L9" s="43">
        <f>Assumptions!M11</f>
        <v>1.2431082765868484</v>
      </c>
      <c r="M9" s="43">
        <f>Assumptions!N11</f>
        <v>1.2704566586717592</v>
      </c>
      <c r="N9" s="43">
        <f>Assumptions!O11</f>
        <v>1.2984067051625379</v>
      </c>
      <c r="O9" s="43">
        <f>Assumptions!P11</f>
        <v>1.3269716526761137</v>
      </c>
      <c r="P9" s="43">
        <f>Assumptions!Q11</f>
        <v>1.356165029034988</v>
      </c>
      <c r="Q9" s="43">
        <f>Assumptions!R11</f>
        <v>1.386000659673758</v>
      </c>
      <c r="R9" s="43">
        <f>Assumptions!S11</f>
        <v>1.4164926741865806</v>
      </c>
      <c r="S9" s="43">
        <f>Assumptions!T11</f>
        <v>1.4476555130186854</v>
      </c>
      <c r="T9" s="43">
        <f>Assumptions!U11</f>
        <v>1.4795039343050964</v>
      </c>
      <c r="U9" s="43">
        <f>Assumptions!V11</f>
        <v>1.5120530208598086</v>
      </c>
      <c r="V9" s="43">
        <f>Assumptions!W11</f>
        <v>1.5453181873187245</v>
      </c>
      <c r="W9" s="43">
        <f>Assumptions!X11</f>
        <v>1.5793151874397364</v>
      </c>
      <c r="X9" s="43">
        <f>Assumptions!Y11</f>
        <v>1.6140601215634105</v>
      </c>
      <c r="Y9" s="43">
        <f>Assumptions!Z11</f>
        <v>1.6495694442378055</v>
      </c>
      <c r="Z9" s="43">
        <f>Assumptions!AA11</f>
        <v>1.6858599720110374</v>
      </c>
      <c r="AA9" s="43">
        <f>Assumptions!AB11</f>
        <v>1.7229488913952802</v>
      </c>
      <c r="AB9" s="43">
        <f>Assumptions!AC11</f>
        <v>1.7608537670059765</v>
      </c>
      <c r="AC9" s="43">
        <f>Assumptions!AD11</f>
        <v>1.799592549880108</v>
      </c>
      <c r="AD9" s="43">
        <f>Assumptions!AE11</f>
        <v>1.8391835859774703</v>
      </c>
      <c r="AE9" s="43">
        <f>Assumptions!AF11</f>
        <v>1.8796456248689748</v>
      </c>
      <c r="AF9" s="43">
        <f>Assumptions!AG11</f>
        <v>1.920997828616092</v>
      </c>
    </row>
    <row r="11" spans="1:32" x14ac:dyDescent="0.35">
      <c r="A11" t="s">
        <v>94</v>
      </c>
      <c r="C11" s="1">
        <f>C5*C$9</f>
        <v>356471645.40158004</v>
      </c>
      <c r="D11" s="1">
        <f>D5*D$9</f>
        <v>364314021.60041475</v>
      </c>
      <c r="E11" s="1">
        <f t="shared" ref="D11:AF13" si="1">E5*E$9</f>
        <v>372328930.07562393</v>
      </c>
      <c r="F11" s="1">
        <f t="shared" si="1"/>
        <v>380520166.53728765</v>
      </c>
      <c r="G11" s="1">
        <f t="shared" si="1"/>
        <v>388891610.20110798</v>
      </c>
      <c r="H11" s="1">
        <f t="shared" si="1"/>
        <v>397447225.62553227</v>
      </c>
      <c r="I11" s="1">
        <f t="shared" si="1"/>
        <v>406191064.58929402</v>
      </c>
      <c r="J11" s="1">
        <f t="shared" si="1"/>
        <v>415127268.01025856</v>
      </c>
      <c r="K11" s="1">
        <f t="shared" si="1"/>
        <v>424260067.90648425</v>
      </c>
      <c r="L11" s="1">
        <f t="shared" si="1"/>
        <v>433593789.40042686</v>
      </c>
      <c r="M11" s="1">
        <f t="shared" si="1"/>
        <v>443132852.76723629</v>
      </c>
      <c r="N11" s="1">
        <f t="shared" si="1"/>
        <v>452881775.52811551</v>
      </c>
      <c r="O11" s="1">
        <f t="shared" si="1"/>
        <v>462845174.58973408</v>
      </c>
      <c r="P11" s="1">
        <f t="shared" si="1"/>
        <v>473027768.43070811</v>
      </c>
      <c r="Q11" s="1">
        <f t="shared" si="1"/>
        <v>483434379.33618379</v>
      </c>
      <c r="R11" s="1">
        <f t="shared" si="1"/>
        <v>494069935.68157983</v>
      </c>
      <c r="S11" s="1">
        <f t="shared" si="1"/>
        <v>504939474.26657462</v>
      </c>
      <c r="T11" s="1">
        <f t="shared" si="1"/>
        <v>516048142.70043921</v>
      </c>
      <c r="U11" s="1">
        <f t="shared" si="1"/>
        <v>527401201.83984888</v>
      </c>
      <c r="V11" s="1">
        <f t="shared" si="1"/>
        <v>539004028.28032565</v>
      </c>
      <c r="W11" s="1">
        <f t="shared" si="1"/>
        <v>550862116.90249276</v>
      </c>
      <c r="X11" s="1">
        <f t="shared" si="1"/>
        <v>562981083.47434759</v>
      </c>
      <c r="Y11" s="1">
        <f t="shared" si="1"/>
        <v>575366667.31078315</v>
      </c>
      <c r="Z11" s="1">
        <f t="shared" si="1"/>
        <v>588024733.99162054</v>
      </c>
      <c r="AA11" s="1">
        <f t="shared" si="1"/>
        <v>600961278.13943613</v>
      </c>
      <c r="AB11" s="1">
        <f t="shared" si="1"/>
        <v>614182426.25850379</v>
      </c>
      <c r="AC11" s="1">
        <f t="shared" si="1"/>
        <v>627694439.63619089</v>
      </c>
      <c r="AD11" s="1">
        <f t="shared" si="1"/>
        <v>641503717.30818701</v>
      </c>
      <c r="AE11" s="1">
        <f t="shared" si="1"/>
        <v>655616799.0889672</v>
      </c>
      <c r="AF11" s="1">
        <f t="shared" si="1"/>
        <v>670040368.66892445</v>
      </c>
    </row>
    <row r="12" spans="1:32" x14ac:dyDescent="0.35">
      <c r="A12" t="s">
        <v>95</v>
      </c>
      <c r="C12" s="1">
        <f t="shared" ref="C12:R12" si="2">C6*C$9</f>
        <v>147150114.37782291</v>
      </c>
      <c r="D12" s="1">
        <f t="shared" si="2"/>
        <v>150387416.89413503</v>
      </c>
      <c r="E12" s="1">
        <f t="shared" si="2"/>
        <v>153695940.065806</v>
      </c>
      <c r="F12" s="1">
        <f t="shared" si="2"/>
        <v>157077250.74725372</v>
      </c>
      <c r="G12" s="1">
        <f t="shared" si="2"/>
        <v>160532950.2636933</v>
      </c>
      <c r="H12" s="1">
        <f t="shared" si="2"/>
        <v>164064675.16949454</v>
      </c>
      <c r="I12" s="1">
        <f t="shared" si="2"/>
        <v>167674098.02322343</v>
      </c>
      <c r="J12" s="1">
        <f t="shared" si="2"/>
        <v>171362928.17973438</v>
      </c>
      <c r="K12" s="1">
        <f t="shared" si="2"/>
        <v>175132912.59968853</v>
      </c>
      <c r="L12" s="1">
        <f t="shared" si="2"/>
        <v>178985836.67688167</v>
      </c>
      <c r="M12" s="1">
        <f t="shared" si="2"/>
        <v>1097541150.5026386</v>
      </c>
      <c r="N12" s="1">
        <f t="shared" si="2"/>
        <v>1121687055.8136966</v>
      </c>
      <c r="O12" s="1">
        <f t="shared" si="2"/>
        <v>1146364171.0415978</v>
      </c>
      <c r="P12" s="1">
        <f t="shared" si="2"/>
        <v>1171584182.8045127</v>
      </c>
      <c r="Q12" s="1">
        <f t="shared" si="2"/>
        <v>1197359034.8262124</v>
      </c>
      <c r="R12" s="1">
        <f t="shared" si="2"/>
        <v>1223700933.5923889</v>
      </c>
      <c r="S12" s="1">
        <f t="shared" si="1"/>
        <v>1250622354.1314216</v>
      </c>
      <c r="T12" s="1">
        <f t="shared" si="1"/>
        <v>1278136045.9223127</v>
      </c>
      <c r="U12" s="1">
        <f t="shared" si="1"/>
        <v>1306255038.9326036</v>
      </c>
      <c r="V12" s="1">
        <f t="shared" si="1"/>
        <v>1334992649.7891212</v>
      </c>
      <c r="W12" s="1">
        <f t="shared" si="1"/>
        <v>1819149984.1126423</v>
      </c>
      <c r="X12" s="1">
        <f t="shared" si="1"/>
        <v>1859171283.7631202</v>
      </c>
      <c r="Y12" s="1">
        <f t="shared" si="1"/>
        <v>1900073052.005909</v>
      </c>
      <c r="Z12" s="1">
        <f t="shared" si="1"/>
        <v>1941874659.1500392</v>
      </c>
      <c r="AA12" s="1">
        <f t="shared" si="1"/>
        <v>1984595901.6513398</v>
      </c>
      <c r="AB12" s="1">
        <f t="shared" si="1"/>
        <v>2028257011.4876695</v>
      </c>
      <c r="AC12" s="1">
        <f t="shared" si="1"/>
        <v>2072878665.7403982</v>
      </c>
      <c r="AD12" s="1">
        <f t="shared" si="1"/>
        <v>2118481996.386687</v>
      </c>
      <c r="AE12" s="1">
        <f t="shared" si="1"/>
        <v>2165088600.3071942</v>
      </c>
      <c r="AF12" s="1">
        <f t="shared" si="1"/>
        <v>2212720549.5139523</v>
      </c>
    </row>
    <row r="13" spans="1:32" x14ac:dyDescent="0.35">
      <c r="A13" t="s">
        <v>98</v>
      </c>
      <c r="C13" s="1">
        <f>C7*C$9</f>
        <v>3517299.7539502252</v>
      </c>
      <c r="D13" s="1">
        <f t="shared" si="1"/>
        <v>7174802.2416626867</v>
      </c>
      <c r="E13" s="1">
        <f t="shared" si="1"/>
        <v>10976713.983225748</v>
      </c>
      <c r="F13" s="1">
        <f t="shared" si="1"/>
        <v>14927354.083170202</v>
      </c>
      <c r="G13" s="1">
        <f t="shared" si="1"/>
        <v>18765892.091139749</v>
      </c>
      <c r="H13" s="1">
        <f t="shared" si="1"/>
        <v>22498038.678783718</v>
      </c>
      <c r="I13" s="1">
        <f t="shared" si="1"/>
        <v>26129184.651818015</v>
      </c>
      <c r="J13" s="1">
        <f t="shared" si="1"/>
        <v>29664414.034603268</v>
      </c>
      <c r="K13" s="1">
        <f t="shared" si="1"/>
        <v>33108516.432264052</v>
      </c>
      <c r="L13" s="1">
        <f t="shared" si="1"/>
        <v>36562035.439155094</v>
      </c>
      <c r="M13" s="1">
        <f t="shared" si="1"/>
        <v>53318983.537922166</v>
      </c>
      <c r="N13" s="1">
        <f t="shared" si="1"/>
        <v>70046094.626332819</v>
      </c>
      <c r="O13" s="1">
        <f t="shared" si="1"/>
        <v>86742227.99741964</v>
      </c>
      <c r="P13" s="1">
        <f t="shared" si="1"/>
        <v>103406014.4144105</v>
      </c>
      <c r="Q13" s="1">
        <f t="shared" si="1"/>
        <v>120163589.55644067</v>
      </c>
      <c r="R13" s="1">
        <f t="shared" si="1"/>
        <v>137012897.75548291</v>
      </c>
      <c r="S13" s="1">
        <f t="shared" si="1"/>
        <v>153951682.06742939</v>
      </c>
      <c r="T13" s="1">
        <f t="shared" si="1"/>
        <v>170977476.02392441</v>
      </c>
      <c r="U13" s="1">
        <f t="shared" si="1"/>
        <v>188087595.10561606</v>
      </c>
      <c r="V13" s="1">
        <f t="shared" si="1"/>
        <v>205747674.43499804</v>
      </c>
      <c r="W13" s="1">
        <f t="shared" si="1"/>
        <v>228537272.64460576</v>
      </c>
      <c r="X13" s="1">
        <f t="shared" si="1"/>
        <v>252064082.57505301</v>
      </c>
      <c r="Y13" s="1">
        <f t="shared" si="1"/>
        <v>276346547.38292384</v>
      </c>
      <c r="Z13" s="1">
        <f t="shared" si="1"/>
        <v>301403511.97362584</v>
      </c>
      <c r="AA13" s="1">
        <f t="shared" si="1"/>
        <v>327254230.80630165</v>
      </c>
      <c r="AB13" s="1">
        <f t="shared" si="1"/>
        <v>353918375.83082253</v>
      </c>
      <c r="AC13" s="1">
        <f t="shared" si="1"/>
        <v>381416044.55859411</v>
      </c>
      <c r="AD13" s="1">
        <f t="shared" si="1"/>
        <v>409767768.26891679</v>
      </c>
      <c r="AE13" s="1">
        <f t="shared" si="1"/>
        <v>438994520.35264385</v>
      </c>
      <c r="AF13" s="1">
        <f t="shared" si="1"/>
        <v>469117724.7948885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105</v>
      </c>
      <c r="C15" s="39">
        <f>Assumptions!D64</f>
        <v>1</v>
      </c>
      <c r="D15" s="39">
        <f>Assumptions!E64</f>
        <v>1</v>
      </c>
      <c r="E15" s="39">
        <f>Assumptions!F64</f>
        <v>1</v>
      </c>
      <c r="F15" s="39">
        <f>Assumptions!G64</f>
        <v>1</v>
      </c>
      <c r="G15" s="39">
        <f>Assumptions!H64</f>
        <v>0.93114991509483769</v>
      </c>
      <c r="H15" s="39">
        <f>Assumptions!I64</f>
        <v>0.86704016438112341</v>
      </c>
      <c r="I15" s="39">
        <f>Assumptions!J64</f>
        <v>0.8073443754472972</v>
      </c>
      <c r="J15" s="39">
        <f>Assumptions!K64</f>
        <v>0.75175864665004555</v>
      </c>
      <c r="K15" s="39">
        <f>Assumptions!L64</f>
        <v>0.7</v>
      </c>
      <c r="L15" s="39">
        <f>Assumptions!M64</f>
        <v>0.6741616296345907</v>
      </c>
      <c r="M15" s="39">
        <f>Assumptions!N64</f>
        <v>0.64927700410223865</v>
      </c>
      <c r="N15" s="39">
        <f>Assumptions!O64</f>
        <v>0.62531091881404288</v>
      </c>
      <c r="O15" s="39">
        <f>Assumptions!P64</f>
        <v>0.6022294686513977</v>
      </c>
      <c r="P15" s="39">
        <f>Assumptions!Q64</f>
        <v>0.57999999999999985</v>
      </c>
      <c r="Q15" s="39">
        <f>Assumptions!R64</f>
        <v>0.56303630024452367</v>
      </c>
      <c r="R15" s="39">
        <f>Assumptions!S64</f>
        <v>0.54656875067765776</v>
      </c>
      <c r="S15" s="39">
        <f>Assumptions!T64</f>
        <v>0.53058284001865519</v>
      </c>
      <c r="T15" s="39">
        <f>Assumptions!U64</f>
        <v>0.51506448140919947</v>
      </c>
      <c r="U15" s="39">
        <f>Assumptions!V64</f>
        <v>0.5</v>
      </c>
      <c r="V15" s="39">
        <f>Assumptions!W64</f>
        <v>0.5</v>
      </c>
      <c r="W15" s="39">
        <f>Assumptions!X64</f>
        <v>0.5</v>
      </c>
      <c r="X15" s="39">
        <f>Assumptions!Y64</f>
        <v>0.5</v>
      </c>
      <c r="Y15" s="39">
        <f>Assumptions!Z64</f>
        <v>0.5</v>
      </c>
      <c r="Z15" s="39">
        <f>Assumptions!AA64</f>
        <v>0.5</v>
      </c>
      <c r="AA15" s="39">
        <f>Assumptions!AB64</f>
        <v>0.5</v>
      </c>
      <c r="AB15" s="39">
        <f>Assumptions!AC64</f>
        <v>0.5</v>
      </c>
      <c r="AC15" s="39">
        <f>Assumptions!AD64</f>
        <v>0.5</v>
      </c>
      <c r="AD15" s="39">
        <f>Assumptions!AE64</f>
        <v>0.5</v>
      </c>
      <c r="AE15" s="39">
        <f>Assumptions!AF64</f>
        <v>0.5</v>
      </c>
      <c r="AF15" s="39">
        <f>Assumptions!AG64</f>
        <v>0.5</v>
      </c>
    </row>
    <row r="16" spans="1:32" x14ac:dyDescent="0.35">
      <c r="A16" t="s">
        <v>81</v>
      </c>
      <c r="C16" s="46">
        <f>Assumptions!D65</f>
        <v>0.99595</v>
      </c>
      <c r="D16" s="46">
        <f>Assumptions!E65</f>
        <v>0.99191640250000002</v>
      </c>
      <c r="E16" s="46">
        <f>Assumptions!F65</f>
        <v>0.98789914106987498</v>
      </c>
      <c r="F16" s="46">
        <f>Assumptions!G65</f>
        <v>0.98389814954854193</v>
      </c>
      <c r="G16" s="46">
        <f>Assumptions!H65</f>
        <v>0.97991336204287038</v>
      </c>
      <c r="H16" s="46">
        <f>Assumptions!I65</f>
        <v>0.97594471292659679</v>
      </c>
      <c r="I16" s="46">
        <f>Assumptions!J65</f>
        <v>0.97199213683924413</v>
      </c>
      <c r="J16" s="46">
        <f>Assumptions!K65</f>
        <v>0.96805556868504516</v>
      </c>
      <c r="K16" s="46">
        <f>Assumptions!L65</f>
        <v>0.96413494363187069</v>
      </c>
      <c r="L16" s="46">
        <f>Assumptions!M65</f>
        <v>0.96023019711016167</v>
      </c>
      <c r="M16" s="46">
        <f>Assumptions!N65</f>
        <v>0.95634126481186554</v>
      </c>
      <c r="N16" s="46">
        <f>Assumptions!O65</f>
        <v>0.95246808268937744</v>
      </c>
      <c r="O16" s="46">
        <f>Assumptions!P65</f>
        <v>0.94861058695448541</v>
      </c>
      <c r="P16" s="46">
        <f>Assumptions!Q65</f>
        <v>0.94476871407731977</v>
      </c>
      <c r="Q16" s="46">
        <f>Assumptions!R65</f>
        <v>0.94094240078530667</v>
      </c>
      <c r="R16" s="46">
        <f>Assumptions!S65</f>
        <v>0.93713158406212616</v>
      </c>
      <c r="S16" s="46">
        <f>Assumptions!T65</f>
        <v>0.93333620114667459</v>
      </c>
      <c r="T16" s="46">
        <f>Assumptions!U65</f>
        <v>0.92955618953203056</v>
      </c>
      <c r="U16" s="46">
        <f>Assumptions!V65</f>
        <v>0.92579148696442581</v>
      </c>
      <c r="V16" s="46">
        <f>Assumptions!W65</f>
        <v>0.92204203144221986</v>
      </c>
      <c r="W16" s="46">
        <f>Assumptions!X65</f>
        <v>0.91830776121487889</v>
      </c>
      <c r="X16" s="46">
        <f>Assumptions!Y65</f>
        <v>0.91458861478195863</v>
      </c>
      <c r="Y16" s="46">
        <f>Assumptions!Z65</f>
        <v>0.91088453089209165</v>
      </c>
      <c r="Z16" s="46">
        <f>Assumptions!AA65</f>
        <v>0.90719544854197864</v>
      </c>
      <c r="AA16" s="46">
        <f>Assumptions!AB65</f>
        <v>0.90352130697538369</v>
      </c>
      <c r="AB16" s="46">
        <f>Assumptions!AC65</f>
        <v>0.89986204568213335</v>
      </c>
      <c r="AC16" s="46">
        <f>Assumptions!AD65</f>
        <v>0.89621760439712073</v>
      </c>
      <c r="AD16" s="46">
        <f>Assumptions!AE65</f>
        <v>0.89258792309931234</v>
      </c>
      <c r="AE16" s="46">
        <f>Assumptions!AF65</f>
        <v>0.88897294201076016</v>
      </c>
      <c r="AF16" s="46">
        <f>Assumptions!AG65</f>
        <v>0.88537260159561659</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102</v>
      </c>
      <c r="C18" s="1">
        <f>(C11*C16)-C11</f>
        <v>-1443710.1638764143</v>
      </c>
      <c r="D18" s="1">
        <f t="shared" ref="D18:AF18" si="3">(D11*D16)-D11</f>
        <v>-2944967.9142240286</v>
      </c>
      <c r="E18" s="1">
        <f t="shared" si="3"/>
        <v>-4505499.8584495187</v>
      </c>
      <c r="F18" s="1">
        <f t="shared" si="3"/>
        <v>-6127078.8153473139</v>
      </c>
      <c r="G18" s="1">
        <f t="shared" si="3"/>
        <v>-7811524.978674829</v>
      </c>
      <c r="H18" s="1">
        <f t="shared" si="3"/>
        <v>-9560707.1089498401</v>
      </c>
      <c r="I18" s="1">
        <f t="shared" si="3"/>
        <v>-11376543.754138708</v>
      </c>
      <c r="J18" s="1">
        <f t="shared" si="3"/>
        <v>-13261004.49991858</v>
      </c>
      <c r="K18" s="1">
        <f t="shared" si="3"/>
        <v>-15216111.250212431</v>
      </c>
      <c r="L18" s="1">
        <f t="shared" si="3"/>
        <v>-17243939.538713038</v>
      </c>
      <c r="M18" s="1">
        <f t="shared" si="3"/>
        <v>-19346619.872127354</v>
      </c>
      <c r="N18" s="1">
        <f t="shared" si="3"/>
        <v>-21526339.105890334</v>
      </c>
      <c r="O18" s="1">
        <f t="shared" si="3"/>
        <v>-23785341.853115141</v>
      </c>
      <c r="P18" s="1">
        <f t="shared" si="3"/>
        <v>-26125931.927563787</v>
      </c>
      <c r="Q18" s="1">
        <f t="shared" si="3"/>
        <v>-28550473.821440339</v>
      </c>
      <c r="R18" s="1">
        <f t="shared" si="3"/>
        <v>-31061394.218828142</v>
      </c>
      <c r="S18" s="1">
        <f t="shared" si="3"/>
        <v>-33661183.545610785</v>
      </c>
      <c r="T18" s="1">
        <f t="shared" si="3"/>
        <v>-36352397.556737363</v>
      </c>
      <c r="U18" s="1">
        <f t="shared" si="3"/>
        <v>-39137658.961709917</v>
      </c>
      <c r="V18" s="1">
        <f t="shared" si="3"/>
        <v>-42019659.089194477</v>
      </c>
      <c r="W18" s="1">
        <f t="shared" si="3"/>
        <v>-45001159.591675758</v>
      </c>
      <c r="X18" s="1">
        <f t="shared" si="3"/>
        <v>-48084994.191097796</v>
      </c>
      <c r="Y18" s="1">
        <f t="shared" si="3"/>
        <v>-51274070.466454268</v>
      </c>
      <c r="Z18" s="1">
        <f t="shared" si="3"/>
        <v>-54571371.684314668</v>
      </c>
      <c r="AA18" s="1">
        <f t="shared" si="3"/>
        <v>-57979958.673295736</v>
      </c>
      <c r="AB18" s="1">
        <f t="shared" si="3"/>
        <v>-61502971.743510604</v>
      </c>
      <c r="AC18" s="1">
        <f t="shared" si="3"/>
        <v>-65143632.652050734</v>
      </c>
      <c r="AD18" s="1">
        <f t="shared" si="3"/>
        <v>-68905246.615584016</v>
      </c>
      <c r="AE18" s="1">
        <f t="shared" si="3"/>
        <v>-72791204.371170521</v>
      </c>
      <c r="AF18" s="1">
        <f t="shared" si="3"/>
        <v>-76804984.286432743</v>
      </c>
    </row>
    <row r="20" spans="1:32" x14ac:dyDescent="0.35">
      <c r="A20" t="s">
        <v>99</v>
      </c>
      <c r="C20" s="1">
        <f>(C12*C15)-C12</f>
        <v>0</v>
      </c>
      <c r="D20" s="1">
        <f t="shared" ref="D20:AF20" si="4">(D12*D15)-D12</f>
        <v>0</v>
      </c>
      <c r="E20" s="1">
        <f t="shared" si="4"/>
        <v>0</v>
      </c>
      <c r="F20" s="1">
        <f t="shared" si="4"/>
        <v>0</v>
      </c>
      <c r="G20" s="1">
        <f t="shared" si="4"/>
        <v>-11052707.255731493</v>
      </c>
      <c r="H20" s="1">
        <f t="shared" si="4"/>
        <v>-21814012.241400391</v>
      </c>
      <c r="I20" s="1">
        <f t="shared" si="4"/>
        <v>-32303358.075975209</v>
      </c>
      <c r="J20" s="1">
        <f t="shared" si="4"/>
        <v>-42539365.205348313</v>
      </c>
      <c r="K20" s="1">
        <f t="shared" si="4"/>
        <v>-52539873.779906571</v>
      </c>
      <c r="L20" s="1">
        <f t="shared" si="4"/>
        <v>-58320453.341284424</v>
      </c>
      <c r="M20" s="1">
        <f t="shared" si="4"/>
        <v>-384932920.42536116</v>
      </c>
      <c r="N20" s="1">
        <f t="shared" si="4"/>
        <v>-420283892.32101536</v>
      </c>
      <c r="O20" s="1">
        <f t="shared" si="4"/>
        <v>-455989885.43421638</v>
      </c>
      <c r="P20" s="1">
        <f t="shared" si="4"/>
        <v>-492065356.77789557</v>
      </c>
      <c r="Q20" s="1">
        <f t="shared" si="4"/>
        <v>-523202433.79330802</v>
      </c>
      <c r="R20" s="1">
        <f t="shared" si="4"/>
        <v>-554864243.11571348</v>
      </c>
      <c r="S20" s="1">
        <f t="shared" si="4"/>
        <v>-587063593.68555558</v>
      </c>
      <c r="T20" s="1">
        <f t="shared" si="4"/>
        <v>-619813566.25893199</v>
      </c>
      <c r="U20" s="1">
        <f t="shared" si="4"/>
        <v>-653127519.4663018</v>
      </c>
      <c r="V20" s="1">
        <f t="shared" si="4"/>
        <v>-667496324.89456058</v>
      </c>
      <c r="W20" s="1">
        <f t="shared" si="4"/>
        <v>-909574992.05632114</v>
      </c>
      <c r="X20" s="1">
        <f t="shared" si="4"/>
        <v>-929585641.88156009</v>
      </c>
      <c r="Y20" s="1">
        <f t="shared" si="4"/>
        <v>-950036526.00295448</v>
      </c>
      <c r="Z20" s="1">
        <f t="shared" si="4"/>
        <v>-970937329.5750196</v>
      </c>
      <c r="AA20" s="1">
        <f t="shared" si="4"/>
        <v>-992297950.82566988</v>
      </c>
      <c r="AB20" s="1">
        <f t="shared" si="4"/>
        <v>-1014128505.7438347</v>
      </c>
      <c r="AC20" s="1">
        <f t="shared" si="4"/>
        <v>-1036439332.8701991</v>
      </c>
      <c r="AD20" s="1">
        <f t="shared" si="4"/>
        <v>-1059240998.1933435</v>
      </c>
      <c r="AE20" s="1">
        <f t="shared" si="4"/>
        <v>-1082544300.1535971</v>
      </c>
      <c r="AF20" s="1">
        <f t="shared" si="4"/>
        <v>-1106360274.7569761</v>
      </c>
    </row>
    <row r="21" spans="1:32" x14ac:dyDescent="0.35">
      <c r="A21" t="s">
        <v>100</v>
      </c>
      <c r="C21" s="1">
        <f>(C12*C16)-C12</f>
        <v>-595957.96323019266</v>
      </c>
      <c r="D21" s="1">
        <f t="shared" ref="D21:AF21" si="5">(D12*D16)-D12</f>
        <v>-1215671.3472368717</v>
      </c>
      <c r="E21" s="1">
        <f t="shared" si="5"/>
        <v>-1859852.8888692558</v>
      </c>
      <c r="F21" s="1">
        <f t="shared" si="5"/>
        <v>-2529234.4008584619</v>
      </c>
      <c r="G21" s="1">
        <f t="shared" si="5"/>
        <v>-3224567.2521367073</v>
      </c>
      <c r="H21" s="1">
        <f t="shared" si="5"/>
        <v>-3946622.8598068357</v>
      </c>
      <c r="I21" s="1">
        <f t="shared" si="5"/>
        <v>-4696193.1930375993</v>
      </c>
      <c r="J21" s="1">
        <f t="shared" si="5"/>
        <v>-5474091.2891670763</v>
      </c>
      <c r="K21" s="1">
        <f t="shared" si="5"/>
        <v>-6281151.7823024988</v>
      </c>
      <c r="L21" s="1">
        <f t="shared" si="5"/>
        <v>-7118231.4447123706</v>
      </c>
      <c r="M21" s="1">
        <f t="shared" si="5"/>
        <v>-47917258.447875142</v>
      </c>
      <c r="N21" s="1">
        <f t="shared" si="5"/>
        <v>-53315936.385332346</v>
      </c>
      <c r="O21" s="1">
        <f t="shared" si="5"/>
        <v>-58910981.886235714</v>
      </c>
      <c r="P21" s="1">
        <f t="shared" si="5"/>
        <v>-64708100.982965708</v>
      </c>
      <c r="Q21" s="1">
        <f t="shared" si="5"/>
        <v>-70713149.994858503</v>
      </c>
      <c r="R21" s="1">
        <f t="shared" si="5"/>
        <v>-76932139.276650906</v>
      </c>
      <c r="S21" s="1">
        <f t="shared" si="5"/>
        <v>-83371237.057289362</v>
      </c>
      <c r="T21" s="1">
        <f t="shared" si="5"/>
        <v>-90036773.371231318</v>
      </c>
      <c r="U21" s="1">
        <f t="shared" si="5"/>
        <v>-96935244.084414482</v>
      </c>
      <c r="V21" s="1">
        <f t="shared" si="5"/>
        <v>-104073315.01712799</v>
      </c>
      <c r="W21" s="1">
        <f t="shared" si="5"/>
        <v>-148610434.88807917</v>
      </c>
      <c r="X21" s="1">
        <f t="shared" si="5"/>
        <v>-158794394.70381236</v>
      </c>
      <c r="Y21" s="1">
        <f t="shared" si="5"/>
        <v>-169325901.36880183</v>
      </c>
      <c r="Z21" s="1">
        <f t="shared" si="5"/>
        <v>-180214806.73011756</v>
      </c>
      <c r="AA21" s="1">
        <f t="shared" si="5"/>
        <v>-191471218.77333117</v>
      </c>
      <c r="AB21" s="1">
        <f t="shared" si="5"/>
        <v>-203105507.96124506</v>
      </c>
      <c r="AC21" s="1">
        <f t="shared" si="5"/>
        <v>-215128313.72463846</v>
      </c>
      <c r="AD21" s="1">
        <f t="shared" si="5"/>
        <v>-227550551.1086092</v>
      </c>
      <c r="AE21" s="1">
        <f t="shared" si="5"/>
        <v>-240383417.57814908</v>
      </c>
      <c r="AF21" s="1">
        <f t="shared" si="5"/>
        <v>-253638399.98670197</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101</v>
      </c>
      <c r="C23" s="1">
        <f>(C13*C16)-C13</f>
        <v>-14245.064003498293</v>
      </c>
      <c r="D23" s="1">
        <f t="shared" ref="D23:AF23" si="6">(D13*D16)-D13</f>
        <v>-57998.213463698514</v>
      </c>
      <c r="E23" s="1">
        <f t="shared" si="6"/>
        <v>-132827.66742734611</v>
      </c>
      <c r="F23" s="1">
        <f t="shared" si="6"/>
        <v>-240358.02308316901</v>
      </c>
      <c r="G23" s="1">
        <f t="shared" si="6"/>
        <v>-376943.68037728593</v>
      </c>
      <c r="H23" s="1">
        <f t="shared" si="6"/>
        <v>-541196.77900667116</v>
      </c>
      <c r="I23" s="1">
        <f t="shared" si="6"/>
        <v>-731822.6282302402</v>
      </c>
      <c r="J23" s="1">
        <f t="shared" si="6"/>
        <v>-947612.83662676811</v>
      </c>
      <c r="K23" s="1">
        <f t="shared" si="6"/>
        <v>-1187438.8081082851</v>
      </c>
      <c r="L23" s="1">
        <f t="shared" si="6"/>
        <v>-1454064.9426664785</v>
      </c>
      <c r="M23" s="1">
        <f t="shared" si="6"/>
        <v>-2327839.3827826455</v>
      </c>
      <c r="N23" s="1">
        <f t="shared" si="6"/>
        <v>-3329425.1777108982</v>
      </c>
      <c r="O23" s="1">
        <f t="shared" si="6"/>
        <v>-4457632.1830475926</v>
      </c>
      <c r="P23" s="1">
        <f t="shared" si="6"/>
        <v>-5711247.148247093</v>
      </c>
      <c r="Q23" s="1">
        <f t="shared" si="6"/>
        <v>-7096573.1122231781</v>
      </c>
      <c r="R23" s="1">
        <f t="shared" si="6"/>
        <v>-8613783.844945088</v>
      </c>
      <c r="S23" s="1">
        <f t="shared" si="6"/>
        <v>-10263003.966474205</v>
      </c>
      <c r="T23" s="1">
        <f t="shared" si="6"/>
        <v>-12044304.915321112</v>
      </c>
      <c r="U23" s="1">
        <f t="shared" si="6"/>
        <v>-13957700.753224909</v>
      </c>
      <c r="V23" s="1">
        <f t="shared" si="6"/>
        <v>-16039670.734439969</v>
      </c>
      <c r="W23" s="1">
        <f t="shared" si="6"/>
        <v>-18669721.448183447</v>
      </c>
      <c r="X23" s="1">
        <f t="shared" si="6"/>
        <v>-21529142.456450045</v>
      </c>
      <c r="Y23" s="1">
        <f t="shared" si="6"/>
        <v>-24626752.206380069</v>
      </c>
      <c r="Z23" s="1">
        <f t="shared" si="6"/>
        <v>-27971617.736584723</v>
      </c>
      <c r="AA23" s="1">
        <f t="shared" si="6"/>
        <v>-31573060.474968135</v>
      </c>
      <c r="AB23" s="1">
        <f t="shared" si="6"/>
        <v>-35440662.151200473</v>
      </c>
      <c r="AC23" s="1">
        <f t="shared" si="6"/>
        <v>-39584270.825665414</v>
      </c>
      <c r="AD23" s="1">
        <f t="shared" si="6"/>
        <v>-44014007.036724031</v>
      </c>
      <c r="AE23" s="1">
        <f t="shared" si="6"/>
        <v>-48740270.068151534</v>
      </c>
      <c r="AF23" s="1">
        <f t="shared" si="6"/>
        <v>-53773744.338621557</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123</v>
      </c>
      <c r="C25" s="41">
        <f>SUM(C11:C13,C18:C23)</f>
        <v>505085146.34224308</v>
      </c>
      <c r="D25" s="41">
        <f>SUM(D11:D13,D18:D23)</f>
        <v>517657603.26128781</v>
      </c>
      <c r="E25" s="41">
        <f t="shared" ref="E25:AF25" si="7">SUM(E11:E13,E18:E23)</f>
        <v>530503403.7099095</v>
      </c>
      <c r="F25" s="41">
        <f t="shared" si="7"/>
        <v>543628100.1284225</v>
      </c>
      <c r="G25" s="41">
        <f t="shared" si="7"/>
        <v>545724709.3890208</v>
      </c>
      <c r="H25" s="41">
        <f t="shared" si="7"/>
        <v>548147400.4846468</v>
      </c>
      <c r="I25" s="41">
        <f t="shared" si="7"/>
        <v>550886429.61295378</v>
      </c>
      <c r="J25" s="41">
        <f t="shared" si="7"/>
        <v>553932536.39353549</v>
      </c>
      <c r="K25" s="41">
        <f t="shared" si="7"/>
        <v>557276921.31790698</v>
      </c>
      <c r="L25" s="41">
        <f t="shared" si="7"/>
        <v>565004972.24908721</v>
      </c>
      <c r="M25" s="41">
        <f t="shared" si="7"/>
        <v>1139468348.6796505</v>
      </c>
      <c r="N25" s="41">
        <f t="shared" si="7"/>
        <v>1146159332.9781959</v>
      </c>
      <c r="O25" s="41">
        <f t="shared" si="7"/>
        <v>1152807732.2721369</v>
      </c>
      <c r="P25" s="41">
        <f t="shared" si="7"/>
        <v>1159407328.8129597</v>
      </c>
      <c r="Q25" s="41">
        <f t="shared" si="7"/>
        <v>1171394372.9970069</v>
      </c>
      <c r="R25" s="41">
        <f t="shared" si="7"/>
        <v>1183312206.573314</v>
      </c>
      <c r="S25" s="41">
        <f t="shared" si="7"/>
        <v>1195154492.2104955</v>
      </c>
      <c r="T25" s="41">
        <f t="shared" si="7"/>
        <v>1206914622.5444546</v>
      </c>
      <c r="U25" s="41">
        <f t="shared" si="7"/>
        <v>1218585712.6124172</v>
      </c>
      <c r="V25" s="41">
        <f t="shared" si="7"/>
        <v>1250115382.7691216</v>
      </c>
      <c r="W25" s="41">
        <f t="shared" si="7"/>
        <v>1476693065.6754808</v>
      </c>
      <c r="X25" s="41">
        <f t="shared" si="7"/>
        <v>1516222276.5796008</v>
      </c>
      <c r="Y25" s="41">
        <f t="shared" si="7"/>
        <v>1556523016.6550255</v>
      </c>
      <c r="Z25" s="41">
        <f t="shared" si="7"/>
        <v>1597607779.3892488</v>
      </c>
      <c r="AA25" s="41">
        <f t="shared" si="7"/>
        <v>1639489221.8498123</v>
      </c>
      <c r="AB25" s="41">
        <f t="shared" si="7"/>
        <v>1682180165.9772048</v>
      </c>
      <c r="AC25" s="41">
        <f t="shared" si="7"/>
        <v>1725693599.8626294</v>
      </c>
      <c r="AD25" s="41">
        <f t="shared" si="7"/>
        <v>1770042679.0095296</v>
      </c>
      <c r="AE25" s="41">
        <f t="shared" si="7"/>
        <v>1815240727.5777373</v>
      </c>
      <c r="AF25" s="41">
        <f t="shared" si="7"/>
        <v>1861301239.6090326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3W2DU3RAJ5R2-1900874439-914</_dlc_DocId>
    <_dlc_DocIdUrl xmlns="f54e2983-00ce-40fc-8108-18f351fc47bf">
      <Url>https://dia.cohesion.net.nz/Sites/LGV/TWRP/CAE/_layouts/15/DocIdRedir.aspx?ID=3W2DU3RAJ5R2-1900874439-914</Url>
      <Description>3W2DU3RAJ5R2-1900874439-914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F12D6EE1-433F-4E91-B570-DE2298D427DD}"/>
</file>

<file path=customXml/itemProps3.xml><?xml version="1.0" encoding="utf-8"?>
<ds:datastoreItem xmlns:ds="http://schemas.openxmlformats.org/officeDocument/2006/customXml" ds:itemID="{CBCC2D2A-763C-48F8-A3E5-6B0A81386C39}">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65b6d800-2dda-48d6-88d8-9e2b35e6f7ea"/>
    <ds:schemaRef ds:uri="08a23fc5-e034-477c-ac83-93bc1440f322"/>
    <ds:schemaRef ds:uri="http://schemas.microsoft.com/office/2006/documentManagement/typ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0A68093F-6347-4105-9219-ACB5B40B0C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Model overview and manual</vt:lpstr>
      <vt:lpstr>Model output==&gt;</vt:lpstr>
      <vt:lpstr>Average cost per household</vt:lpstr>
      <vt:lpstr>Input sheets ===&gt;</vt:lpstr>
      <vt:lpstr>Data sheet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2021-07-19T20:07:20Z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a5ecbc17-f691-44a7-966e-51861e53b766</vt:lpwstr>
  </property>
</Properties>
</file>