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0" documentId="13_ncr:1_{9591DC98-C339-4CC2-827E-F206334CAE46}" xr6:coauthVersionLast="47" xr6:coauthVersionMax="47" xr10:uidLastSave="{00000000-0000-0000-0000-000000000000}"/>
  <bookViews>
    <workbookView xWindow="1480" yWindow="1480" windowWidth="28800" windowHeight="15460" tabRatio="721" xr2:uid="{F81EE535-A8E0-6F47-8BBD-3284EB91CB61}"/>
  </bookViews>
  <sheets>
    <sheet name="Model overview and manual" sheetId="19" r:id="rId1"/>
    <sheet name="Model output==&gt;" sheetId="22" r:id="rId2"/>
    <sheet name="Average cost per household" sheetId="21" r:id="rId3"/>
    <sheet name="Input sheets ===&gt;" sheetId="24" r:id="rId4"/>
    <sheet name="Data sheet" sheetId="27" r:id="rId5"/>
    <sheet name="Assumptions" sheetId="2" r:id="rId6"/>
    <sheet name="Price and Financial ratios" sheetId="7" r:id="rId7"/>
    <sheet name="Processing sheets ===&gt;" sheetId="23" r:id="rId8"/>
    <sheet name="Investment" sheetId="9" r:id="rId9"/>
    <sheet name="Profit and Loss" sheetId="8" r:id="rId10"/>
    <sheet name="Balance Sheet" sheetId="5" r:id="rId11"/>
    <sheet name="Cash Flow" sheetId="4" r:id="rId12"/>
    <sheet name="Depreciation" sheetId="6" r:id="rId13"/>
    <sheet name="Debt worksheet" sheetId="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1</definedName>
    <definedName name="_AtRisk_SimSetting_MultipleCPUModeV8" hidden="1">1</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xlnm._FilterDatabase" localSheetId="4" hidden="1">'Data sheet'!$A$5:$BD$5</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5" hidden="1">Assumptions!#REF!</definedName>
    <definedName name="solver_adj" localSheetId="6" hidden="1">'Price and Financial ratios'!$F$4</definedName>
    <definedName name="solver_cvg" localSheetId="5" hidden="1">0.0001</definedName>
    <definedName name="solver_cvg" localSheetId="6" hidden="1">0.0001</definedName>
    <definedName name="solver_drv" localSheetId="5" hidden="1">1</definedName>
    <definedName name="solver_drv" localSheetId="6" hidden="1">1</definedName>
    <definedName name="solver_eng" localSheetId="5" hidden="1">1</definedName>
    <definedName name="solver_eng" localSheetId="6" hidden="1">1</definedName>
    <definedName name="solver_est" localSheetId="5" hidden="1">1</definedName>
    <definedName name="solver_est" localSheetId="6" hidden="1">1</definedName>
    <definedName name="solver_itr" localSheetId="5" hidden="1">2147483647</definedName>
    <definedName name="solver_itr" localSheetId="6" hidden="1">2147483647</definedName>
    <definedName name="solver_mip" localSheetId="5" hidden="1">2147483647</definedName>
    <definedName name="solver_mip" localSheetId="6" hidden="1">2147483647</definedName>
    <definedName name="solver_mni" localSheetId="5" hidden="1">30</definedName>
    <definedName name="solver_mni" localSheetId="6" hidden="1">30</definedName>
    <definedName name="solver_mrt" localSheetId="5" hidden="1">0.075</definedName>
    <definedName name="solver_mrt" localSheetId="6" hidden="1">0.075</definedName>
    <definedName name="solver_msl" localSheetId="5" hidden="1">2</definedName>
    <definedName name="solver_msl" localSheetId="6" hidden="1">2</definedName>
    <definedName name="solver_neg" localSheetId="5" hidden="1">1</definedName>
    <definedName name="solver_neg" localSheetId="6" hidden="1">1</definedName>
    <definedName name="solver_nod" localSheetId="5" hidden="1">2147483647</definedName>
    <definedName name="solver_nod" localSheetId="6" hidden="1">2147483647</definedName>
    <definedName name="solver_num" localSheetId="5" hidden="1">0</definedName>
    <definedName name="solver_num" localSheetId="6" hidden="1">0</definedName>
    <definedName name="solver_nwt" localSheetId="5" hidden="1">1</definedName>
    <definedName name="solver_nwt" localSheetId="6" hidden="1">1</definedName>
    <definedName name="solver_opt" localSheetId="5" hidden="1">Assumptions!$C$120</definedName>
    <definedName name="solver_opt" localSheetId="6" hidden="1">'Price and Financial ratios'!$F$6</definedName>
    <definedName name="solver_pre" localSheetId="5" hidden="1">0.000001</definedName>
    <definedName name="solver_pre" localSheetId="6" hidden="1">0.000001</definedName>
    <definedName name="solver_rbv" localSheetId="5" hidden="1">1</definedName>
    <definedName name="solver_rbv" localSheetId="6" hidden="1">1</definedName>
    <definedName name="solver_rlx" localSheetId="5" hidden="1">2</definedName>
    <definedName name="solver_rlx" localSheetId="6" hidden="1">2</definedName>
    <definedName name="solver_rsd" localSheetId="5" hidden="1">0</definedName>
    <definedName name="solver_rsd" localSheetId="6" hidden="1">0</definedName>
    <definedName name="solver_scl" localSheetId="5" hidden="1">1</definedName>
    <definedName name="solver_scl" localSheetId="6" hidden="1">1</definedName>
    <definedName name="solver_sho" localSheetId="5" hidden="1">2</definedName>
    <definedName name="solver_sho" localSheetId="6" hidden="1">2</definedName>
    <definedName name="solver_ssz" localSheetId="5" hidden="1">100</definedName>
    <definedName name="solver_ssz" localSheetId="6" hidden="1">100</definedName>
    <definedName name="solver_tim" localSheetId="5" hidden="1">2147483647</definedName>
    <definedName name="solver_tim" localSheetId="6" hidden="1">2147483647</definedName>
    <definedName name="solver_tol" localSheetId="5" hidden="1">0.01</definedName>
    <definedName name="solver_tol" localSheetId="6" hidden="1">0.01</definedName>
    <definedName name="solver_typ" localSheetId="5" hidden="1">3</definedName>
    <definedName name="solver_typ" localSheetId="6" hidden="1">3</definedName>
    <definedName name="solver_val" localSheetId="5" hidden="1">563251470</definedName>
    <definedName name="solver_val" localSheetId="6" hidden="1">2.5</definedName>
    <definedName name="solver_ver" localSheetId="5" hidden="1">3</definedName>
    <definedName name="solver_ver" localSheetId="6"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iterateCount="10000"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4" i="2" l="1"/>
  <c r="C133" i="2"/>
  <c r="C98" i="2"/>
  <c r="C97" i="2"/>
  <c r="C70" i="2"/>
  <c r="C69" i="2"/>
  <c r="C25" i="2"/>
  <c r="C24" i="2"/>
  <c r="C20" i="2"/>
  <c r="C13" i="2"/>
  <c r="C100" i="2" l="1"/>
  <c r="C73" i="2"/>
  <c r="C78" i="2"/>
  <c r="C112" i="2" l="1"/>
  <c r="C83" i="2"/>
  <c r="D6" i="3"/>
  <c r="E6" i="3"/>
  <c r="F6" i="3"/>
  <c r="G6" i="3"/>
  <c r="H6" i="3"/>
  <c r="I6" i="3"/>
  <c r="J6" i="3"/>
  <c r="K6" i="3"/>
  <c r="L6" i="3"/>
  <c r="M6" i="3"/>
  <c r="N6" i="3"/>
  <c r="O6" i="3"/>
  <c r="P6" i="3"/>
  <c r="Q6" i="3"/>
  <c r="R6" i="3"/>
  <c r="S6" i="3"/>
  <c r="T6" i="3"/>
  <c r="U6" i="3"/>
  <c r="V6" i="3"/>
  <c r="W6" i="3"/>
  <c r="X6" i="3"/>
  <c r="Y6" i="3"/>
  <c r="Z6" i="3"/>
  <c r="AA6" i="3"/>
  <c r="AB6" i="3"/>
  <c r="AC6" i="3"/>
  <c r="AD6" i="3"/>
  <c r="AE6" i="3"/>
  <c r="AF6" i="3"/>
  <c r="D65" i="2"/>
  <c r="C16" i="9" s="1"/>
  <c r="H64" i="2"/>
  <c r="H63" i="2"/>
  <c r="I63" i="2" s="1"/>
  <c r="J63" i="2" s="1"/>
  <c r="A11" i="19"/>
  <c r="A9" i="19"/>
  <c r="B40" i="21"/>
  <c r="B27" i="21"/>
  <c r="A21" i="21"/>
  <c r="A34" i="21"/>
  <c r="B8" i="21"/>
  <c r="B21" i="21" s="1"/>
  <c r="B34" i="21" s="1"/>
  <c r="D11" i="2"/>
  <c r="C9" i="9" s="1"/>
  <c r="F9" i="2"/>
  <c r="E9" i="2"/>
  <c r="D9" i="2"/>
  <c r="G11" i="2"/>
  <c r="F9" i="9" s="1"/>
  <c r="V9" i="2"/>
  <c r="U13" i="8" s="1"/>
  <c r="E11" i="2"/>
  <c r="D9" i="9" s="1"/>
  <c r="F11" i="2"/>
  <c r="E9" i="9" s="1"/>
  <c r="H11" i="2"/>
  <c r="G9" i="9" s="1"/>
  <c r="I11" i="2"/>
  <c r="H9" i="9" s="1"/>
  <c r="B11" i="5"/>
  <c r="C22" i="6" s="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c r="Z11" i="2"/>
  <c r="Y9" i="9"/>
  <c r="AA11" i="2"/>
  <c r="Z9" i="9" s="1"/>
  <c r="AB11" i="2"/>
  <c r="AA9" i="9" s="1"/>
  <c r="AC11" i="2"/>
  <c r="AB9" i="9" s="1"/>
  <c r="AD11" i="2"/>
  <c r="AC9" i="9" s="1"/>
  <c r="AE11" i="2"/>
  <c r="AD9" i="9" s="1"/>
  <c r="AF11" i="2"/>
  <c r="AE9" i="9" s="1"/>
  <c r="AG11" i="2"/>
  <c r="AF9" i="9" s="1"/>
  <c r="J11" i="2"/>
  <c r="I9" i="9" s="1"/>
  <c r="K11" i="2"/>
  <c r="J9" i="9" s="1"/>
  <c r="E4" i="2"/>
  <c r="F4" i="2" s="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G9" i="2"/>
  <c r="AF7" i="3" s="1"/>
  <c r="AF9" i="2"/>
  <c r="AE7" i="3" s="1"/>
  <c r="AE9" i="2"/>
  <c r="AD13" i="8" s="1"/>
  <c r="AD9" i="2"/>
  <c r="AC7" i="3" s="1"/>
  <c r="AC9" i="2"/>
  <c r="AB7" i="3" s="1"/>
  <c r="AB9" i="2"/>
  <c r="AA13" i="8" s="1"/>
  <c r="AA9" i="2"/>
  <c r="Z13" i="8" s="1"/>
  <c r="Z9" i="2"/>
  <c r="Y7" i="3" s="1"/>
  <c r="Y9" i="2"/>
  <c r="X13" i="8" s="1"/>
  <c r="X7" i="3"/>
  <c r="X9" i="2"/>
  <c r="W7" i="3" s="1"/>
  <c r="W9" i="2"/>
  <c r="V7" i="3" s="1"/>
  <c r="V13" i="8"/>
  <c r="U9" i="2"/>
  <c r="T13" i="8" s="1"/>
  <c r="T9" i="2"/>
  <c r="S13" i="8" s="1"/>
  <c r="S7" i="3"/>
  <c r="S9" i="2"/>
  <c r="R7" i="3" s="1"/>
  <c r="R9" i="2"/>
  <c r="Q7" i="3" s="1"/>
  <c r="Q9" i="2"/>
  <c r="P13" i="8" s="1"/>
  <c r="P9" i="2"/>
  <c r="O7" i="3" s="1"/>
  <c r="O9" i="2"/>
  <c r="N13" i="8" s="1"/>
  <c r="N9" i="2"/>
  <c r="M7" i="3" s="1"/>
  <c r="M13" i="8"/>
  <c r="M9" i="2"/>
  <c r="L13" i="8" s="1"/>
  <c r="L9" i="2"/>
  <c r="K7" i="3"/>
  <c r="K9" i="2"/>
  <c r="J7" i="3" s="1"/>
  <c r="J9" i="2"/>
  <c r="I13" i="8" s="1"/>
  <c r="I9" i="2"/>
  <c r="H7" i="3" s="1"/>
  <c r="H9" i="2"/>
  <c r="G9" i="2"/>
  <c r="C86" i="2"/>
  <c r="Y13" i="8"/>
  <c r="N7" i="3"/>
  <c r="B7" i="21"/>
  <c r="K13" i="8"/>
  <c r="AB13" i="8" l="1"/>
  <c r="Q13" i="8"/>
  <c r="AC13" i="8"/>
  <c r="C17" i="8"/>
  <c r="L7" i="3"/>
  <c r="H13" i="8"/>
  <c r="J13" i="8"/>
  <c r="Z7" i="3"/>
  <c r="O13" i="8"/>
  <c r="T7" i="3"/>
  <c r="R13" i="8"/>
  <c r="U7" i="3"/>
  <c r="W13" i="8"/>
  <c r="AF13" i="8"/>
  <c r="P7" i="3"/>
  <c r="AA7" i="3"/>
  <c r="AE13" i="8"/>
  <c r="E65" i="2"/>
  <c r="D17" i="8" s="1"/>
  <c r="I7" i="3"/>
  <c r="AD7" i="3"/>
  <c r="C92" i="2"/>
  <c r="C87" i="2"/>
  <c r="C17" i="2"/>
  <c r="C91" i="2"/>
  <c r="C136" i="2"/>
  <c r="C5" i="3"/>
  <c r="G16" i="8"/>
  <c r="K63" i="2"/>
  <c r="I16" i="8"/>
  <c r="G15" i="9"/>
  <c r="I64" i="2"/>
  <c r="H16" i="8"/>
  <c r="C88" i="2" l="1"/>
  <c r="F65" i="2"/>
  <c r="D16" i="9"/>
  <c r="C142" i="2"/>
  <c r="C31" i="2"/>
  <c r="C33" i="2" s="1"/>
  <c r="C93" i="2"/>
  <c r="C95" i="2" s="1"/>
  <c r="C6" i="6"/>
  <c r="B6" i="5"/>
  <c r="C18" i="2"/>
  <c r="C7" i="6" s="1"/>
  <c r="L63" i="2"/>
  <c r="J16" i="8"/>
  <c r="J64" i="2"/>
  <c r="H15" i="9"/>
  <c r="Q118" i="2" l="1"/>
  <c r="R118" i="2"/>
  <c r="U118" i="2"/>
  <c r="N118" i="2"/>
  <c r="Z118" i="2"/>
  <c r="M118" i="2"/>
  <c r="T118" i="2"/>
  <c r="I118" i="2"/>
  <c r="E118" i="2"/>
  <c r="W118" i="2"/>
  <c r="J118" i="2"/>
  <c r="S118" i="2"/>
  <c r="AF118" i="2"/>
  <c r="P118" i="2"/>
  <c r="O118" i="2"/>
  <c r="AC118" i="2"/>
  <c r="F118" i="2"/>
  <c r="Y118" i="2"/>
  <c r="AA118" i="2"/>
  <c r="AD118" i="2"/>
  <c r="G118" i="2"/>
  <c r="AB118" i="2"/>
  <c r="L118" i="2"/>
  <c r="D118" i="2"/>
  <c r="AE118" i="2"/>
  <c r="AG118" i="2"/>
  <c r="X118" i="2"/>
  <c r="V118" i="2"/>
  <c r="H118" i="2"/>
  <c r="K118" i="2"/>
  <c r="E16" i="9"/>
  <c r="E17" i="8"/>
  <c r="G65" i="2"/>
  <c r="B10" i="21"/>
  <c r="B12" i="21" s="1"/>
  <c r="B16" i="21" s="1"/>
  <c r="C43" i="2"/>
  <c r="C37" i="2"/>
  <c r="Y13" i="2"/>
  <c r="X12" i="8" s="1"/>
  <c r="AG13" i="2"/>
  <c r="AF12" i="8" s="1"/>
  <c r="M13" i="2"/>
  <c r="L12" i="8" s="1"/>
  <c r="X13" i="2"/>
  <c r="W12" i="8" s="1"/>
  <c r="D13" i="2"/>
  <c r="C12" i="8" s="1"/>
  <c r="AE13" i="2"/>
  <c r="AD12" i="8" s="1"/>
  <c r="S13" i="2"/>
  <c r="R12" i="8" s="1"/>
  <c r="AA13" i="2"/>
  <c r="Z12" i="8" s="1"/>
  <c r="U13" i="2"/>
  <c r="T12" i="8" s="1"/>
  <c r="AC13" i="2"/>
  <c r="AB12" i="8" s="1"/>
  <c r="N13" i="2"/>
  <c r="M12" i="8" s="1"/>
  <c r="K13" i="2"/>
  <c r="J12" i="8" s="1"/>
  <c r="I13" i="2"/>
  <c r="H12" i="8" s="1"/>
  <c r="Z13" i="2"/>
  <c r="Y12" i="8" s="1"/>
  <c r="W13" i="2"/>
  <c r="V12" i="8" s="1"/>
  <c r="R13" i="2"/>
  <c r="Q12" i="8" s="1"/>
  <c r="H13" i="2"/>
  <c r="G12" i="8" s="1"/>
  <c r="AF13" i="2"/>
  <c r="AE12" i="8" s="1"/>
  <c r="J13" i="2"/>
  <c r="I12" i="8" s="1"/>
  <c r="T13" i="2"/>
  <c r="S12" i="8" s="1"/>
  <c r="O13" i="2"/>
  <c r="N12" i="8" s="1"/>
  <c r="V13" i="2"/>
  <c r="U12" i="8" s="1"/>
  <c r="C5" i="8"/>
  <c r="AB13" i="2"/>
  <c r="AA12" i="8" s="1"/>
  <c r="L13" i="2"/>
  <c r="K12" i="8" s="1"/>
  <c r="AD13" i="2"/>
  <c r="AC12" i="8" s="1"/>
  <c r="F13" i="2"/>
  <c r="E12" i="8" s="1"/>
  <c r="Q13" i="2"/>
  <c r="P12" i="8" s="1"/>
  <c r="P13" i="2"/>
  <c r="O12" i="8" s="1"/>
  <c r="E13" i="2"/>
  <c r="D12" i="8" s="1"/>
  <c r="G13" i="2"/>
  <c r="F12" i="8" s="1"/>
  <c r="K64" i="2"/>
  <c r="I15" i="9"/>
  <c r="M63" i="2"/>
  <c r="K16" i="8"/>
  <c r="C8" i="6" l="1"/>
  <c r="C5" i="9"/>
  <c r="C11" i="9" s="1"/>
  <c r="C18" i="9" s="1"/>
  <c r="H8" i="6"/>
  <c r="H5" i="9"/>
  <c r="H11" i="9" s="1"/>
  <c r="N8" i="6"/>
  <c r="N5" i="9"/>
  <c r="N11" i="9" s="1"/>
  <c r="O5" i="9"/>
  <c r="O11" i="9" s="1"/>
  <c r="O8" i="6"/>
  <c r="G8" i="6"/>
  <c r="G5" i="9"/>
  <c r="G11" i="9" s="1"/>
  <c r="U8" i="6"/>
  <c r="U5" i="9"/>
  <c r="U11" i="9" s="1"/>
  <c r="AC8" i="6"/>
  <c r="AC5" i="9"/>
  <c r="AC11" i="9" s="1"/>
  <c r="R8" i="6"/>
  <c r="R5" i="9"/>
  <c r="R11" i="9" s="1"/>
  <c r="M5" i="9"/>
  <c r="M11" i="9" s="1"/>
  <c r="M8" i="6"/>
  <c r="S5" i="9"/>
  <c r="S11" i="9" s="1"/>
  <c r="S8" i="6"/>
  <c r="AA5" i="9"/>
  <c r="AA11" i="9" s="1"/>
  <c r="AA8" i="6"/>
  <c r="L8" i="6"/>
  <c r="L5" i="9"/>
  <c r="L11" i="9" s="1"/>
  <c r="F8" i="6"/>
  <c r="F5" i="9"/>
  <c r="F11" i="9" s="1"/>
  <c r="Y5" i="9"/>
  <c r="Y11" i="9" s="1"/>
  <c r="Y8" i="6"/>
  <c r="W5" i="9"/>
  <c r="W11" i="9" s="1"/>
  <c r="W8" i="6"/>
  <c r="AF8" i="6"/>
  <c r="AF5" i="9"/>
  <c r="AF11" i="9" s="1"/>
  <c r="X8" i="6"/>
  <c r="X5" i="9"/>
  <c r="X11" i="9" s="1"/>
  <c r="V8" i="6"/>
  <c r="V5" i="9"/>
  <c r="V11" i="9" s="1"/>
  <c r="Q8" i="6"/>
  <c r="Q5" i="9"/>
  <c r="Q11" i="9" s="1"/>
  <c r="AB8" i="6"/>
  <c r="AB5" i="9"/>
  <c r="AB11" i="9" s="1"/>
  <c r="K5" i="9"/>
  <c r="K11" i="9" s="1"/>
  <c r="K8" i="6"/>
  <c r="J5" i="9"/>
  <c r="J11" i="9" s="1"/>
  <c r="J8" i="6"/>
  <c r="AE8" i="6"/>
  <c r="AE5" i="9"/>
  <c r="AE11" i="9" s="1"/>
  <c r="Z5" i="9"/>
  <c r="Z11" i="9" s="1"/>
  <c r="Z8" i="6"/>
  <c r="I8" i="6"/>
  <c r="I5" i="9"/>
  <c r="I11" i="9" s="1"/>
  <c r="T8" i="6"/>
  <c r="T5" i="9"/>
  <c r="T11" i="9" s="1"/>
  <c r="AD8" i="6"/>
  <c r="AD5" i="9"/>
  <c r="AD11" i="9" s="1"/>
  <c r="E8" i="6"/>
  <c r="E5" i="9"/>
  <c r="E11" i="9" s="1"/>
  <c r="E18" i="9" s="1"/>
  <c r="D8" i="6"/>
  <c r="D5" i="9"/>
  <c r="D11" i="9" s="1"/>
  <c r="D18" i="9" s="1"/>
  <c r="P5" i="9"/>
  <c r="P11" i="9" s="1"/>
  <c r="P8" i="6"/>
  <c r="AA142" i="2"/>
  <c r="F17" i="8"/>
  <c r="F20" i="8" s="1"/>
  <c r="H65" i="2"/>
  <c r="F16" i="9"/>
  <c r="Y142" i="2"/>
  <c r="W142" i="2"/>
  <c r="R142" i="2"/>
  <c r="K142" i="2"/>
  <c r="C104" i="2"/>
  <c r="M142" i="2"/>
  <c r="B23" i="21" s="1"/>
  <c r="E47" i="2"/>
  <c r="H47" i="2"/>
  <c r="D47" i="2"/>
  <c r="C7" i="3" s="1"/>
  <c r="F47" i="2"/>
  <c r="G47" i="2"/>
  <c r="J142" i="2"/>
  <c r="H19" i="8"/>
  <c r="I142" i="2"/>
  <c r="D142" i="2"/>
  <c r="L142" i="2"/>
  <c r="E142" i="2"/>
  <c r="D19" i="8"/>
  <c r="D20" i="8"/>
  <c r="C20" i="8"/>
  <c r="C19" i="8"/>
  <c r="O142" i="2"/>
  <c r="AF142" i="2"/>
  <c r="AD142" i="2"/>
  <c r="E20" i="8"/>
  <c r="E19" i="8"/>
  <c r="V142" i="2"/>
  <c r="J19" i="8"/>
  <c r="AE142" i="2"/>
  <c r="AG142" i="2"/>
  <c r="B36" i="21" s="1"/>
  <c r="Z142" i="2"/>
  <c r="G142" i="2"/>
  <c r="G19" i="8"/>
  <c r="Q142" i="2"/>
  <c r="AB142" i="2"/>
  <c r="I19" i="8"/>
  <c r="F142" i="2"/>
  <c r="N142" i="2"/>
  <c r="U142" i="2"/>
  <c r="X142" i="2"/>
  <c r="AC142" i="2"/>
  <c r="K19" i="8"/>
  <c r="F19" i="8"/>
  <c r="D5" i="8"/>
  <c r="E5" i="8" s="1"/>
  <c r="F5" i="8" s="1"/>
  <c r="G5" i="8" s="1"/>
  <c r="H5" i="8" s="1"/>
  <c r="I5" i="8" s="1"/>
  <c r="J5" i="8" s="1"/>
  <c r="K5" i="8" s="1"/>
  <c r="L5" i="8" s="1"/>
  <c r="E6" i="7"/>
  <c r="U9" i="4"/>
  <c r="U8" i="3" s="1"/>
  <c r="C6" i="3"/>
  <c r="N9" i="4"/>
  <c r="N8" i="3" s="1"/>
  <c r="AB9" i="4"/>
  <c r="AB8" i="3" s="1"/>
  <c r="P9" i="4"/>
  <c r="P8" i="3" s="1"/>
  <c r="AD9" i="4"/>
  <c r="AD8" i="3" s="1"/>
  <c r="M9" i="4"/>
  <c r="M8" i="3" s="1"/>
  <c r="C9" i="4"/>
  <c r="C8" i="3" s="1"/>
  <c r="K9" i="4"/>
  <c r="K8" i="3" s="1"/>
  <c r="X9" i="4"/>
  <c r="X8" i="3" s="1"/>
  <c r="AE9" i="4"/>
  <c r="AE8" i="3" s="1"/>
  <c r="F9" i="4"/>
  <c r="F8" i="3" s="1"/>
  <c r="S9" i="4"/>
  <c r="S8" i="3" s="1"/>
  <c r="H9" i="4"/>
  <c r="H8" i="3" s="1"/>
  <c r="L9" i="4"/>
  <c r="L8" i="3" s="1"/>
  <c r="AC9" i="4"/>
  <c r="AC8" i="3" s="1"/>
  <c r="O9" i="4"/>
  <c r="O8" i="3" s="1"/>
  <c r="Z9" i="4"/>
  <c r="Z8" i="3" s="1"/>
  <c r="Q9" i="4"/>
  <c r="Q8" i="3" s="1"/>
  <c r="D9" i="4"/>
  <c r="D8" i="3" s="1"/>
  <c r="J9" i="4"/>
  <c r="J8" i="3" s="1"/>
  <c r="G9" i="4"/>
  <c r="G8" i="3" s="1"/>
  <c r="AF9" i="4"/>
  <c r="AF8" i="3" s="1"/>
  <c r="Y9" i="4"/>
  <c r="Y8" i="3" s="1"/>
  <c r="I9" i="4"/>
  <c r="I8" i="3" s="1"/>
  <c r="T9" i="4"/>
  <c r="T8" i="3" s="1"/>
  <c r="AA9" i="4"/>
  <c r="AA8" i="3" s="1"/>
  <c r="E9" i="4"/>
  <c r="E8" i="3" s="1"/>
  <c r="R9" i="4"/>
  <c r="R8" i="3" s="1"/>
  <c r="V9" i="4"/>
  <c r="V8" i="3" s="1"/>
  <c r="W9" i="4"/>
  <c r="W8" i="3" s="1"/>
  <c r="H142" i="2"/>
  <c r="T142" i="2"/>
  <c r="P142" i="2"/>
  <c r="S142" i="2"/>
  <c r="L64" i="2"/>
  <c r="J15" i="9"/>
  <c r="L16" i="8"/>
  <c r="L19" i="8" s="1"/>
  <c r="N63" i="2"/>
  <c r="F18" i="9" l="1"/>
  <c r="I65" i="2"/>
  <c r="G17" i="8"/>
  <c r="G20" i="8" s="1"/>
  <c r="G16" i="9"/>
  <c r="G18" i="9" s="1"/>
  <c r="AE120" i="2"/>
  <c r="E120" i="2"/>
  <c r="D120" i="2"/>
  <c r="P120" i="2"/>
  <c r="T120" i="2"/>
  <c r="L120" i="2"/>
  <c r="L122" i="2" s="1"/>
  <c r="Y120" i="2"/>
  <c r="M120" i="2"/>
  <c r="AA120" i="2"/>
  <c r="G120" i="2"/>
  <c r="O120" i="2"/>
  <c r="U120" i="2"/>
  <c r="V120" i="2"/>
  <c r="R120" i="2"/>
  <c r="AG120" i="2"/>
  <c r="H120" i="2"/>
  <c r="AF120" i="2"/>
  <c r="S120" i="2"/>
  <c r="Q120" i="2"/>
  <c r="N120" i="2"/>
  <c r="F120" i="2"/>
  <c r="AB120" i="2"/>
  <c r="Z120" i="2"/>
  <c r="J120" i="2"/>
  <c r="AD120" i="2"/>
  <c r="W120" i="2"/>
  <c r="I120" i="2"/>
  <c r="K120" i="2"/>
  <c r="X120" i="2"/>
  <c r="AC120" i="2"/>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B20" i="21"/>
  <c r="B25" i="21" s="1"/>
  <c r="B29" i="21" s="1"/>
  <c r="E7" i="3"/>
  <c r="E13" i="8"/>
  <c r="E22" i="8" s="1"/>
  <c r="F13" i="8"/>
  <c r="F22" i="8" s="1"/>
  <c r="F7" i="3"/>
  <c r="C47" i="2"/>
  <c r="C13" i="8"/>
  <c r="C22" i="8" s="1"/>
  <c r="G13" i="8"/>
  <c r="G7" i="3"/>
  <c r="D7" i="3"/>
  <c r="D13" i="8"/>
  <c r="O63" i="2"/>
  <c r="M16" i="8"/>
  <c r="M19" i="8" s="1"/>
  <c r="K15" i="9"/>
  <c r="M64" i="2"/>
  <c r="G22" i="8" l="1"/>
  <c r="H16" i="9"/>
  <c r="H18" i="9" s="1"/>
  <c r="J65" i="2"/>
  <c r="J123" i="2" s="1"/>
  <c r="H17" i="8"/>
  <c r="AB6" i="9"/>
  <c r="AB12" i="9" s="1"/>
  <c r="W6" i="9"/>
  <c r="W12" i="9" s="1"/>
  <c r="E6" i="9"/>
  <c r="E12" i="9" s="1"/>
  <c r="F123" i="2"/>
  <c r="F122" i="2"/>
  <c r="U6" i="9"/>
  <c r="U12" i="9" s="1"/>
  <c r="S6" i="9"/>
  <c r="S12" i="9" s="1"/>
  <c r="AA6" i="9"/>
  <c r="AA12" i="9" s="1"/>
  <c r="K122" i="2"/>
  <c r="J6" i="9"/>
  <c r="J12" i="9" s="1"/>
  <c r="M6" i="9"/>
  <c r="M12" i="9" s="1"/>
  <c r="T6" i="9"/>
  <c r="T12" i="9" s="1"/>
  <c r="O6" i="9"/>
  <c r="O12" i="9" s="1"/>
  <c r="K6" i="9"/>
  <c r="K12" i="9" s="1"/>
  <c r="K20" i="9" s="1"/>
  <c r="I122" i="2"/>
  <c r="H6" i="9"/>
  <c r="H12" i="9" s="1"/>
  <c r="I123" i="2"/>
  <c r="N6" i="9"/>
  <c r="N12" i="9" s="1"/>
  <c r="V6" i="9"/>
  <c r="V12" i="9" s="1"/>
  <c r="R6" i="9"/>
  <c r="R12" i="9" s="1"/>
  <c r="E123" i="2"/>
  <c r="E122" i="2"/>
  <c r="D6" i="9"/>
  <c r="D12" i="9" s="1"/>
  <c r="Q6" i="9"/>
  <c r="Q12" i="9" s="1"/>
  <c r="P6" i="9"/>
  <c r="P12" i="9" s="1"/>
  <c r="D122" i="2"/>
  <c r="C6" i="9"/>
  <c r="C12" i="9" s="1"/>
  <c r="C120" i="2"/>
  <c r="C121" i="2" s="1"/>
  <c r="D123" i="2"/>
  <c r="G123" i="2"/>
  <c r="F6" i="9"/>
  <c r="F12" i="9" s="1"/>
  <c r="G122" i="2"/>
  <c r="AC6" i="9"/>
  <c r="AC12" i="9" s="1"/>
  <c r="AE6" i="9"/>
  <c r="AE12" i="9" s="1"/>
  <c r="Z6" i="9"/>
  <c r="Z12" i="9" s="1"/>
  <c r="AD6" i="9"/>
  <c r="AD12" i="9" s="1"/>
  <c r="J122" i="2"/>
  <c r="I6" i="9"/>
  <c r="I12" i="9" s="1"/>
  <c r="H123" i="2"/>
  <c r="G6" i="9"/>
  <c r="G12" i="9" s="1"/>
  <c r="H122" i="2"/>
  <c r="L6" i="9"/>
  <c r="L12" i="9" s="1"/>
  <c r="Y6" i="9"/>
  <c r="Y12" i="9" s="1"/>
  <c r="AF6" i="9"/>
  <c r="AF12" i="9" s="1"/>
  <c r="X6" i="9"/>
  <c r="X12" i="9" s="1"/>
  <c r="D22" i="8"/>
  <c r="N16" i="8"/>
  <c r="N19" i="8" s="1"/>
  <c r="P63" i="2"/>
  <c r="N64" i="2"/>
  <c r="M122" i="2"/>
  <c r="L15" i="9"/>
  <c r="F125" i="2" l="1"/>
  <c r="E125" i="2"/>
  <c r="I125" i="2"/>
  <c r="I17" i="8"/>
  <c r="K65" i="2"/>
  <c r="I16" i="9"/>
  <c r="I18" i="9" s="1"/>
  <c r="H22" i="8"/>
  <c r="H20" i="8"/>
  <c r="L20" i="9"/>
  <c r="D125" i="2"/>
  <c r="E129" i="2" s="1"/>
  <c r="D14" i="8" s="1"/>
  <c r="D24" i="8" s="1"/>
  <c r="J125" i="2"/>
  <c r="I20" i="9"/>
  <c r="G21" i="9"/>
  <c r="G20" i="9"/>
  <c r="D21" i="9"/>
  <c r="D20" i="9"/>
  <c r="E21" i="9"/>
  <c r="E20" i="9"/>
  <c r="C20" i="9"/>
  <c r="C21" i="9"/>
  <c r="G125" i="2"/>
  <c r="H21" i="9"/>
  <c r="H20" i="9"/>
  <c r="H125" i="2"/>
  <c r="F21" i="9"/>
  <c r="F20" i="9"/>
  <c r="J20" i="9"/>
  <c r="Q63" i="2"/>
  <c r="O16" i="8"/>
  <c r="O19" i="8" s="1"/>
  <c r="O64" i="2"/>
  <c r="M15" i="9"/>
  <c r="M20" i="9" s="1"/>
  <c r="N122" i="2"/>
  <c r="G127" i="2" l="1"/>
  <c r="F9" i="6" s="1"/>
  <c r="E127" i="2"/>
  <c r="D129" i="2"/>
  <c r="C14" i="8" s="1"/>
  <c r="C24" i="8" s="1"/>
  <c r="D127" i="2"/>
  <c r="C9" i="6" s="1"/>
  <c r="C10" i="6" s="1"/>
  <c r="L65" i="2"/>
  <c r="J17" i="8"/>
  <c r="J16" i="9"/>
  <c r="K123" i="2"/>
  <c r="K125" i="2" s="1"/>
  <c r="K129" i="2" s="1"/>
  <c r="J14" i="8" s="1"/>
  <c r="F127" i="2"/>
  <c r="E7" i="9" s="1"/>
  <c r="E13" i="9" s="1"/>
  <c r="E23" i="9" s="1"/>
  <c r="E25" i="9" s="1"/>
  <c r="I22" i="8"/>
  <c r="I20" i="8"/>
  <c r="F129" i="2"/>
  <c r="E14" i="8" s="1"/>
  <c r="E24" i="8" s="1"/>
  <c r="I21" i="9"/>
  <c r="D25" i="8"/>
  <c r="D27" i="8" s="1"/>
  <c r="D6" i="8" s="1"/>
  <c r="H129" i="2"/>
  <c r="G14" i="8" s="1"/>
  <c r="J129" i="2"/>
  <c r="I14" i="8" s="1"/>
  <c r="G129" i="2"/>
  <c r="F14" i="8" s="1"/>
  <c r="H127" i="2"/>
  <c r="I127" i="2"/>
  <c r="I129" i="2"/>
  <c r="H14" i="8" s="1"/>
  <c r="J127" i="2"/>
  <c r="P64" i="2"/>
  <c r="N15" i="9"/>
  <c r="N20" i="9" s="1"/>
  <c r="O122" i="2"/>
  <c r="R63" i="2"/>
  <c r="P16" i="8"/>
  <c r="P19" i="8" s="1"/>
  <c r="F7" i="9" l="1"/>
  <c r="F13" i="9" s="1"/>
  <c r="F23" i="9" s="1"/>
  <c r="F25" i="9" s="1"/>
  <c r="F18" i="6" s="1"/>
  <c r="E9" i="6"/>
  <c r="E7" i="8" s="1"/>
  <c r="C7" i="8"/>
  <c r="C12" i="6"/>
  <c r="B7" i="5" s="1"/>
  <c r="B8" i="5" s="1"/>
  <c r="B10" i="5" s="1"/>
  <c r="C25" i="8"/>
  <c r="C27" i="8" s="1"/>
  <c r="C6" i="8" s="1"/>
  <c r="C7" i="9"/>
  <c r="C13" i="9" s="1"/>
  <c r="C23" i="9" s="1"/>
  <c r="C25" i="9" s="1"/>
  <c r="C10" i="4" s="1"/>
  <c r="E25" i="8"/>
  <c r="E27" i="8" s="1"/>
  <c r="E6" i="8" s="1"/>
  <c r="K127" i="2"/>
  <c r="J9" i="6" s="1"/>
  <c r="D7" i="9"/>
  <c r="D13" i="9" s="1"/>
  <c r="D9" i="6"/>
  <c r="E10" i="6" s="1"/>
  <c r="C6" i="4"/>
  <c r="J22" i="8"/>
  <c r="J20" i="8"/>
  <c r="L123" i="2"/>
  <c r="L125" i="2" s="1"/>
  <c r="M65" i="2"/>
  <c r="K17" i="8"/>
  <c r="K16" i="9"/>
  <c r="J18" i="9"/>
  <c r="J21" i="9"/>
  <c r="I7" i="9"/>
  <c r="I13" i="9" s="1"/>
  <c r="I23" i="9" s="1"/>
  <c r="I25" i="9" s="1"/>
  <c r="I9" i="6"/>
  <c r="F24" i="8"/>
  <c r="F25" i="8"/>
  <c r="G24" i="8"/>
  <c r="G25" i="8"/>
  <c r="H24" i="8"/>
  <c r="H25" i="8"/>
  <c r="E6" i="4"/>
  <c r="J24" i="8"/>
  <c r="J25" i="8"/>
  <c r="E18" i="6"/>
  <c r="E10" i="4"/>
  <c r="H7" i="9"/>
  <c r="H13" i="9" s="1"/>
  <c r="H23" i="9" s="1"/>
  <c r="H25" i="9" s="1"/>
  <c r="H9" i="6"/>
  <c r="G7" i="9"/>
  <c r="G13" i="9" s="1"/>
  <c r="G23" i="9" s="1"/>
  <c r="G25" i="9" s="1"/>
  <c r="G9" i="6"/>
  <c r="I24" i="8"/>
  <c r="I25" i="8"/>
  <c r="F6" i="4"/>
  <c r="F7" i="8"/>
  <c r="P122" i="2"/>
  <c r="Q64" i="2"/>
  <c r="O15" i="9"/>
  <c r="O20" i="9" s="1"/>
  <c r="S63" i="2"/>
  <c r="Q16" i="8"/>
  <c r="Q19" i="8" s="1"/>
  <c r="F10" i="4" l="1"/>
  <c r="E8" i="7"/>
  <c r="D7" i="6"/>
  <c r="C18" i="6"/>
  <c r="C19" i="6" s="1"/>
  <c r="C20" i="6" s="1"/>
  <c r="C23" i="6" s="1"/>
  <c r="G10" i="6"/>
  <c r="J7" i="9"/>
  <c r="J13" i="9" s="1"/>
  <c r="J23" i="9" s="1"/>
  <c r="D12" i="6"/>
  <c r="D7" i="8"/>
  <c r="D6" i="4"/>
  <c r="D10" i="6"/>
  <c r="G27" i="8"/>
  <c r="G6" i="8" s="1"/>
  <c r="D23" i="9"/>
  <c r="D25" i="9" s="1"/>
  <c r="H27" i="8"/>
  <c r="H6" i="8" s="1"/>
  <c r="I27" i="8"/>
  <c r="I6" i="8" s="1"/>
  <c r="F10" i="6"/>
  <c r="J25" i="9"/>
  <c r="J10" i="4" s="1"/>
  <c r="K18" i="9"/>
  <c r="K21" i="9"/>
  <c r="K20" i="8"/>
  <c r="K22" i="8"/>
  <c r="N65" i="2"/>
  <c r="L16" i="9"/>
  <c r="L17" i="8"/>
  <c r="M123" i="2"/>
  <c r="M125" i="2" s="1"/>
  <c r="L129" i="2"/>
  <c r="K14" i="8" s="1"/>
  <c r="L127" i="2"/>
  <c r="J27" i="8"/>
  <c r="J6" i="8" s="1"/>
  <c r="J10" i="6"/>
  <c r="G6" i="4"/>
  <c r="I10" i="6"/>
  <c r="G7" i="8"/>
  <c r="H10" i="6"/>
  <c r="G10" i="4"/>
  <c r="G18" i="6"/>
  <c r="F27" i="8"/>
  <c r="F6" i="8" s="1"/>
  <c r="I18" i="6"/>
  <c r="I10" i="4"/>
  <c r="H6" i="4"/>
  <c r="H7" i="8"/>
  <c r="J7" i="8"/>
  <c r="J6" i="4"/>
  <c r="H18" i="6"/>
  <c r="H10" i="4"/>
  <c r="I6" i="4"/>
  <c r="I7" i="8"/>
  <c r="R64" i="2"/>
  <c r="Q122" i="2"/>
  <c r="P15" i="9"/>
  <c r="P20" i="9" s="1"/>
  <c r="T63" i="2"/>
  <c r="R16" i="8"/>
  <c r="R19" i="8" s="1"/>
  <c r="J18" i="6" l="1"/>
  <c r="C7" i="5"/>
  <c r="E7" i="6"/>
  <c r="E12" i="6" s="1"/>
  <c r="D10" i="4"/>
  <c r="D18" i="6"/>
  <c r="D19" i="6" s="1"/>
  <c r="D20" i="6" s="1"/>
  <c r="E19" i="6" s="1"/>
  <c r="E20" i="6" s="1"/>
  <c r="F19" i="6" s="1"/>
  <c r="F20" i="6" s="1"/>
  <c r="G19" i="6" s="1"/>
  <c r="G20" i="6" s="1"/>
  <c r="H19" i="6" s="1"/>
  <c r="H20" i="6" s="1"/>
  <c r="I19" i="6" s="1"/>
  <c r="I20" i="6" s="1"/>
  <c r="J19" i="6" s="1"/>
  <c r="J20" i="6" s="1"/>
  <c r="M127" i="2"/>
  <c r="M129" i="2"/>
  <c r="L14" i="8" s="1"/>
  <c r="L18" i="9"/>
  <c r="L21" i="9"/>
  <c r="L20" i="8"/>
  <c r="L22" i="8"/>
  <c r="M17" i="8"/>
  <c r="M16" i="9"/>
  <c r="O65" i="2"/>
  <c r="N123" i="2"/>
  <c r="N125" i="2" s="1"/>
  <c r="N127" i="2" s="1"/>
  <c r="K9" i="6"/>
  <c r="K7" i="9"/>
  <c r="K13" i="9" s="1"/>
  <c r="K23" i="9" s="1"/>
  <c r="K25" i="9" s="1"/>
  <c r="K25" i="8"/>
  <c r="K24" i="8"/>
  <c r="S16" i="8"/>
  <c r="S19" i="8" s="1"/>
  <c r="U63" i="2"/>
  <c r="S64" i="2"/>
  <c r="Q15" i="9"/>
  <c r="Q20" i="9" s="1"/>
  <c r="R122" i="2"/>
  <c r="F7" i="6" l="1"/>
  <c r="F12" i="6" s="1"/>
  <c r="D7" i="5"/>
  <c r="K27" i="8"/>
  <c r="K6" i="8" s="1"/>
  <c r="N129" i="2"/>
  <c r="M14" i="8" s="1"/>
  <c r="M25" i="8" s="1"/>
  <c r="M7" i="9"/>
  <c r="M13" i="9" s="1"/>
  <c r="M23" i="9" s="1"/>
  <c r="M9" i="6"/>
  <c r="M7" i="8" s="1"/>
  <c r="K10" i="4"/>
  <c r="K18" i="6"/>
  <c r="K19" i="6" s="1"/>
  <c r="K20" i="6" s="1"/>
  <c r="K10" i="6"/>
  <c r="K6" i="4"/>
  <c r="K7" i="8"/>
  <c r="N16" i="9"/>
  <c r="O123" i="2"/>
  <c r="O125" i="2" s="1"/>
  <c r="N17" i="8"/>
  <c r="P65" i="2"/>
  <c r="M18" i="9"/>
  <c r="M21" i="9"/>
  <c r="L7" i="9"/>
  <c r="L13" i="9" s="1"/>
  <c r="L23" i="9" s="1"/>
  <c r="L25" i="9" s="1"/>
  <c r="L9" i="6"/>
  <c r="L25" i="8"/>
  <c r="L24" i="8"/>
  <c r="M24" i="8"/>
  <c r="M22" i="8"/>
  <c r="M20" i="8"/>
  <c r="V63" i="2"/>
  <c r="T16" i="8"/>
  <c r="T19" i="8" s="1"/>
  <c r="T64" i="2"/>
  <c r="R15" i="9"/>
  <c r="R20" i="9" s="1"/>
  <c r="S122" i="2"/>
  <c r="L27" i="8" l="1"/>
  <c r="L6" i="8" s="1"/>
  <c r="M10" i="6"/>
  <c r="E7" i="5"/>
  <c r="G7" i="6"/>
  <c r="G12" i="6" s="1"/>
  <c r="M6" i="4"/>
  <c r="N20" i="8"/>
  <c r="N22" i="8"/>
  <c r="M27" i="8"/>
  <c r="M6" i="8" s="1"/>
  <c r="O129" i="2"/>
  <c r="N14" i="8" s="1"/>
  <c r="O127" i="2"/>
  <c r="N18" i="9"/>
  <c r="N21" i="9"/>
  <c r="L7" i="8"/>
  <c r="L6" i="4"/>
  <c r="M25" i="9"/>
  <c r="O16" i="9"/>
  <c r="P123" i="2"/>
  <c r="P125" i="2" s="1"/>
  <c r="O17" i="8"/>
  <c r="Q65" i="2"/>
  <c r="L10" i="4"/>
  <c r="L18" i="6"/>
  <c r="L19" i="6" s="1"/>
  <c r="L20" i="6" s="1"/>
  <c r="L10" i="6"/>
  <c r="W63" i="2"/>
  <c r="U16" i="8"/>
  <c r="U19" i="8" s="1"/>
  <c r="T122" i="2"/>
  <c r="U64" i="2"/>
  <c r="S15" i="9"/>
  <c r="S20" i="9" s="1"/>
  <c r="H7" i="6" l="1"/>
  <c r="H12" i="6" s="1"/>
  <c r="F7" i="5"/>
  <c r="N7" i="9"/>
  <c r="N13" i="9" s="1"/>
  <c r="N9" i="6"/>
  <c r="O22" i="8"/>
  <c r="O20" i="8"/>
  <c r="N24" i="8"/>
  <c r="N25" i="8"/>
  <c r="R65" i="2"/>
  <c r="P17" i="8"/>
  <c r="P16" i="9"/>
  <c r="Q123" i="2"/>
  <c r="Q125" i="2" s="1"/>
  <c r="Q127" i="2" s="1"/>
  <c r="P9" i="6" s="1"/>
  <c r="M10" i="4"/>
  <c r="M18" i="6"/>
  <c r="M19" i="6" s="1"/>
  <c r="M20" i="6" s="1"/>
  <c r="P129" i="2"/>
  <c r="O14" i="8" s="1"/>
  <c r="P127" i="2"/>
  <c r="O18" i="9"/>
  <c r="O21" i="9"/>
  <c r="X63" i="2"/>
  <c r="V16" i="8"/>
  <c r="V19" i="8" s="1"/>
  <c r="V64" i="2"/>
  <c r="T15" i="9"/>
  <c r="T20" i="9" s="1"/>
  <c r="U122" i="2"/>
  <c r="N27" i="8" l="1"/>
  <c r="N6" i="8" s="1"/>
  <c r="Q129" i="2"/>
  <c r="P14" i="8" s="1"/>
  <c r="P7" i="9"/>
  <c r="P13" i="9" s="1"/>
  <c r="G7" i="5"/>
  <c r="I7" i="6"/>
  <c r="I12" i="6" s="1"/>
  <c r="P23" i="9"/>
  <c r="P22" i="8"/>
  <c r="P20" i="8"/>
  <c r="O25" i="8"/>
  <c r="O24" i="8"/>
  <c r="O9" i="6"/>
  <c r="O7" i="9"/>
  <c r="O13" i="9" s="1"/>
  <c r="O23" i="9" s="1"/>
  <c r="O25" i="9" s="1"/>
  <c r="P24" i="8"/>
  <c r="P25" i="8"/>
  <c r="N6" i="4"/>
  <c r="N7" i="8"/>
  <c r="N10" i="6"/>
  <c r="R123" i="2"/>
  <c r="R125" i="2" s="1"/>
  <c r="Q16" i="9"/>
  <c r="Q17" i="8"/>
  <c r="S65" i="2"/>
  <c r="P18" i="9"/>
  <c r="P21" i="9"/>
  <c r="N23" i="9"/>
  <c r="N25" i="9" s="1"/>
  <c r="P7" i="8"/>
  <c r="P6" i="4"/>
  <c r="W64" i="2"/>
  <c r="U15" i="9"/>
  <c r="U20" i="9" s="1"/>
  <c r="V122" i="2"/>
  <c r="Y63" i="2"/>
  <c r="W16" i="8"/>
  <c r="W19" i="8" s="1"/>
  <c r="O27" i="8" l="1"/>
  <c r="O6" i="8" s="1"/>
  <c r="P25" i="9"/>
  <c r="H7" i="5"/>
  <c r="J7" i="6"/>
  <c r="J12" i="6" s="1"/>
  <c r="O6" i="4"/>
  <c r="O10" i="6"/>
  <c r="O7" i="8"/>
  <c r="Q18" i="9"/>
  <c r="Q21" i="9"/>
  <c r="R127" i="2"/>
  <c r="R129" i="2"/>
  <c r="Q14" i="8" s="1"/>
  <c r="P10" i="4"/>
  <c r="P18" i="6"/>
  <c r="S123" i="2"/>
  <c r="S125" i="2" s="1"/>
  <c r="S129" i="2" s="1"/>
  <c r="R14" i="8" s="1"/>
  <c r="R24" i="8" s="1"/>
  <c r="R17" i="8"/>
  <c r="T65" i="2"/>
  <c r="R16" i="9"/>
  <c r="N10" i="4"/>
  <c r="N18" i="6"/>
  <c r="N19" i="6" s="1"/>
  <c r="N20" i="6" s="1"/>
  <c r="P10" i="6"/>
  <c r="Q20" i="8"/>
  <c r="Q22" i="8"/>
  <c r="P27" i="8"/>
  <c r="P6" i="8" s="1"/>
  <c r="O10" i="4"/>
  <c r="O18" i="6"/>
  <c r="Z63" i="2"/>
  <c r="X16" i="8"/>
  <c r="X19" i="8" s="1"/>
  <c r="V15" i="9"/>
  <c r="V20" i="9" s="1"/>
  <c r="W122" i="2"/>
  <c r="X64" i="2"/>
  <c r="S127" i="2" l="1"/>
  <c r="R7" i="9" s="1"/>
  <c r="R13" i="9" s="1"/>
  <c r="R23" i="9" s="1"/>
  <c r="R25" i="8"/>
  <c r="K7" i="6"/>
  <c r="K12" i="6" s="1"/>
  <c r="I7" i="5"/>
  <c r="R18" i="9"/>
  <c r="R21" i="9"/>
  <c r="O19" i="6"/>
  <c r="O20" i="6" s="1"/>
  <c r="P19" i="6" s="1"/>
  <c r="P20" i="6" s="1"/>
  <c r="Q7" i="9"/>
  <c r="Q13" i="9" s="1"/>
  <c r="Q9" i="6"/>
  <c r="S17" i="8"/>
  <c r="U65" i="2"/>
  <c r="S16" i="9"/>
  <c r="T123" i="2"/>
  <c r="T125" i="2" s="1"/>
  <c r="R20" i="8"/>
  <c r="R22" i="8"/>
  <c r="Q24" i="8"/>
  <c r="Q25" i="8"/>
  <c r="Y64" i="2"/>
  <c r="W15" i="9"/>
  <c r="W20" i="9" s="1"/>
  <c r="X122" i="2"/>
  <c r="AA63" i="2"/>
  <c r="Y16" i="8"/>
  <c r="Y19" i="8" s="1"/>
  <c r="R9" i="6" l="1"/>
  <c r="R6" i="4" s="1"/>
  <c r="R27" i="8"/>
  <c r="R6" i="8" s="1"/>
  <c r="J7" i="5"/>
  <c r="L7" i="6"/>
  <c r="L12" i="6" s="1"/>
  <c r="R25" i="9"/>
  <c r="R10" i="4" s="1"/>
  <c r="Q6" i="4"/>
  <c r="Q7" i="8"/>
  <c r="Q10" i="6"/>
  <c r="Q27" i="8"/>
  <c r="Q6" i="8" s="1"/>
  <c r="Q23" i="9"/>
  <c r="Q25" i="9" s="1"/>
  <c r="V65" i="2"/>
  <c r="T17" i="8"/>
  <c r="T16" i="9"/>
  <c r="U123" i="2"/>
  <c r="U125" i="2" s="1"/>
  <c r="S22" i="8"/>
  <c r="S20" i="8"/>
  <c r="T129" i="2"/>
  <c r="S14" i="8" s="1"/>
  <c r="T127" i="2"/>
  <c r="S21" i="9"/>
  <c r="S18" i="9"/>
  <c r="AB63" i="2"/>
  <c r="Z16" i="8"/>
  <c r="Z19" i="8" s="1"/>
  <c r="Y122" i="2"/>
  <c r="Z64" i="2"/>
  <c r="X15" i="9"/>
  <c r="X20" i="9" s="1"/>
  <c r="R10" i="6" l="1"/>
  <c r="R7" i="8"/>
  <c r="R18" i="6"/>
  <c r="K7" i="5"/>
  <c r="M7" i="6"/>
  <c r="M12" i="6" s="1"/>
  <c r="Q18" i="6"/>
  <c r="Q19" i="6" s="1"/>
  <c r="Q20" i="6" s="1"/>
  <c r="Q10" i="4"/>
  <c r="T18" i="9"/>
  <c r="T21" i="9"/>
  <c r="S24" i="8"/>
  <c r="S25" i="8"/>
  <c r="U127" i="2"/>
  <c r="U129" i="2"/>
  <c r="T14" i="8" s="1"/>
  <c r="T20" i="8"/>
  <c r="T22" i="8"/>
  <c r="S7" i="9"/>
  <c r="S13" i="9" s="1"/>
  <c r="S23" i="9" s="1"/>
  <c r="S25" i="9" s="1"/>
  <c r="S9" i="6"/>
  <c r="U17" i="8"/>
  <c r="U16" i="9"/>
  <c r="W65" i="2"/>
  <c r="V123" i="2"/>
  <c r="V125" i="2" s="1"/>
  <c r="V129" i="2" s="1"/>
  <c r="U14" i="8" s="1"/>
  <c r="AC63" i="2"/>
  <c r="AA16" i="8"/>
  <c r="AA19" i="8" s="1"/>
  <c r="AA64" i="2"/>
  <c r="Y15" i="9"/>
  <c r="Y20" i="9" s="1"/>
  <c r="Z122" i="2"/>
  <c r="V127" i="2" l="1"/>
  <c r="U7" i="9" s="1"/>
  <c r="U13" i="9" s="1"/>
  <c r="U23" i="9" s="1"/>
  <c r="S27" i="8"/>
  <c r="S6" i="8" s="1"/>
  <c r="R19" i="6"/>
  <c r="R20" i="6" s="1"/>
  <c r="N7" i="6"/>
  <c r="N12" i="6" s="1"/>
  <c r="L7" i="5"/>
  <c r="U25" i="8"/>
  <c r="U24" i="8"/>
  <c r="T9" i="6"/>
  <c r="T7" i="9"/>
  <c r="T13" i="9" s="1"/>
  <c r="T23" i="9" s="1"/>
  <c r="T25" i="9" s="1"/>
  <c r="T10" i="4" s="1"/>
  <c r="S6" i="4"/>
  <c r="S7" i="8"/>
  <c r="S10" i="6"/>
  <c r="S18" i="6"/>
  <c r="S10" i="4"/>
  <c r="U22" i="8"/>
  <c r="U20" i="8"/>
  <c r="W123" i="2"/>
  <c r="W125" i="2" s="1"/>
  <c r="X65" i="2"/>
  <c r="V17" i="8"/>
  <c r="V16" i="9"/>
  <c r="U21" i="9"/>
  <c r="U18" i="9"/>
  <c r="T24" i="8"/>
  <c r="T25" i="8"/>
  <c r="Z15" i="9"/>
  <c r="Z20" i="9" s="1"/>
  <c r="AA122" i="2"/>
  <c r="AB64" i="2"/>
  <c r="AB16" i="8"/>
  <c r="AB19" i="8" s="1"/>
  <c r="AD63" i="2"/>
  <c r="U25" i="9" l="1"/>
  <c r="U9" i="6"/>
  <c r="U6" i="4" s="1"/>
  <c r="S19" i="6"/>
  <c r="S20" i="6" s="1"/>
  <c r="M7" i="5"/>
  <c r="O7" i="6"/>
  <c r="O12" i="6" s="1"/>
  <c r="U10" i="4"/>
  <c r="U18" i="6"/>
  <c r="W127" i="2"/>
  <c r="W129" i="2"/>
  <c r="V14" i="8" s="1"/>
  <c r="W16" i="9"/>
  <c r="X123" i="2"/>
  <c r="X125" i="2" s="1"/>
  <c r="X129" i="2" s="1"/>
  <c r="W14" i="8" s="1"/>
  <c r="Y65" i="2"/>
  <c r="W17" i="8"/>
  <c r="T10" i="6"/>
  <c r="T6" i="4"/>
  <c r="T7" i="8"/>
  <c r="U10" i="6"/>
  <c r="U27" i="8"/>
  <c r="U6" i="8" s="1"/>
  <c r="T27" i="8"/>
  <c r="T6" i="8" s="1"/>
  <c r="T18" i="6"/>
  <c r="V21" i="9"/>
  <c r="V18" i="9"/>
  <c r="V22" i="8"/>
  <c r="V20" i="8"/>
  <c r="AC64" i="2"/>
  <c r="AA15" i="9"/>
  <c r="AA20" i="9" s="1"/>
  <c r="AB122" i="2"/>
  <c r="AE63" i="2"/>
  <c r="AC16" i="8"/>
  <c r="AC19" i="8" s="1"/>
  <c r="U7" i="8" l="1"/>
  <c r="T19" i="6"/>
  <c r="T20" i="6" s="1"/>
  <c r="U19" i="6" s="1"/>
  <c r="U20" i="6" s="1"/>
  <c r="N7" i="5"/>
  <c r="P7" i="6"/>
  <c r="P12" i="6" s="1"/>
  <c r="W22" i="8"/>
  <c r="W20" i="8"/>
  <c r="W25" i="8"/>
  <c r="W24" i="8"/>
  <c r="X17" i="8"/>
  <c r="Z65" i="2"/>
  <c r="X16" i="9"/>
  <c r="Y123" i="2"/>
  <c r="Y125" i="2" s="1"/>
  <c r="W21" i="9"/>
  <c r="W18" i="9"/>
  <c r="V25" i="8"/>
  <c r="V24" i="8"/>
  <c r="V27" i="8" s="1"/>
  <c r="V6" i="8" s="1"/>
  <c r="V9" i="6"/>
  <c r="V7" i="9"/>
  <c r="V13" i="9" s="1"/>
  <c r="V23" i="9" s="1"/>
  <c r="V25" i="9" s="1"/>
  <c r="X127" i="2"/>
  <c r="AD16" i="8"/>
  <c r="AD19" i="8" s="1"/>
  <c r="AF63" i="2"/>
  <c r="AD64" i="2"/>
  <c r="AB15" i="9"/>
  <c r="AB20" i="9" s="1"/>
  <c r="AC122" i="2"/>
  <c r="Q7" i="6" l="1"/>
  <c r="Q12" i="6" s="1"/>
  <c r="O7" i="5"/>
  <c r="X21" i="9"/>
  <c r="X18" i="9"/>
  <c r="Y17" i="8"/>
  <c r="AA65" i="2"/>
  <c r="Z123" i="2"/>
  <c r="Z125" i="2" s="1"/>
  <c r="Z129" i="2" s="1"/>
  <c r="Y14" i="8" s="1"/>
  <c r="Y16" i="9"/>
  <c r="Y127" i="2"/>
  <c r="Y129" i="2"/>
  <c r="X14" i="8" s="1"/>
  <c r="V6" i="4"/>
  <c r="V7" i="8"/>
  <c r="V10" i="6"/>
  <c r="X20" i="8"/>
  <c r="X22" i="8"/>
  <c r="V10" i="4"/>
  <c r="V18" i="6"/>
  <c r="V19" i="6" s="1"/>
  <c r="V20" i="6" s="1"/>
  <c r="W27" i="8"/>
  <c r="W6" i="8" s="1"/>
  <c r="W7" i="9"/>
  <c r="W13" i="9" s="1"/>
  <c r="W23" i="9" s="1"/>
  <c r="W25" i="9" s="1"/>
  <c r="W9" i="6"/>
  <c r="AC15" i="9"/>
  <c r="AC20" i="9" s="1"/>
  <c r="AD122" i="2"/>
  <c r="AE64" i="2"/>
  <c r="AG63" i="2"/>
  <c r="AE16" i="8"/>
  <c r="AE19" i="8" s="1"/>
  <c r="P7" i="5" l="1"/>
  <c r="R7" i="6"/>
  <c r="R12" i="6" s="1"/>
  <c r="Z127" i="2"/>
  <c r="Y9" i="6" s="1"/>
  <c r="Y6" i="4" s="1"/>
  <c r="X24" i="8"/>
  <c r="X25" i="8"/>
  <c r="Y18" i="9"/>
  <c r="Y21" i="9"/>
  <c r="Y25" i="8"/>
  <c r="Y24" i="8"/>
  <c r="Z16" i="9"/>
  <c r="AB65" i="2"/>
  <c r="AA123" i="2"/>
  <c r="AA125" i="2" s="1"/>
  <c r="Z17" i="8"/>
  <c r="W7" i="8"/>
  <c r="W6" i="4"/>
  <c r="W10" i="6"/>
  <c r="Y20" i="8"/>
  <c r="Y22" i="8"/>
  <c r="X7" i="9"/>
  <c r="X13" i="9" s="1"/>
  <c r="X23" i="9" s="1"/>
  <c r="X25" i="9" s="1"/>
  <c r="X9" i="6"/>
  <c r="W18" i="6"/>
  <c r="W19" i="6" s="1"/>
  <c r="W20" i="6" s="1"/>
  <c r="W10" i="4"/>
  <c r="Y7" i="8"/>
  <c r="AE122" i="2"/>
  <c r="AD15" i="9"/>
  <c r="AD20" i="9" s="1"/>
  <c r="AF64" i="2"/>
  <c r="AF16" i="8"/>
  <c r="AF19" i="8" s="1"/>
  <c r="Y10" i="6" l="1"/>
  <c r="Y7" i="9"/>
  <c r="Y13" i="9" s="1"/>
  <c r="Y23" i="9" s="1"/>
  <c r="S7" i="6"/>
  <c r="S12" i="6" s="1"/>
  <c r="Q7" i="5"/>
  <c r="Z18" i="9"/>
  <c r="Z21" i="9"/>
  <c r="Y25" i="9"/>
  <c r="Z22" i="8"/>
  <c r="Z20" i="8"/>
  <c r="X10" i="6"/>
  <c r="X7" i="8"/>
  <c r="X6" i="4"/>
  <c r="AA129" i="2"/>
  <c r="Z14" i="8" s="1"/>
  <c r="AA127" i="2"/>
  <c r="Y27" i="8"/>
  <c r="Y6" i="8" s="1"/>
  <c r="X10" i="4"/>
  <c r="X18" i="6"/>
  <c r="X19" i="6" s="1"/>
  <c r="X20" i="6" s="1"/>
  <c r="AA16" i="9"/>
  <c r="AC65" i="2"/>
  <c r="AA17" i="8"/>
  <c r="AB123" i="2"/>
  <c r="AB125" i="2" s="1"/>
  <c r="X27" i="8"/>
  <c r="X6" i="8" s="1"/>
  <c r="AG64" i="2"/>
  <c r="AF122" i="2"/>
  <c r="AE15" i="9"/>
  <c r="AE20" i="9" s="1"/>
  <c r="T7" i="6" l="1"/>
  <c r="T12" i="6" s="1"/>
  <c r="R7" i="5"/>
  <c r="AB16" i="9"/>
  <c r="AC123" i="2"/>
  <c r="AC125" i="2" s="1"/>
  <c r="AD65" i="2"/>
  <c r="AB17" i="8"/>
  <c r="Y18" i="6"/>
  <c r="Y19" i="6" s="1"/>
  <c r="Y20" i="6" s="1"/>
  <c r="Y10" i="4"/>
  <c r="AA22" i="8"/>
  <c r="AA20" i="8"/>
  <c r="Z9" i="6"/>
  <c r="Z7" i="9"/>
  <c r="Z13" i="9" s="1"/>
  <c r="Z23" i="9" s="1"/>
  <c r="Z25" i="9" s="1"/>
  <c r="AA18" i="9"/>
  <c r="AA21" i="9"/>
  <c r="AB129" i="2"/>
  <c r="AA14" i="8" s="1"/>
  <c r="AB127" i="2"/>
  <c r="Z25" i="8"/>
  <c r="Z24" i="8"/>
  <c r="AF15" i="9"/>
  <c r="AF20" i="9" s="1"/>
  <c r="AG122" i="2"/>
  <c r="Z27" i="8" l="1"/>
  <c r="Z6" i="8" s="1"/>
  <c r="S7" i="5"/>
  <c r="U7" i="6"/>
  <c r="U12" i="6" s="1"/>
  <c r="AA9" i="6"/>
  <c r="AA7" i="9"/>
  <c r="AA13" i="9" s="1"/>
  <c r="AA23" i="9" s="1"/>
  <c r="AA25" i="9" s="1"/>
  <c r="AA18" i="6" s="1"/>
  <c r="AB20" i="8"/>
  <c r="AB22" i="8"/>
  <c r="AA25" i="8"/>
  <c r="AA24" i="8"/>
  <c r="AC16" i="9"/>
  <c r="AC17" i="8"/>
  <c r="AE65" i="2"/>
  <c r="AD123" i="2"/>
  <c r="AD125" i="2" s="1"/>
  <c r="AD129" i="2" s="1"/>
  <c r="AC14" i="8" s="1"/>
  <c r="Z10" i="4"/>
  <c r="Z18" i="6"/>
  <c r="Z19" i="6" s="1"/>
  <c r="Z20" i="6" s="1"/>
  <c r="AC127" i="2"/>
  <c r="AC129" i="2"/>
  <c r="AB14" i="8" s="1"/>
  <c r="Z10" i="6"/>
  <c r="Z6" i="4"/>
  <c r="Z7" i="8"/>
  <c r="AB18" i="9"/>
  <c r="AB21" i="9"/>
  <c r="AA27" i="8" l="1"/>
  <c r="AA6" i="8" s="1"/>
  <c r="V7" i="6"/>
  <c r="V12" i="6" s="1"/>
  <c r="T7" i="5"/>
  <c r="AA19" i="6"/>
  <c r="AA20" i="6" s="1"/>
  <c r="AA10" i="4"/>
  <c r="AC18" i="9"/>
  <c r="AC21" i="9"/>
  <c r="AB7" i="9"/>
  <c r="AB13" i="9" s="1"/>
  <c r="AB23" i="9" s="1"/>
  <c r="AB25" i="9" s="1"/>
  <c r="AB9" i="6"/>
  <c r="AB24" i="8"/>
  <c r="AB25" i="8"/>
  <c r="AC25" i="8"/>
  <c r="AC24" i="8"/>
  <c r="AE123" i="2"/>
  <c r="AE125" i="2" s="1"/>
  <c r="AE127" i="2" s="1"/>
  <c r="AF65" i="2"/>
  <c r="AD17" i="8"/>
  <c r="AD16" i="9"/>
  <c r="AD127" i="2"/>
  <c r="AC20" i="8"/>
  <c r="AC22" i="8"/>
  <c r="AA10" i="6"/>
  <c r="AA7" i="8"/>
  <c r="AA6" i="4"/>
  <c r="W7" i="6" l="1"/>
  <c r="W12" i="6" s="1"/>
  <c r="U7" i="5"/>
  <c r="AB27" i="8"/>
  <c r="AB6" i="8" s="1"/>
  <c r="AE129" i="2"/>
  <c r="AD14" i="8" s="1"/>
  <c r="AD25" i="8" s="1"/>
  <c r="AD21" i="9"/>
  <c r="AD18" i="9"/>
  <c r="AD22" i="8"/>
  <c r="AD20" i="8"/>
  <c r="AD7" i="9"/>
  <c r="AD13" i="9" s="1"/>
  <c r="AD9" i="6"/>
  <c r="AB6" i="4"/>
  <c r="AB7" i="8"/>
  <c r="AB18" i="6"/>
  <c r="AB19" i="6" s="1"/>
  <c r="AB20" i="6" s="1"/>
  <c r="AB10" i="4"/>
  <c r="AC7" i="9"/>
  <c r="AC13" i="9" s="1"/>
  <c r="AC9" i="6"/>
  <c r="AC10" i="6" s="1"/>
  <c r="AE16" i="9"/>
  <c r="AF123" i="2"/>
  <c r="AF125" i="2" s="1"/>
  <c r="AG65" i="2"/>
  <c r="AE17" i="8"/>
  <c r="AB10" i="6"/>
  <c r="AF127" i="2"/>
  <c r="AF129" i="2"/>
  <c r="AE14" i="8" s="1"/>
  <c r="AC27" i="8"/>
  <c r="AC6" i="8" s="1"/>
  <c r="V7" i="5" l="1"/>
  <c r="X7" i="6"/>
  <c r="X12" i="6" s="1"/>
  <c r="AD24" i="8"/>
  <c r="AD27" i="8" s="1"/>
  <c r="AD6" i="8" s="1"/>
  <c r="AD7" i="8"/>
  <c r="AD6" i="4"/>
  <c r="AC23" i="9"/>
  <c r="AC25" i="9"/>
  <c r="AD23" i="9"/>
  <c r="AD25" i="9" s="1"/>
  <c r="AE20" i="8"/>
  <c r="AE22" i="8"/>
  <c r="AF17" i="8"/>
  <c r="AF16" i="9"/>
  <c r="AG123" i="2"/>
  <c r="AG125" i="2" s="1"/>
  <c r="AG129" i="2" s="1"/>
  <c r="AF14" i="8" s="1"/>
  <c r="AF25" i="8" s="1"/>
  <c r="AE25" i="8"/>
  <c r="AE24" i="8"/>
  <c r="AC7" i="8"/>
  <c r="AC6" i="4"/>
  <c r="AE7" i="9"/>
  <c r="AE13" i="9" s="1"/>
  <c r="AE23" i="9" s="1"/>
  <c r="AE9" i="6"/>
  <c r="AD10" i="6"/>
  <c r="AE21" i="9"/>
  <c r="AE18" i="9"/>
  <c r="W7" i="5" l="1"/>
  <c r="Y7" i="6"/>
  <c r="Y12" i="6" s="1"/>
  <c r="AD18" i="6"/>
  <c r="AD10" i="4"/>
  <c r="AC10" i="4"/>
  <c r="AC18" i="6"/>
  <c r="AC19" i="6" s="1"/>
  <c r="AC20" i="6" s="1"/>
  <c r="AF18" i="9"/>
  <c r="AF21" i="9"/>
  <c r="AE10" i="6"/>
  <c r="AE7" i="8"/>
  <c r="AE6" i="4"/>
  <c r="AF22" i="8"/>
  <c r="AF20" i="8"/>
  <c r="AF24" i="8"/>
  <c r="AE25" i="9"/>
  <c r="AE27" i="8"/>
  <c r="AE6" i="8" s="1"/>
  <c r="AG127" i="2"/>
  <c r="X7" i="5" l="1"/>
  <c r="Z7" i="6"/>
  <c r="Z12" i="6" s="1"/>
  <c r="AF27" i="8"/>
  <c r="AF6" i="8" s="1"/>
  <c r="AE10" i="4"/>
  <c r="AE18" i="6"/>
  <c r="AF9" i="6"/>
  <c r="AF7" i="9"/>
  <c r="AF13" i="9" s="1"/>
  <c r="AF23" i="9" s="1"/>
  <c r="AF25" i="9" s="1"/>
  <c r="AF18" i="6" s="1"/>
  <c r="AD19" i="6"/>
  <c r="AD20" i="6" s="1"/>
  <c r="AA7" i="6" l="1"/>
  <c r="AA12" i="6" s="1"/>
  <c r="Y7" i="5"/>
  <c r="AF10" i="4"/>
  <c r="AE19" i="6"/>
  <c r="AE20" i="6" s="1"/>
  <c r="AF19" i="6" s="1"/>
  <c r="AF20" i="6" s="1"/>
  <c r="AF10" i="6"/>
  <c r="AF7" i="8"/>
  <c r="AF6" i="4"/>
  <c r="Z7" i="5" l="1"/>
  <c r="AB7" i="6"/>
  <c r="AB12" i="6" s="1"/>
  <c r="AC7" i="6" l="1"/>
  <c r="AC12" i="6" s="1"/>
  <c r="AA7" i="5"/>
  <c r="AB7" i="5" l="1"/>
  <c r="AD7" i="6"/>
  <c r="AD12" i="6" s="1"/>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9" i="3"/>
  <c r="D9" i="3"/>
  <c r="E9" i="3"/>
  <c r="F9" i="3"/>
  <c r="G9" i="3"/>
  <c r="H9" i="3"/>
  <c r="I9" i="3"/>
  <c r="J9" i="3"/>
  <c r="K9" i="3"/>
  <c r="L9" i="3"/>
  <c r="M9" i="3"/>
  <c r="N9" i="3"/>
  <c r="O9" i="3"/>
  <c r="P9" i="3"/>
  <c r="Q9" i="3"/>
  <c r="R9" i="3"/>
  <c r="S9" i="3"/>
  <c r="T9" i="3"/>
  <c r="U9" i="3"/>
  <c r="V9" i="3"/>
  <c r="W9" i="3"/>
  <c r="X9" i="3"/>
  <c r="Y9" i="3"/>
  <c r="Z9" i="3"/>
  <c r="AA9" i="3"/>
  <c r="AB9" i="3"/>
  <c r="AC9" i="3"/>
  <c r="AD9" i="3"/>
  <c r="AE9" i="3"/>
  <c r="AF9"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<sst xmlns="http://schemas.openxmlformats.org/spreadsheetml/2006/main" count="793" uniqueCount="303">
  <si>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</si>
  <si>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</si>
  <si>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</si>
  <si>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</si>
  <si>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</si>
  <si>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</si>
  <si>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</si>
  <si>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</si>
  <si>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</si>
  <si>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</si>
  <si>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</si>
  <si>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</si>
  <si>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</si>
  <si>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</si>
  <si>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</si>
  <si>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</si>
  <si>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</si>
  <si>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</si>
  <si>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</si>
  <si>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</si>
  <si>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</si>
  <si>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</si>
  <si>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</si>
  <si>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</si>
  <si>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</si>
  <si>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</si>
  <si>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</si>
  <si>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</si>
  <si>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</si>
  <si>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</si>
  <si>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</si>
  <si>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</si>
  <si>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</si>
  <si>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</si>
  <si>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</si>
  <si>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</si>
  <si>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</si>
  <si>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</si>
  <si>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</si>
  <si>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Waikato</t>
  </si>
  <si>
    <t>Hamilton</t>
  </si>
  <si>
    <t>Hauraki</t>
  </si>
  <si>
    <t>Kawerau</t>
  </si>
  <si>
    <t>Matamata-Piako</t>
  </si>
  <si>
    <t>New Plymouth</t>
  </si>
  <si>
    <t>Opotiki</t>
  </si>
  <si>
    <t>Rangitikei</t>
  </si>
  <si>
    <t>Rotorua Lakes</t>
  </si>
  <si>
    <t>Ruapehu</t>
  </si>
  <si>
    <t>South Taranaki</t>
  </si>
  <si>
    <t>South Waikato</t>
  </si>
  <si>
    <t>Stratford</t>
  </si>
  <si>
    <t>Taupo</t>
  </si>
  <si>
    <t>Tauranga</t>
  </si>
  <si>
    <t>Thames-Coromandel</t>
  </si>
  <si>
    <t>Waipa</t>
  </si>
  <si>
    <t>Waitomo</t>
  </si>
  <si>
    <t>Whanganui</t>
  </si>
  <si>
    <t>Western Bay of Plenty</t>
  </si>
  <si>
    <t>Whakatane</t>
  </si>
  <si>
    <t>Debt to Revenue</t>
  </si>
  <si>
    <t>Enhancement short and medium life percentage</t>
  </si>
  <si>
    <t>Enhancement long life percentage</t>
  </si>
  <si>
    <t>Short and medium asset life</t>
  </si>
  <si>
    <t>Long asset life</t>
  </si>
  <si>
    <t>Total assets before new depreciation</t>
  </si>
  <si>
    <t>Subtotal</t>
  </si>
  <si>
    <t>Total operating costs post efficiency</t>
  </si>
  <si>
    <t>Interest on cash</t>
  </si>
  <si>
    <t>Water population</t>
  </si>
  <si>
    <t>Wastewater population</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</si>
  <si>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</si>
  <si>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</si>
  <si>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</si>
  <si>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</si>
  <si>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</si>
  <si>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</si>
  <si>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</si>
  <si>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</si>
  <si>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</si>
  <si>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</si>
  <si>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</si>
  <si>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</si>
  <si>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</si>
  <si>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</si>
  <si>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</si>
  <si>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</si>
  <si>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</si>
  <si>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</si>
  <si>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</si>
  <si>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</si>
  <si>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Otorohanga</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</si>
  <si>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</si>
  <si>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</si>
  <si>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</si>
  <si>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</si>
  <si>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</si>
  <si>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</si>
  <si>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</si>
  <si>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</si>
  <si>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</si>
  <si>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</si>
  <si>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</si>
  <si>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</si>
  <si>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</si>
  <si>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</si>
  <si>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</si>
  <si>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</si>
  <si>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</si>
  <si>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</si>
  <si>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</si>
  <si>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Three Waters Debt</t>
  </si>
  <si>
    <t>Operating expenditure reported in 2020</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</si>
  <si>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</si>
  <si>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</si>
  <si>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</si>
  <si>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</si>
  <si>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</si>
  <si>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</si>
  <si>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</si>
  <si>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</si>
  <si>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</si>
  <si>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</si>
  <si>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</si>
  <si>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</si>
  <si>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</si>
  <si>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</si>
  <si>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</si>
  <si>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</si>
  <si>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</si>
  <si>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</si>
  <si>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</si>
  <si>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</si>
  <si>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</si>
  <si>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</si>
  <si>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</si>
  <si>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</si>
  <si>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</si>
  <si>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</si>
  <si>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</si>
  <si>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Source</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</si>
  <si>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</si>
  <si>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</si>
  <si>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</si>
  <si>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</si>
  <si>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</si>
  <si>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</si>
  <si>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</si>
  <si>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Stats NZ</t>
  </si>
  <si>
    <t>Assumed occupancy rate across New Zealand</t>
  </si>
  <si>
    <t>Assumption</t>
  </si>
  <si>
    <t>As above</t>
  </si>
  <si>
    <t>Macro-economic assumption from DIA's commercial and financial advisors</t>
  </si>
  <si>
    <t xml:space="preserve">Optimised replacement cost </t>
  </si>
  <si>
    <t>RFI Table A1; Line A1.47</t>
  </si>
  <si>
    <t>RFI Table A3; Line A3.58</t>
  </si>
  <si>
    <t>Optimised replacement cost opening value</t>
  </si>
  <si>
    <t>Charged Depreciation on existing assets</t>
  </si>
  <si>
    <t>Growth and enhancement investment (estimated based on density: pre-capping)</t>
  </si>
  <si>
    <t>Growth and enhancement investment (estimated based on a 50/50 weighted: pre-capping)</t>
  </si>
  <si>
    <t>Wastewater connected population</t>
  </si>
  <si>
    <t>Water connected population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</si>
  <si>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</si>
  <si>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</si>
  <si>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</si>
  <si>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</si>
  <si>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</si>
  <si>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</si>
  <si>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</si>
  <si>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</si>
  <si>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</si>
  <si>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</si>
  <si>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</si>
  <si>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</si>
  <si>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</si>
  <si>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Low</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</si>
  <si>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</si>
  <si>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</si>
  <si>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</si>
  <si>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</si>
  <si>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</si>
  <si>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</si>
  <si>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</si>
  <si>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</si>
  <si>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</si>
  <si>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</si>
  <si>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</si>
  <si>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</si>
  <si>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</si>
  <si>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</si>
  <si>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</si>
  <si>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</si>
  <si>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</si>
  <si>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</si>
  <si>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</si>
  <si>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</si>
  <si>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</si>
  <si>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</si>
  <si>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</si>
  <si>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</si>
  <si>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</si>
  <si>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</si>
  <si>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</si>
  <si>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</si>
  <si>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Additional assumptions for the amalgamated entity</t>
  </si>
  <si>
    <t>Connected population of the amalgamated entity</t>
  </si>
  <si>
    <t>Total connected population in New Zealand</t>
  </si>
  <si>
    <t>Percentage of the NZ population</t>
  </si>
  <si>
    <t>Additional debt across all entities</t>
  </si>
  <si>
    <t>Entity share of additional debt</t>
  </si>
  <si>
    <t>Spend-to-save allowance</t>
  </si>
  <si>
    <t>Spend-to-save allowance across all entities</t>
  </si>
  <si>
    <t>Entity share of spend-to-save</t>
  </si>
  <si>
    <t xml:space="preserve">Number of years </t>
  </si>
  <si>
    <t>Individual council models</t>
  </si>
  <si>
    <t>Based on achieving the efficiencies above</t>
  </si>
  <si>
    <t xml:space="preserve">Based on observed experience from GB </t>
  </si>
  <si>
    <t>Cost gap between the amalgamated entity and the frontier company in GB after adjusting for special factors</t>
  </si>
  <si>
    <t>Total enhancement and growth investment (average: post-capping)</t>
  </si>
  <si>
    <t>Profile of enhancement and growth</t>
  </si>
  <si>
    <t>Year 1 to 10</t>
  </si>
  <si>
    <t>Year 11 to 20</t>
  </si>
  <si>
    <t>Year 21 to 30</t>
  </si>
  <si>
    <t>Repayment of debt principal</t>
  </si>
  <si>
    <t>Repayment term</t>
  </si>
  <si>
    <t>Spend-to-save operating costs (projected outturn prices)</t>
  </si>
  <si>
    <t>Additional borrowing at restructuring</t>
  </si>
  <si>
    <t>Spend-to-save</t>
  </si>
  <si>
    <t>Council</t>
  </si>
  <si>
    <t>Total for amalgamated entity</t>
  </si>
  <si>
    <t>Sources</t>
  </si>
  <si>
    <t>Average water and wastewater population (A)</t>
  </si>
  <si>
    <t>Assumed household occupancy rate (B)</t>
  </si>
  <si>
    <t>Assumed connected properties in 2020 (C)</t>
  </si>
  <si>
    <t>Annual growth in connections (D)</t>
  </si>
  <si>
    <t>Assumed connected properties in 2051 (E)</t>
  </si>
  <si>
    <t xml:space="preserve">Annual growth in connections (F) </t>
  </si>
  <si>
    <t>Enhancement and growth</t>
  </si>
  <si>
    <t>Asset values</t>
  </si>
  <si>
    <t>Percentage related to short- medium life assets (B)</t>
  </si>
  <si>
    <t>Asset value related to short-medium life assets (C)</t>
  </si>
  <si>
    <t>Weighted average percentage (D)</t>
  </si>
  <si>
    <t>Enhancement and growth (A)</t>
  </si>
  <si>
    <t>Asset value: high range (A)</t>
  </si>
  <si>
    <t>See previous slide.</t>
  </si>
  <si>
    <t>RFI Table F10; Lines F10.62 + F10.70 - F10.61</t>
  </si>
  <si>
    <t>Hamilton City Council</t>
  </si>
  <si>
    <t>Hauraki District Council</t>
  </si>
  <si>
    <t>Kawerau District Council</t>
  </si>
  <si>
    <t>Matamata-Piako District Council</t>
  </si>
  <si>
    <t>New Plymouth District Council</t>
  </si>
  <si>
    <t>Opotiki District Council</t>
  </si>
  <si>
    <t>Otorohanga District Council</t>
  </si>
  <si>
    <t>Rangitikei District Council</t>
  </si>
  <si>
    <t>Ruapehu District Council</t>
  </si>
  <si>
    <t>South Taranaki District Council</t>
  </si>
  <si>
    <t>South Waikato District Council</t>
  </si>
  <si>
    <t>Stratford District Council</t>
  </si>
  <si>
    <t>Taupo District Council</t>
  </si>
  <si>
    <t>Tauranga City Council</t>
  </si>
  <si>
    <t>Thames-Coromandel District Council</t>
  </si>
  <si>
    <t>Waikato District Council</t>
  </si>
  <si>
    <t>Waipa District Council</t>
  </si>
  <si>
    <t>Waitomo District Council</t>
  </si>
  <si>
    <t>Western Bay of Plenty District Council</t>
  </si>
  <si>
    <t>Whakatane District Council</t>
  </si>
  <si>
    <t>Whanganui District Council</t>
  </si>
  <si>
    <t>RFI Table F3; Line F3.20</t>
  </si>
  <si>
    <t>RFI Table E1, E2 and E2b; Lines E1.22 + E2.21 + E2b.21</t>
  </si>
  <si>
    <t>RFI Table J1; Sum of lines J1.1 to J1.30 (Column I)</t>
  </si>
  <si>
    <t>RFI Table G1; Calculated from additional properties connected in the year (line G1.3b) divided by properties served in 2019/20</t>
  </si>
  <si>
    <t>RFI Table J1; Sum of lines J1.1 to J1.30 (Column J)</t>
  </si>
  <si>
    <t>RFI Table F10; Lines F10.62 + F10.70</t>
  </si>
  <si>
    <t>RFI Table A1; Line A1.43</t>
  </si>
  <si>
    <t>Rotorua Lakes Council</t>
  </si>
  <si>
    <t>RFI Table J1; Sum of lines J1.1 to J1.30 (Column J); J1.6 was divided by 1,000</t>
  </si>
  <si>
    <t xml:space="preserve">Calculated as the sum of the lines above. </t>
  </si>
  <si>
    <t>Amalgamated entities expected to absorb the additional inflationary pressure</t>
  </si>
  <si>
    <t>See data sheet for sources for individual councils</t>
  </si>
  <si>
    <t>Assumption that amalgamated entities would be able to match half of NZ wide productivity of 0.8% per annum</t>
  </si>
  <si>
    <t>See data sheet</t>
  </si>
  <si>
    <t>Consistent with reaching a percentage split of 70% for long life assets by 2051. This split is in line with international experience</t>
  </si>
  <si>
    <t>Consistent with reaching a percentage split of 30% for short-medium life assets by 2051. This split is in line with international experience</t>
  </si>
  <si>
    <t>Amalgamated entities expected to absorb</t>
  </si>
  <si>
    <t>Growth rate for the amalgamated entity</t>
  </si>
  <si>
    <t>Percentage of asset value related to short- medium life assets (existing)</t>
  </si>
  <si>
    <t>Percentage of enhancement related to short- medium life assets (new)</t>
  </si>
  <si>
    <t>Scenario 30; Entity B</t>
  </si>
  <si>
    <t>New Zealand wide assumption based on the observed split in Great Britain</t>
  </si>
  <si>
    <t>Assumed inflation of 2.2% per annum from DIA's commercial and financial advisors</t>
  </si>
  <si>
    <t xml:space="preserve">See data sheet </t>
  </si>
  <si>
    <t>RFI Table E1, E2 and E2b; Lines E1.22 + E2.21 + E2b.21 - E1.19 - E2.18 - E2b.18</t>
  </si>
  <si>
    <t>RFI Table J1; Sum of lines J1.1 to J1.30 (Column I) due to Column J being blank</t>
  </si>
  <si>
    <t>Funding Impact Statements for water, wastewater and stormwater from the Council Annual Report 2019/20. The Annual Report was used given that the operating expenditure reported in Section E did not reconcile with that reported in the Annual Report and Accounts</t>
  </si>
  <si>
    <t>RFI Table F10; Line F10.62 minus F10.61</t>
  </si>
  <si>
    <t>RFI Table F10; Lines F10.62 - F10.61 + F10.70</t>
  </si>
  <si>
    <t>RFI Table E1, E2 and E2b; Lines E1.22 + E2.21 + E2b.21 - E2b.18 - E2.18</t>
  </si>
  <si>
    <t>RFI Table G1; Line G1.3 (adjusted for projected inflation in RFI Table G5) 
As forecasts were not provided for 2032-51, the average annual growth investment over 2022-31 is assumed to continue over 2032-51.</t>
  </si>
  <si>
    <t>RFI Table E1, E2 and E2b 2019; Lines E1.20 + E2.19 + E2b.19</t>
  </si>
  <si>
    <t>G1 - Infrastructure Aspirational submission Table; Line G1.3</t>
  </si>
  <si>
    <t>RFI Table G1; Line G1.3</t>
  </si>
  <si>
    <t>RFI Table G1; Line G1.3 
As forecasts were not provided for 2032-51, the average annual growth investment over 2022-31 is assumed to continue over 2032-51.</t>
  </si>
  <si>
    <t>Council reported growth investment expenditure, but did not provide new properties connected. In this case, the average growth rate across the councils in New Zealand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</si>
</sst>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1409]#,##0"/>
    <numFmt numFmtId="176" formatCode="0.0000"/>
    <numFmt numFmtId="177" formatCode="_-* #,##0.000_-;\-* #,##0.000_-;_-* &quot;-&quot;??_-;_-@_-"/>
    <numFmt numFmtId="178" formatCode="_-[$$-1409]* #,##0_-;\-[$$-1409]* #,##0_-;_-[$$-1409]* &quot;-&quot;_-;_-@_-"/>
    <numFmt numFmtId="179" formatCode="_-* #,##0.0000_-;\-* #,##0.0000_-;_-* &quot;-&quot;??_-;_-@_-"/>
    <numFmt numFmtId="180" formatCode="&quot;NZ$&quot;#,##0\ &quot;Million&quot;"/>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2"/>
      <color theme="3"/>
      <name val="Trebuchet MS"/>
      <family val="2"/>
    </font>
    <font>
      <u/>
      <sz val="12"/>
      <color theme="3"/>
      <name val="Trebuchet MS"/>
      <family val="2"/>
    </font>
    <font>
      <b/>
      <sz val="12"/>
      <color theme="0"/>
      <name val="Trebuchet MS"/>
      <family val="2"/>
    </font>
    <font>
      <b/>
      <u/>
      <sz val="14"/>
      <color theme="3"/>
      <name val="Trebuchet MS"/>
      <family val="2"/>
    </font>
    <font>
      <sz val="14"/>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rgb="FF4472C4"/>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19">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7" fontId="0" fillId="0" borderId="0" xfId="0" applyNumberFormat="1"/>
    <xf numFmtId="170" fontId="0" fillId="0" borderId="0" xfId="0" applyNumberFormat="1" applyAlignment="1">
      <alignment horizontal="center"/>
    </xf>
    <xf numFmtId="176"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9"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0" fontId="0" fillId="0" borderId="0" xfId="0" applyFont="1" applyAlignment="1">
      <alignment wrapText="1"/>
    </xf>
    <xf numFmtId="0" fontId="0" fillId="5" borderId="0" xfId="0" applyFill="1"/>
    <xf numFmtId="0" fontId="7" fillId="5"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Font="1" applyFill="1" applyBorder="1" applyAlignment="1">
      <alignment vertical="top"/>
    </xf>
    <xf numFmtId="0" fontId="0" fillId="0" borderId="9" xfId="0" applyBorder="1" applyAlignment="1">
      <alignment vertical="top"/>
    </xf>
    <xf numFmtId="0" fontId="0" fillId="0" borderId="11" xfId="0" applyBorder="1" applyAlignment="1">
      <alignment vertical="top"/>
    </xf>
    <xf numFmtId="0" fontId="14" fillId="0" borderId="9" xfId="0" applyFont="1" applyBorder="1" applyAlignment="1">
      <alignment vertical="top"/>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Border="1" applyAlignment="1">
      <alignment horizontal="center" vertical="center" wrapText="1" readingOrder="1"/>
    </xf>
    <xf numFmtId="0" fontId="18" fillId="0" borderId="0" xfId="0" applyFont="1" applyFill="1" applyBorder="1" applyAlignment="1">
      <alignment horizontal="center" vertical="center"/>
    </xf>
    <xf numFmtId="0" fontId="18" fillId="0" borderId="0" xfId="0" applyFont="1" applyAlignment="1">
      <alignment horizontal="left" vertical="center"/>
    </xf>
    <xf numFmtId="0" fontId="19" fillId="0" borderId="0" xfId="0" applyFont="1" applyFill="1" applyBorder="1" applyAlignment="1">
      <alignment horizontal="center" vertical="center" wrapText="1"/>
    </xf>
    <xf numFmtId="0" fontId="20" fillId="4" borderId="18" xfId="0" applyFont="1" applyFill="1" applyBorder="1" applyAlignment="1">
      <alignment horizontal="center" vertical="center" wrapText="1" readingOrder="1"/>
    </xf>
    <xf numFmtId="175" fontId="18" fillId="0" borderId="18" xfId="0" applyNumberFormat="1" applyFont="1" applyBorder="1" applyAlignment="1">
      <alignment vertical="center"/>
    </xf>
    <xf numFmtId="0" fontId="21" fillId="0" borderId="0" xfId="0" applyFont="1" applyAlignment="1">
      <alignment horizontal="left" vertical="center"/>
    </xf>
    <xf numFmtId="0" fontId="21" fillId="0" borderId="0" xfId="0" applyFont="1" applyFill="1" applyAlignment="1">
      <alignment horizontal="left" vertical="center" wrapText="1"/>
    </xf>
    <xf numFmtId="0" fontId="18" fillId="0" borderId="0" xfId="0" applyFont="1" applyFill="1" applyBorder="1" applyAlignment="1">
      <alignment horizontal="left" vertical="center"/>
    </xf>
    <xf numFmtId="0" fontId="18" fillId="0" borderId="18" xfId="0" applyFont="1" applyBorder="1" applyAlignment="1">
      <alignment vertical="center"/>
    </xf>
    <xf numFmtId="169" fontId="18" fillId="0" borderId="18" xfId="3" applyNumberFormat="1" applyFont="1" applyBorder="1" applyAlignment="1">
      <alignment vertical="center"/>
    </xf>
    <xf numFmtId="0" fontId="21" fillId="0" borderId="0" xfId="0" applyFont="1" applyFill="1" applyAlignment="1">
      <alignment horizontal="left" vertical="center"/>
    </xf>
    <xf numFmtId="175" fontId="18" fillId="0" borderId="18" xfId="0" applyNumberFormat="1" applyFont="1" applyBorder="1" applyAlignment="1">
      <alignment horizontal="center" vertical="center"/>
    </xf>
    <xf numFmtId="43" fontId="18" fillId="0" borderId="18" xfId="0" applyNumberFormat="1" applyFont="1" applyBorder="1" applyAlignment="1">
      <alignment vertical="center"/>
    </xf>
    <xf numFmtId="167" fontId="10" fillId="0" borderId="0" xfId="0" applyNumberFormat="1" applyFont="1" applyFill="1" applyAlignment="1">
      <alignment vertical="top"/>
    </xf>
    <xf numFmtId="0" fontId="22" fillId="0" borderId="0" xfId="0" applyFont="1" applyAlignment="1">
      <alignment wrapText="1"/>
    </xf>
    <xf numFmtId="0" fontId="22" fillId="0" borderId="0" xfId="0" applyFont="1"/>
    <xf numFmtId="178" fontId="18" fillId="0" borderId="18" xfId="0" applyNumberFormat="1" applyFont="1" applyBorder="1" applyAlignment="1">
      <alignment vertical="center" wrapText="1"/>
    </xf>
    <xf numFmtId="0" fontId="18" fillId="0" borderId="18" xfId="0" applyFont="1" applyBorder="1" applyAlignment="1">
      <alignment vertical="center" wrapText="1"/>
    </xf>
    <xf numFmtId="3" fontId="18" fillId="0" borderId="18" xfId="0" applyNumberFormat="1" applyFont="1" applyBorder="1" applyAlignment="1">
      <alignment horizontal="center" vertical="center"/>
    </xf>
    <xf numFmtId="169" fontId="18" fillId="0" borderId="18" xfId="3" applyNumberFormat="1" applyFont="1" applyBorder="1" applyAlignment="1">
      <alignment horizontal="center" vertical="center"/>
    </xf>
    <xf numFmtId="167" fontId="18" fillId="0" borderId="0" xfId="0" applyNumberFormat="1" applyFont="1" applyAlignment="1">
      <alignment vertical="center"/>
    </xf>
    <xf numFmtId="169" fontId="18" fillId="0" borderId="18" xfId="0" applyNumberFormat="1" applyFont="1" applyBorder="1" applyAlignment="1">
      <alignment vertical="center"/>
    </xf>
    <xf numFmtId="43" fontId="18" fillId="0" borderId="0" xfId="0" applyNumberFormat="1" applyFont="1" applyAlignment="1">
      <alignment vertical="center"/>
    </xf>
    <xf numFmtId="0" fontId="18" fillId="0" borderId="18" xfId="0" applyFont="1" applyBorder="1" applyAlignment="1">
      <alignment horizontal="left" vertical="center"/>
    </xf>
    <xf numFmtId="9" fontId="18" fillId="0" borderId="18" xfId="3" applyFont="1" applyBorder="1" applyAlignment="1">
      <alignment horizontal="center" vertical="center"/>
    </xf>
    <xf numFmtId="180" fontId="18" fillId="0" borderId="18" xfId="0" applyNumberFormat="1" applyFont="1" applyBorder="1" applyAlignment="1">
      <alignment horizontal="center" vertical="center"/>
    </xf>
    <xf numFmtId="175" fontId="18" fillId="0" borderId="0" xfId="0" applyNumberFormat="1" applyFont="1" applyAlignment="1">
      <alignment vertical="center"/>
    </xf>
    <xf numFmtId="169" fontId="18" fillId="0" borderId="0" xfId="3" applyNumberFormat="1" applyFont="1" applyAlignment="1">
      <alignment vertical="center"/>
    </xf>
    <xf numFmtId="174" fontId="18" fillId="0" borderId="18" xfId="0" applyNumberFormat="1" applyFont="1" applyBorder="1" applyAlignment="1">
      <alignment vertical="center"/>
    </xf>
    <xf numFmtId="3" fontId="18" fillId="0" borderId="18" xfId="1" applyNumberFormat="1" applyFont="1" applyBorder="1" applyAlignment="1">
      <alignment horizontal="center" vertical="center"/>
    </xf>
    <xf numFmtId="167" fontId="18" fillId="0" borderId="0" xfId="1" applyNumberFormat="1" applyFont="1" applyAlignment="1">
      <alignment horizontal="center" vertical="center"/>
    </xf>
    <xf numFmtId="9" fontId="18" fillId="0" borderId="18" xfId="3" applyFont="1" applyBorder="1" applyAlignment="1">
      <alignment vertical="center"/>
    </xf>
    <xf numFmtId="0" fontId="20" fillId="4" borderId="18" xfId="0" applyFont="1" applyFill="1" applyBorder="1" applyAlignment="1">
      <alignment horizontal="center" vertical="center" wrapText="1" readingOrder="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FF0000"/>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16"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WFinance\GLC\RRennie\JOURNALS\08-09\P2\080531-87516%20-%20%23%23%20SW%20SCi%20Mileage%20Accrual%20To%20Budget%20P2%20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121</v>
      </c>
      <c r="D1" s="61"/>
      <c r="E1" s="61"/>
      <c r="F1" s="61"/>
    </row>
    <row r="2" spans="1:6" x14ac:dyDescent="0.35">
      <c r="A2" s="63" t="s">
        <v>122</v>
      </c>
      <c r="B2" s="60" t="s">
        <v>287</v>
      </c>
      <c r="C2" s="167"/>
      <c r="D2" s="60"/>
      <c r="E2" s="14"/>
      <c r="F2" s="60"/>
    </row>
    <row r="3" spans="1:6" x14ac:dyDescent="0.35">
      <c r="C3" s="14"/>
      <c r="D3" s="14"/>
    </row>
    <row r="4" spans="1:6" x14ac:dyDescent="0.35">
      <c r="A4" s="14" t="s">
        <v>164</v>
      </c>
      <c r="B4" s="14"/>
      <c r="D4" s="14"/>
    </row>
    <row r="6" spans="1:6" ht="21" x14ac:dyDescent="0.5">
      <c r="A6" s="15" t="s">
        <v>173</v>
      </c>
    </row>
    <row r="7" spans="1:6" ht="241" customHeight="1" x14ac:dyDescent="0.35">
      <c r="A7" s="105">
        <v>1</v>
      </c>
      <c r="B7" s="102" t="s">
        <v>174</v>
      </c>
    </row>
    <row r="8" spans="1:6" ht="408" customHeight="1" x14ac:dyDescent="0.35">
      <c r="A8" s="105">
        <v>2</v>
      </c>
      <c r="B8" s="102" t="s">
        <v>197</v>
      </c>
    </row>
    <row r="9" spans="1:6" ht="195.5" customHeight="1" x14ac:dyDescent="0.35">
      <c r="A9" s="105">
        <f>A8+1</f>
        <v>3</v>
      </c>
      <c r="B9" s="103" t="s">
        <v>179</v>
      </c>
    </row>
    <row r="10" spans="1:6" ht="236" customHeight="1" x14ac:dyDescent="0.35">
      <c r="A10" s="105">
        <v>4</v>
      </c>
      <c r="B10" s="103" t="s">
        <v>180</v>
      </c>
    </row>
    <row r="11" spans="1:6" ht="21" x14ac:dyDescent="0.35">
      <c r="A11" s="105">
        <f>A10+1</f>
        <v>5</v>
      </c>
      <c r="B11" s="63" t="s">
        <v>195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169</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619168194.57364309</v>
      </c>
      <c r="D5" s="59">
        <f>C5*('Price and Financial ratios'!F4+1)*(1+Assumptions!$C$13)</f>
        <v>648192114.94052947</v>
      </c>
      <c r="E5" s="59">
        <f>D5*('Price and Financial ratios'!G4+1)*(1+Assumptions!$C$13)</f>
        <v>673306053.36970842</v>
      </c>
      <c r="F5" s="59">
        <f>E5*('Price and Financial ratios'!H4+1)*(1+Assumptions!$C$13)</f>
        <v>698024345.8855114</v>
      </c>
      <c r="G5" s="59">
        <f>F5*('Price and Financial ratios'!I4+1)*(1+Assumptions!$C$13)</f>
        <v>723650091.97586477</v>
      </c>
      <c r="H5" s="59">
        <f>G5*('Price and Financial ratios'!J4+1)*(1+Assumptions!$C$13)</f>
        <v>750216605.91558921</v>
      </c>
      <c r="I5" s="59">
        <f>H5*('Price and Financial ratios'!K4+1)*(1+Assumptions!$C$13)</f>
        <v>777758425.00725865</v>
      </c>
      <c r="J5" s="59">
        <f>I5*('Price and Financial ratios'!L4+1)*(1+Assumptions!$C$13)</f>
        <v>806311354.48077905</v>
      </c>
      <c r="K5" s="59">
        <f>J5*('Price and Financial ratios'!M4+1)*(1+Assumptions!$C$13)</f>
        <v>835912514.04131162</v>
      </c>
      <c r="L5" s="59">
        <f>K5*('Price and Financial ratios'!N4+1)*(1+Assumptions!$C$13)</f>
        <v>866600386.1260556</v>
      </c>
      <c r="M5" s="59">
        <f>L5*('Price and Financial ratios'!O4+1)*(1+Assumptions!$C$13)</f>
        <v>898414865.93262529</v>
      </c>
      <c r="N5" s="59">
        <f>M5*('Price and Financial ratios'!P4+1)*(1+Assumptions!$C$13)</f>
        <v>931397313.28405976</v>
      </c>
      <c r="O5" s="59">
        <f>N5*('Price and Financial ratios'!Q4+1)*(1+Assumptions!$C$13)</f>
        <v>965590606.39789259</v>
      </c>
      <c r="P5" s="59">
        <f>O5*('Price and Financial ratios'!R4+1)*(1+Assumptions!$C$13)</f>
        <v>1001039197.6291808</v>
      </c>
      <c r="Q5" s="59">
        <f>P5*('Price and Financial ratios'!S4+1)*(1+Assumptions!$C$13)</f>
        <v>1037789171.259963</v>
      </c>
      <c r="R5" s="59">
        <f>Q5*('Price and Financial ratios'!T4+1)*(1+Assumptions!$C$13)</f>
        <v>1075888303.4102736</v>
      </c>
      <c r="S5" s="59">
        <f>R5*('Price and Financial ratios'!U4+1)*(1+Assumptions!$C$13)</f>
        <v>1115386124.1485991</v>
      </c>
      <c r="T5" s="59">
        <f>S5*('Price and Financial ratios'!V4+1)*(1+Assumptions!$C$13)</f>
        <v>1156333981.8825233</v>
      </c>
      <c r="U5" s="59">
        <f>T5*('Price and Financial ratios'!W4+1)*(1+Assumptions!$C$13)</f>
        <v>1198785110.11327</v>
      </c>
      <c r="V5" s="59">
        <f>U5*('Price and Financial ratios'!X4+1)*(1+Assumptions!$C$13)</f>
        <v>1242794696.6409264</v>
      </c>
      <c r="W5" s="59">
        <f>V5*('Price and Financial ratios'!Y4+1)*(1+Assumptions!$C$13)</f>
        <v>1288419955.3103166</v>
      </c>
      <c r="X5" s="59">
        <f>W5*('Price and Financial ratios'!Z4+1)*(1+Assumptions!$C$13)</f>
        <v>1335720200.3907971</v>
      </c>
      <c r="Y5" s="59">
        <f>X5*('Price and Financial ratios'!AA4+1)*(1+Assumptions!$C$13)</f>
        <v>1371180875.4152322</v>
      </c>
      <c r="Z5" s="59">
        <f>Y5*('Price and Financial ratios'!AB4+1)*(1+Assumptions!$C$13)</f>
        <v>1407582959.7803516</v>
      </c>
      <c r="AA5" s="59">
        <f>Z5*('Price and Financial ratios'!AC4+1)*(1+Assumptions!$C$13)</f>
        <v>1444951446.0038137</v>
      </c>
      <c r="AB5" s="59">
        <f>AA5*('Price and Financial ratios'!AD4+1)*(1+Assumptions!$C$13)</f>
        <v>1483311990.1041708</v>
      </c>
      <c r="AC5" s="59">
        <f>AB5*('Price and Financial ratios'!AE4+1)*(1+Assumptions!$C$13)</f>
        <v>1522690929.2154779</v>
      </c>
      <c r="AD5" s="59">
        <f>AC5*('Price and Financial ratios'!AF4+1)*(1+Assumptions!$C$13)</f>
        <v>1563115299.6695352</v>
      </c>
      <c r="AE5" s="59">
        <f>AD5*('Price and Financial ratios'!AG4+1)*(1+Assumptions!$C$13)</f>
        <v>1604612855.558176</v>
      </c>
      <c r="AF5" s="59">
        <f>AE5*('Price and Financial ratios'!AH4+1)*(1+Assumptions!$C$13)</f>
        <v>1647212087.788348</v>
      </c>
    </row>
    <row r="6" spans="1:32" s="11" customFormat="1" x14ac:dyDescent="0.35">
      <c r="A6" s="11" t="s">
        <v>20</v>
      </c>
      <c r="C6" s="59">
        <f>C27</f>
        <v>324863940.04927909</v>
      </c>
      <c r="D6" s="59">
        <f t="shared" ref="D6:AF6" si="1">D27</f>
        <v>335459213.45845306</v>
      </c>
      <c r="E6" s="59">
        <f>E27</f>
        <v>346409263.99332571</v>
      </c>
      <c r="F6" s="59">
        <f t="shared" si="1"/>
        <v>357726145.52154666</v>
      </c>
      <c r="G6" s="59">
        <f t="shared" si="1"/>
        <v>342675031.79923117</v>
      </c>
      <c r="H6" s="59">
        <f t="shared" si="1"/>
        <v>287224548.29403758</v>
      </c>
      <c r="I6" s="59">
        <f t="shared" si="1"/>
        <v>272472544.20607877</v>
      </c>
      <c r="J6" s="59">
        <f t="shared" si="1"/>
        <v>258174091.0910489</v>
      </c>
      <c r="K6" s="59">
        <f t="shared" si="1"/>
        <v>244297818.51726329</v>
      </c>
      <c r="L6" s="59">
        <f t="shared" si="1"/>
        <v>240101813.78628579</v>
      </c>
      <c r="M6" s="59">
        <f t="shared" si="1"/>
        <v>235785018.11490715</v>
      </c>
      <c r="N6" s="59">
        <f t="shared" si="1"/>
        <v>231340086.74482286</v>
      </c>
      <c r="O6" s="59">
        <f t="shared" si="1"/>
        <v>226759331.16722617</v>
      </c>
      <c r="P6" s="59">
        <f t="shared" si="1"/>
        <v>222034703.49760324</v>
      </c>
      <c r="Q6" s="59">
        <f t="shared" si="1"/>
        <v>219173374.43643695</v>
      </c>
      <c r="R6" s="59">
        <f t="shared" si="1"/>
        <v>216135063.33226573</v>
      </c>
      <c r="S6" s="59">
        <f t="shared" si="1"/>
        <v>212910670.40464503</v>
      </c>
      <c r="T6" s="59">
        <f t="shared" si="1"/>
        <v>209490665.85387319</v>
      </c>
      <c r="U6" s="59">
        <f t="shared" si="1"/>
        <v>205865070.52506107</v>
      </c>
      <c r="V6" s="59">
        <f t="shared" si="1"/>
        <v>211613384.94336969</v>
      </c>
      <c r="W6" s="59">
        <f t="shared" si="1"/>
        <v>217507470.91544533</v>
      </c>
      <c r="X6" s="59">
        <f t="shared" si="1"/>
        <v>223550318.81505448</v>
      </c>
      <c r="Y6" s="59">
        <f t="shared" si="1"/>
        <v>229744943.0934025</v>
      </c>
      <c r="Z6" s="59">
        <f t="shared" si="1"/>
        <v>236094380.04201812</v>
      </c>
      <c r="AA6" s="59">
        <f t="shared" si="1"/>
        <v>242601685.35948062</v>
      </c>
      <c r="AB6" s="59">
        <f t="shared" si="1"/>
        <v>249269931.51060444</v>
      </c>
      <c r="AC6" s="59">
        <f t="shared" si="1"/>
        <v>256102204.86612964</v>
      </c>
      <c r="AD6" s="59">
        <f t="shared" si="1"/>
        <v>263101602.61036682</v>
      </c>
      <c r="AE6" s="59">
        <f t="shared" si="1"/>
        <v>270271229.40361869</v>
      </c>
      <c r="AF6" s="59">
        <f t="shared" si="1"/>
        <v>277614193.785546</v>
      </c>
    </row>
    <row r="7" spans="1:32" x14ac:dyDescent="0.35">
      <c r="A7" t="s">
        <v>21</v>
      </c>
      <c r="C7" s="4">
        <f>Depreciation!C8+Depreciation!C9</f>
        <v>199894688.65317395</v>
      </c>
      <c r="D7" s="4">
        <f>Depreciation!D8+Depreciation!D9</f>
        <v>207973839.78420261</v>
      </c>
      <c r="E7" s="4">
        <f>Depreciation!E8+Depreciation!E9</f>
        <v>216296486.57156968</v>
      </c>
      <c r="F7" s="4">
        <f>Depreciation!F8+Depreciation!F9</f>
        <v>224869160.35125324</v>
      </c>
      <c r="G7" s="4">
        <f>Depreciation!G8+Depreciation!G9</f>
        <v>233425842.67833859</v>
      </c>
      <c r="H7" s="4">
        <f>Depreciation!H8+Depreciation!H9</f>
        <v>241974584.3619011</v>
      </c>
      <c r="I7" s="4">
        <f>Depreciation!I8+Depreciation!I9</f>
        <v>250523155.6353175</v>
      </c>
      <c r="J7" s="4">
        <f>Depreciation!J8+Depreciation!J9</f>
        <v>259079060.64785227</v>
      </c>
      <c r="K7" s="4">
        <f>Depreciation!K8+Depreciation!K9</f>
        <v>267649551.23777032</v>
      </c>
      <c r="L7" s="4">
        <f>Depreciation!L8+Depreciation!L9</f>
        <v>276340389.99928999</v>
      </c>
      <c r="M7" s="4">
        <f>Depreciation!M8+Depreciation!M9</f>
        <v>298825861.66645592</v>
      </c>
      <c r="N7" s="4">
        <f>Depreciation!N8+Depreciation!N9</f>
        <v>321396407.89753169</v>
      </c>
      <c r="O7" s="4">
        <f>Depreciation!O8+Depreciation!O9</f>
        <v>344053396.71101731</v>
      </c>
      <c r="P7" s="4">
        <f>Depreciation!P8+Depreciation!P9</f>
        <v>366798017.16477704</v>
      </c>
      <c r="Q7" s="4">
        <f>Depreciation!Q8+Depreciation!Q9</f>
        <v>389762636.93998647</v>
      </c>
      <c r="R7" s="4">
        <f>Depreciation!R8+Depreciation!R9</f>
        <v>412947857.81208396</v>
      </c>
      <c r="S7" s="4">
        <f>Depreciation!S8+Depreciation!S9</f>
        <v>436354134.35786164</v>
      </c>
      <c r="T7" s="4">
        <f>Depreciation!T8+Depreciation!T9</f>
        <v>459981766.78853202</v>
      </c>
      <c r="U7" s="4">
        <f>Depreciation!U8+Depreciation!U9</f>
        <v>483830893.52525365</v>
      </c>
      <c r="V7" s="4">
        <f>Depreciation!V8+Depreciation!V9</f>
        <v>508383218.07621676</v>
      </c>
      <c r="W7" s="4">
        <f>Depreciation!W8+Depreciation!W9</f>
        <v>538352026.06166649</v>
      </c>
      <c r="X7" s="4">
        <f>Depreciation!X8+Depreciation!X9</f>
        <v>569222757.71857572</v>
      </c>
      <c r="Y7" s="4">
        <f>Depreciation!Y8+Depreciation!Y9</f>
        <v>601017544.88709629</v>
      </c>
      <c r="Z7" s="4">
        <f>Depreciation!Z8+Depreciation!Z9</f>
        <v>633759002.2390821</v>
      </c>
      <c r="AA7" s="4">
        <f>Depreciation!AA8+Depreciation!AA9</f>
        <v>667470236.83855808</v>
      </c>
      <c r="AB7" s="4">
        <f>Depreciation!AB8+Depreciation!AB9</f>
        <v>702174857.87179399</v>
      </c>
      <c r="AC7" s="4">
        <f>Depreciation!AC8+Depreciation!AC9</f>
        <v>737896986.5495038</v>
      </c>
      <c r="AD7" s="4">
        <f>Depreciation!AD8+Depreciation!AD9</f>
        <v>774661266.18372583</v>
      </c>
      <c r="AE7" s="4">
        <f>Depreciation!AE8+Depreciation!AE9</f>
        <v>812492872.44195056</v>
      </c>
      <c r="AF7" s="4">
        <f>Depreciation!AF8+Depreciation!AF9</f>
        <v>851417523.78109109</v>
      </c>
    </row>
    <row r="8" spans="1:32" x14ac:dyDescent="0.35">
      <c r="A8" t="s">
        <v>6</v>
      </c>
      <c r="C8" s="4">
        <f ca="1">'Debt worksheet'!C11</f>
        <v>74597527.920942113</v>
      </c>
      <c r="D8" s="4">
        <f ca="1">'Debt worksheet'!D11</f>
        <v>80400465.415365592</v>
      </c>
      <c r="E8" s="4">
        <f ca="1">'Debt worksheet'!E11</f>
        <v>86298103.134270072</v>
      </c>
      <c r="F8" s="4">
        <f ca="1">'Debt worksheet'!F11</f>
        <v>92330609.673055127</v>
      </c>
      <c r="G8" s="4">
        <f ca="1">'Debt worksheet'!G11</f>
        <v>97101055.484701127</v>
      </c>
      <c r="H8" s="4">
        <f ca="1">'Debt worksheet'!H11</f>
        <v>97553940.801399082</v>
      </c>
      <c r="I8" s="4">
        <f ca="1">'Debt worksheet'!I11</f>
        <v>96471480.801614434</v>
      </c>
      <c r="J8" s="4">
        <f ca="1">'Debt worksheet'!J11</f>
        <v>93787070.060378402</v>
      </c>
      <c r="K8" s="4">
        <f ca="1">'Debt worksheet'!K11</f>
        <v>89428837.243245855</v>
      </c>
      <c r="L8" s="4">
        <f ca="1">'Debt worksheet'!L11</f>
        <v>83809016.428573102</v>
      </c>
      <c r="M8" s="4">
        <f ca="1">'Debt worksheet'!M11</f>
        <v>97973726.782128036</v>
      </c>
      <c r="N8" s="4">
        <f ca="1">'Debt worksheet'!N11</f>
        <v>111413438.09282652</v>
      </c>
      <c r="O8" s="4">
        <f ca="1">'Debt worksheet'!O11</f>
        <v>124049079.48562437</v>
      </c>
      <c r="P8" s="4">
        <f ca="1">'Debt worksheet'!P11</f>
        <v>135796534.43182153</v>
      </c>
      <c r="Q8" s="4">
        <f ca="1">'Debt worksheet'!Q11</f>
        <v>146842482.58514383</v>
      </c>
      <c r="R8" s="4">
        <f ca="1">'Debt worksheet'!R11</f>
        <v>157101079.60983625</v>
      </c>
      <c r="S8" s="4">
        <f ca="1">'Debt worksheet'!S11</f>
        <v>166480960.73297417</v>
      </c>
      <c r="T8" s="4">
        <f ca="1">'Debt worksheet'!T11</f>
        <v>174884948.11713979</v>
      </c>
      <c r="U8" s="4">
        <f ca="1">'Debt worksheet'!U11</f>
        <v>182209744.20096931</v>
      </c>
      <c r="V8" s="4">
        <f ca="1">'Debt worksheet'!V11</f>
        <v>189437552.42613664</v>
      </c>
      <c r="W8" s="4">
        <f ca="1">'Debt worksheet'!W11</f>
        <v>203785024.25294098</v>
      </c>
      <c r="X8" s="4">
        <f ca="1">'Debt worksheet'!X11</f>
        <v>218474539.65449184</v>
      </c>
      <c r="Y8" s="4">
        <f ca="1">'Debt worksheet'!Y11</f>
        <v>233979411.35300514</v>
      </c>
      <c r="Z8" s="4">
        <f ca="1">'Debt worksheet'!Z11</f>
        <v>250327086.37234682</v>
      </c>
      <c r="AA8" s="4">
        <f ca="1">'Debt worksheet'!AA11</f>
        <v>267545633.03485799</v>
      </c>
      <c r="AB8" s="4">
        <f ca="1">'Debt worksheet'!AB11</f>
        <v>285663745.2850458</v>
      </c>
      <c r="AC8" s="4">
        <f ca="1">'Debt worksheet'!AC11</f>
        <v>304710746.45902848</v>
      </c>
      <c r="AD8" s="4">
        <f ca="1">'Debt worksheet'!AD11</f>
        <v>324716592.4533639</v>
      </c>
      <c r="AE8" s="4">
        <f ca="1">'Debt worksheet'!AE11</f>
        <v>345711874.24423116</v>
      </c>
      <c r="AF8" s="4">
        <f ca="1">'Debt worksheet'!AF11</f>
        <v>367727819.70514286</v>
      </c>
    </row>
    <row r="9" spans="1:32" x14ac:dyDescent="0.35">
      <c r="A9" t="s">
        <v>22</v>
      </c>
      <c r="C9" s="4">
        <f ca="1">C5-C6-C7-C8</f>
        <v>19812037.950247929</v>
      </c>
      <c r="D9" s="4">
        <f t="shared" ref="D9:AF9" ca="1" si="2">D5-D6-D7-D8</f>
        <v>24358596.282508209</v>
      </c>
      <c r="E9" s="4">
        <f t="shared" ca="1" si="2"/>
        <v>24302199.670542955</v>
      </c>
      <c r="F9" s="4">
        <f t="shared" ca="1" si="2"/>
        <v>23098430.339656368</v>
      </c>
      <c r="G9" s="4">
        <f t="shared" ca="1" si="2"/>
        <v>50448162.013593882</v>
      </c>
      <c r="H9" s="4">
        <f t="shared" ca="1" si="2"/>
        <v>123463532.45825145</v>
      </c>
      <c r="I9" s="4">
        <f t="shared" ca="1" si="2"/>
        <v>158291244.36424795</v>
      </c>
      <c r="J9" s="4">
        <f t="shared" ca="1" si="2"/>
        <v>195271132.68149951</v>
      </c>
      <c r="K9" s="4">
        <f t="shared" ca="1" si="2"/>
        <v>234536307.04303217</v>
      </c>
      <c r="L9" s="4">
        <f t="shared" ca="1" si="2"/>
        <v>266349165.91190675</v>
      </c>
      <c r="M9" s="4">
        <f t="shared" ca="1" si="2"/>
        <v>265830259.36913419</v>
      </c>
      <c r="N9" s="4">
        <f t="shared" ca="1" si="2"/>
        <v>267247380.5488787</v>
      </c>
      <c r="O9" s="4">
        <f t="shared" ca="1" si="2"/>
        <v>270728799.03402472</v>
      </c>
      <c r="P9" s="4">
        <f t="shared" ca="1" si="2"/>
        <v>276409942.53497893</v>
      </c>
      <c r="Q9" s="4">
        <f t="shared" ca="1" si="2"/>
        <v>282010677.29839587</v>
      </c>
      <c r="R9" s="4">
        <f t="shared" ca="1" si="2"/>
        <v>289704302.65608764</v>
      </c>
      <c r="S9" s="4">
        <f t="shared" ca="1" si="2"/>
        <v>299640358.65311837</v>
      </c>
      <c r="T9" s="4">
        <f t="shared" ca="1" si="2"/>
        <v>311976601.12297821</v>
      </c>
      <c r="U9" s="4">
        <f t="shared" ca="1" si="2"/>
        <v>326879401.86198592</v>
      </c>
      <c r="V9" s="4">
        <f t="shared" ca="1" si="2"/>
        <v>333360541.1952033</v>
      </c>
      <c r="W9" s="4">
        <f t="shared" ca="1" si="2"/>
        <v>328775434.08026373</v>
      </c>
      <c r="X9" s="4">
        <f t="shared" ca="1" si="2"/>
        <v>324472584.20267516</v>
      </c>
      <c r="Y9" s="4">
        <f t="shared" ca="1" si="2"/>
        <v>306438976.08172834</v>
      </c>
      <c r="Z9" s="4">
        <f t="shared" ca="1" si="2"/>
        <v>287402491.12690455</v>
      </c>
      <c r="AA9" s="4">
        <f t="shared" ca="1" si="2"/>
        <v>267333890.77091706</v>
      </c>
      <c r="AB9" s="4">
        <f t="shared" ca="1" si="2"/>
        <v>246203455.43672663</v>
      </c>
      <c r="AC9" s="4">
        <f t="shared" ca="1" si="2"/>
        <v>223980991.34081602</v>
      </c>
      <c r="AD9" s="4">
        <f t="shared" ca="1" si="2"/>
        <v>200635838.42207861</v>
      </c>
      <c r="AE9" s="4">
        <f t="shared" ca="1" si="2"/>
        <v>176136879.4683755</v>
      </c>
      <c r="AF9" s="4">
        <f t="shared" ca="1" si="2"/>
        <v>150452550.51656795</v>
      </c>
    </row>
    <row r="12" spans="1:32" x14ac:dyDescent="0.35">
      <c r="A12" t="s">
        <v>104</v>
      </c>
      <c r="C12" s="2">
        <f>Assumptions!$C$25*Assumptions!D9*Assumptions!D13</f>
        <v>288569051.85251641</v>
      </c>
      <c r="D12" s="2">
        <f>Assumptions!$C$25*Assumptions!E9*Assumptions!E13</f>
        <v>299749541.76244932</v>
      </c>
      <c r="E12" s="2">
        <f>Assumptions!$C$25*Assumptions!F9*Assumptions!F13</f>
        <v>311363215.1819222</v>
      </c>
      <c r="F12" s="2">
        <f>Assumptions!$C$25*Assumptions!G9*Assumptions!G13</f>
        <v>323426855.6288712</v>
      </c>
      <c r="G12" s="2">
        <f>Assumptions!$C$25*Assumptions!H9*Assumptions!H13</f>
        <v>335957896.89177161</v>
      </c>
      <c r="H12" s="2">
        <f>Assumptions!$C$25*Assumptions!I9*Assumptions!I13</f>
        <v>348974448.22410375</v>
      </c>
      <c r="I12" s="2">
        <f>Assumptions!$C$25*Assumptions!J9*Assumptions!J13</f>
        <v>362495320.51496917</v>
      </c>
      <c r="J12" s="2">
        <f>Assumptions!$C$25*Assumptions!K9*Assumptions!K13</f>
        <v>376540053.47367495</v>
      </c>
      <c r="K12" s="2">
        <f>Assumptions!$C$25*Assumptions!L9*Assumptions!L13</f>
        <v>391128943.86757499</v>
      </c>
      <c r="L12" s="2">
        <f>Assumptions!$C$25*Assumptions!M9*Assumptions!M13</f>
        <v>406283074.8539744</v>
      </c>
      <c r="M12" s="2">
        <f>Assumptions!$C$25*Assumptions!N9*Assumptions!N13</f>
        <v>422024346.44848675</v>
      </c>
      <c r="N12" s="2">
        <f>Assumptions!$C$25*Assumptions!O9*Assumptions!O13</f>
        <v>438375507.17387474</v>
      </c>
      <c r="O12" s="2">
        <f>Assumptions!$C$25*Assumptions!P9*Assumptions!P13</f>
        <v>455360186.93511331</v>
      </c>
      <c r="P12" s="2">
        <f>Assumptions!$C$25*Assumptions!Q9*Assumptions!Q13</f>
        <v>473002931.16818231</v>
      </c>
      <c r="Q12" s="2">
        <f>Assumptions!$C$25*Assumptions!R9*Assumptions!R13</f>
        <v>491329236.3119418</v>
      </c>
      <c r="R12" s="2">
        <f>Assumptions!$C$25*Assumptions!S9*Assumptions!S13</f>
        <v>510365586.65434873</v>
      </c>
      <c r="S12" s="2">
        <f>Assumptions!$C$25*Assumptions!T9*Assumptions!T13</f>
        <v>530139492.60626721</v>
      </c>
      <c r="T12" s="2">
        <f>Assumptions!$C$25*Assumptions!U9*Assumptions!U13</f>
        <v>550679530.45818007</v>
      </c>
      <c r="U12" s="2">
        <f>Assumptions!$C$25*Assumptions!V9*Assumptions!V13</f>
        <v>572015383.67725968</v>
      </c>
      <c r="V12" s="2">
        <f>Assumptions!$C$25*Assumptions!W9*Assumptions!W13</f>
        <v>594177885.80447531</v>
      </c>
      <c r="W12" s="2">
        <f>Assumptions!$C$25*Assumptions!X9*Assumptions!X13</f>
        <v>617199065.01373243</v>
      </c>
      <c r="X12" s="2">
        <f>Assumptions!$C$25*Assumptions!Y9*Assumptions!Y13</f>
        <v>641112190.39743721</v>
      </c>
      <c r="Y12" s="2">
        <f>Assumptions!$C$25*Assumptions!Z9*Assumptions!Z13</f>
        <v>665951820.04537654</v>
      </c>
      <c r="Z12" s="2">
        <f>Assumptions!$C$25*Assumptions!AA9*Assumptions!AA13</f>
        <v>691753850.98639441</v>
      </c>
      <c r="AA12" s="2">
        <f>Assumptions!$C$25*Assumptions!AB9*Assumptions!AB13</f>
        <v>718555571.06503749</v>
      </c>
      <c r="AB12" s="2">
        <f>Assumptions!$C$25*Assumptions!AC9*Assumptions!AC13</f>
        <v>746395712.82814205</v>
      </c>
      <c r="AC12" s="2">
        <f>Assumptions!$C$25*Assumptions!AD9*Assumptions!AD13</f>
        <v>775314509.49923229</v>
      </c>
      <c r="AD12" s="2">
        <f>Assumptions!$C$25*Assumptions!AE9*Assumptions!AE13</f>
        <v>805353753.12162519</v>
      </c>
      <c r="AE12" s="2">
        <f>Assumptions!$C$25*Assumptions!AF9*Assumptions!AF13</f>
        <v>836556854.95426714</v>
      </c>
      <c r="AF12" s="2">
        <f>Assumptions!$C$25*Assumptions!AG9*Assumptions!AG13</f>
        <v>868968908.20757842</v>
      </c>
    </row>
    <row r="13" spans="1:32" x14ac:dyDescent="0.35">
      <c r="A13" t="s">
        <v>225</v>
      </c>
      <c r="C13" s="5">
        <f>Assumptions!D47*Assumptions!D9</f>
        <v>37615937.403248563</v>
      </c>
      <c r="D13" s="5">
        <f>Assumptions!E47*Assumptions!E9</f>
        <v>38443488.026120029</v>
      </c>
      <c r="E13" s="5">
        <f>Assumptions!F47*Assumptions!F9</f>
        <v>39289244.762694672</v>
      </c>
      <c r="F13" s="5">
        <f>Assumptions!G47*Assumptions!G9</f>
        <v>40153608.147473954</v>
      </c>
      <c r="G13" s="5">
        <f>Assumptions!H47*Assumptions!H9</f>
        <v>41036987.526718386</v>
      </c>
      <c r="H13" s="5">
        <f>Assumptions!I47*Assumptions!I9</f>
        <v>0</v>
      </c>
      <c r="I13" s="5">
        <f>Assumptions!J47*Assumptions!J9</f>
        <v>0</v>
      </c>
      <c r="J13" s="5">
        <f>Assumptions!K47*Assumptions!K9</f>
        <v>0</v>
      </c>
      <c r="K13" s="5">
        <f>Assumptions!L47*Assumptions!L9</f>
        <v>0</v>
      </c>
      <c r="L13" s="5">
        <f>Assumptions!M47*Assumptions!M9</f>
        <v>0</v>
      </c>
      <c r="M13" s="5">
        <f>Assumptions!N47*Assumptions!N9</f>
        <v>0</v>
      </c>
      <c r="N13" s="5">
        <f>Assumptions!O47*Assumptions!O9</f>
        <v>0</v>
      </c>
      <c r="O13" s="5">
        <f>Assumptions!P47*Assumptions!P9</f>
        <v>0</v>
      </c>
      <c r="P13" s="5">
        <f>Assumptions!Q47*Assumptions!Q9</f>
        <v>0</v>
      </c>
      <c r="Q13" s="5">
        <f>Assumptions!R47*Assumptions!R9</f>
        <v>0</v>
      </c>
      <c r="R13" s="5">
        <f>Assumptions!S47*Assumptions!S9</f>
        <v>0</v>
      </c>
      <c r="S13" s="5">
        <f>Assumptions!T47*Assumptions!T9</f>
        <v>0</v>
      </c>
      <c r="T13" s="5">
        <f>Assumptions!U47*Assumptions!U9</f>
        <v>0</v>
      </c>
      <c r="U13" s="5">
        <f>Assumptions!V47*Assumptions!V9</f>
        <v>0</v>
      </c>
      <c r="V13" s="5">
        <f>Assumptions!W47*Assumptions!W9</f>
        <v>0</v>
      </c>
      <c r="W13" s="5">
        <f>Assumptions!X47*Assumptions!X9</f>
        <v>0</v>
      </c>
      <c r="X13" s="5">
        <f>Assumptions!Y47*Assumptions!Y9</f>
        <v>0</v>
      </c>
      <c r="Y13" s="5">
        <f>Assumptions!Z47*Assumptions!Z9</f>
        <v>0</v>
      </c>
      <c r="Z13" s="5">
        <f>Assumptions!AA47*Assumptions!AA9</f>
        <v>0</v>
      </c>
      <c r="AA13" s="5">
        <f>Assumptions!AB47*Assumptions!AB9</f>
        <v>0</v>
      </c>
      <c r="AB13" s="5">
        <f>Assumptions!AC47*Assumptions!AC9</f>
        <v>0</v>
      </c>
      <c r="AC13" s="5">
        <f>Assumptions!AD47*Assumptions!AD9</f>
        <v>0</v>
      </c>
      <c r="AD13" s="5">
        <f>Assumptions!AE47*Assumptions!AE9</f>
        <v>0</v>
      </c>
      <c r="AE13" s="5">
        <f>Assumptions!AF47*Assumptions!AF9</f>
        <v>0</v>
      </c>
      <c r="AF13" s="5">
        <f>Assumptions!AG47*Assumptions!AG9</f>
        <v>0</v>
      </c>
    </row>
    <row r="14" spans="1:32" x14ac:dyDescent="0.35">
      <c r="A14" t="s">
        <v>105</v>
      </c>
      <c r="C14" s="5">
        <f>Assumptions!D129*Assumptions!D9</f>
        <v>0</v>
      </c>
      <c r="D14" s="5">
        <f>Assumptions!E129*Assumptions!E9</f>
        <v>0</v>
      </c>
      <c r="E14" s="5">
        <f>Assumptions!F129*Assumptions!F9</f>
        <v>0</v>
      </c>
      <c r="F14" s="5">
        <f>Assumptions!G129*Assumptions!G9</f>
        <v>0</v>
      </c>
      <c r="G14" s="5">
        <f>Assumptions!H129*Assumptions!H9</f>
        <v>0</v>
      </c>
      <c r="H14" s="5">
        <f>Assumptions!I129*Assumptions!I9</f>
        <v>0</v>
      </c>
      <c r="I14" s="5">
        <f>Assumptions!J129*Assumptions!J9</f>
        <v>0</v>
      </c>
      <c r="J14" s="5">
        <f>Assumptions!K129*Assumptions!K9</f>
        <v>0</v>
      </c>
      <c r="K14" s="5">
        <f>Assumptions!L129*Assumptions!L9</f>
        <v>0</v>
      </c>
      <c r="L14" s="5">
        <f>Assumptions!M129*Assumptions!M9</f>
        <v>0</v>
      </c>
      <c r="M14" s="5">
        <f>Assumptions!N129*Assumptions!N9</f>
        <v>0</v>
      </c>
      <c r="N14" s="5">
        <f>Assumptions!O129*Assumptions!O9</f>
        <v>0</v>
      </c>
      <c r="O14" s="5">
        <f>Assumptions!P129*Assumptions!P9</f>
        <v>0</v>
      </c>
      <c r="P14" s="5">
        <f>Assumptions!Q129*Assumptions!Q9</f>
        <v>0</v>
      </c>
      <c r="Q14" s="5">
        <f>Assumptions!R129*Assumptions!R9</f>
        <v>0</v>
      </c>
      <c r="R14" s="5">
        <f>Assumptions!S129*Assumptions!S9</f>
        <v>0</v>
      </c>
      <c r="S14" s="5">
        <f>Assumptions!T129*Assumptions!T9</f>
        <v>0</v>
      </c>
      <c r="T14" s="5">
        <f>Assumptions!U129*Assumptions!U9</f>
        <v>0</v>
      </c>
      <c r="U14" s="5">
        <f>Assumptions!V129*Assumptions!V9</f>
        <v>0</v>
      </c>
      <c r="V14" s="5">
        <f>Assumptions!W129*Assumptions!W9</f>
        <v>0</v>
      </c>
      <c r="W14" s="5">
        <f>Assumptions!X129*Assumptions!X9</f>
        <v>0</v>
      </c>
      <c r="X14" s="5">
        <f>Assumptions!Y129*Assumptions!Y9</f>
        <v>0</v>
      </c>
      <c r="Y14" s="5">
        <f>Assumptions!Z129*Assumptions!Z9</f>
        <v>0</v>
      </c>
      <c r="Z14" s="5">
        <f>Assumptions!AA129*Assumptions!AA9</f>
        <v>0</v>
      </c>
      <c r="AA14" s="5">
        <f>Assumptions!AB129*Assumptions!AB9</f>
        <v>0</v>
      </c>
      <c r="AB14" s="5">
        <f>Assumptions!AC129*Assumptions!AC9</f>
        <v>0</v>
      </c>
      <c r="AC14" s="5">
        <f>Assumptions!AD129*Assumptions!AD9</f>
        <v>0</v>
      </c>
      <c r="AD14" s="5">
        <f>Assumptions!AE129*Assumptions!AE9</f>
        <v>0</v>
      </c>
      <c r="AE14" s="5">
        <f>Assumptions!AF129*Assumptions!AF9</f>
        <v>0</v>
      </c>
      <c r="AF14" s="5">
        <f>Assumptions!AG129*Assumptions!AG9</f>
        <v>0</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202</v>
      </c>
      <c r="C16" s="37">
        <f>Assumptions!D63</f>
        <v>1</v>
      </c>
      <c r="D16" s="37">
        <f>Assumptions!E63</f>
        <v>1</v>
      </c>
      <c r="E16" s="37">
        <f>Assumptions!F63</f>
        <v>1</v>
      </c>
      <c r="F16" s="37">
        <f>Assumptions!G63</f>
        <v>1</v>
      </c>
      <c r="G16" s="37">
        <f>Assumptions!H63</f>
        <v>0.9203849854052657</v>
      </c>
      <c r="H16" s="37">
        <f>Assumptions!I63</f>
        <v>0.84710852135945114</v>
      </c>
      <c r="I16" s="37">
        <f>Assumptions!J63</f>
        <v>0.77966596406809463</v>
      </c>
      <c r="J16" s="37">
        <f>Assumptions!K63</f>
        <v>0.71759284695979564</v>
      </c>
      <c r="K16" s="37">
        <f>Assumptions!L63</f>
        <v>0.66046168197601463</v>
      </c>
      <c r="L16" s="37">
        <f>Assumptions!M63</f>
        <v>0.63074153823122014</v>
      </c>
      <c r="M16" s="37">
        <f>Assumptions!N63</f>
        <v>0.60235877251806036</v>
      </c>
      <c r="N16" s="37">
        <f>Assumptions!O63</f>
        <v>0.57525320410474423</v>
      </c>
      <c r="O16" s="37">
        <f>Assumptions!P63</f>
        <v>0.54936736033482891</v>
      </c>
      <c r="P16" s="37">
        <f>Assumptions!Q63</f>
        <v>0.52464635476642052</v>
      </c>
      <c r="Q16" s="37">
        <f>Assumptions!R63</f>
        <v>0.50514009998671172</v>
      </c>
      <c r="R16" s="37">
        <f>Assumptions!S63</f>
        <v>0.4863590841647773</v>
      </c>
      <c r="S16" s="37">
        <f>Assumptions!T63</f>
        <v>0.46827634304982624</v>
      </c>
      <c r="T16" s="37">
        <f>Assumptions!U63</f>
        <v>0.45086591491694245</v>
      </c>
      <c r="U16" s="37">
        <f>Assumptions!V63</f>
        <v>0.43410280329335765</v>
      </c>
      <c r="V16" s="37">
        <f>Assumptions!W63</f>
        <v>0.43410280329335765</v>
      </c>
      <c r="W16" s="37">
        <f>Assumptions!X63</f>
        <v>0.43410280329335765</v>
      </c>
      <c r="X16" s="37">
        <f>Assumptions!Y63</f>
        <v>0.43410280329335765</v>
      </c>
      <c r="Y16" s="37">
        <f>Assumptions!Z63</f>
        <v>0.43410280329335765</v>
      </c>
      <c r="Z16" s="37">
        <f>Assumptions!AA63</f>
        <v>0.43410280329335765</v>
      </c>
      <c r="AA16" s="37">
        <f>Assumptions!AB63</f>
        <v>0.43410280329335765</v>
      </c>
      <c r="AB16" s="37">
        <f>Assumptions!AC63</f>
        <v>0.43410280329335765</v>
      </c>
      <c r="AC16" s="37">
        <f>Assumptions!AD63</f>
        <v>0.43410280329335765</v>
      </c>
      <c r="AD16" s="37">
        <f>Assumptions!AE63</f>
        <v>0.43410280329335765</v>
      </c>
      <c r="AE16" s="37">
        <f>Assumptions!AF63</f>
        <v>0.43410280329335765</v>
      </c>
      <c r="AF16" s="37">
        <f>Assumptions!AG63</f>
        <v>0.43410280329335765</v>
      </c>
    </row>
    <row r="17" spans="1:32" x14ac:dyDescent="0.35">
      <c r="A17" t="s">
        <v>85</v>
      </c>
      <c r="C17" s="37">
        <f>Assumptions!D65</f>
        <v>0.99595</v>
      </c>
      <c r="D17" s="37">
        <f>Assumptions!E65</f>
        <v>0.99191640250000002</v>
      </c>
      <c r="E17" s="37">
        <f>Assumptions!F65</f>
        <v>0.98789914106987498</v>
      </c>
      <c r="F17" s="37">
        <f>Assumptions!G65</f>
        <v>0.98389814954854193</v>
      </c>
      <c r="G17" s="37">
        <f>Assumptions!H65</f>
        <v>0.97991336204287038</v>
      </c>
      <c r="H17" s="37">
        <f>Assumptions!I65</f>
        <v>0.97594471292659679</v>
      </c>
      <c r="I17" s="37">
        <f>Assumptions!J65</f>
        <v>0.97199213683924413</v>
      </c>
      <c r="J17" s="37">
        <f>Assumptions!K65</f>
        <v>0.96805556868504516</v>
      </c>
      <c r="K17" s="37">
        <f>Assumptions!L65</f>
        <v>0.96413494363187069</v>
      </c>
      <c r="L17" s="37">
        <f>Assumptions!M65</f>
        <v>0.96023019711016167</v>
      </c>
      <c r="M17" s="37">
        <f>Assumptions!N65</f>
        <v>0.95634126481186554</v>
      </c>
      <c r="N17" s="37">
        <f>Assumptions!O65</f>
        <v>0.95246808268937744</v>
      </c>
      <c r="O17" s="37">
        <f>Assumptions!P65</f>
        <v>0.94861058695448541</v>
      </c>
      <c r="P17" s="37">
        <f>Assumptions!Q65</f>
        <v>0.94476871407731977</v>
      </c>
      <c r="Q17" s="37">
        <f>Assumptions!R65</f>
        <v>0.94094240078530667</v>
      </c>
      <c r="R17" s="37">
        <f>Assumptions!S65</f>
        <v>0.93713158406212616</v>
      </c>
      <c r="S17" s="37">
        <f>Assumptions!T65</f>
        <v>0.93333620114667459</v>
      </c>
      <c r="T17" s="37">
        <f>Assumptions!U65</f>
        <v>0.92955618953203056</v>
      </c>
      <c r="U17" s="37">
        <f>Assumptions!V65</f>
        <v>0.92579148696442581</v>
      </c>
      <c r="V17" s="37">
        <f>Assumptions!W65</f>
        <v>0.92204203144221986</v>
      </c>
      <c r="W17" s="37">
        <f>Assumptions!X65</f>
        <v>0.91830776121487889</v>
      </c>
      <c r="X17" s="37">
        <f>Assumptions!Y65</f>
        <v>0.91458861478195863</v>
      </c>
      <c r="Y17" s="37">
        <f>Assumptions!Z65</f>
        <v>0.91088453089209165</v>
      </c>
      <c r="Z17" s="37">
        <f>Assumptions!AA65</f>
        <v>0.90719544854197864</v>
      </c>
      <c r="AA17" s="37">
        <f>Assumptions!AB65</f>
        <v>0.90352130697538369</v>
      </c>
      <c r="AB17" s="37">
        <f>Assumptions!AC65</f>
        <v>0.89986204568213335</v>
      </c>
      <c r="AC17" s="37">
        <f>Assumptions!AD65</f>
        <v>0.89621760439712073</v>
      </c>
      <c r="AD17" s="37">
        <f>Assumptions!AE65</f>
        <v>0.89258792309931234</v>
      </c>
      <c r="AE17" s="37">
        <f>Assumptions!AF65</f>
        <v>0.88897294201076016</v>
      </c>
      <c r="AF17" s="37">
        <f>Assumptions!AG65</f>
        <v>0.88537260159561659</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107</v>
      </c>
      <c r="C19" s="44">
        <f>(C12*C16)-C12</f>
        <v>0</v>
      </c>
      <c r="D19" s="44">
        <f t="shared" ref="D19:AF19" si="3">(D12*D16)-D12</f>
        <v>0</v>
      </c>
      <c r="E19" s="44">
        <f t="shared" si="3"/>
        <v>0</v>
      </c>
      <c r="F19" s="44">
        <f t="shared" si="3"/>
        <v>0</v>
      </c>
      <c r="G19" s="44">
        <f t="shared" si="3"/>
        <v>-26747292.864254653</v>
      </c>
      <c r="H19" s="44">
        <f t="shared" si="3"/>
        <v>-53355219.396752894</v>
      </c>
      <c r="I19" s="44">
        <f t="shared" si="3"/>
        <v>-79870056.975492775</v>
      </c>
      <c r="J19" s="44">
        <f t="shared" si="3"/>
        <v>-106337604.50710684</v>
      </c>
      <c r="K19" s="44">
        <f t="shared" si="3"/>
        <v>-132803263.73129421</v>
      </c>
      <c r="L19" s="44">
        <f t="shared" si="3"/>
        <v>-150023463.26326862</v>
      </c>
      <c r="M19" s="44">
        <f t="shared" si="3"/>
        <v>-167814279.14903963</v>
      </c>
      <c r="N19" s="44">
        <f t="shared" si="3"/>
        <v>-186198592.07106102</v>
      </c>
      <c r="O19" s="44">
        <f t="shared" si="3"/>
        <v>-205200163.03699586</v>
      </c>
      <c r="P19" s="44">
        <f t="shared" si="3"/>
        <v>-224843667.53696334</v>
      </c>
      <c r="Q19" s="44">
        <f t="shared" si="3"/>
        <v>-243139136.75493282</v>
      </c>
      <c r="R19" s="44">
        <f t="shared" si="3"/>
        <v>-262144647.3399204</v>
      </c>
      <c r="S19" s="44">
        <f t="shared" si="3"/>
        <v>-281887709.70231402</v>
      </c>
      <c r="T19" s="44">
        <f t="shared" si="3"/>
        <v>-302396900.13212043</v>
      </c>
      <c r="U19" s="44">
        <f t="shared" si="3"/>
        <v>-323701902.09603572</v>
      </c>
      <c r="V19" s="44">
        <f t="shared" si="3"/>
        <v>-336243599.92183203</v>
      </c>
      <c r="W19" s="44">
        <f t="shared" si="3"/>
        <v>-349271220.70123184</v>
      </c>
      <c r="X19" s="44">
        <f t="shared" si="3"/>
        <v>-362803591.32036489</v>
      </c>
      <c r="Y19" s="44">
        <f t="shared" si="3"/>
        <v>-376860268.10536492</v>
      </c>
      <c r="Z19" s="44">
        <f t="shared" si="3"/>
        <v>-391461565.084225</v>
      </c>
      <c r="AA19" s="44">
        <f t="shared" si="3"/>
        <v>-406628583.34364522</v>
      </c>
      <c r="AB19" s="44">
        <f t="shared" si="3"/>
        <v>-422383241.52330166</v>
      </c>
      <c r="AC19" s="44">
        <f t="shared" si="3"/>
        <v>-438748307.49160099</v>
      </c>
      <c r="AD19" s="44">
        <f t="shared" si="3"/>
        <v>-455747431.24870098</v>
      </c>
      <c r="AE19" s="44">
        <f t="shared" si="3"/>
        <v>-473405179.10434496</v>
      </c>
      <c r="AF19" s="44">
        <f t="shared" si="3"/>
        <v>-491747069.17990023</v>
      </c>
    </row>
    <row r="20" spans="1:32" x14ac:dyDescent="0.35">
      <c r="A20" t="s">
        <v>108</v>
      </c>
      <c r="C20" s="44">
        <f>(C12*C17)-C12</f>
        <v>-1168704.6600027084</v>
      </c>
      <c r="D20" s="44">
        <f t="shared" ref="D20:AF20" si="4">(D12*D17)-D12</f>
        <v>-2423054.6464170814</v>
      </c>
      <c r="E20" s="44">
        <f t="shared" si="4"/>
        <v>-3767762.342946589</v>
      </c>
      <c r="F20" s="44">
        <f t="shared" si="4"/>
        <v>-5207770.8613213897</v>
      </c>
      <c r="G20" s="44">
        <f t="shared" si="4"/>
        <v>-6748264.6437036991</v>
      </c>
      <c r="H20" s="44">
        <f t="shared" si="4"/>
        <v>-8394680.5333132744</v>
      </c>
      <c r="I20" s="44">
        <f t="shared" si="4"/>
        <v>-10152719.333397627</v>
      </c>
      <c r="J20" s="44">
        <f t="shared" si="4"/>
        <v>-12028357.875519216</v>
      </c>
      <c r="K20" s="44">
        <f t="shared" si="4"/>
        <v>-14027861.619017482</v>
      </c>
      <c r="L20" s="44">
        <f t="shared" si="4"/>
        <v>-16157797.804419994</v>
      </c>
      <c r="M20" s="44">
        <f t="shared" si="4"/>
        <v>-18425049.184539974</v>
      </c>
      <c r="N20" s="44">
        <f t="shared" si="4"/>
        <v>-20836828.357990861</v>
      </c>
      <c r="O20" s="44">
        <f t="shared" si="4"/>
        <v>-23400692.730891287</v>
      </c>
      <c r="P20" s="44">
        <f t="shared" si="4"/>
        <v>-26124560.133615732</v>
      </c>
      <c r="Q20" s="44">
        <f t="shared" si="4"/>
        <v>-29016725.120572031</v>
      </c>
      <c r="R20" s="44">
        <f t="shared" si="4"/>
        <v>-32085875.982162595</v>
      </c>
      <c r="S20" s="44">
        <f t="shared" si="4"/>
        <v>-35341112.499308169</v>
      </c>
      <c r="T20" s="44">
        <f t="shared" si="4"/>
        <v>-38791964.472186446</v>
      </c>
      <c r="U20" s="44">
        <f t="shared" si="4"/>
        <v>-42448411.056162894</v>
      </c>
      <c r="V20" s="44">
        <f t="shared" si="4"/>
        <v>-46320900.939273596</v>
      </c>
      <c r="W20" s="44">
        <f t="shared" si="4"/>
        <v>-50420373.397055268</v>
      </c>
      <c r="X20" s="44">
        <f t="shared" si="4"/>
        <v>-54758280.262017846</v>
      </c>
      <c r="Y20" s="44">
        <f t="shared" si="4"/>
        <v>-59346608.846609116</v>
      </c>
      <c r="Z20" s="44">
        <f t="shared" si="4"/>
        <v>-64197905.860151291</v>
      </c>
      <c r="AA20" s="44">
        <f t="shared" si="4"/>
        <v>-69325302.361911654</v>
      </c>
      <c r="AB20" s="44">
        <f t="shared" si="4"/>
        <v>-74742539.794235945</v>
      </c>
      <c r="AC20" s="44">
        <f t="shared" si="4"/>
        <v>-80463997.141501665</v>
      </c>
      <c r="AD20" s="44">
        <f t="shared" si="4"/>
        <v>-86504719.262557387</v>
      </c>
      <c r="AE20" s="44">
        <f t="shared" si="4"/>
        <v>-92880446.446303487</v>
      </c>
      <c r="AF20" s="44">
        <f t="shared" si="4"/>
        <v>-99607645.242132187</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120</v>
      </c>
      <c r="C22" s="44">
        <f>(C13*C17)-C13</f>
        <v>-152344.54648315907</v>
      </c>
      <c r="D22" s="44">
        <f t="shared" ref="D22:AF22" si="5">(D13*D17)-D13</f>
        <v>-310761.68369922042</v>
      </c>
      <c r="E22" s="44">
        <f t="shared" si="5"/>
        <v>-475433.6083445251</v>
      </c>
      <c r="F22" s="44">
        <f t="shared" si="5"/>
        <v>-646547.3934770748</v>
      </c>
      <c r="G22" s="44">
        <f t="shared" si="5"/>
        <v>-824295.11130043864</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109</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110</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67</v>
      </c>
      <c r="C27" s="2">
        <f>C12+C13+C14+C19+C20+C22+C24+C25</f>
        <v>324863940.04927909</v>
      </c>
      <c r="D27" s="2">
        <f t="shared" ref="D27:AF27" si="8">D12+D13+D14+D19+D20+D22+D24+D25</f>
        <v>335459213.45845306</v>
      </c>
      <c r="E27" s="2">
        <f t="shared" si="8"/>
        <v>346409263.99332571</v>
      </c>
      <c r="F27" s="2">
        <f t="shared" si="8"/>
        <v>357726145.52154666</v>
      </c>
      <c r="G27" s="2">
        <f t="shared" si="8"/>
        <v>342675031.79923117</v>
      </c>
      <c r="H27" s="2">
        <f t="shared" si="8"/>
        <v>287224548.29403758</v>
      </c>
      <c r="I27" s="2">
        <f t="shared" si="8"/>
        <v>272472544.20607877</v>
      </c>
      <c r="J27" s="2">
        <f t="shared" si="8"/>
        <v>258174091.0910489</v>
      </c>
      <c r="K27" s="2">
        <f t="shared" si="8"/>
        <v>244297818.51726329</v>
      </c>
      <c r="L27" s="2">
        <f t="shared" si="8"/>
        <v>240101813.78628579</v>
      </c>
      <c r="M27" s="2">
        <f t="shared" si="8"/>
        <v>235785018.11490715</v>
      </c>
      <c r="N27" s="2">
        <f t="shared" si="8"/>
        <v>231340086.74482286</v>
      </c>
      <c r="O27" s="2">
        <f t="shared" si="8"/>
        <v>226759331.16722617</v>
      </c>
      <c r="P27" s="2">
        <f t="shared" si="8"/>
        <v>222034703.49760324</v>
      </c>
      <c r="Q27" s="2">
        <f t="shared" si="8"/>
        <v>219173374.43643695</v>
      </c>
      <c r="R27" s="2">
        <f t="shared" si="8"/>
        <v>216135063.33226573</v>
      </c>
      <c r="S27" s="2">
        <f t="shared" si="8"/>
        <v>212910670.40464503</v>
      </c>
      <c r="T27" s="2">
        <f t="shared" si="8"/>
        <v>209490665.85387319</v>
      </c>
      <c r="U27" s="2">
        <f t="shared" si="8"/>
        <v>205865070.52506107</v>
      </c>
      <c r="V27" s="2">
        <f t="shared" si="8"/>
        <v>211613384.94336969</v>
      </c>
      <c r="W27" s="2">
        <f t="shared" si="8"/>
        <v>217507470.91544533</v>
      </c>
      <c r="X27" s="2">
        <f t="shared" si="8"/>
        <v>223550318.81505448</v>
      </c>
      <c r="Y27" s="2">
        <f t="shared" si="8"/>
        <v>229744943.0934025</v>
      </c>
      <c r="Z27" s="2">
        <f t="shared" si="8"/>
        <v>236094380.04201812</v>
      </c>
      <c r="AA27" s="2">
        <f t="shared" si="8"/>
        <v>242601685.35948062</v>
      </c>
      <c r="AB27" s="2">
        <f t="shared" si="8"/>
        <v>249269931.51060444</v>
      </c>
      <c r="AC27" s="2">
        <f t="shared" si="8"/>
        <v>256102204.86612964</v>
      </c>
      <c r="AD27" s="2">
        <f t="shared" si="8"/>
        <v>263101602.61036682</v>
      </c>
      <c r="AE27" s="2">
        <f t="shared" si="8"/>
        <v>270271229.40361869</v>
      </c>
      <c r="AF27" s="2">
        <f t="shared" si="8"/>
        <v>277614193.785546</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DlYFnlVXQiWAqkFZERgN4Z3Jh9AHbzJpLQ9CPuJwYR0FzCNhpmT+BIfxERUYwsh0xB2HNW1qpXkkZ40ojZ410w==" saltValue="LzbAiE/fAAUqNgjGkWlv1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AE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170</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198</v>
      </c>
      <c r="B6" s="1">
        <f>Assumptions!C17</f>
        <v>13347400405.063631</v>
      </c>
      <c r="C6" s="12">
        <f ca="1">B6+Depreciation!C18+'Cash Flow'!C13</f>
        <v>13548704031.176226</v>
      </c>
      <c r="D6" s="1">
        <f ca="1">C6+Depreciation!D18</f>
        <v>13908391193.343203</v>
      </c>
      <c r="E6" s="1">
        <f ca="1">D6+Depreciation!E18</f>
        <v>14278204569.648462</v>
      </c>
      <c r="F6" s="1">
        <f ca="1">E6+Depreciation!F18</f>
        <v>14658375881.871471</v>
      </c>
      <c r="G6" s="1">
        <f ca="1">F6+Depreciation!G18</f>
        <v>15037511350.797998</v>
      </c>
      <c r="H6" s="1">
        <f ca="1">G6+Depreciation!H18</f>
        <v>15415889048.095236</v>
      </c>
      <c r="I6" s="1">
        <f ca="1">H6+Depreciation!I18</f>
        <v>15793776019.529526</v>
      </c>
      <c r="J6" s="1">
        <f ca="1">I6+Depreciation!J18</f>
        <v>16171428763.109276</v>
      </c>
      <c r="K6" s="1">
        <f ca="1">J6+Depreciation!K18</f>
        <v>16549093683.757719</v>
      </c>
      <c r="L6" s="1">
        <f ca="1">K6+Depreciation!L18</f>
        <v>16931216930.678265</v>
      </c>
      <c r="M6" s="1">
        <f ca="1">L6+Depreciation!M18</f>
        <v>17900579061.815426</v>
      </c>
      <c r="N6" s="1">
        <f ca="1">M6+Depreciation!N18</f>
        <v>18873214601.996078</v>
      </c>
      <c r="O6" s="1">
        <f ca="1">N6+Depreciation!O18</f>
        <v>19849015123.24963</v>
      </c>
      <c r="P6" s="1">
        <f ca="1">O6+Depreciation!P18</f>
        <v>20827864652.840733</v>
      </c>
      <c r="Q6" s="1">
        <f ca="1">P6+Depreciation!Q18</f>
        <v>21815236485.745464</v>
      </c>
      <c r="R6" s="1">
        <f ca="1">Q6+Depreciation!R18</f>
        <v>22810991418.347706</v>
      </c>
      <c r="S6" s="1">
        <f ca="1">R6+Depreciation!S18</f>
        <v>23814982514.876911</v>
      </c>
      <c r="T6" s="1">
        <f ca="1">S6+Depreciation!T18</f>
        <v>24827054808.050297</v>
      </c>
      <c r="U6" s="1">
        <f ca="1">T6+Depreciation!U18</f>
        <v>25847044991.546951</v>
      </c>
      <c r="V6" s="1">
        <f ca="1">U6+Depreciation!V18</f>
        <v>26895297557.251724</v>
      </c>
      <c r="W6" s="1">
        <f ca="1">V6+Depreciation!W18</f>
        <v>28172352783.873779</v>
      </c>
      <c r="X6" s="1">
        <f ca="1">W6+Depreciation!X18</f>
        <v>29485748565.83934</v>
      </c>
      <c r="Y6" s="1">
        <f ca="1">X6+Depreciation!Y18</f>
        <v>30836201421.051403</v>
      </c>
      <c r="Z6" s="1">
        <f ca="1">Y6+Depreciation!Z18</f>
        <v>32224439343.541435</v>
      </c>
      <c r="AA6" s="1">
        <f ca="1">Z6+Depreciation!AA18</f>
        <v>33651201947.222656</v>
      </c>
      <c r="AB6" s="1">
        <f ca="1">AA6+Depreciation!AB18</f>
        <v>35117240610.536545</v>
      </c>
      <c r="AC6" s="1">
        <f ca="1">AB6+Depreciation!AC18</f>
        <v>36623318621.969223</v>
      </c>
      <c r="AD6" s="1">
        <f ca="1">AC6+Depreciation!AD18</f>
        <v>38170211326.413185</v>
      </c>
      <c r="AE6" s="1">
        <f ca="1">AD6+Depreciation!AE18</f>
        <v>39758706272.348289</v>
      </c>
      <c r="AF6" s="1"/>
      <c r="AG6" s="1"/>
      <c r="AH6" s="1"/>
      <c r="AI6" s="1"/>
      <c r="AJ6" s="1"/>
      <c r="AK6" s="1"/>
      <c r="AL6" s="1"/>
      <c r="AM6" s="1"/>
      <c r="AN6" s="1"/>
      <c r="AO6" s="1"/>
      <c r="AP6" s="1"/>
    </row>
    <row r="7" spans="1:42" x14ac:dyDescent="0.35">
      <c r="A7" t="s">
        <v>12</v>
      </c>
      <c r="B7" s="1">
        <f>Depreciation!C12</f>
        <v>6873594891.1849899</v>
      </c>
      <c r="C7" s="1">
        <f>Depreciation!D12</f>
        <v>7081568730.9691925</v>
      </c>
      <c r="D7" s="1">
        <f>Depreciation!E12</f>
        <v>7297865217.5407629</v>
      </c>
      <c r="E7" s="1">
        <f>Depreciation!F12</f>
        <v>7522734377.8920164</v>
      </c>
      <c r="F7" s="1">
        <f>Depreciation!G12</f>
        <v>7756160220.5703554</v>
      </c>
      <c r="G7" s="1">
        <f>Depreciation!H12</f>
        <v>7998134804.9322567</v>
      </c>
      <c r="H7" s="1">
        <f>Depreciation!I12</f>
        <v>8248657960.5675745</v>
      </c>
      <c r="I7" s="1">
        <f>Depreciation!J12</f>
        <v>8507737021.2154274</v>
      </c>
      <c r="J7" s="1">
        <f>Depreciation!K12</f>
        <v>8775386572.4531975</v>
      </c>
      <c r="K7" s="1">
        <f>Depreciation!L12</f>
        <v>9051726962.4524879</v>
      </c>
      <c r="L7" s="1">
        <f>Depreciation!M12</f>
        <v>9350552824.1189442</v>
      </c>
      <c r="M7" s="1">
        <f>Depreciation!N12</f>
        <v>9671949232.0164757</v>
      </c>
      <c r="N7" s="1">
        <f>Depreciation!O12</f>
        <v>10016002628.727493</v>
      </c>
      <c r="O7" s="1">
        <f>Depreciation!P12</f>
        <v>10382800645.892269</v>
      </c>
      <c r="P7" s="1">
        <f>Depreciation!Q12</f>
        <v>10772563282.832254</v>
      </c>
      <c r="Q7" s="1">
        <f>Depreciation!R12</f>
        <v>11185511140.644339</v>
      </c>
      <c r="R7" s="1">
        <f>Depreciation!S12</f>
        <v>11621865275.002199</v>
      </c>
      <c r="S7" s="1">
        <f>Depreciation!T12</f>
        <v>12081847041.790731</v>
      </c>
      <c r="T7" s="1">
        <f>Depreciation!U12</f>
        <v>12565677935.315985</v>
      </c>
      <c r="U7" s="1">
        <f>Depreciation!V12</f>
        <v>13074061153.392202</v>
      </c>
      <c r="V7" s="1">
        <f>Depreciation!W12</f>
        <v>13612413179.453869</v>
      </c>
      <c r="W7" s="1">
        <f>Depreciation!X12</f>
        <v>14181635937.172445</v>
      </c>
      <c r="X7" s="1">
        <f>Depreciation!Y12</f>
        <v>14782653482.059542</v>
      </c>
      <c r="Y7" s="1">
        <f>Depreciation!Z12</f>
        <v>15416412484.298624</v>
      </c>
      <c r="Z7" s="1">
        <f>Depreciation!AA12</f>
        <v>16083882721.137182</v>
      </c>
      <c r="AA7" s="1">
        <f>Depreciation!AB12</f>
        <v>16786057579.008976</v>
      </c>
      <c r="AB7" s="1">
        <f>Depreciation!AC12</f>
        <v>17523954565.558479</v>
      </c>
      <c r="AC7" s="1">
        <f>Depreciation!AD12</f>
        <v>18298615831.742203</v>
      </c>
      <c r="AD7" s="1">
        <f>Depreciation!AE12</f>
        <v>19111108704.184151</v>
      </c>
      <c r="AE7" s="1">
        <f>Depreciation!AF12</f>
        <v>19962526227.96524</v>
      </c>
      <c r="AF7" s="1"/>
      <c r="AG7" s="1"/>
      <c r="AH7" s="1"/>
      <c r="AI7" s="1"/>
      <c r="AJ7" s="1"/>
      <c r="AK7" s="1"/>
      <c r="AL7" s="1"/>
      <c r="AM7" s="1"/>
      <c r="AN7" s="1"/>
      <c r="AO7" s="1"/>
      <c r="AP7" s="1"/>
    </row>
    <row r="8" spans="1:42" x14ac:dyDescent="0.35">
      <c r="A8" t="s">
        <v>199</v>
      </c>
      <c r="B8" s="1">
        <f t="shared" ref="B8:AE8" si="1">B6-B7</f>
        <v>6473805513.8786411</v>
      </c>
      <c r="C8" s="1">
        <f t="shared" ca="1" si="1"/>
        <v>6467135300.2070332</v>
      </c>
      <c r="D8" s="1">
        <f ca="1">D6-D7</f>
        <v>6610525975.8024397</v>
      </c>
      <c r="E8" s="1">
        <f t="shared" ca="1" si="1"/>
        <v>6755470191.7564459</v>
      </c>
      <c r="F8" s="1">
        <f t="shared" ca="1" si="1"/>
        <v>6902215661.301116</v>
      </c>
      <c r="G8" s="1">
        <f t="shared" ca="1" si="1"/>
        <v>7039376545.8657417</v>
      </c>
      <c r="H8" s="1">
        <f t="shared" ca="1" si="1"/>
        <v>7167231087.5276613</v>
      </c>
      <c r="I8" s="1">
        <f t="shared" ca="1" si="1"/>
        <v>7286038998.3140984</v>
      </c>
      <c r="J8" s="1">
        <f t="shared" ca="1" si="1"/>
        <v>7396042190.6560783</v>
      </c>
      <c r="K8" s="1">
        <f t="shared" ca="1" si="1"/>
        <v>7497366721.3052311</v>
      </c>
      <c r="L8" s="1">
        <f t="shared" ca="1" si="1"/>
        <v>7580664106.5593204</v>
      </c>
      <c r="M8" s="1">
        <f t="shared" ca="1" si="1"/>
        <v>8228629829.7989502</v>
      </c>
      <c r="N8" s="1">
        <f t="shared" ca="1" si="1"/>
        <v>8857211973.2685852</v>
      </c>
      <c r="O8" s="1">
        <f t="shared" ca="1" si="1"/>
        <v>9466214477.3573608</v>
      </c>
      <c r="P8" s="1">
        <f t="shared" ca="1" si="1"/>
        <v>10055301370.008478</v>
      </c>
      <c r="Q8" s="1">
        <f t="shared" ca="1" si="1"/>
        <v>10629725345.101126</v>
      </c>
      <c r="R8" s="1">
        <f t="shared" ca="1" si="1"/>
        <v>11189126143.345507</v>
      </c>
      <c r="S8" s="1">
        <f t="shared" ca="1" si="1"/>
        <v>11733135473.08618</v>
      </c>
      <c r="T8" s="1">
        <f t="shared" ca="1" si="1"/>
        <v>12261376872.734312</v>
      </c>
      <c r="U8" s="1">
        <f t="shared" ca="1" si="1"/>
        <v>12772983838.154749</v>
      </c>
      <c r="V8" s="1">
        <f t="shared" ca="1" si="1"/>
        <v>13282884377.797855</v>
      </c>
      <c r="W8" s="1">
        <f t="shared" ca="1" si="1"/>
        <v>13990716846.701334</v>
      </c>
      <c r="X8" s="1">
        <f t="shared" ca="1" si="1"/>
        <v>14703095083.779799</v>
      </c>
      <c r="Y8" s="1">
        <f t="shared" ca="1" si="1"/>
        <v>15419788936.752779</v>
      </c>
      <c r="Z8" s="1">
        <f t="shared" ca="1" si="1"/>
        <v>16140556622.404253</v>
      </c>
      <c r="AA8" s="1">
        <f t="shared" ca="1" si="1"/>
        <v>16865144368.21368</v>
      </c>
      <c r="AB8" s="1">
        <f t="shared" ca="1" si="1"/>
        <v>17593286044.978065</v>
      </c>
      <c r="AC8" s="1">
        <f t="shared" ca="1" si="1"/>
        <v>18324702790.22702</v>
      </c>
      <c r="AD8" s="1">
        <f t="shared" ca="1" si="1"/>
        <v>19059102622.229034</v>
      </c>
      <c r="AE8" s="1">
        <f t="shared" ca="1" si="1"/>
        <v>19796180044.383049</v>
      </c>
      <c r="AF8" s="1"/>
      <c r="AG8" s="1"/>
      <c r="AH8" s="1"/>
      <c r="AI8" s="1"/>
      <c r="AJ8" s="1"/>
      <c r="AK8" s="1"/>
      <c r="AL8" s="1"/>
      <c r="AM8" s="1"/>
      <c r="AN8" s="1"/>
      <c r="AO8" s="1"/>
      <c r="AP8" s="1"/>
    </row>
    <row r="10" spans="1:42" x14ac:dyDescent="0.35">
      <c r="A10" t="s">
        <v>17</v>
      </c>
      <c r="B10" s="1">
        <f>B8-B11</f>
        <v>5062237725.3198957</v>
      </c>
      <c r="C10" s="1">
        <f ca="1">C8-C11</f>
        <v>4335777359.6086874</v>
      </c>
      <c r="D10" s="1">
        <f ca="1">D8-D11</f>
        <v>4313369821.0777092</v>
      </c>
      <c r="E10" s="1">
        <f t="shared" ref="E10:AE10" ca="1" si="2">E8-E11</f>
        <v>4289810102.2058725</v>
      </c>
      <c r="F10" s="1">
        <f t="shared" ca="1" si="2"/>
        <v>4264198242.0709696</v>
      </c>
      <c r="G10" s="1">
        <f ca="1">G8-G11</f>
        <v>4265060674.8742814</v>
      </c>
      <c r="H10" s="1">
        <f t="shared" ca="1" si="2"/>
        <v>4379975636.0591164</v>
      </c>
      <c r="I10" s="1">
        <f t="shared" ca="1" si="2"/>
        <v>4529710975.4108295</v>
      </c>
      <c r="J10" s="1">
        <f t="shared" ca="1" si="2"/>
        <v>4716411617.5024099</v>
      </c>
      <c r="K10" s="1">
        <f t="shared" ca="1" si="2"/>
        <v>4942257085.7839212</v>
      </c>
      <c r="L10" s="1">
        <f t="shared" ca="1" si="2"/>
        <v>5186120780.0286608</v>
      </c>
      <c r="M10" s="1">
        <f t="shared" ca="1" si="2"/>
        <v>5429380493.1667213</v>
      </c>
      <c r="N10" s="1">
        <f t="shared" ca="1" si="2"/>
        <v>5673970884.902113</v>
      </c>
      <c r="O10" s="1">
        <f t="shared" ca="1" si="2"/>
        <v>5921955063.482379</v>
      </c>
      <c r="P10" s="1">
        <f t="shared" ca="1" si="2"/>
        <v>6175400386.2421494</v>
      </c>
      <c r="Q10" s="1">
        <f t="shared" ca="1" si="2"/>
        <v>6434225842.6684456</v>
      </c>
      <c r="R10" s="1">
        <f t="shared" ca="1" si="2"/>
        <v>6700523868.7787571</v>
      </c>
      <c r="S10" s="1">
        <f t="shared" ca="1" si="2"/>
        <v>6976536595.0012035</v>
      </c>
      <c r="T10" s="1">
        <f t="shared" ca="1" si="2"/>
        <v>7264664069.3874617</v>
      </c>
      <c r="U10" s="1">
        <f t="shared" ca="1" si="2"/>
        <v>7566991146.6984835</v>
      </c>
      <c r="V10" s="1">
        <f t="shared" ca="1" si="2"/>
        <v>7870382879.9082375</v>
      </c>
      <c r="W10" s="1">
        <f t="shared" ca="1" si="2"/>
        <v>8168287582.3315926</v>
      </c>
      <c r="X10" s="1">
        <f t="shared" ca="1" si="2"/>
        <v>8460965379.3657465</v>
      </c>
      <c r="Y10" s="1">
        <f t="shared" ca="1" si="2"/>
        <v>8734662898.0954895</v>
      </c>
      <c r="Z10" s="1">
        <f t="shared" ca="1" si="2"/>
        <v>8988354154.6229172</v>
      </c>
      <c r="AA10" s="1">
        <f t="shared" ca="1" si="2"/>
        <v>9220983424.3605957</v>
      </c>
      <c r="AB10" s="1">
        <f t="shared" ca="1" si="2"/>
        <v>9431464751.1196156</v>
      </c>
      <c r="AC10" s="1">
        <f t="shared" ca="1" si="2"/>
        <v>9618681462.8262081</v>
      </c>
      <c r="AD10" s="1">
        <f t="shared" ca="1" si="2"/>
        <v>9781485694.9900665</v>
      </c>
      <c r="AE10" s="1">
        <f t="shared" ca="1" si="2"/>
        <v>9918697923.1193027</v>
      </c>
      <c r="AF10" s="1"/>
      <c r="AG10" s="1"/>
      <c r="AH10" s="1"/>
      <c r="AI10" s="1"/>
      <c r="AJ10" s="1"/>
      <c r="AK10" s="1"/>
      <c r="AL10" s="1"/>
      <c r="AM10" s="1"/>
      <c r="AN10" s="1"/>
      <c r="AO10" s="1"/>
    </row>
    <row r="11" spans="1:42" x14ac:dyDescent="0.35">
      <c r="A11" t="s">
        <v>9</v>
      </c>
      <c r="B11" s="1">
        <f>Assumptions!$C$20</f>
        <v>1411567788.5587454</v>
      </c>
      <c r="C11" s="1">
        <f ca="1">'Debt worksheet'!D5</f>
        <v>2131357940.5983458</v>
      </c>
      <c r="D11" s="1">
        <f ca="1">'Debt worksheet'!E5</f>
        <v>2297156154.724731</v>
      </c>
      <c r="E11" s="1">
        <f ca="1">'Debt worksheet'!F5</f>
        <v>2465660089.5505733</v>
      </c>
      <c r="F11" s="1">
        <f ca="1">'Debt worksheet'!G5</f>
        <v>2638017419.2301464</v>
      </c>
      <c r="G11" s="1">
        <f ca="1">'Debt worksheet'!H5</f>
        <v>2774315870.9914603</v>
      </c>
      <c r="H11" s="1">
        <f ca="1">'Debt worksheet'!I5</f>
        <v>2787255451.468545</v>
      </c>
      <c r="I11" s="1">
        <f ca="1">'Debt worksheet'!J5</f>
        <v>2756328022.9032693</v>
      </c>
      <c r="J11" s="1">
        <f ca="1">'Debt worksheet'!K5</f>
        <v>2679630573.1536684</v>
      </c>
      <c r="K11" s="1">
        <f ca="1">'Debt worksheet'!L5</f>
        <v>2555109635.5213099</v>
      </c>
      <c r="L11" s="1">
        <f ca="1">'Debt worksheet'!M5</f>
        <v>2394543326.5306597</v>
      </c>
      <c r="M11" s="1">
        <f ca="1">'Debt worksheet'!N5</f>
        <v>2799249336.6322293</v>
      </c>
      <c r="N11" s="1">
        <f ca="1">'Debt worksheet'!O5</f>
        <v>3183241088.3664718</v>
      </c>
      <c r="O11" s="1">
        <f ca="1">'Debt worksheet'!P5</f>
        <v>3544259413.8749819</v>
      </c>
      <c r="P11" s="1">
        <f ca="1">'Debt worksheet'!Q5</f>
        <v>3879900983.7663293</v>
      </c>
      <c r="Q11" s="1">
        <f ca="1">'Debt worksheet'!R5</f>
        <v>4195499502.4326806</v>
      </c>
      <c r="R11" s="1">
        <f ca="1">'Debt worksheet'!S5</f>
        <v>4488602274.5667496</v>
      </c>
      <c r="S11" s="1">
        <f ca="1">'Debt worksheet'!T5</f>
        <v>4756598878.0849762</v>
      </c>
      <c r="T11" s="1">
        <f ca="1">'Debt worksheet'!U5</f>
        <v>4996712803.3468504</v>
      </c>
      <c r="U11" s="1">
        <f ca="1">'Debt worksheet'!V5</f>
        <v>5205992691.4562654</v>
      </c>
      <c r="V11" s="1">
        <f ca="1">'Debt worksheet'!W5</f>
        <v>5412501497.8896179</v>
      </c>
      <c r="W11" s="1">
        <f ca="1">'Debt worksheet'!X5</f>
        <v>5822429264.3697414</v>
      </c>
      <c r="X11" s="1">
        <f ca="1">'Debt worksheet'!Y5</f>
        <v>6242129704.414052</v>
      </c>
      <c r="Y11" s="1">
        <f ca="1">'Debt worksheet'!Z5</f>
        <v>6685126038.6572895</v>
      </c>
      <c r="Z11" s="1">
        <f ca="1">'Debt worksheet'!AA5</f>
        <v>7152202467.7813368</v>
      </c>
      <c r="AA11" s="1">
        <f ca="1">'Debt worksheet'!AB5</f>
        <v>7644160943.8530846</v>
      </c>
      <c r="AB11" s="1">
        <f ca="1">'Debt worksheet'!AC5</f>
        <v>8161821293.8584499</v>
      </c>
      <c r="AC11" s="1">
        <f ca="1">'Debt worksheet'!AD5</f>
        <v>8706021327.4008121</v>
      </c>
      <c r="AD11" s="1">
        <f ca="1">'Debt worksheet'!AE5</f>
        <v>9277616927.2389679</v>
      </c>
      <c r="AE11" s="1">
        <f ca="1">'Debt worksheet'!AF5</f>
        <v>9877482121.2637463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171</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19812037.950247929</v>
      </c>
      <c r="D5" s="4">
        <f ca="1">'Profit and Loss'!D9</f>
        <v>24358596.282508209</v>
      </c>
      <c r="E5" s="4">
        <f ca="1">'Profit and Loss'!E9</f>
        <v>24302199.670542955</v>
      </c>
      <c r="F5" s="4">
        <f ca="1">'Profit and Loss'!F9</f>
        <v>23098430.339656368</v>
      </c>
      <c r="G5" s="4">
        <f ca="1">'Profit and Loss'!G9</f>
        <v>50448162.013593882</v>
      </c>
      <c r="H5" s="4">
        <f ca="1">'Profit and Loss'!H9</f>
        <v>123463532.45825145</v>
      </c>
      <c r="I5" s="4">
        <f ca="1">'Profit and Loss'!I9</f>
        <v>158291244.36424795</v>
      </c>
      <c r="J5" s="4">
        <f ca="1">'Profit and Loss'!J9</f>
        <v>195271132.68149951</v>
      </c>
      <c r="K5" s="4">
        <f ca="1">'Profit and Loss'!K9</f>
        <v>234536307.04303217</v>
      </c>
      <c r="L5" s="4">
        <f ca="1">'Profit and Loss'!L9</f>
        <v>266349165.91190675</v>
      </c>
      <c r="M5" s="4">
        <f ca="1">'Profit and Loss'!M9</f>
        <v>265830259.36913419</v>
      </c>
      <c r="N5" s="4">
        <f ca="1">'Profit and Loss'!N9</f>
        <v>267247380.5488787</v>
      </c>
      <c r="O5" s="4">
        <f ca="1">'Profit and Loss'!O9</f>
        <v>270728799.03402472</v>
      </c>
      <c r="P5" s="4">
        <f ca="1">'Profit and Loss'!P9</f>
        <v>276409942.53497893</v>
      </c>
      <c r="Q5" s="4">
        <f ca="1">'Profit and Loss'!Q9</f>
        <v>282010677.29839587</v>
      </c>
      <c r="R5" s="4">
        <f ca="1">'Profit and Loss'!R9</f>
        <v>289704302.65608764</v>
      </c>
      <c r="S5" s="4">
        <f ca="1">'Profit and Loss'!S9</f>
        <v>299640358.65311837</v>
      </c>
      <c r="T5" s="4">
        <f ca="1">'Profit and Loss'!T9</f>
        <v>311976601.12297821</v>
      </c>
      <c r="U5" s="4">
        <f ca="1">'Profit and Loss'!U9</f>
        <v>326879401.86198592</v>
      </c>
      <c r="V5" s="4">
        <f ca="1">'Profit and Loss'!V9</f>
        <v>333360541.1952033</v>
      </c>
      <c r="W5" s="4">
        <f ca="1">'Profit and Loss'!W9</f>
        <v>328775434.08026373</v>
      </c>
      <c r="X5" s="4">
        <f ca="1">'Profit and Loss'!X9</f>
        <v>324472584.20267516</v>
      </c>
      <c r="Y5" s="4">
        <f ca="1">'Profit and Loss'!Y9</f>
        <v>306438976.08172834</v>
      </c>
      <c r="Z5" s="4">
        <f ca="1">'Profit and Loss'!Z9</f>
        <v>287402491.12690455</v>
      </c>
      <c r="AA5" s="4">
        <f ca="1">'Profit and Loss'!AA9</f>
        <v>267333890.77091706</v>
      </c>
      <c r="AB5" s="4">
        <f ca="1">'Profit and Loss'!AB9</f>
        <v>246203455.43672663</v>
      </c>
      <c r="AC5" s="4">
        <f ca="1">'Profit and Loss'!AC9</f>
        <v>223980991.34081602</v>
      </c>
      <c r="AD5" s="4">
        <f ca="1">'Profit and Loss'!AD9</f>
        <v>200635838.42207861</v>
      </c>
      <c r="AE5" s="4">
        <f ca="1">'Profit and Loss'!AE9</f>
        <v>176136879.4683755</v>
      </c>
      <c r="AF5" s="4">
        <f ca="1">'Profit and Loss'!AF9</f>
        <v>150452550.51656795</v>
      </c>
      <c r="AG5" s="4"/>
      <c r="AH5" s="4"/>
      <c r="AI5" s="4"/>
      <c r="AJ5" s="4"/>
      <c r="AK5" s="4"/>
      <c r="AL5" s="4"/>
      <c r="AM5" s="4"/>
      <c r="AN5" s="4"/>
      <c r="AO5" s="4"/>
      <c r="AP5" s="4"/>
    </row>
    <row r="6" spans="1:42" x14ac:dyDescent="0.35">
      <c r="A6" t="s">
        <v>21</v>
      </c>
      <c r="C6" s="4">
        <f>Depreciation!C8+Depreciation!C9</f>
        <v>199894688.65317395</v>
      </c>
      <c r="D6" s="4">
        <f>Depreciation!D8+Depreciation!D9</f>
        <v>207973839.78420261</v>
      </c>
      <c r="E6" s="4">
        <f>Depreciation!E8+Depreciation!E9</f>
        <v>216296486.57156968</v>
      </c>
      <c r="F6" s="4">
        <f>Depreciation!F8+Depreciation!F9</f>
        <v>224869160.35125324</v>
      </c>
      <c r="G6" s="4">
        <f>Depreciation!G8+Depreciation!G9</f>
        <v>233425842.67833859</v>
      </c>
      <c r="H6" s="4">
        <f>Depreciation!H8+Depreciation!H9</f>
        <v>241974584.3619011</v>
      </c>
      <c r="I6" s="4">
        <f>Depreciation!I8+Depreciation!I9</f>
        <v>250523155.6353175</v>
      </c>
      <c r="J6" s="4">
        <f>Depreciation!J8+Depreciation!J9</f>
        <v>259079060.64785227</v>
      </c>
      <c r="K6" s="4">
        <f>Depreciation!K8+Depreciation!K9</f>
        <v>267649551.23777032</v>
      </c>
      <c r="L6" s="4">
        <f>Depreciation!L8+Depreciation!L9</f>
        <v>276340389.99928999</v>
      </c>
      <c r="M6" s="4">
        <f>Depreciation!M8+Depreciation!M9</f>
        <v>298825861.66645592</v>
      </c>
      <c r="N6" s="4">
        <f>Depreciation!N8+Depreciation!N9</f>
        <v>321396407.89753169</v>
      </c>
      <c r="O6" s="4">
        <f>Depreciation!O8+Depreciation!O9</f>
        <v>344053396.71101731</v>
      </c>
      <c r="P6" s="4">
        <f>Depreciation!P8+Depreciation!P9</f>
        <v>366798017.16477704</v>
      </c>
      <c r="Q6" s="4">
        <f>Depreciation!Q8+Depreciation!Q9</f>
        <v>389762636.93998647</v>
      </c>
      <c r="R6" s="4">
        <f>Depreciation!R8+Depreciation!R9</f>
        <v>412947857.81208396</v>
      </c>
      <c r="S6" s="4">
        <f>Depreciation!S8+Depreciation!S9</f>
        <v>436354134.35786164</v>
      </c>
      <c r="T6" s="4">
        <f>Depreciation!T8+Depreciation!T9</f>
        <v>459981766.78853202</v>
      </c>
      <c r="U6" s="4">
        <f>Depreciation!U8+Depreciation!U9</f>
        <v>483830893.52525365</v>
      </c>
      <c r="V6" s="4">
        <f>Depreciation!V8+Depreciation!V9</f>
        <v>508383218.07621676</v>
      </c>
      <c r="W6" s="4">
        <f>Depreciation!W8+Depreciation!W9</f>
        <v>538352026.06166649</v>
      </c>
      <c r="X6" s="4">
        <f>Depreciation!X8+Depreciation!X9</f>
        <v>569222757.71857572</v>
      </c>
      <c r="Y6" s="4">
        <f>Depreciation!Y8+Depreciation!Y9</f>
        <v>601017544.88709629</v>
      </c>
      <c r="Z6" s="4">
        <f>Depreciation!Z8+Depreciation!Z9</f>
        <v>633759002.2390821</v>
      </c>
      <c r="AA6" s="4">
        <f>Depreciation!AA8+Depreciation!AA9</f>
        <v>667470236.83855808</v>
      </c>
      <c r="AB6" s="4">
        <f>Depreciation!AB8+Depreciation!AB9</f>
        <v>702174857.87179399</v>
      </c>
      <c r="AC6" s="4">
        <f>Depreciation!AC8+Depreciation!AC9</f>
        <v>737896986.5495038</v>
      </c>
      <c r="AD6" s="4">
        <f>Depreciation!AD8+Depreciation!AD9</f>
        <v>774661266.18372583</v>
      </c>
      <c r="AE6" s="4">
        <f>Depreciation!AE8+Depreciation!AE9</f>
        <v>812492872.44195056</v>
      </c>
      <c r="AF6" s="4">
        <f>Depreciation!AF8+Depreciation!AF9</f>
        <v>851417523.78109109</v>
      </c>
      <c r="AG6" s="4"/>
      <c r="AH6" s="4"/>
      <c r="AI6" s="4"/>
      <c r="AJ6" s="4"/>
      <c r="AK6" s="4"/>
      <c r="AL6" s="4"/>
      <c r="AM6" s="4"/>
      <c r="AN6" s="4"/>
      <c r="AO6" s="4"/>
      <c r="AP6" s="4"/>
    </row>
    <row r="7" spans="1:42" x14ac:dyDescent="0.35">
      <c r="A7" t="s">
        <v>23</v>
      </c>
      <c r="C7" s="4">
        <f ca="1">C6+C5</f>
        <v>219706726.60342187</v>
      </c>
      <c r="D7" s="4">
        <f ca="1">D6+D5</f>
        <v>232332436.06671083</v>
      </c>
      <c r="E7" s="4">
        <f t="shared" ref="E7:AF7" ca="1" si="1">E6+E5</f>
        <v>240598686.24211264</v>
      </c>
      <c r="F7" s="4">
        <f t="shared" ca="1" si="1"/>
        <v>247967590.69090962</v>
      </c>
      <c r="G7" s="4">
        <f ca="1">G6+G5</f>
        <v>283874004.69193244</v>
      </c>
      <c r="H7" s="4">
        <f t="shared" ca="1" si="1"/>
        <v>365438116.82015252</v>
      </c>
      <c r="I7" s="4">
        <f t="shared" ca="1" si="1"/>
        <v>408814399.99956548</v>
      </c>
      <c r="J7" s="4">
        <f t="shared" ca="1" si="1"/>
        <v>454350193.32935178</v>
      </c>
      <c r="K7" s="4">
        <f t="shared" ca="1" si="1"/>
        <v>502185858.28080249</v>
      </c>
      <c r="L7" s="4">
        <f t="shared" ca="1" si="1"/>
        <v>542689555.91119671</v>
      </c>
      <c r="M7" s="4">
        <f t="shared" ca="1" si="1"/>
        <v>564656121.03559017</v>
      </c>
      <c r="N7" s="4">
        <f t="shared" ca="1" si="1"/>
        <v>588643788.44641042</v>
      </c>
      <c r="O7" s="4">
        <f t="shared" ca="1" si="1"/>
        <v>614782195.74504209</v>
      </c>
      <c r="P7" s="4">
        <f t="shared" ca="1" si="1"/>
        <v>643207959.69975591</v>
      </c>
      <c r="Q7" s="4">
        <f t="shared" ca="1" si="1"/>
        <v>671773314.23838234</v>
      </c>
      <c r="R7" s="4">
        <f t="shared" ca="1" si="1"/>
        <v>702652160.4681716</v>
      </c>
      <c r="S7" s="4">
        <f t="shared" ca="1" si="1"/>
        <v>735994493.01098001</v>
      </c>
      <c r="T7" s="4">
        <f t="shared" ca="1" si="1"/>
        <v>771958367.91151023</v>
      </c>
      <c r="U7" s="4">
        <f t="shared" ca="1" si="1"/>
        <v>810710295.38723958</v>
      </c>
      <c r="V7" s="4">
        <f t="shared" ca="1" si="1"/>
        <v>841743759.27142</v>
      </c>
      <c r="W7" s="4">
        <f t="shared" ca="1" si="1"/>
        <v>867127460.14193022</v>
      </c>
      <c r="X7" s="4">
        <f t="shared" ca="1" si="1"/>
        <v>893695341.92125082</v>
      </c>
      <c r="Y7" s="4">
        <f t="shared" ca="1" si="1"/>
        <v>907456520.96882463</v>
      </c>
      <c r="Z7" s="4">
        <f t="shared" ca="1" si="1"/>
        <v>921161493.36598659</v>
      </c>
      <c r="AA7" s="4">
        <f t="shared" ca="1" si="1"/>
        <v>934804127.60947514</v>
      </c>
      <c r="AB7" s="4">
        <f t="shared" ca="1" si="1"/>
        <v>948378313.30852056</v>
      </c>
      <c r="AC7" s="4">
        <f t="shared" ca="1" si="1"/>
        <v>961877977.89031982</v>
      </c>
      <c r="AD7" s="4">
        <f t="shared" ca="1" si="1"/>
        <v>975297104.60580444</v>
      </c>
      <c r="AE7" s="4">
        <f t="shared" ca="1" si="1"/>
        <v>988629751.910326</v>
      </c>
      <c r="AF7" s="4">
        <f t="shared" ca="1" si="1"/>
        <v>1001870074.297659</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A9" t="s">
        <v>223</v>
      </c>
      <c r="C9" s="4">
        <f>Assumptions!$C$37/Assumptions!$C$39</f>
        <v>18403100.490826108</v>
      </c>
      <c r="D9" s="4">
        <f>Assumptions!$C$37/Assumptions!$C$39</f>
        <v>18403100.490826108</v>
      </c>
      <c r="E9" s="4">
        <f>Assumptions!$C$37/Assumptions!$C$39</f>
        <v>18403100.490826108</v>
      </c>
      <c r="F9" s="4">
        <f>Assumptions!$C$37/Assumptions!$C$39</f>
        <v>18403100.490826108</v>
      </c>
      <c r="G9" s="4">
        <f>Assumptions!$C$37/Assumptions!$C$39</f>
        <v>18403100.490826108</v>
      </c>
      <c r="H9" s="4">
        <f>Assumptions!$C$37/Assumptions!$C$39</f>
        <v>18403100.490826108</v>
      </c>
      <c r="I9" s="4">
        <f>Assumptions!$C$37/Assumptions!$C$39</f>
        <v>18403100.490826108</v>
      </c>
      <c r="J9" s="4">
        <f>Assumptions!$C$37/Assumptions!$C$39</f>
        <v>18403100.490826108</v>
      </c>
      <c r="K9" s="4">
        <f>Assumptions!$C$37/Assumptions!$C$39</f>
        <v>18403100.490826108</v>
      </c>
      <c r="L9" s="4">
        <f>Assumptions!$C$37/Assumptions!$C$39</f>
        <v>18403100.490826108</v>
      </c>
      <c r="M9" s="4">
        <f>Assumptions!$C$37/Assumptions!$C$39</f>
        <v>18403100.490826108</v>
      </c>
      <c r="N9" s="4">
        <f>Assumptions!$C$37/Assumptions!$C$39</f>
        <v>18403100.490826108</v>
      </c>
      <c r="O9" s="4">
        <f>Assumptions!$C$37/Assumptions!$C$39</f>
        <v>18403100.490826108</v>
      </c>
      <c r="P9" s="4">
        <f>Assumptions!$C$37/Assumptions!$C$39</f>
        <v>18403100.490826108</v>
      </c>
      <c r="Q9" s="4">
        <f>Assumptions!$C$37/Assumptions!$C$39</f>
        <v>18403100.490826108</v>
      </c>
      <c r="R9" s="4">
        <f>Assumptions!$C$37/Assumptions!$C$39</f>
        <v>18403100.490826108</v>
      </c>
      <c r="S9" s="4">
        <f>Assumptions!$C$37/Assumptions!$C$39</f>
        <v>18403100.490826108</v>
      </c>
      <c r="T9" s="4">
        <f>Assumptions!$C$37/Assumptions!$C$39</f>
        <v>18403100.490826108</v>
      </c>
      <c r="U9" s="4">
        <f>Assumptions!$C$37/Assumptions!$C$39</f>
        <v>18403100.490826108</v>
      </c>
      <c r="V9" s="4">
        <f>Assumptions!$C$37/Assumptions!$C$39</f>
        <v>18403100.490826108</v>
      </c>
      <c r="W9" s="4">
        <f>Assumptions!$C$37/Assumptions!$C$39</f>
        <v>18403100.490826108</v>
      </c>
      <c r="X9" s="4">
        <f>Assumptions!$C$37/Assumptions!$C$39</f>
        <v>18403100.490826108</v>
      </c>
      <c r="Y9" s="4">
        <f>Assumptions!$C$37/Assumptions!$C$39</f>
        <v>18403100.490826108</v>
      </c>
      <c r="Z9" s="4">
        <f>Assumptions!$C$37/Assumptions!$C$39</f>
        <v>18403100.490826108</v>
      </c>
      <c r="AA9" s="4">
        <f>Assumptions!$C$37/Assumptions!$C$39</f>
        <v>18403100.490826108</v>
      </c>
      <c r="AB9" s="4">
        <f>Assumptions!$C$37/Assumptions!$C$39</f>
        <v>18403100.490826108</v>
      </c>
      <c r="AC9" s="4">
        <f>Assumptions!$C$37/Assumptions!$C$39</f>
        <v>18403100.490826108</v>
      </c>
      <c r="AD9" s="4">
        <f>Assumptions!$C$37/Assumptions!$C$39</f>
        <v>18403100.490826108</v>
      </c>
      <c r="AE9" s="4">
        <f>Assumptions!$C$37/Assumptions!$C$39</f>
        <v>18403100.490826108</v>
      </c>
      <c r="AF9" s="4">
        <f>Assumptions!$C$37/Assumptions!$C$39</f>
        <v>18403100.490826108</v>
      </c>
      <c r="AG9" s="4"/>
      <c r="AH9" s="4"/>
      <c r="AI9" s="4"/>
      <c r="AJ9" s="4"/>
      <c r="AK9" s="4"/>
      <c r="AL9" s="4"/>
      <c r="AM9" s="4"/>
      <c r="AN9" s="4"/>
      <c r="AO9" s="4"/>
      <c r="AP9" s="4"/>
    </row>
    <row r="10" spans="1:42" x14ac:dyDescent="0.35">
      <c r="A10" t="s">
        <v>11</v>
      </c>
      <c r="C10" s="9">
        <f>Investment!C25</f>
        <v>349787926.51499045</v>
      </c>
      <c r="D10" s="9">
        <f>Investment!D25</f>
        <v>359687162.16697609</v>
      </c>
      <c r="E10" s="9">
        <f>Investment!E25</f>
        <v>369813376.30526018</v>
      </c>
      <c r="F10" s="9">
        <f>Investment!F25</f>
        <v>380171312.22300911</v>
      </c>
      <c r="G10" s="9">
        <f>Investment!G25</f>
        <v>379135468.92652768</v>
      </c>
      <c r="H10" s="9">
        <f>Investment!H25</f>
        <v>378377697.29723704</v>
      </c>
      <c r="I10" s="9">
        <f>Investment!I25</f>
        <v>377886971.43428987</v>
      </c>
      <c r="J10" s="9">
        <f>Investment!J25</f>
        <v>377652743.57975066</v>
      </c>
      <c r="K10" s="9">
        <f>Investment!K25</f>
        <v>377664920.64844382</v>
      </c>
      <c r="L10" s="9">
        <f>Investment!L25</f>
        <v>382123246.92054635</v>
      </c>
      <c r="M10" s="9">
        <f>Investment!M25</f>
        <v>969362131.13715971</v>
      </c>
      <c r="N10" s="9">
        <f>Investment!N25</f>
        <v>972635540.18065286</v>
      </c>
      <c r="O10" s="9">
        <f>Investment!O25</f>
        <v>975800521.25355196</v>
      </c>
      <c r="P10" s="9">
        <f>Investment!P25</f>
        <v>978849529.59110332</v>
      </c>
      <c r="Q10" s="9">
        <f>Investment!Q25</f>
        <v>987371832.90473354</v>
      </c>
      <c r="R10" s="9">
        <f>Investment!R25</f>
        <v>995754932.60224009</v>
      </c>
      <c r="S10" s="9">
        <f>Investment!S25</f>
        <v>1003991096.5292057</v>
      </c>
      <c r="T10" s="9">
        <f>Investment!T25</f>
        <v>1012072293.1733838</v>
      </c>
      <c r="U10" s="9">
        <f>Investment!U25</f>
        <v>1019990183.4966539</v>
      </c>
      <c r="V10" s="9">
        <f>Investment!V25</f>
        <v>1048252565.7047725</v>
      </c>
      <c r="W10" s="9">
        <f>Investment!W25</f>
        <v>1277055226.6220536</v>
      </c>
      <c r="X10" s="9">
        <f>Investment!X25</f>
        <v>1313395781.9655607</v>
      </c>
      <c r="Y10" s="9">
        <f>Investment!Y25</f>
        <v>1350452855.2120614</v>
      </c>
      <c r="Z10" s="9">
        <f>Investment!Z25</f>
        <v>1388237922.4900331</v>
      </c>
      <c r="AA10" s="9">
        <f>Investment!AA25</f>
        <v>1426762603.6812229</v>
      </c>
      <c r="AB10" s="9">
        <f>Investment!AB25</f>
        <v>1466038663.3138852</v>
      </c>
      <c r="AC10" s="9">
        <f>Investment!AC25</f>
        <v>1506078011.4326811</v>
      </c>
      <c r="AD10" s="9">
        <f>Investment!AD25</f>
        <v>1546892704.44396</v>
      </c>
      <c r="AE10" s="9">
        <f>Investment!AE25</f>
        <v>1588494945.9351034</v>
      </c>
      <c r="AF10" s="9">
        <f>Investment!AF25</f>
        <v>1630897087.4665642</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-148484300.40239468</v>
      </c>
      <c r="D12" s="1">
        <f t="shared" ref="D12:AF12" ca="1" si="2">D7-D9-D10</f>
        <v>-145757826.59109136</v>
      </c>
      <c r="E12" s="1">
        <f ca="1">E7-E9-E10</f>
        <v>-147617790.55397364</v>
      </c>
      <c r="F12" s="1">
        <f t="shared" ca="1" si="2"/>
        <v>-150606822.02292559</v>
      </c>
      <c r="G12" s="1">
        <f ca="1">G7-G9-G10</f>
        <v>-113664564.72542134</v>
      </c>
      <c r="H12" s="1">
        <f t="shared" ca="1" si="2"/>
        <v>-31342680.967910647</v>
      </c>
      <c r="I12" s="1">
        <f t="shared" ca="1" si="2"/>
        <v>12524328.07444948</v>
      </c>
      <c r="J12" s="1">
        <f t="shared" ca="1" si="2"/>
        <v>58294349.258774996</v>
      </c>
      <c r="K12" s="1">
        <f t="shared" ca="1" si="2"/>
        <v>106117837.14153254</v>
      </c>
      <c r="L12" s="1">
        <f t="shared" ca="1" si="2"/>
        <v>142163208.49982423</v>
      </c>
      <c r="M12" s="1">
        <f t="shared" ca="1" si="2"/>
        <v>-423109110.59239566</v>
      </c>
      <c r="N12" s="1">
        <f t="shared" ca="1" si="2"/>
        <v>-402394852.22506857</v>
      </c>
      <c r="O12" s="1">
        <f t="shared" ca="1" si="2"/>
        <v>-379421425.999336</v>
      </c>
      <c r="P12" s="1">
        <f t="shared" ca="1" si="2"/>
        <v>-354044670.38217354</v>
      </c>
      <c r="Q12" s="1">
        <f t="shared" ca="1" si="2"/>
        <v>-334001619.15717733</v>
      </c>
      <c r="R12" s="1">
        <f t="shared" ca="1" si="2"/>
        <v>-311505872.62489462</v>
      </c>
      <c r="S12" s="1">
        <f t="shared" ca="1" si="2"/>
        <v>-286399704.0090518</v>
      </c>
      <c r="T12" s="1">
        <f t="shared" ca="1" si="2"/>
        <v>-258517025.75269973</v>
      </c>
      <c r="U12" s="1">
        <f t="shared" ca="1" si="2"/>
        <v>-227682988.60024047</v>
      </c>
      <c r="V12" s="1">
        <f t="shared" ca="1" si="2"/>
        <v>-224911906.9241786</v>
      </c>
      <c r="W12" s="1">
        <f t="shared" ca="1" si="2"/>
        <v>-428330866.97094953</v>
      </c>
      <c r="X12" s="1">
        <f t="shared" ca="1" si="2"/>
        <v>-438103540.53513598</v>
      </c>
      <c r="Y12" s="1">
        <f t="shared" ca="1" si="2"/>
        <v>-461399434.73406291</v>
      </c>
      <c r="Z12" s="1">
        <f t="shared" ca="1" si="2"/>
        <v>-485479529.61487269</v>
      </c>
      <c r="AA12" s="1">
        <f t="shared" ca="1" si="2"/>
        <v>-510361576.56257391</v>
      </c>
      <c r="AB12" s="1">
        <f t="shared" ca="1" si="2"/>
        <v>-536063450.49619079</v>
      </c>
      <c r="AC12" s="1">
        <f t="shared" ca="1" si="2"/>
        <v>-562603134.03318739</v>
      </c>
      <c r="AD12" s="1">
        <f t="shared" ca="1" si="2"/>
        <v>-589998700.32898164</v>
      </c>
      <c r="AE12" s="1">
        <f t="shared" ca="1" si="2"/>
        <v>-618268294.51560354</v>
      </c>
      <c r="AF12" s="1">
        <f t="shared" ca="1" si="2"/>
        <v>-647430113.65973127</v>
      </c>
      <c r="AG12" s="1"/>
      <c r="AH12" s="1"/>
      <c r="AI12" s="1"/>
      <c r="AJ12" s="1"/>
      <c r="AK12" s="1"/>
      <c r="AL12" s="1"/>
      <c r="AM12" s="1"/>
      <c r="AN12" s="1"/>
      <c r="AO12" s="1"/>
      <c r="AP12" s="1"/>
    </row>
    <row r="13" spans="1:42" x14ac:dyDescent="0.35">
      <c r="A13" t="s">
        <v>19</v>
      </c>
      <c r="C13" s="1">
        <f ca="1">C12</f>
        <v>-148484300.40239468</v>
      </c>
      <c r="D13" s="1">
        <f ca="1">D12</f>
        <v>-145757826.59109136</v>
      </c>
      <c r="E13" s="1">
        <f ca="1">E12</f>
        <v>-147617790.55397364</v>
      </c>
      <c r="F13" s="1">
        <f t="shared" ref="F13:AF13" ca="1" si="3">F12</f>
        <v>-150606822.02292559</v>
      </c>
      <c r="G13" s="1">
        <f ca="1">G12</f>
        <v>-113664564.72542134</v>
      </c>
      <c r="H13" s="1">
        <f t="shared" ca="1" si="3"/>
        <v>-31342680.967910647</v>
      </c>
      <c r="I13" s="1">
        <f t="shared" ca="1" si="3"/>
        <v>12524328.07444948</v>
      </c>
      <c r="J13" s="1">
        <f t="shared" ca="1" si="3"/>
        <v>58294349.258774996</v>
      </c>
      <c r="K13" s="1">
        <f t="shared" ca="1" si="3"/>
        <v>106117837.14153254</v>
      </c>
      <c r="L13" s="1">
        <f t="shared" ca="1" si="3"/>
        <v>142163208.49982423</v>
      </c>
      <c r="M13" s="1">
        <f t="shared" ca="1" si="3"/>
        <v>-423109110.59239566</v>
      </c>
      <c r="N13" s="1">
        <f t="shared" ca="1" si="3"/>
        <v>-402394852.22506857</v>
      </c>
      <c r="O13" s="1">
        <f t="shared" ca="1" si="3"/>
        <v>-379421425.999336</v>
      </c>
      <c r="P13" s="1">
        <f t="shared" ca="1" si="3"/>
        <v>-354044670.38217354</v>
      </c>
      <c r="Q13" s="1">
        <f t="shared" ca="1" si="3"/>
        <v>-334001619.15717733</v>
      </c>
      <c r="R13" s="1">
        <f t="shared" ca="1" si="3"/>
        <v>-311505872.62489462</v>
      </c>
      <c r="S13" s="1">
        <f t="shared" ca="1" si="3"/>
        <v>-286399704.0090518</v>
      </c>
      <c r="T13" s="1">
        <f t="shared" ca="1" si="3"/>
        <v>-258517025.75269973</v>
      </c>
      <c r="U13" s="1">
        <f t="shared" ca="1" si="3"/>
        <v>-227682988.60024047</v>
      </c>
      <c r="V13" s="1">
        <f t="shared" ca="1" si="3"/>
        <v>-224911906.9241786</v>
      </c>
      <c r="W13" s="1">
        <f t="shared" ca="1" si="3"/>
        <v>-428330866.97094953</v>
      </c>
      <c r="X13" s="1">
        <f t="shared" ca="1" si="3"/>
        <v>-438103540.53513598</v>
      </c>
      <c r="Y13" s="1">
        <f t="shared" ca="1" si="3"/>
        <v>-461399434.73406291</v>
      </c>
      <c r="Z13" s="1">
        <f t="shared" ca="1" si="3"/>
        <v>-485479529.61487269</v>
      </c>
      <c r="AA13" s="1">
        <f t="shared" ca="1" si="3"/>
        <v>-510361576.56257391</v>
      </c>
      <c r="AB13" s="1">
        <f t="shared" ca="1" si="3"/>
        <v>-536063450.49619079</v>
      </c>
      <c r="AC13" s="1">
        <f t="shared" ca="1" si="3"/>
        <v>-562603134.03318739</v>
      </c>
      <c r="AD13" s="1">
        <f t="shared" ca="1" si="3"/>
        <v>-589998700.32898164</v>
      </c>
      <c r="AE13" s="1">
        <f t="shared" ca="1" si="3"/>
        <v>-618268294.51560354</v>
      </c>
      <c r="AF13" s="1">
        <f t="shared" ca="1" si="3"/>
        <v>-647430113.65973127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yzymRCA+pqrdvQ2CVp3y8CTX2COqz+gdVhYErC2lHjbcaooAMNakXJ12DvIVFXQM38e9fhPUu/pjP2U5VGySNA==" saltValue="5LsQiDydsIMwaCPUeJ+TMQ=="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156</v>
      </c>
      <c r="C6" s="9">
        <f>Assumptions!C17</f>
        <v>13347400405.063631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6673700202.5318155</v>
      </c>
      <c r="D7" s="9">
        <f>C12</f>
        <v>6873594891.1849899</v>
      </c>
      <c r="E7" s="9">
        <f>D12</f>
        <v>7081568730.9691925</v>
      </c>
      <c r="F7" s="9">
        <f t="shared" ref="F7:H7" si="1">E12</f>
        <v>7297865217.5407629</v>
      </c>
      <c r="G7" s="9">
        <f t="shared" si="1"/>
        <v>7522734377.8920164</v>
      </c>
      <c r="H7" s="9">
        <f t="shared" si="1"/>
        <v>7756160220.5703554</v>
      </c>
      <c r="I7" s="9">
        <f t="shared" ref="I7" si="2">H12</f>
        <v>7998134804.9322567</v>
      </c>
      <c r="J7" s="9">
        <f t="shared" ref="J7" si="3">I12</f>
        <v>8248657960.5675745</v>
      </c>
      <c r="K7" s="9">
        <f t="shared" ref="K7" si="4">J12</f>
        <v>8507737021.2154274</v>
      </c>
      <c r="L7" s="9">
        <f t="shared" ref="L7" si="5">K12</f>
        <v>8775386572.4531975</v>
      </c>
      <c r="M7" s="9">
        <f t="shared" ref="M7" si="6">L12</f>
        <v>9051726962.4524879</v>
      </c>
      <c r="N7" s="9">
        <f t="shared" ref="N7" si="7">M12</f>
        <v>9350552824.1189442</v>
      </c>
      <c r="O7" s="9">
        <f t="shared" ref="O7" si="8">N12</f>
        <v>9671949232.0164757</v>
      </c>
      <c r="P7" s="9">
        <f t="shared" ref="P7" si="9">O12</f>
        <v>10016002628.727493</v>
      </c>
      <c r="Q7" s="9">
        <f t="shared" ref="Q7" si="10">P12</f>
        <v>10382800645.892269</v>
      </c>
      <c r="R7" s="9">
        <f t="shared" ref="R7" si="11">Q12</f>
        <v>10772563282.832254</v>
      </c>
      <c r="S7" s="9">
        <f t="shared" ref="S7" si="12">R12</f>
        <v>11185511140.644339</v>
      </c>
      <c r="T7" s="9">
        <f t="shared" ref="T7" si="13">S12</f>
        <v>11621865275.002199</v>
      </c>
      <c r="U7" s="9">
        <f t="shared" ref="U7" si="14">T12</f>
        <v>12081847041.790731</v>
      </c>
      <c r="V7" s="9">
        <f t="shared" ref="V7" si="15">U12</f>
        <v>12565677935.315985</v>
      </c>
      <c r="W7" s="9">
        <f t="shared" ref="W7" si="16">V12</f>
        <v>13074061153.392202</v>
      </c>
      <c r="X7" s="9">
        <f t="shared" ref="X7" si="17">W12</f>
        <v>13612413179.453869</v>
      </c>
      <c r="Y7" s="9">
        <f t="shared" ref="Y7" si="18">X12</f>
        <v>14181635937.172445</v>
      </c>
      <c r="Z7" s="9">
        <f t="shared" ref="Z7" si="19">Y12</f>
        <v>14782653482.059542</v>
      </c>
      <c r="AA7" s="9">
        <f t="shared" ref="AA7" si="20">Z12</f>
        <v>15416412484.298624</v>
      </c>
      <c r="AB7" s="9">
        <f t="shared" ref="AB7" si="21">AA12</f>
        <v>16083882721.137182</v>
      </c>
      <c r="AC7" s="9">
        <f t="shared" ref="AC7" si="22">AB12</f>
        <v>16786057579.008976</v>
      </c>
      <c r="AD7" s="9">
        <f t="shared" ref="AD7" si="23">AC12</f>
        <v>17523954565.558479</v>
      </c>
      <c r="AE7" s="9">
        <f t="shared" ref="AE7" si="24">AD12</f>
        <v>18298615831.742203</v>
      </c>
      <c r="AF7" s="9">
        <f t="shared" ref="AF7" si="25">AE12</f>
        <v>19111108704.184151</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157</v>
      </c>
      <c r="C8" s="9">
        <f>Assumptions!D118*Assumptions!D11</f>
        <v>196277821.18075326</v>
      </c>
      <c r="D8" s="9">
        <f>Assumptions!E118*Assumptions!E11</f>
        <v>200595933.24672982</v>
      </c>
      <c r="E8" s="9">
        <f>Assumptions!F118*Assumptions!F11</f>
        <v>205009043.77815789</v>
      </c>
      <c r="F8" s="9">
        <f>Assumptions!G118*Assumptions!G11</f>
        <v>209519242.74127737</v>
      </c>
      <c r="G8" s="9">
        <f>Assumptions!H118*Assumptions!H11</f>
        <v>214128666.08158547</v>
      </c>
      <c r="H8" s="9">
        <f>Assumptions!I118*Assumptions!I11</f>
        <v>218839496.73538032</v>
      </c>
      <c r="I8" s="9">
        <f>Assumptions!J118*Assumptions!J11</f>
        <v>223653965.66355869</v>
      </c>
      <c r="J8" s="9">
        <f>Assumptions!K118*Assumptions!K11</f>
        <v>228574352.90815702</v>
      </c>
      <c r="K8" s="9">
        <f>Assumptions!L118*Assumptions!L11</f>
        <v>233602988.67213646</v>
      </c>
      <c r="L8" s="9">
        <f>Assumptions!M118*Assumptions!M11</f>
        <v>238742254.42292348</v>
      </c>
      <c r="M8" s="9">
        <f>Assumptions!N118*Assumptions!N11</f>
        <v>243994584.02022779</v>
      </c>
      <c r="N8" s="9">
        <f>Assumptions!O118*Assumptions!O11</f>
        <v>249362464.86867282</v>
      </c>
      <c r="O8" s="9">
        <f>Assumptions!P118*Assumptions!P11</f>
        <v>254848439.09578362</v>
      </c>
      <c r="P8" s="9">
        <f>Assumptions!Q118*Assumptions!Q11</f>
        <v>260455104.75589082</v>
      </c>
      <c r="Q8" s="9">
        <f>Assumptions!R118*Assumptions!R11</f>
        <v>266185117.06052047</v>
      </c>
      <c r="R8" s="9">
        <f>Assumptions!S118*Assumptions!S11</f>
        <v>272041189.63585192</v>
      </c>
      <c r="S8" s="9">
        <f>Assumptions!T118*Assumptions!T11</f>
        <v>278026095.80784065</v>
      </c>
      <c r="T8" s="9">
        <f>Assumptions!U118*Assumptions!U11</f>
        <v>284142669.91561311</v>
      </c>
      <c r="U8" s="9">
        <f>Assumptions!V118*Assumptions!V11</f>
        <v>290393808.65375662</v>
      </c>
      <c r="V8" s="9">
        <f>Assumptions!W118*Assumptions!W11</f>
        <v>296782472.4441393</v>
      </c>
      <c r="W8" s="9">
        <f>Assumptions!X118*Assumptions!X11</f>
        <v>303311686.83791035</v>
      </c>
      <c r="X8" s="9">
        <f>Assumptions!Y118*Assumptions!Y11</f>
        <v>309984543.94834435</v>
      </c>
      <c r="Y8" s="9">
        <f>Assumptions!Z118*Assumptions!Z11</f>
        <v>316804203.91520792</v>
      </c>
      <c r="Z8" s="9">
        <f>Assumptions!AA118*Assumptions!AA11</f>
        <v>323773896.40134257</v>
      </c>
      <c r="AA8" s="9">
        <f>Assumptions!AB118*Assumptions!AB11</f>
        <v>330896922.12217206</v>
      </c>
      <c r="AB8" s="9">
        <f>Assumptions!AC118*Assumptions!AC11</f>
        <v>338176654.40885991</v>
      </c>
      <c r="AC8" s="9">
        <f>Assumptions!AD118*Assumptions!AD11</f>
        <v>345616540.8058548</v>
      </c>
      <c r="AD8" s="9">
        <f>Assumptions!AE118*Assumptions!AE11</f>
        <v>353220104.7035836</v>
      </c>
      <c r="AE8" s="9">
        <f>Assumptions!AF118*Assumptions!AF11</f>
        <v>360990947.00706249</v>
      </c>
      <c r="AF8" s="9">
        <f>Assumptions!AG118*Assumptions!AG11</f>
        <v>368932747.84121782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Assumptions!D127*Assumptions!D11</f>
        <v>3616867.4724206855</v>
      </c>
      <c r="D9" s="9">
        <f>Assumptions!E127*Assumptions!E11</f>
        <v>7377906.5374727836</v>
      </c>
      <c r="E9" s="9">
        <f>Assumptions!F127*Assumptions!F11</f>
        <v>11287442.793411778</v>
      </c>
      <c r="F9" s="9">
        <f>Assumptions!G127*Assumptions!G11</f>
        <v>15349917.60997588</v>
      </c>
      <c r="G9" s="9">
        <f>Assumptions!H127*Assumptions!H11</f>
        <v>19297176.596753109</v>
      </c>
      <c r="H9" s="9">
        <f>Assumptions!I127*Assumptions!I11</f>
        <v>23135087.626520768</v>
      </c>
      <c r="I9" s="9">
        <f>Assumptions!J127*Assumptions!J11</f>
        <v>26869189.971758801</v>
      </c>
      <c r="J9" s="9">
        <f>Assumptions!K127*Assumptions!K11</f>
        <v>30504707.739695258</v>
      </c>
      <c r="K9" s="9">
        <f>Assumptions!L127*Assumptions!L11</f>
        <v>34046562.565633856</v>
      </c>
      <c r="L9" s="9">
        <f>Assumptions!M127*Assumptions!M11</f>
        <v>37598135.576366507</v>
      </c>
      <c r="M9" s="9">
        <f>Assumptions!N127*Assumptions!N11</f>
        <v>54831277.64622815</v>
      </c>
      <c r="N9" s="9">
        <f>Assumptions!O127*Assumptions!O11</f>
        <v>72033943.02885887</v>
      </c>
      <c r="O9" s="9">
        <f>Assumptions!P127*Assumptions!P11</f>
        <v>89204957.61523369</v>
      </c>
      <c r="P9" s="9">
        <f>Assumptions!Q127*Assumptions!Q11</f>
        <v>106342912.40888624</v>
      </c>
      <c r="Q9" s="9">
        <f>Assumptions!R127*Assumptions!R11</f>
        <v>123577519.87946603</v>
      </c>
      <c r="R9" s="9">
        <f>Assumptions!S127*Assumptions!S11</f>
        <v>140906668.17623201</v>
      </c>
      <c r="S9" s="9">
        <f>Assumptions!T127*Assumptions!T11</f>
        <v>158328038.55002096</v>
      </c>
      <c r="T9" s="9">
        <f>Assumptions!U127*Assumptions!U11</f>
        <v>175839096.87291887</v>
      </c>
      <c r="U9" s="9">
        <f>Assumptions!V127*Assumptions!V11</f>
        <v>193437084.87149706</v>
      </c>
      <c r="V9" s="9">
        <f>Assumptions!W127*Assumptions!W11</f>
        <v>211600745.63207746</v>
      </c>
      <c r="W9" s="9">
        <f>Assumptions!X127*Assumptions!X11</f>
        <v>235040339.22375607</v>
      </c>
      <c r="X9" s="9">
        <f>Assumptions!Y127*Assumptions!Y11</f>
        <v>259238213.77023137</v>
      </c>
      <c r="Y9" s="9">
        <f>Assumptions!Z127*Assumptions!Z11</f>
        <v>284213340.97188836</v>
      </c>
      <c r="Z9" s="9">
        <f>Assumptions!AA127*Assumptions!AA11</f>
        <v>309985105.83773953</v>
      </c>
      <c r="AA9" s="9">
        <f>Assumptions!AB127*Assumptions!AB11</f>
        <v>336573314.71638602</v>
      </c>
      <c r="AB9" s="9">
        <f>Assumptions!AC127*Assumptions!AC11</f>
        <v>363998203.46293402</v>
      </c>
      <c r="AC9" s="9">
        <f>Assumptions!AD127*Assumptions!AD11</f>
        <v>392280445.74364895</v>
      </c>
      <c r="AD9" s="9">
        <f>Assumptions!AE127*Assumptions!AE11</f>
        <v>421441161.4801423</v>
      </c>
      <c r="AE9" s="9">
        <f>Assumptions!AF127*Assumptions!AF11</f>
        <v>451501925.43488806</v>
      </c>
      <c r="AF9" s="9">
        <f>Assumptions!AG127*Assumptions!AG11</f>
        <v>482484775.93987328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199894688.65317395</v>
      </c>
      <c r="D10" s="9">
        <f>SUM($C$8:D9)</f>
        <v>407868528.43737656</v>
      </c>
      <c r="E10" s="9">
        <f>SUM($C$8:E9)</f>
        <v>624165015.00894618</v>
      </c>
      <c r="F10" s="9">
        <f>SUM($C$8:F9)</f>
        <v>849034175.36019945</v>
      </c>
      <c r="G10" s="9">
        <f>SUM($C$8:G9)</f>
        <v>1082460018.038538</v>
      </c>
      <c r="H10" s="9">
        <f>SUM($C$8:H9)</f>
        <v>1324434602.4004393</v>
      </c>
      <c r="I10" s="9">
        <f>SUM($C$8:I9)</f>
        <v>1574957758.0357568</v>
      </c>
      <c r="J10" s="9">
        <f>SUM($C$8:J9)</f>
        <v>1834036818.6836092</v>
      </c>
      <c r="K10" s="9">
        <f>SUM($C$8:K9)</f>
        <v>2101686369.9213796</v>
      </c>
      <c r="L10" s="9">
        <f>SUM($C$8:L9)</f>
        <v>2378026759.9206691</v>
      </c>
      <c r="M10" s="9">
        <f>SUM($C$8:M9)</f>
        <v>2676852621.5871253</v>
      </c>
      <c r="N10" s="9">
        <f>SUM($C$8:N9)</f>
        <v>2998249029.4846568</v>
      </c>
      <c r="O10" s="9">
        <f>SUM($C$8:O9)</f>
        <v>3342302426.1956744</v>
      </c>
      <c r="P10" s="9">
        <f>SUM($C$8:P9)</f>
        <v>3709100443.3604517</v>
      </c>
      <c r="Q10" s="9">
        <f>SUM($C$8:Q9)</f>
        <v>4098863080.3004384</v>
      </c>
      <c r="R10" s="9">
        <f>SUM($C$8:R9)</f>
        <v>4511810938.1125221</v>
      </c>
      <c r="S10" s="9">
        <f>SUM($C$8:S9)</f>
        <v>4948165072.4703836</v>
      </c>
      <c r="T10" s="9">
        <f>SUM($C$8:T9)</f>
        <v>5408146839.2589169</v>
      </c>
      <c r="U10" s="9">
        <f>SUM($C$8:U9)</f>
        <v>5891977732.7841711</v>
      </c>
      <c r="V10" s="9">
        <f>SUM($C$8:V9)</f>
        <v>6400360950.8603878</v>
      </c>
      <c r="W10" s="9">
        <f>SUM($C$8:W9)</f>
        <v>6938712976.9220543</v>
      </c>
      <c r="X10" s="9">
        <f>SUM($C$8:X9)</f>
        <v>7507935734.6406298</v>
      </c>
      <c r="Y10" s="9">
        <f>SUM($C$8:Y9)</f>
        <v>8108953279.5277262</v>
      </c>
      <c r="Z10" s="9">
        <f>SUM($C$8:Z9)</f>
        <v>8742712281.7668076</v>
      </c>
      <c r="AA10" s="9">
        <f>SUM($C$8:AA9)</f>
        <v>9410182518.6053677</v>
      </c>
      <c r="AB10" s="9">
        <f>SUM($C$8:AB9)</f>
        <v>10112357376.477161</v>
      </c>
      <c r="AC10" s="9">
        <f>SUM($C$8:AC9)</f>
        <v>10850254363.026667</v>
      </c>
      <c r="AD10" s="9">
        <f>SUM($C$8:AD9)</f>
        <v>11624915629.210392</v>
      </c>
      <c r="AE10" s="9">
        <f>SUM($C$8:AE9)</f>
        <v>12437408501.652342</v>
      </c>
      <c r="AF10" s="9">
        <f>SUM($C$8:AF9)</f>
        <v>13288826025.433432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6873594891.1849899</v>
      </c>
      <c r="D12" s="9">
        <f>D7+D8+D9</f>
        <v>7081568730.9691925</v>
      </c>
      <c r="E12" s="9">
        <f>E7+E8+E9</f>
        <v>7297865217.5407629</v>
      </c>
      <c r="F12" s="9">
        <f t="shared" ref="F12:H12" si="26">F7+F8+F9</f>
        <v>7522734377.8920164</v>
      </c>
      <c r="G12" s="9">
        <f t="shared" si="26"/>
        <v>7756160220.5703554</v>
      </c>
      <c r="H12" s="9">
        <f t="shared" si="26"/>
        <v>7998134804.9322567</v>
      </c>
      <c r="I12" s="9">
        <f t="shared" ref="I12:AF12" si="27">I7+I8+I9</f>
        <v>8248657960.5675745</v>
      </c>
      <c r="J12" s="9">
        <f t="shared" si="27"/>
        <v>8507737021.2154274</v>
      </c>
      <c r="K12" s="9">
        <f t="shared" si="27"/>
        <v>8775386572.4531975</v>
      </c>
      <c r="L12" s="9">
        <f t="shared" si="27"/>
        <v>9051726962.4524879</v>
      </c>
      <c r="M12" s="9">
        <f t="shared" si="27"/>
        <v>9350552824.1189442</v>
      </c>
      <c r="N12" s="9">
        <f t="shared" si="27"/>
        <v>9671949232.0164757</v>
      </c>
      <c r="O12" s="9">
        <f t="shared" si="27"/>
        <v>10016002628.727493</v>
      </c>
      <c r="P12" s="9">
        <f t="shared" si="27"/>
        <v>10382800645.892269</v>
      </c>
      <c r="Q12" s="9">
        <f t="shared" si="27"/>
        <v>10772563282.832254</v>
      </c>
      <c r="R12" s="9">
        <f t="shared" si="27"/>
        <v>11185511140.644339</v>
      </c>
      <c r="S12" s="9">
        <f t="shared" si="27"/>
        <v>11621865275.002199</v>
      </c>
      <c r="T12" s="9">
        <f t="shared" si="27"/>
        <v>12081847041.790731</v>
      </c>
      <c r="U12" s="9">
        <f t="shared" si="27"/>
        <v>12565677935.315985</v>
      </c>
      <c r="V12" s="9">
        <f t="shared" si="27"/>
        <v>13074061153.392202</v>
      </c>
      <c r="W12" s="9">
        <f t="shared" si="27"/>
        <v>13612413179.453869</v>
      </c>
      <c r="X12" s="9">
        <f t="shared" si="27"/>
        <v>14181635937.172445</v>
      </c>
      <c r="Y12" s="9">
        <f t="shared" si="27"/>
        <v>14782653482.059542</v>
      </c>
      <c r="Z12" s="9">
        <f t="shared" si="27"/>
        <v>15416412484.298624</v>
      </c>
      <c r="AA12" s="9">
        <f t="shared" si="27"/>
        <v>16083882721.137182</v>
      </c>
      <c r="AB12" s="9">
        <f t="shared" si="27"/>
        <v>16786057579.008976</v>
      </c>
      <c r="AC12" s="9">
        <f t="shared" si="27"/>
        <v>17523954565.558479</v>
      </c>
      <c r="AD12" s="9">
        <f t="shared" si="27"/>
        <v>18298615831.742203</v>
      </c>
      <c r="AE12" s="9">
        <f t="shared" si="27"/>
        <v>19111108704.184151</v>
      </c>
      <c r="AF12" s="9">
        <f t="shared" si="27"/>
        <v>19962526227.96524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349787926.51499045</v>
      </c>
      <c r="D18" s="9">
        <f>Investment!D25</f>
        <v>359687162.16697609</v>
      </c>
      <c r="E18" s="9">
        <f>Investment!E25</f>
        <v>369813376.30526018</v>
      </c>
      <c r="F18" s="9">
        <f>Investment!F25</f>
        <v>380171312.22300911</v>
      </c>
      <c r="G18" s="9">
        <f>Investment!G25</f>
        <v>379135468.92652768</v>
      </c>
      <c r="H18" s="9">
        <f>Investment!H25</f>
        <v>378377697.29723704</v>
      </c>
      <c r="I18" s="9">
        <f>Investment!I25</f>
        <v>377886971.43428987</v>
      </c>
      <c r="J18" s="9">
        <f>Investment!J25</f>
        <v>377652743.57975066</v>
      </c>
      <c r="K18" s="9">
        <f>Investment!K25</f>
        <v>377664920.64844382</v>
      </c>
      <c r="L18" s="9">
        <f>Investment!L25</f>
        <v>382123246.92054635</v>
      </c>
      <c r="M18" s="9">
        <f>Investment!M25</f>
        <v>969362131.13715971</v>
      </c>
      <c r="N18" s="9">
        <f>Investment!N25</f>
        <v>972635540.18065286</v>
      </c>
      <c r="O18" s="9">
        <f>Investment!O25</f>
        <v>975800521.25355196</v>
      </c>
      <c r="P18" s="9">
        <f>Investment!P25</f>
        <v>978849529.59110332</v>
      </c>
      <c r="Q18" s="9">
        <f>Investment!Q25</f>
        <v>987371832.90473354</v>
      </c>
      <c r="R18" s="9">
        <f>Investment!R25</f>
        <v>995754932.60224009</v>
      </c>
      <c r="S18" s="9">
        <f>Investment!S25</f>
        <v>1003991096.5292057</v>
      </c>
      <c r="T18" s="9">
        <f>Investment!T25</f>
        <v>1012072293.1733838</v>
      </c>
      <c r="U18" s="9">
        <f>Investment!U25</f>
        <v>1019990183.4966539</v>
      </c>
      <c r="V18" s="9">
        <f>Investment!V25</f>
        <v>1048252565.7047725</v>
      </c>
      <c r="W18" s="9">
        <f>Investment!W25</f>
        <v>1277055226.6220536</v>
      </c>
      <c r="X18" s="9">
        <f>Investment!X25</f>
        <v>1313395781.9655607</v>
      </c>
      <c r="Y18" s="9">
        <f>Investment!Y25</f>
        <v>1350452855.2120614</v>
      </c>
      <c r="Z18" s="9">
        <f>Investment!Z25</f>
        <v>1388237922.4900331</v>
      </c>
      <c r="AA18" s="9">
        <f>Investment!AA25</f>
        <v>1426762603.6812229</v>
      </c>
      <c r="AB18" s="9">
        <f>Investment!AB25</f>
        <v>1466038663.3138852</v>
      </c>
      <c r="AC18" s="9">
        <f>Investment!AC25</f>
        <v>1506078011.4326811</v>
      </c>
      <c r="AD18" s="9">
        <f>Investment!AD25</f>
        <v>1546892704.44396</v>
      </c>
      <c r="AE18" s="9">
        <f>Investment!AE25</f>
        <v>1588494945.9351034</v>
      </c>
      <c r="AF18" s="9">
        <f>Investment!AF25</f>
        <v>1630897087.4665642</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65</v>
      </c>
      <c r="C19" s="9">
        <f>$C$6-C7+C18</f>
        <v>7023488129.0468063</v>
      </c>
      <c r="D19" s="9">
        <f>D18+C20</f>
        <v>7183280602.5606079</v>
      </c>
      <c r="E19" s="9">
        <f>E18+D20</f>
        <v>7345120139.081665</v>
      </c>
      <c r="F19" s="9">
        <f t="shared" ref="F19:AF19" si="28">F18+E20</f>
        <v>7508994964.7331038</v>
      </c>
      <c r="G19" s="9">
        <f t="shared" si="28"/>
        <v>7663261273.3083782</v>
      </c>
      <c r="H19" s="9">
        <f t="shared" si="28"/>
        <v>7808213127.9272766</v>
      </c>
      <c r="I19" s="9">
        <f t="shared" si="28"/>
        <v>7944125514.9996653</v>
      </c>
      <c r="J19" s="9">
        <f t="shared" si="28"/>
        <v>8071255102.9440985</v>
      </c>
      <c r="K19" s="9">
        <f t="shared" si="28"/>
        <v>8189840962.9446898</v>
      </c>
      <c r="L19" s="9">
        <f t="shared" si="28"/>
        <v>8304314658.6274662</v>
      </c>
      <c r="M19" s="9">
        <f t="shared" si="28"/>
        <v>8997336399.765337</v>
      </c>
      <c r="N19" s="9">
        <f t="shared" si="28"/>
        <v>9671146078.2795334</v>
      </c>
      <c r="O19" s="9">
        <f t="shared" si="28"/>
        <v>10325550191.635553</v>
      </c>
      <c r="P19" s="9">
        <f t="shared" si="28"/>
        <v>10960346324.515638</v>
      </c>
      <c r="Q19" s="9">
        <f t="shared" si="28"/>
        <v>11580920140.255596</v>
      </c>
      <c r="R19" s="9">
        <f t="shared" si="28"/>
        <v>12186912435.91785</v>
      </c>
      <c r="S19" s="9">
        <f t="shared" si="28"/>
        <v>12777955674.634972</v>
      </c>
      <c r="T19" s="9">
        <f t="shared" si="28"/>
        <v>13353673833.450495</v>
      </c>
      <c r="U19" s="9">
        <f t="shared" si="28"/>
        <v>13913682250.158617</v>
      </c>
      <c r="V19" s="9">
        <f t="shared" si="28"/>
        <v>14478103922.338137</v>
      </c>
      <c r="W19" s="9">
        <f t="shared" si="28"/>
        <v>15246775930.883972</v>
      </c>
      <c r="X19" s="9">
        <f t="shared" si="28"/>
        <v>16021819686.787867</v>
      </c>
      <c r="Y19" s="9">
        <f t="shared" si="28"/>
        <v>16803049784.281351</v>
      </c>
      <c r="Z19" s="9">
        <f t="shared" si="28"/>
        <v>17590270161.884289</v>
      </c>
      <c r="AA19" s="9">
        <f t="shared" si="28"/>
        <v>18383273763.326427</v>
      </c>
      <c r="AB19" s="9">
        <f t="shared" si="28"/>
        <v>19181842189.801754</v>
      </c>
      <c r="AC19" s="9">
        <f t="shared" si="28"/>
        <v>19985745343.362644</v>
      </c>
      <c r="AD19" s="9">
        <f t="shared" si="28"/>
        <v>20794741061.257099</v>
      </c>
      <c r="AE19" s="9">
        <f t="shared" si="28"/>
        <v>21608574741.00848</v>
      </c>
      <c r="AF19" s="9">
        <f t="shared" si="28"/>
        <v>22426978956.033096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6823593440.3936319</v>
      </c>
      <c r="D20" s="9">
        <f>D19-D8-D9</f>
        <v>6975306762.7764053</v>
      </c>
      <c r="E20" s="9">
        <f t="shared" ref="E20:AF20" si="29">E19-E8-E9</f>
        <v>7128823652.5100946</v>
      </c>
      <c r="F20" s="9">
        <f t="shared" si="29"/>
        <v>7284125804.3818502</v>
      </c>
      <c r="G20" s="9">
        <f t="shared" si="29"/>
        <v>7429835430.6300392</v>
      </c>
      <c r="H20" s="9">
        <f t="shared" si="29"/>
        <v>7566238543.5653753</v>
      </c>
      <c r="I20" s="9">
        <f t="shared" si="29"/>
        <v>7693602359.3643475</v>
      </c>
      <c r="J20" s="9">
        <f t="shared" si="29"/>
        <v>7812176042.2962456</v>
      </c>
      <c r="K20" s="9">
        <f t="shared" si="29"/>
        <v>7922191411.7069197</v>
      </c>
      <c r="L20" s="9">
        <f t="shared" si="29"/>
        <v>8027974268.6281767</v>
      </c>
      <c r="M20" s="9">
        <f t="shared" si="29"/>
        <v>8698510538.0988808</v>
      </c>
      <c r="N20" s="9">
        <f t="shared" si="29"/>
        <v>9349749670.3820019</v>
      </c>
      <c r="O20" s="9">
        <f t="shared" si="29"/>
        <v>9981496794.9245358</v>
      </c>
      <c r="P20" s="9">
        <f t="shared" si="29"/>
        <v>10593548307.350863</v>
      </c>
      <c r="Q20" s="9">
        <f t="shared" si="29"/>
        <v>11191157503.315611</v>
      </c>
      <c r="R20" s="9">
        <f t="shared" si="29"/>
        <v>11773964578.105766</v>
      </c>
      <c r="S20" s="9">
        <f t="shared" si="29"/>
        <v>12341601540.277111</v>
      </c>
      <c r="T20" s="9">
        <f t="shared" si="29"/>
        <v>12893692066.661963</v>
      </c>
      <c r="U20" s="9">
        <f t="shared" si="29"/>
        <v>13429851356.633364</v>
      </c>
      <c r="V20" s="9">
        <f t="shared" si="29"/>
        <v>13969720704.261919</v>
      </c>
      <c r="W20" s="9">
        <f t="shared" si="29"/>
        <v>14708423904.822306</v>
      </c>
      <c r="X20" s="9">
        <f t="shared" si="29"/>
        <v>15452596929.06929</v>
      </c>
      <c r="Y20" s="9">
        <f t="shared" si="29"/>
        <v>16202032239.394255</v>
      </c>
      <c r="Z20" s="9">
        <f t="shared" si="29"/>
        <v>16956511159.645205</v>
      </c>
      <c r="AA20" s="9">
        <f t="shared" si="29"/>
        <v>17715803526.487869</v>
      </c>
      <c r="AB20" s="9">
        <f t="shared" si="29"/>
        <v>18479667331.929962</v>
      </c>
      <c r="AC20" s="9">
        <f t="shared" si="29"/>
        <v>19247848356.813141</v>
      </c>
      <c r="AD20" s="9">
        <f t="shared" si="29"/>
        <v>20020079795.073376</v>
      </c>
      <c r="AE20" s="9">
        <f t="shared" si="29"/>
        <v>20796081868.566532</v>
      </c>
      <c r="AF20" s="9">
        <f t="shared" si="29"/>
        <v>21575561432.252007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1411567788.5587454</v>
      </c>
      <c r="D22" s="9">
        <f ca="1">'Balance Sheet'!C11</f>
        <v>2131357940.5983458</v>
      </c>
      <c r="E22" s="9">
        <f ca="1">'Balance Sheet'!D11</f>
        <v>2297156154.724731</v>
      </c>
      <c r="F22" s="9">
        <f ca="1">'Balance Sheet'!E11</f>
        <v>2465660089.5505733</v>
      </c>
      <c r="G22" s="9">
        <f ca="1">'Balance Sheet'!F11</f>
        <v>2638017419.2301464</v>
      </c>
      <c r="H22" s="9">
        <f ca="1">'Balance Sheet'!G11</f>
        <v>2774315870.9914603</v>
      </c>
      <c r="I22" s="9">
        <f ca="1">'Balance Sheet'!H11</f>
        <v>2787255451.468545</v>
      </c>
      <c r="J22" s="9">
        <f ca="1">'Balance Sheet'!I11</f>
        <v>2756328022.9032693</v>
      </c>
      <c r="K22" s="9">
        <f ca="1">'Balance Sheet'!J11</f>
        <v>2679630573.1536684</v>
      </c>
      <c r="L22" s="9">
        <f ca="1">'Balance Sheet'!K11</f>
        <v>2555109635.5213099</v>
      </c>
      <c r="M22" s="9">
        <f ca="1">'Balance Sheet'!L11</f>
        <v>2394543326.5306597</v>
      </c>
      <c r="N22" s="9">
        <f ca="1">'Balance Sheet'!M11</f>
        <v>2799249336.6322293</v>
      </c>
      <c r="O22" s="9">
        <f ca="1">'Balance Sheet'!N11</f>
        <v>3183241088.3664718</v>
      </c>
      <c r="P22" s="9">
        <f ca="1">'Balance Sheet'!O11</f>
        <v>3544259413.8749819</v>
      </c>
      <c r="Q22" s="9">
        <f ca="1">'Balance Sheet'!P11</f>
        <v>3879900983.7663293</v>
      </c>
      <c r="R22" s="9">
        <f ca="1">'Balance Sheet'!Q11</f>
        <v>4195499502.4326806</v>
      </c>
      <c r="S22" s="9">
        <f ca="1">'Balance Sheet'!R11</f>
        <v>4488602274.5667496</v>
      </c>
      <c r="T22" s="9">
        <f ca="1">'Balance Sheet'!S11</f>
        <v>4756598878.0849762</v>
      </c>
      <c r="U22" s="9">
        <f ca="1">'Balance Sheet'!T11</f>
        <v>4996712803.3468504</v>
      </c>
      <c r="V22" s="9">
        <f ca="1">'Balance Sheet'!U11</f>
        <v>5205992691.4562654</v>
      </c>
      <c r="W22" s="9">
        <f ca="1">'Balance Sheet'!V11</f>
        <v>5412501497.8896179</v>
      </c>
      <c r="X22" s="9">
        <f ca="1">'Balance Sheet'!W11</f>
        <v>5822429264.3697414</v>
      </c>
      <c r="Y22" s="9">
        <f ca="1">'Balance Sheet'!X11</f>
        <v>6242129704.414052</v>
      </c>
      <c r="Z22" s="9">
        <f ca="1">'Balance Sheet'!Y11</f>
        <v>6685126038.6572895</v>
      </c>
      <c r="AA22" s="9">
        <f ca="1">'Balance Sheet'!Z11</f>
        <v>7152202467.7813368</v>
      </c>
      <c r="AB22" s="9">
        <f ca="1">'Balance Sheet'!AA11</f>
        <v>7644160943.8530846</v>
      </c>
      <c r="AC22" s="9">
        <f ca="1">'Balance Sheet'!AB11</f>
        <v>8161821293.8584499</v>
      </c>
      <c r="AD22" s="9">
        <f ca="1">'Balance Sheet'!AC11</f>
        <v>8706021327.4008121</v>
      </c>
      <c r="AE22" s="9">
        <f ca="1">'Balance Sheet'!AD11</f>
        <v>9277616927.2389679</v>
      </c>
      <c r="AF22" s="9">
        <f ca="1">'Balance Sheet'!AE11</f>
        <v>9877482121.2637463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5412025651.8348866</v>
      </c>
      <c r="D23" s="9">
        <f t="shared" ref="D23:AF23" ca="1" si="30">D20-D22</f>
        <v>4843948822.1780596</v>
      </c>
      <c r="E23" s="9">
        <f t="shared" ca="1" si="30"/>
        <v>4831667497.7853642</v>
      </c>
      <c r="F23" s="9">
        <f t="shared" ca="1" si="30"/>
        <v>4818465714.8312769</v>
      </c>
      <c r="G23" s="9">
        <f t="shared" ca="1" si="30"/>
        <v>4791818011.3998928</v>
      </c>
      <c r="H23" s="9">
        <f t="shared" ca="1" si="30"/>
        <v>4791922672.5739155</v>
      </c>
      <c r="I23" s="9">
        <f t="shared" ca="1" si="30"/>
        <v>4906346907.8958025</v>
      </c>
      <c r="J23" s="9">
        <f ca="1">J20-J22</f>
        <v>5055848019.3929768</v>
      </c>
      <c r="K23" s="9">
        <f t="shared" ca="1" si="30"/>
        <v>5242560838.5532513</v>
      </c>
      <c r="L23" s="9">
        <f t="shared" ca="1" si="30"/>
        <v>5472864633.1068668</v>
      </c>
      <c r="M23" s="9">
        <f t="shared" ca="1" si="30"/>
        <v>6303967211.5682211</v>
      </c>
      <c r="N23" s="9">
        <f t="shared" ca="1" si="30"/>
        <v>6550500333.749773</v>
      </c>
      <c r="O23" s="9">
        <f t="shared" ca="1" si="30"/>
        <v>6798255706.5580635</v>
      </c>
      <c r="P23" s="9">
        <f t="shared" ca="1" si="30"/>
        <v>7049288893.4758806</v>
      </c>
      <c r="Q23" s="9">
        <f t="shared" ca="1" si="30"/>
        <v>7311256519.5492821</v>
      </c>
      <c r="R23" s="9">
        <f t="shared" ca="1" si="30"/>
        <v>7578465075.6730862</v>
      </c>
      <c r="S23" s="9">
        <f t="shared" ca="1" si="30"/>
        <v>7852999265.7103615</v>
      </c>
      <c r="T23" s="9">
        <f t="shared" ca="1" si="30"/>
        <v>8137093188.5769863</v>
      </c>
      <c r="U23" s="9">
        <f t="shared" ca="1" si="30"/>
        <v>8433138553.2865133</v>
      </c>
      <c r="V23" s="9">
        <f t="shared" ca="1" si="30"/>
        <v>8763728012.8056526</v>
      </c>
      <c r="W23" s="9">
        <f t="shared" ca="1" si="30"/>
        <v>9295922406.9326878</v>
      </c>
      <c r="X23" s="9">
        <f t="shared" ca="1" si="30"/>
        <v>9630167664.6995487</v>
      </c>
      <c r="Y23" s="9">
        <f t="shared" ca="1" si="30"/>
        <v>9959902534.9802017</v>
      </c>
      <c r="Z23" s="9">
        <f t="shared" ca="1" si="30"/>
        <v>10271385120.987915</v>
      </c>
      <c r="AA23" s="9">
        <f t="shared" ca="1" si="30"/>
        <v>10563601058.706532</v>
      </c>
      <c r="AB23" s="9">
        <f t="shared" ca="1" si="30"/>
        <v>10835506388.076878</v>
      </c>
      <c r="AC23" s="9">
        <f t="shared" ca="1" si="30"/>
        <v>11086027062.954691</v>
      </c>
      <c r="AD23" s="9">
        <f t="shared" ca="1" si="30"/>
        <v>11314058467.672564</v>
      </c>
      <c r="AE23" s="9">
        <f t="shared" ca="1" si="30"/>
        <v>11518464941.327564</v>
      </c>
      <c r="AF23" s="9">
        <f t="shared" ca="1" si="30"/>
        <v>11698079310.98826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1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172</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1411567788.5587454</v>
      </c>
      <c r="D5" s="1">
        <f ca="1">C5+C6+C7+C8+C9</f>
        <v>2131357940.5983458</v>
      </c>
      <c r="E5" s="1">
        <f ca="1">D5+D6+D7+D8+D9</f>
        <v>2297156154.724731</v>
      </c>
      <c r="F5" s="1">
        <f t="shared" ref="F5:AF5" ca="1" si="1">E5+E6+E7+E8+E9</f>
        <v>2465660089.5505733</v>
      </c>
      <c r="G5" s="1">
        <f t="shared" ca="1" si="1"/>
        <v>2638017419.2301464</v>
      </c>
      <c r="H5" s="1">
        <f t="shared" ca="1" si="1"/>
        <v>2774315870.9914603</v>
      </c>
      <c r="I5" s="1">
        <f t="shared" ca="1" si="1"/>
        <v>2787255451.468545</v>
      </c>
      <c r="J5" s="1">
        <f ca="1">I5+I6+I7+I8+I9</f>
        <v>2756328022.9032693</v>
      </c>
      <c r="K5" s="1">
        <f t="shared" ca="1" si="1"/>
        <v>2679630573.1536684</v>
      </c>
      <c r="L5" s="1">
        <f t="shared" ca="1" si="1"/>
        <v>2555109635.5213099</v>
      </c>
      <c r="M5" s="1">
        <f t="shared" ca="1" si="1"/>
        <v>2394543326.5306597</v>
      </c>
      <c r="N5" s="1">
        <f t="shared" ca="1" si="1"/>
        <v>2799249336.6322293</v>
      </c>
      <c r="O5" s="1">
        <f t="shared" ca="1" si="1"/>
        <v>3183241088.3664718</v>
      </c>
      <c r="P5" s="1">
        <f t="shared" ca="1" si="1"/>
        <v>3544259413.8749819</v>
      </c>
      <c r="Q5" s="1">
        <f t="shared" ca="1" si="1"/>
        <v>3879900983.7663293</v>
      </c>
      <c r="R5" s="1">
        <f t="shared" ca="1" si="1"/>
        <v>4195499502.4326806</v>
      </c>
      <c r="S5" s="1">
        <f t="shared" ca="1" si="1"/>
        <v>4488602274.5667496</v>
      </c>
      <c r="T5" s="1">
        <f t="shared" ca="1" si="1"/>
        <v>4756598878.0849762</v>
      </c>
      <c r="U5" s="1">
        <f t="shared" ca="1" si="1"/>
        <v>4996712803.3468504</v>
      </c>
      <c r="V5" s="1">
        <f t="shared" ca="1" si="1"/>
        <v>5205992691.4562654</v>
      </c>
      <c r="W5" s="1">
        <f t="shared" ca="1" si="1"/>
        <v>5412501497.8896179</v>
      </c>
      <c r="X5" s="1">
        <f t="shared" ca="1" si="1"/>
        <v>5822429264.3697414</v>
      </c>
      <c r="Y5" s="1">
        <f t="shared" ca="1" si="1"/>
        <v>6242129704.414052</v>
      </c>
      <c r="Z5" s="1">
        <f t="shared" ca="1" si="1"/>
        <v>6685126038.6572895</v>
      </c>
      <c r="AA5" s="1">
        <f t="shared" ca="1" si="1"/>
        <v>7152202467.7813368</v>
      </c>
      <c r="AB5" s="1">
        <f t="shared" ca="1" si="1"/>
        <v>7644160943.8530846</v>
      </c>
      <c r="AC5" s="1">
        <f t="shared" ca="1" si="1"/>
        <v>8161821293.8584499</v>
      </c>
      <c r="AD5" s="1">
        <f t="shared" ca="1" si="1"/>
        <v>8706021327.4008121</v>
      </c>
      <c r="AE5" s="1">
        <f t="shared" ca="1" si="1"/>
        <v>9277616927.2389679</v>
      </c>
      <c r="AF5" s="1">
        <f t="shared" ca="1" si="1"/>
        <v>9877482121.2637463</v>
      </c>
      <c r="AG5" s="1"/>
      <c r="AH5" s="1"/>
      <c r="AI5" s="1"/>
      <c r="AJ5" s="1"/>
      <c r="AK5" s="1"/>
      <c r="AL5" s="1"/>
      <c r="AM5" s="1"/>
      <c r="AN5" s="1"/>
      <c r="AO5" s="1"/>
      <c r="AP5" s="1"/>
    </row>
    <row r="6" spans="1:42" x14ac:dyDescent="0.35">
      <c r="A6" s="63" t="s">
        <v>226</v>
      </c>
      <c r="C6" s="1">
        <f>Assumptions!C37</f>
        <v>552093014.72478318</v>
      </c>
      <c r="D6" s="1">
        <f>Assumptions!D37</f>
        <v>0</v>
      </c>
      <c r="E6" s="1">
        <f>Assumptions!E37</f>
        <v>0</v>
      </c>
      <c r="F6" s="1">
        <f>Assumptions!F37</f>
        <v>0</v>
      </c>
      <c r="G6" s="1">
        <f>Assumptions!G37</f>
        <v>0</v>
      </c>
      <c r="H6" s="1">
        <f>Assumptions!H37</f>
        <v>0</v>
      </c>
      <c r="I6" s="1">
        <f>Assumptions!I37</f>
        <v>0</v>
      </c>
      <c r="J6" s="1">
        <f>Assumptions!J37</f>
        <v>0</v>
      </c>
      <c r="K6" s="1">
        <f>Assumptions!K37</f>
        <v>0</v>
      </c>
      <c r="L6" s="1">
        <f>Assumptions!L37</f>
        <v>0</v>
      </c>
      <c r="M6" s="1">
        <f>Assumptions!M37</f>
        <v>0</v>
      </c>
      <c r="N6" s="1">
        <f>Assumptions!N37</f>
        <v>0</v>
      </c>
      <c r="O6" s="1">
        <f>Assumptions!O37</f>
        <v>0</v>
      </c>
      <c r="P6" s="1">
        <f>Assumptions!P37</f>
        <v>0</v>
      </c>
      <c r="Q6" s="1">
        <f>Assumptions!Q37</f>
        <v>0</v>
      </c>
      <c r="R6" s="1">
        <f>Assumptions!R37</f>
        <v>0</v>
      </c>
      <c r="S6" s="1">
        <f>Assumptions!S37</f>
        <v>0</v>
      </c>
      <c r="T6" s="1">
        <f>Assumptions!T37</f>
        <v>0</v>
      </c>
      <c r="U6" s="1">
        <f>Assumptions!U37</f>
        <v>0</v>
      </c>
      <c r="V6" s="1">
        <f>Assumptions!V37</f>
        <v>0</v>
      </c>
      <c r="W6" s="1">
        <f>Assumptions!W37</f>
        <v>0</v>
      </c>
      <c r="X6" s="1">
        <f>Assumptions!X37</f>
        <v>0</v>
      </c>
      <c r="Y6" s="1">
        <f>Assumptions!Y37</f>
        <v>0</v>
      </c>
      <c r="Z6" s="1">
        <f>Assumptions!Z37</f>
        <v>0</v>
      </c>
      <c r="AA6" s="1">
        <f>Assumptions!AA37</f>
        <v>0</v>
      </c>
      <c r="AB6" s="1">
        <f>Assumptions!AB37</f>
        <v>0</v>
      </c>
      <c r="AC6" s="1">
        <f>Assumptions!AC37</f>
        <v>0</v>
      </c>
      <c r="AD6" s="1">
        <f>Assumptions!AD37</f>
        <v>0</v>
      </c>
      <c r="AE6" s="1">
        <f>Assumptions!AE37</f>
        <v>0</v>
      </c>
      <c r="AF6" s="1">
        <f>Assumptions!AF37</f>
        <v>0</v>
      </c>
      <c r="AG6" s="1"/>
      <c r="AH6" s="1"/>
      <c r="AI6" s="1"/>
      <c r="AJ6" s="1"/>
      <c r="AK6" s="1"/>
      <c r="AL6" s="1"/>
      <c r="AM6" s="1"/>
      <c r="AN6" s="1"/>
      <c r="AO6" s="1"/>
      <c r="AP6" s="1"/>
    </row>
    <row r="7" spans="1:42" x14ac:dyDescent="0.35">
      <c r="A7" s="63" t="s">
        <v>227</v>
      </c>
      <c r="C7" s="1">
        <f>Assumptions!D47*Assumptions!D9</f>
        <v>37615937.403248563</v>
      </c>
      <c r="D7" s="1">
        <f>Assumptions!E47*Assumptions!E9</f>
        <v>38443488.026120029</v>
      </c>
      <c r="E7" s="1">
        <f>Assumptions!F47*Assumptions!F9</f>
        <v>39289244.762694672</v>
      </c>
      <c r="F7" s="1">
        <f>Assumptions!G47*Assumptions!G9</f>
        <v>40153608.147473954</v>
      </c>
      <c r="G7" s="1">
        <f>Assumptions!H47*Assumptions!H9</f>
        <v>41036987.526718386</v>
      </c>
      <c r="H7" s="1">
        <f>Assumptions!I47*Assumptions!I9</f>
        <v>0</v>
      </c>
      <c r="I7" s="1">
        <f>Assumptions!J47*Assumptions!J9</f>
        <v>0</v>
      </c>
      <c r="J7" s="1">
        <f>Assumptions!K47*Assumptions!K9</f>
        <v>0</v>
      </c>
      <c r="K7" s="1">
        <f>Assumptions!L47*Assumptions!L9</f>
        <v>0</v>
      </c>
      <c r="L7" s="1">
        <f>Assumptions!M47*Assumptions!M9</f>
        <v>0</v>
      </c>
      <c r="M7" s="1">
        <f>Assumptions!N47*Assumptions!N9</f>
        <v>0</v>
      </c>
      <c r="N7" s="1">
        <f>Assumptions!O47*Assumptions!O9</f>
        <v>0</v>
      </c>
      <c r="O7" s="1">
        <f>Assumptions!P47*Assumptions!P9</f>
        <v>0</v>
      </c>
      <c r="P7" s="1">
        <f>Assumptions!Q47*Assumptions!Q9</f>
        <v>0</v>
      </c>
      <c r="Q7" s="1">
        <f>Assumptions!R47*Assumptions!R9</f>
        <v>0</v>
      </c>
      <c r="R7" s="1">
        <f>Assumptions!S47*Assumptions!S9</f>
        <v>0</v>
      </c>
      <c r="S7" s="1">
        <f>Assumptions!T47*Assumptions!T9</f>
        <v>0</v>
      </c>
      <c r="T7" s="1">
        <f>Assumptions!U47*Assumptions!U9</f>
        <v>0</v>
      </c>
      <c r="U7" s="1">
        <f>Assumptions!V47*Assumptions!V9</f>
        <v>0</v>
      </c>
      <c r="V7" s="1">
        <f>Assumptions!W47*Assumptions!W9</f>
        <v>0</v>
      </c>
      <c r="W7" s="1">
        <f>Assumptions!X47*Assumptions!X9</f>
        <v>0</v>
      </c>
      <c r="X7" s="1">
        <f>Assumptions!Y47*Assumptions!Y9</f>
        <v>0</v>
      </c>
      <c r="Y7" s="1">
        <f>Assumptions!Z47*Assumptions!Z9</f>
        <v>0</v>
      </c>
      <c r="Z7" s="1">
        <f>Assumptions!AA47*Assumptions!AA9</f>
        <v>0</v>
      </c>
      <c r="AA7" s="1">
        <f>Assumptions!AB47*Assumptions!AB9</f>
        <v>0</v>
      </c>
      <c r="AB7" s="1">
        <f>Assumptions!AC47*Assumptions!AC9</f>
        <v>0</v>
      </c>
      <c r="AC7" s="1">
        <f>Assumptions!AD47*Assumptions!AD9</f>
        <v>0</v>
      </c>
      <c r="AD7" s="1">
        <f>Assumptions!AE47*Assumptions!AE9</f>
        <v>0</v>
      </c>
      <c r="AE7" s="1">
        <f>Assumptions!AF47*Assumptions!AF9</f>
        <v>0</v>
      </c>
      <c r="AF7" s="1">
        <f>Assumptions!AG47*Assumptions!AG9</f>
        <v>0</v>
      </c>
      <c r="AG7" s="1"/>
      <c r="AH7" s="1"/>
      <c r="AI7" s="1"/>
      <c r="AJ7" s="1"/>
      <c r="AK7" s="1"/>
      <c r="AL7" s="1"/>
      <c r="AM7" s="1"/>
      <c r="AN7" s="1"/>
      <c r="AO7" s="1"/>
      <c r="AP7" s="1"/>
    </row>
    <row r="8" spans="1:42" x14ac:dyDescent="0.35">
      <c r="A8" s="63" t="s">
        <v>223</v>
      </c>
      <c r="C8" s="1">
        <f>-'Cash Flow'!C9</f>
        <v>-18403100.490826108</v>
      </c>
      <c r="D8" s="1">
        <f>-'Cash Flow'!D9</f>
        <v>-18403100.490826108</v>
      </c>
      <c r="E8" s="1">
        <f>-'Cash Flow'!E9</f>
        <v>-18403100.490826108</v>
      </c>
      <c r="F8" s="1">
        <f>-'Cash Flow'!F9</f>
        <v>-18403100.490826108</v>
      </c>
      <c r="G8" s="1">
        <f>-'Cash Flow'!G9</f>
        <v>-18403100.490826108</v>
      </c>
      <c r="H8" s="1">
        <f>-'Cash Flow'!H9</f>
        <v>-18403100.490826108</v>
      </c>
      <c r="I8" s="1">
        <f>-'Cash Flow'!I9</f>
        <v>-18403100.490826108</v>
      </c>
      <c r="J8" s="1">
        <f>-'Cash Flow'!J9</f>
        <v>-18403100.490826108</v>
      </c>
      <c r="K8" s="1">
        <f>-'Cash Flow'!K9</f>
        <v>-18403100.490826108</v>
      </c>
      <c r="L8" s="1">
        <f>-'Cash Flow'!L9</f>
        <v>-18403100.490826108</v>
      </c>
      <c r="M8" s="1">
        <f>-'Cash Flow'!M9</f>
        <v>-18403100.490826108</v>
      </c>
      <c r="N8" s="1">
        <f>-'Cash Flow'!N9</f>
        <v>-18403100.490826108</v>
      </c>
      <c r="O8" s="1">
        <f>-'Cash Flow'!O9</f>
        <v>-18403100.490826108</v>
      </c>
      <c r="P8" s="1">
        <f>-'Cash Flow'!P9</f>
        <v>-18403100.490826108</v>
      </c>
      <c r="Q8" s="1">
        <f>-'Cash Flow'!Q9</f>
        <v>-18403100.490826108</v>
      </c>
      <c r="R8" s="1">
        <f>-'Cash Flow'!R9</f>
        <v>-18403100.490826108</v>
      </c>
      <c r="S8" s="1">
        <f>-'Cash Flow'!S9</f>
        <v>-18403100.490826108</v>
      </c>
      <c r="T8" s="1">
        <f>-'Cash Flow'!T9</f>
        <v>-18403100.490826108</v>
      </c>
      <c r="U8" s="1">
        <f>-'Cash Flow'!U9</f>
        <v>-18403100.490826108</v>
      </c>
      <c r="V8" s="1">
        <f>-'Cash Flow'!V9</f>
        <v>-18403100.490826108</v>
      </c>
      <c r="W8" s="1">
        <f>-'Cash Flow'!W9</f>
        <v>-18403100.490826108</v>
      </c>
      <c r="X8" s="1">
        <f>-'Cash Flow'!X9</f>
        <v>-18403100.490826108</v>
      </c>
      <c r="Y8" s="1">
        <f>-'Cash Flow'!Y9</f>
        <v>-18403100.490826108</v>
      </c>
      <c r="Z8" s="1">
        <f>-'Cash Flow'!Z9</f>
        <v>-18403100.490826108</v>
      </c>
      <c r="AA8" s="1">
        <f>-'Cash Flow'!AA9</f>
        <v>-18403100.490826108</v>
      </c>
      <c r="AB8" s="1">
        <f>-'Cash Flow'!AB9</f>
        <v>-18403100.490826108</v>
      </c>
      <c r="AC8" s="1">
        <f>-'Cash Flow'!AC9</f>
        <v>-18403100.490826108</v>
      </c>
      <c r="AD8" s="1">
        <f>-'Cash Flow'!AD9</f>
        <v>-18403100.490826108</v>
      </c>
      <c r="AE8" s="1">
        <f>-'Cash Flow'!AE9</f>
        <v>-18403100.490826108</v>
      </c>
      <c r="AF8" s="1">
        <f>-'Cash Flow'!AF9</f>
        <v>-18403100.490826108</v>
      </c>
      <c r="AG8" s="1"/>
      <c r="AH8" s="1"/>
      <c r="AI8" s="1"/>
      <c r="AJ8" s="1"/>
      <c r="AK8" s="1"/>
      <c r="AL8" s="1"/>
      <c r="AM8" s="1"/>
      <c r="AN8" s="1"/>
      <c r="AO8" s="1"/>
      <c r="AP8" s="1"/>
    </row>
    <row r="9" spans="1:42" x14ac:dyDescent="0.35">
      <c r="A9" s="63" t="s">
        <v>3</v>
      </c>
      <c r="C9" s="1">
        <f ca="1">-'Cash Flow'!C13</f>
        <v>148484300.40239468</v>
      </c>
      <c r="D9" s="1">
        <f ca="1">-'Cash Flow'!D13</f>
        <v>145757826.59109136</v>
      </c>
      <c r="E9" s="1">
        <f ca="1">-'Cash Flow'!E13</f>
        <v>147617790.55397364</v>
      </c>
      <c r="F9" s="1">
        <f ca="1">-'Cash Flow'!F13</f>
        <v>150606822.02292559</v>
      </c>
      <c r="G9" s="1">
        <f ca="1">-'Cash Flow'!G13</f>
        <v>113664564.72542134</v>
      </c>
      <c r="H9" s="1">
        <f ca="1">-'Cash Flow'!H13</f>
        <v>31342680.967910647</v>
      </c>
      <c r="I9" s="1">
        <f ca="1">-'Cash Flow'!I13</f>
        <v>-12524328.07444948</v>
      </c>
      <c r="J9" s="1">
        <f ca="1">-'Cash Flow'!J13</f>
        <v>-58294349.258774996</v>
      </c>
      <c r="K9" s="1">
        <f ca="1">-'Cash Flow'!K13</f>
        <v>-106117837.14153254</v>
      </c>
      <c r="L9" s="1">
        <f ca="1">-'Cash Flow'!L13</f>
        <v>-142163208.49982423</v>
      </c>
      <c r="M9" s="1">
        <f ca="1">-'Cash Flow'!M13</f>
        <v>423109110.59239566</v>
      </c>
      <c r="N9" s="1">
        <f ca="1">-'Cash Flow'!N13</f>
        <v>402394852.22506857</v>
      </c>
      <c r="O9" s="1">
        <f ca="1">-'Cash Flow'!O13</f>
        <v>379421425.999336</v>
      </c>
      <c r="P9" s="1">
        <f ca="1">-'Cash Flow'!P13</f>
        <v>354044670.38217354</v>
      </c>
      <c r="Q9" s="1">
        <f ca="1">-'Cash Flow'!Q13</f>
        <v>334001619.15717733</v>
      </c>
      <c r="R9" s="1">
        <f ca="1">-'Cash Flow'!R13</f>
        <v>311505872.62489462</v>
      </c>
      <c r="S9" s="1">
        <f ca="1">-'Cash Flow'!S13</f>
        <v>286399704.0090518</v>
      </c>
      <c r="T9" s="1">
        <f ca="1">-'Cash Flow'!T13</f>
        <v>258517025.75269973</v>
      </c>
      <c r="U9" s="1">
        <f ca="1">-'Cash Flow'!U13</f>
        <v>227682988.60024047</v>
      </c>
      <c r="V9" s="1">
        <f ca="1">-'Cash Flow'!V13</f>
        <v>224911906.9241786</v>
      </c>
      <c r="W9" s="1">
        <f ca="1">-'Cash Flow'!W13</f>
        <v>428330866.97094953</v>
      </c>
      <c r="X9" s="1">
        <f ca="1">-'Cash Flow'!X13</f>
        <v>438103540.53513598</v>
      </c>
      <c r="Y9" s="1">
        <f ca="1">-'Cash Flow'!Y13</f>
        <v>461399434.73406291</v>
      </c>
      <c r="Z9" s="1">
        <f ca="1">-'Cash Flow'!Z13</f>
        <v>485479529.61487269</v>
      </c>
      <c r="AA9" s="1">
        <f ca="1">-'Cash Flow'!AA13</f>
        <v>510361576.56257391</v>
      </c>
      <c r="AB9" s="1">
        <f ca="1">-'Cash Flow'!AB13</f>
        <v>536063450.49619079</v>
      </c>
      <c r="AC9" s="1">
        <f ca="1">-'Cash Flow'!AC13</f>
        <v>562603134.03318739</v>
      </c>
      <c r="AD9" s="1">
        <f ca="1">-'Cash Flow'!AD13</f>
        <v>589998700.32898164</v>
      </c>
      <c r="AE9" s="1">
        <f ca="1">-'Cash Flow'!AE13</f>
        <v>618268294.51560354</v>
      </c>
      <c r="AF9" s="1">
        <f ca="1">-'Cash Flow'!AF13</f>
        <v>647430113.65973127</v>
      </c>
      <c r="AG9" s="1"/>
      <c r="AH9" s="1"/>
      <c r="AI9" s="1"/>
      <c r="AJ9" s="1"/>
      <c r="AK9" s="1"/>
      <c r="AL9" s="1"/>
      <c r="AM9" s="1"/>
      <c r="AN9" s="1"/>
      <c r="AO9" s="1"/>
      <c r="AP9" s="1"/>
    </row>
    <row r="10" spans="1:42" x14ac:dyDescent="0.3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42" x14ac:dyDescent="0.35">
      <c r="A11" s="63" t="s">
        <v>5</v>
      </c>
      <c r="C11" s="1">
        <f ca="1">IF(SUM(C5:C9)&gt;0,Assumptions!$C$26*SUM(C5:C9),Assumptions!$C$27*(SUM(C5:C9)))</f>
        <v>74597527.920942113</v>
      </c>
      <c r="D11" s="1">
        <f ca="1">IF(SUM(D5:D9)&gt;0,Assumptions!$C$26*SUM(D5:D9),Assumptions!$C$27*(SUM(D5:D9)))</f>
        <v>80400465.415365592</v>
      </c>
      <c r="E11" s="1">
        <f ca="1">IF(SUM(E5:E9)&gt;0,Assumptions!$C$26*SUM(E5:E9),Assumptions!$C$27*(SUM(E5:E9)))</f>
        <v>86298103.134270072</v>
      </c>
      <c r="F11" s="1">
        <f ca="1">IF(SUM(F5:F9)&gt;0,Assumptions!$C$26*SUM(F5:F9),Assumptions!$C$27*(SUM(F5:F9)))</f>
        <v>92330609.673055127</v>
      </c>
      <c r="G11" s="1">
        <f ca="1">IF(SUM(G5:G9)&gt;0,Assumptions!$C$26*SUM(G5:G9),Assumptions!$C$27*(SUM(G5:G9)))</f>
        <v>97101055.484701127</v>
      </c>
      <c r="H11" s="1">
        <f ca="1">IF(SUM(H5:H9)&gt;0,Assumptions!$C$26*SUM(H5:H9),Assumptions!$C$27*(SUM(H5:H9)))</f>
        <v>97553940.801399082</v>
      </c>
      <c r="I11" s="1">
        <f ca="1">IF(SUM(I5:I9)&gt;0,Assumptions!$C$26*SUM(I5:I9),Assumptions!$C$27*(SUM(I5:I9)))</f>
        <v>96471480.801614434</v>
      </c>
      <c r="J11" s="1">
        <f ca="1">IF(SUM(J5:J9)&gt;0,Assumptions!$C$26*SUM(J5:J9),Assumptions!$C$27*(SUM(J5:J9)))</f>
        <v>93787070.060378402</v>
      </c>
      <c r="K11" s="1">
        <f ca="1">IF(SUM(K5:K9)&gt;0,Assumptions!$C$26*SUM(K5:K9),Assumptions!$C$27*(SUM(K5:K9)))</f>
        <v>89428837.243245855</v>
      </c>
      <c r="L11" s="1">
        <f ca="1">IF(SUM(L5:L9)&gt;0,Assumptions!$C$26*SUM(L5:L9),Assumptions!$C$27*(SUM(L5:L9)))</f>
        <v>83809016.428573102</v>
      </c>
      <c r="M11" s="1">
        <f ca="1">IF(SUM(M5:M9)&gt;0,Assumptions!$C$26*SUM(M5:M9),Assumptions!$C$27*(SUM(M5:M9)))</f>
        <v>97973726.782128036</v>
      </c>
      <c r="N11" s="1">
        <f ca="1">IF(SUM(N5:N9)&gt;0,Assumptions!$C$26*SUM(N5:N9),Assumptions!$C$27*(SUM(N5:N9)))</f>
        <v>111413438.09282652</v>
      </c>
      <c r="O11" s="1">
        <f ca="1">IF(SUM(O5:O9)&gt;0,Assumptions!$C$26*SUM(O5:O9),Assumptions!$C$27*(SUM(O5:O9)))</f>
        <v>124049079.48562437</v>
      </c>
      <c r="P11" s="1">
        <f ca="1">IF(SUM(P5:P9)&gt;0,Assumptions!$C$26*SUM(P5:P9),Assumptions!$C$27*(SUM(P5:P9)))</f>
        <v>135796534.43182153</v>
      </c>
      <c r="Q11" s="1">
        <f ca="1">IF(SUM(Q5:Q9)&gt;0,Assumptions!$C$26*SUM(Q5:Q9),Assumptions!$C$27*(SUM(Q5:Q9)))</f>
        <v>146842482.58514383</v>
      </c>
      <c r="R11" s="1">
        <f ca="1">IF(SUM(R5:R9)&gt;0,Assumptions!$C$26*SUM(R5:R9),Assumptions!$C$27*(SUM(R5:R9)))</f>
        <v>157101079.60983625</v>
      </c>
      <c r="S11" s="1">
        <f ca="1">IF(SUM(S5:S9)&gt;0,Assumptions!$C$26*SUM(S5:S9),Assumptions!$C$27*(SUM(S5:S9)))</f>
        <v>166480960.73297417</v>
      </c>
      <c r="T11" s="1">
        <f ca="1">IF(SUM(T5:T9)&gt;0,Assumptions!$C$26*SUM(T5:T9),Assumptions!$C$27*(SUM(T5:T9)))</f>
        <v>174884948.11713979</v>
      </c>
      <c r="U11" s="1">
        <f ca="1">IF(SUM(U5:U9)&gt;0,Assumptions!$C$26*SUM(U5:U9),Assumptions!$C$27*(SUM(U5:U9)))</f>
        <v>182209744.20096931</v>
      </c>
      <c r="V11" s="1">
        <f ca="1">IF(SUM(V5:V9)&gt;0,Assumptions!$C$26*SUM(V5:V9),Assumptions!$C$27*(SUM(V5:V9)))</f>
        <v>189437552.42613664</v>
      </c>
      <c r="W11" s="1">
        <f ca="1">IF(SUM(W5:W9)&gt;0,Assumptions!$C$26*SUM(W5:W9),Assumptions!$C$27*(SUM(W5:W9)))</f>
        <v>203785024.25294098</v>
      </c>
      <c r="X11" s="1">
        <f ca="1">IF(SUM(X5:X9)&gt;0,Assumptions!$C$26*SUM(X5:X9),Assumptions!$C$27*(SUM(X5:X9)))</f>
        <v>218474539.65449184</v>
      </c>
      <c r="Y11" s="1">
        <f ca="1">IF(SUM(Y5:Y9)&gt;0,Assumptions!$C$26*SUM(Y5:Y9),Assumptions!$C$27*(SUM(Y5:Y9)))</f>
        <v>233979411.35300514</v>
      </c>
      <c r="Z11" s="1">
        <f ca="1">IF(SUM(Z5:Z9)&gt;0,Assumptions!$C$26*SUM(Z5:Z9),Assumptions!$C$27*(SUM(Z5:Z9)))</f>
        <v>250327086.37234682</v>
      </c>
      <c r="AA11" s="1">
        <f ca="1">IF(SUM(AA5:AA9)&gt;0,Assumptions!$C$26*SUM(AA5:AA9),Assumptions!$C$27*(SUM(AA5:AA9)))</f>
        <v>267545633.03485799</v>
      </c>
      <c r="AB11" s="1">
        <f ca="1">IF(SUM(AB5:AB9)&gt;0,Assumptions!$C$26*SUM(AB5:AB9),Assumptions!$C$27*(SUM(AB5:AB9)))</f>
        <v>285663745.2850458</v>
      </c>
      <c r="AC11" s="1">
        <f ca="1">IF(SUM(AC5:AC9)&gt;0,Assumptions!$C$26*SUM(AC5:AC9),Assumptions!$C$27*(SUM(AC5:AC9)))</f>
        <v>304710746.45902848</v>
      </c>
      <c r="AD11" s="1">
        <f ca="1">IF(SUM(AD5:AD9)&gt;0,Assumptions!$C$26*SUM(AD5:AD9),Assumptions!$C$27*(SUM(AD5:AD9)))</f>
        <v>324716592.4533639</v>
      </c>
      <c r="AE11" s="1">
        <f ca="1">IF(SUM(AE5:AE9)&gt;0,Assumptions!$C$26*SUM(AE5:AE9),Assumptions!$C$27*(SUM(AE5:AE9)))</f>
        <v>345711874.24423116</v>
      </c>
      <c r="AF11" s="1">
        <f ca="1">IF(SUM(AF5:AF9)&gt;0,Assumptions!$C$26*SUM(AF5:AF9),Assumptions!$C$27*(SUM(AF5:AF9)))</f>
        <v>367727819.70514286</v>
      </c>
      <c r="AG11" s="1"/>
      <c r="AH11" s="1"/>
      <c r="AI11" s="1"/>
      <c r="AJ11" s="1"/>
      <c r="AK11" s="1"/>
      <c r="AL11" s="1"/>
      <c r="AM11" s="1"/>
      <c r="AN11" s="1"/>
      <c r="AO11" s="1"/>
      <c r="AP11" s="1"/>
    </row>
    <row r="12" spans="1:42" x14ac:dyDescent="0.3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4" spans="1:42" x14ac:dyDescent="0.35">
      <c r="K14" s="5"/>
      <c r="L14" s="5"/>
      <c r="M14" s="5"/>
      <c r="N14" s="5"/>
      <c r="O14" s="5"/>
      <c r="P14" s="5"/>
      <c r="Q14" s="5"/>
      <c r="R14" s="5"/>
      <c r="S14" s="5"/>
      <c r="T14" s="5"/>
      <c r="U14" s="5"/>
      <c r="V14" s="5"/>
      <c r="W14" s="5"/>
      <c r="X14" s="5"/>
      <c r="Y14" s="5"/>
      <c r="Z14" s="5"/>
      <c r="AA14" s="5"/>
      <c r="AB14" s="5"/>
      <c r="AC14" s="5"/>
      <c r="AD14" s="5"/>
      <c r="AE14" s="5"/>
      <c r="AF14" s="5"/>
    </row>
  </sheetData>
  <sheetProtection algorithmName="SHA-512" hashValue="V45CunabJz9j+O2wpcdubOPtSiESYqqZPSLw5SZTRRG6W2E9v4kdJdb0MiRyq5jWahtIp30+4Th5a5pisV7eYA==" saltValue="up8geeEU9qaOU3c2lW23V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70" zoomScaleNormal="70" workbookViewId="0">
      <selection sqref="A1:XFD1048576"/>
    </sheetView>
  </sheetViews>
  <sheetFormatPr defaultRowHeight="18.5" x14ac:dyDescent="0.45"/>
  <cols>
    <col min="1" max="1" width="107.9140625" style="63" customWidth="1"/>
    <col min="2" max="2" width="18.1640625" style="63" bestFit="1" customWidth="1"/>
    <col min="3" max="3" width="52" style="88" customWidth="1"/>
    <col min="4" max="16384" width="8.6640625" style="63"/>
  </cols>
  <sheetData>
    <row r="1" spans="1:3" ht="26" x14ac:dyDescent="0.6">
      <c r="A1" s="13" t="s">
        <v>193</v>
      </c>
    </row>
    <row r="2" spans="1:3" ht="26" x14ac:dyDescent="0.6">
      <c r="A2" s="13"/>
    </row>
    <row r="3" spans="1:3" ht="187" x14ac:dyDescent="0.45">
      <c r="A3" s="168" t="s">
        <v>196</v>
      </c>
    </row>
    <row r="4" spans="1:3" ht="26" x14ac:dyDescent="0.6">
      <c r="A4" s="13"/>
    </row>
    <row r="5" spans="1:3" x14ac:dyDescent="0.45">
      <c r="A5" s="87" t="s">
        <v>185</v>
      </c>
      <c r="B5" s="88"/>
    </row>
    <row r="6" spans="1:3" x14ac:dyDescent="0.45">
      <c r="A6" s="88"/>
      <c r="B6" s="88"/>
    </row>
    <row r="7" spans="1:3" x14ac:dyDescent="0.45">
      <c r="A7" s="88" t="s">
        <v>123</v>
      </c>
      <c r="B7" s="89">
        <f>Assumptions!C24</f>
        <v>558887327</v>
      </c>
      <c r="C7" s="198" t="s">
        <v>290</v>
      </c>
    </row>
    <row r="8" spans="1:3" ht="37" x14ac:dyDescent="0.45">
      <c r="A8" s="88" t="s">
        <v>181</v>
      </c>
      <c r="B8" s="90">
        <f>Assumptions!$C$140</f>
        <v>0.7</v>
      </c>
      <c r="C8" s="198" t="s">
        <v>288</v>
      </c>
    </row>
    <row r="9" spans="1:3" x14ac:dyDescent="0.45">
      <c r="A9" s="88"/>
      <c r="B9" s="91"/>
      <c r="C9" s="198"/>
    </row>
    <row r="10" spans="1:3" x14ac:dyDescent="0.45">
      <c r="A10" s="92" t="s">
        <v>128</v>
      </c>
      <c r="B10" s="93">
        <f>Assumptions!C142</f>
        <v>296151.27112728759</v>
      </c>
      <c r="C10" s="198" t="s">
        <v>290</v>
      </c>
    </row>
    <row r="11" spans="1:3" x14ac:dyDescent="0.45">
      <c r="A11" s="92"/>
      <c r="B11" s="92"/>
      <c r="C11" s="198"/>
    </row>
    <row r="12" spans="1:3" x14ac:dyDescent="0.45">
      <c r="A12" s="92" t="s">
        <v>192</v>
      </c>
      <c r="B12" s="89">
        <f>(B7*B8)/B10</f>
        <v>1321.0178953844529</v>
      </c>
      <c r="C12" s="198"/>
    </row>
    <row r="13" spans="1:3" x14ac:dyDescent="0.45">
      <c r="A13" s="94"/>
      <c r="B13" s="95"/>
      <c r="C13" s="198"/>
    </row>
    <row r="14" spans="1:3" x14ac:dyDescent="0.45">
      <c r="A14" s="92" t="s">
        <v>129</v>
      </c>
      <c r="B14" s="96">
        <v>1</v>
      </c>
      <c r="C14" s="198"/>
    </row>
    <row r="15" spans="1:3" x14ac:dyDescent="0.45">
      <c r="A15" s="94"/>
      <c r="B15" s="97"/>
      <c r="C15" s="198"/>
    </row>
    <row r="16" spans="1:3" x14ac:dyDescent="0.45">
      <c r="A16" s="94" t="s">
        <v>187</v>
      </c>
      <c r="B16" s="98">
        <f>B12/B14</f>
        <v>1321.0178953844529</v>
      </c>
      <c r="C16" s="198"/>
    </row>
    <row r="17" spans="1:3" x14ac:dyDescent="0.45">
      <c r="A17" s="92"/>
      <c r="B17" s="99"/>
      <c r="C17" s="198"/>
    </row>
    <row r="18" spans="1:3" x14ac:dyDescent="0.45">
      <c r="A18" s="100" t="s">
        <v>186</v>
      </c>
      <c r="B18" s="99"/>
      <c r="C18" s="198"/>
    </row>
    <row r="19" spans="1:3" x14ac:dyDescent="0.45">
      <c r="A19" s="92"/>
      <c r="B19" s="99"/>
      <c r="C19" s="198"/>
    </row>
    <row r="20" spans="1:3" x14ac:dyDescent="0.45">
      <c r="A20" s="92" t="s">
        <v>89</v>
      </c>
      <c r="B20" s="89">
        <f>'Profit and Loss'!L5</f>
        <v>866600386.1260556</v>
      </c>
      <c r="C20" s="198" t="s">
        <v>290</v>
      </c>
    </row>
    <row r="21" spans="1:3" ht="37" x14ac:dyDescent="0.45">
      <c r="A21" s="92" t="str">
        <f>A8</f>
        <v>Assumed revenue from households</v>
      </c>
      <c r="B21" s="90">
        <f>B8</f>
        <v>0.7</v>
      </c>
      <c r="C21" s="198" t="s">
        <v>288</v>
      </c>
    </row>
    <row r="22" spans="1:3" x14ac:dyDescent="0.45">
      <c r="A22" s="92"/>
      <c r="B22" s="92"/>
      <c r="C22" s="198"/>
    </row>
    <row r="23" spans="1:3" x14ac:dyDescent="0.45">
      <c r="A23" s="92" t="s">
        <v>127</v>
      </c>
      <c r="B23" s="93">
        <f>Assumptions!M142</f>
        <v>348411.43200001569</v>
      </c>
      <c r="C23" s="198" t="s">
        <v>290</v>
      </c>
    </row>
    <row r="24" spans="1:3" x14ac:dyDescent="0.45">
      <c r="A24" s="92"/>
      <c r="B24" s="92"/>
      <c r="C24" s="198"/>
    </row>
    <row r="25" spans="1:3" x14ac:dyDescent="0.45">
      <c r="A25" s="92" t="s">
        <v>191</v>
      </c>
      <c r="B25" s="89">
        <f>(B20*B21)/B23</f>
        <v>1741.1032319060403</v>
      </c>
      <c r="C25" s="198"/>
    </row>
    <row r="26" spans="1:3" x14ac:dyDescent="0.45">
      <c r="A26" s="92"/>
      <c r="B26" s="89"/>
      <c r="C26" s="198"/>
    </row>
    <row r="27" spans="1:3" ht="37" x14ac:dyDescent="0.45">
      <c r="A27" s="92" t="s">
        <v>129</v>
      </c>
      <c r="B27" s="101">
        <f>1.022^11</f>
        <v>1.2704566586717592</v>
      </c>
      <c r="C27" s="198" t="s">
        <v>289</v>
      </c>
    </row>
    <row r="28" spans="1:3" x14ac:dyDescent="0.45">
      <c r="A28" s="94"/>
      <c r="B28" s="95"/>
      <c r="C28" s="198"/>
    </row>
    <row r="29" spans="1:3" x14ac:dyDescent="0.45">
      <c r="A29" s="94" t="s">
        <v>188</v>
      </c>
      <c r="B29" s="89">
        <f>B25/B27</f>
        <v>1370.4546471709898</v>
      </c>
      <c r="C29" s="198"/>
    </row>
    <row r="30" spans="1:3" x14ac:dyDescent="0.45">
      <c r="A30" s="94"/>
      <c r="B30" s="95"/>
      <c r="C30" s="198"/>
    </row>
    <row r="31" spans="1:3" x14ac:dyDescent="0.45">
      <c r="A31" s="100" t="s">
        <v>194</v>
      </c>
      <c r="B31" s="94"/>
      <c r="C31" s="198"/>
    </row>
    <row r="32" spans="1:3" x14ac:dyDescent="0.45">
      <c r="A32" s="92"/>
      <c r="B32" s="89"/>
      <c r="C32" s="198"/>
    </row>
    <row r="33" spans="1:3" x14ac:dyDescent="0.45">
      <c r="A33" s="92" t="s">
        <v>90</v>
      </c>
      <c r="B33" s="89">
        <f>'Profit and Loss'!AF5</f>
        <v>1647212087.788348</v>
      </c>
      <c r="C33" s="198" t="s">
        <v>290</v>
      </c>
    </row>
    <row r="34" spans="1:3" ht="37" x14ac:dyDescent="0.45">
      <c r="A34" s="92" t="str">
        <f>A21</f>
        <v>Assumed revenue from households</v>
      </c>
      <c r="B34" s="90">
        <f>B21</f>
        <v>0.7</v>
      </c>
      <c r="C34" s="198" t="s">
        <v>288</v>
      </c>
    </row>
    <row r="35" spans="1:3" x14ac:dyDescent="0.45">
      <c r="A35" s="92"/>
      <c r="B35" s="92"/>
      <c r="C35" s="198"/>
    </row>
    <row r="36" spans="1:3" x14ac:dyDescent="0.45">
      <c r="A36" s="92" t="s">
        <v>126</v>
      </c>
      <c r="B36" s="93">
        <f>Assumptions!AG142</f>
        <v>482225.29512709222</v>
      </c>
      <c r="C36" s="198" t="s">
        <v>290</v>
      </c>
    </row>
    <row r="37" spans="1:3" x14ac:dyDescent="0.45">
      <c r="A37" s="92"/>
      <c r="B37" s="92"/>
      <c r="C37" s="198"/>
    </row>
    <row r="38" spans="1:3" x14ac:dyDescent="0.45">
      <c r="A38" s="92" t="s">
        <v>190</v>
      </c>
      <c r="B38" s="89">
        <f>(B33*B34)/B36</f>
        <v>2391.0990839830447</v>
      </c>
      <c r="C38" s="198"/>
    </row>
    <row r="39" spans="1:3" x14ac:dyDescent="0.45">
      <c r="A39" s="92"/>
      <c r="B39" s="92"/>
      <c r="C39" s="198"/>
    </row>
    <row r="40" spans="1:3" ht="37" x14ac:dyDescent="0.45">
      <c r="A40" s="92" t="s">
        <v>129</v>
      </c>
      <c r="B40" s="101">
        <f>1.022^31</f>
        <v>1.9632597808456462</v>
      </c>
      <c r="C40" s="198" t="s">
        <v>289</v>
      </c>
    </row>
    <row r="41" spans="1:3" x14ac:dyDescent="0.45">
      <c r="A41" s="94"/>
      <c r="B41" s="95"/>
      <c r="C41" s="199"/>
    </row>
    <row r="42" spans="1:3" x14ac:dyDescent="0.45">
      <c r="A42" s="94" t="s">
        <v>189</v>
      </c>
      <c r="B42" s="89">
        <f>B38/B40</f>
        <v>1217.922919478905</v>
      </c>
      <c r="C42" s="19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BF43-D3FD-481F-AEAC-4042EC153BC7}">
  <dimension ref="A1:BD29"/>
  <sheetViews>
    <sheetView zoomScaleNormal="100" workbookViewId="0">
      <selection sqref="A1:XFD1048576"/>
    </sheetView>
  </sheetViews>
  <sheetFormatPr defaultColWidth="21.4140625" defaultRowHeight="15.5" x14ac:dyDescent="0.35"/>
  <cols>
    <col min="1" max="1" width="25.6640625" style="181" customWidth="1"/>
    <col min="2" max="2" width="28.33203125" style="178" bestFit="1" customWidth="1"/>
    <col min="3" max="3" width="24.25" style="178" bestFit="1" customWidth="1"/>
    <col min="4" max="4" width="53.4140625" style="178" customWidth="1"/>
    <col min="5" max="5" width="21.4140625" style="178"/>
    <col min="6" max="6" width="28.33203125" style="178" bestFit="1" customWidth="1"/>
    <col min="7" max="7" width="24.25" style="178" bestFit="1" customWidth="1"/>
    <col min="8" max="8" width="39.83203125" style="178" bestFit="1" customWidth="1"/>
    <col min="9" max="11" width="21.4140625" style="181"/>
    <col min="12" max="12" width="61.08203125" style="181" customWidth="1"/>
    <col min="13" max="13" width="21.4140625" style="178"/>
    <col min="14" max="14" width="36.25" style="178" bestFit="1" customWidth="1"/>
    <col min="15" max="15" width="12.5" style="178" bestFit="1" customWidth="1"/>
    <col min="16" max="16" width="39.83203125" style="178" bestFit="1" customWidth="1"/>
    <col min="17" max="17" width="21.4140625" style="178"/>
    <col min="18" max="18" width="36.25" style="178" bestFit="1" customWidth="1"/>
    <col min="19" max="19" width="21.4140625" style="178"/>
    <col min="20" max="20" width="39.83203125" style="178" bestFit="1" customWidth="1"/>
    <col min="21" max="21" width="21.4140625" style="178"/>
    <col min="22" max="22" width="26.1640625" style="178" bestFit="1" customWidth="1"/>
    <col min="23" max="23" width="12" style="178" bestFit="1" customWidth="1"/>
    <col min="24" max="24" width="170" style="178" bestFit="1" customWidth="1"/>
    <col min="25" max="25" width="11.5" style="178" customWidth="1"/>
    <col min="26" max="26" width="28" style="178" bestFit="1" customWidth="1"/>
    <col min="27" max="27" width="30.08203125" style="178" customWidth="1"/>
    <col min="28" max="28" width="25.4140625" style="178" customWidth="1"/>
    <col min="29" max="29" width="26.5" style="178" customWidth="1"/>
    <col min="30" max="30" width="23.25" style="178" customWidth="1"/>
    <col min="31" max="31" width="26.83203125" style="178" customWidth="1"/>
    <col min="32" max="32" width="31.6640625" style="178" customWidth="1"/>
    <col min="33" max="41" width="31.6640625" style="181" customWidth="1"/>
    <col min="42" max="42" width="49" style="181" bestFit="1" customWidth="1"/>
    <col min="43" max="43" width="49.5" style="181" bestFit="1" customWidth="1"/>
    <col min="44" max="44" width="49.5" style="181" customWidth="1"/>
    <col min="45" max="50" width="31.6640625" style="181" customWidth="1"/>
    <col min="51" max="51" width="40.5" style="181" customWidth="1"/>
    <col min="52" max="56" width="31.6640625" style="181" customWidth="1"/>
    <col min="57" max="16384" width="21.4140625" style="178"/>
  </cols>
  <sheetData>
    <row r="1" spans="1:56" ht="23.5" customHeight="1" x14ac:dyDescent="0.35"/>
    <row r="3" spans="1:56" s="181" customFormat="1" x14ac:dyDescent="0.35">
      <c r="A3" s="184"/>
      <c r="Z3" s="182"/>
      <c r="AD3" s="182"/>
    </row>
    <row r="4" spans="1:56" s="185" customFormat="1" ht="57" x14ac:dyDescent="0.35">
      <c r="A4" s="191"/>
      <c r="B4" s="189" t="s">
        <v>0</v>
      </c>
      <c r="D4" s="182"/>
      <c r="E4" s="182"/>
      <c r="F4" s="190" t="s">
        <v>111</v>
      </c>
      <c r="G4" s="182"/>
      <c r="H4" s="182"/>
      <c r="I4" s="182"/>
      <c r="J4" s="190" t="s">
        <v>112</v>
      </c>
      <c r="K4" s="182"/>
      <c r="L4" s="182"/>
      <c r="M4" s="182"/>
      <c r="N4" s="190" t="s">
        <v>69</v>
      </c>
      <c r="O4" s="182"/>
      <c r="P4" s="182"/>
      <c r="Q4" s="182"/>
      <c r="R4" s="190" t="s">
        <v>70</v>
      </c>
      <c r="S4" s="182"/>
      <c r="T4" s="182"/>
      <c r="U4" s="182"/>
      <c r="V4" s="190" t="s">
        <v>31</v>
      </c>
      <c r="W4" s="182"/>
      <c r="X4" s="182"/>
      <c r="Y4" s="182"/>
      <c r="Z4" s="190" t="s">
        <v>284</v>
      </c>
      <c r="AA4" s="182"/>
      <c r="AB4" s="182"/>
      <c r="AE4" s="182"/>
      <c r="AF4" s="182"/>
      <c r="AG4" s="182"/>
      <c r="AH4" s="194" t="s">
        <v>237</v>
      </c>
      <c r="AI4" s="182"/>
      <c r="AJ4" s="182"/>
      <c r="AK4" s="182"/>
      <c r="AL4" s="182"/>
      <c r="AM4" s="194" t="s">
        <v>238</v>
      </c>
      <c r="AN4" s="182"/>
      <c r="AO4" s="182"/>
      <c r="AP4" s="182"/>
      <c r="AQ4" s="182"/>
      <c r="AR4" s="182"/>
      <c r="AS4" s="190" t="s">
        <v>285</v>
      </c>
      <c r="AT4" s="182"/>
      <c r="AU4" s="182"/>
      <c r="AV4" s="182"/>
      <c r="AW4" s="182"/>
      <c r="AX4" s="182"/>
      <c r="AY4" s="190" t="s">
        <v>286</v>
      </c>
      <c r="AZ4" s="182"/>
      <c r="BA4" s="182"/>
      <c r="BB4" s="182"/>
      <c r="BC4" s="182"/>
      <c r="BD4" s="182"/>
    </row>
    <row r="5" spans="1:56" ht="31" x14ac:dyDescent="0.35">
      <c r="A5" s="186"/>
      <c r="B5" s="187" t="s">
        <v>228</v>
      </c>
      <c r="C5" s="187" t="s">
        <v>26</v>
      </c>
      <c r="D5" s="187" t="s">
        <v>140</v>
      </c>
      <c r="E5" s="180"/>
      <c r="F5" s="187" t="s">
        <v>228</v>
      </c>
      <c r="G5" s="187" t="s">
        <v>26</v>
      </c>
      <c r="H5" s="187" t="s">
        <v>140</v>
      </c>
      <c r="I5" s="183"/>
      <c r="J5" s="187" t="s">
        <v>228</v>
      </c>
      <c r="K5" s="187" t="s">
        <v>26</v>
      </c>
      <c r="L5" s="187" t="s">
        <v>140</v>
      </c>
      <c r="M5" s="180"/>
      <c r="N5" s="187" t="s">
        <v>228</v>
      </c>
      <c r="O5" s="187" t="s">
        <v>26</v>
      </c>
      <c r="P5" s="187" t="s">
        <v>140</v>
      </c>
      <c r="Q5" s="180"/>
      <c r="R5" s="187" t="s">
        <v>228</v>
      </c>
      <c r="S5" s="187" t="s">
        <v>26</v>
      </c>
      <c r="T5" s="187" t="s">
        <v>140</v>
      </c>
      <c r="U5" s="180"/>
      <c r="V5" s="187" t="s">
        <v>228</v>
      </c>
      <c r="W5" s="187" t="s">
        <v>26</v>
      </c>
      <c r="X5" s="187" t="s">
        <v>140</v>
      </c>
      <c r="Y5" s="180"/>
      <c r="Z5" s="187" t="s">
        <v>228</v>
      </c>
      <c r="AA5" s="187" t="s">
        <v>231</v>
      </c>
      <c r="AB5" s="187" t="s">
        <v>232</v>
      </c>
      <c r="AC5" s="187" t="s">
        <v>233</v>
      </c>
      <c r="AD5" s="187" t="s">
        <v>234</v>
      </c>
      <c r="AE5" s="187" t="s">
        <v>235</v>
      </c>
      <c r="AF5" s="187" t="s">
        <v>236</v>
      </c>
      <c r="AG5" s="183"/>
      <c r="AH5" s="187" t="s">
        <v>228</v>
      </c>
      <c r="AI5" s="187" t="s">
        <v>134</v>
      </c>
      <c r="AJ5" s="187" t="s">
        <v>135</v>
      </c>
      <c r="AK5" s="187" t="s">
        <v>230</v>
      </c>
      <c r="AL5" s="183"/>
      <c r="AM5" s="187" t="s">
        <v>228</v>
      </c>
      <c r="AN5" s="187" t="s">
        <v>175</v>
      </c>
      <c r="AO5" s="187" t="s">
        <v>135</v>
      </c>
      <c r="AP5" s="216" t="s">
        <v>230</v>
      </c>
      <c r="AQ5" s="216"/>
      <c r="AR5" s="180"/>
      <c r="AS5" s="187" t="s">
        <v>228</v>
      </c>
      <c r="AT5" s="187" t="s">
        <v>243</v>
      </c>
      <c r="AU5" s="187" t="s">
        <v>239</v>
      </c>
      <c r="AV5" s="187" t="s">
        <v>240</v>
      </c>
      <c r="AW5" s="187" t="s">
        <v>241</v>
      </c>
      <c r="AX5" s="180"/>
      <c r="AY5" s="187" t="s">
        <v>228</v>
      </c>
      <c r="AZ5" s="187" t="s">
        <v>242</v>
      </c>
      <c r="BA5" s="187" t="s">
        <v>239</v>
      </c>
      <c r="BB5" s="187" t="s">
        <v>240</v>
      </c>
      <c r="BC5" s="187" t="s">
        <v>241</v>
      </c>
      <c r="BD5" s="180"/>
    </row>
    <row r="6" spans="1:56" x14ac:dyDescent="0.35">
      <c r="A6" s="179"/>
      <c r="B6" s="188" t="s">
        <v>246</v>
      </c>
      <c r="C6" s="195">
        <v>92115000</v>
      </c>
      <c r="D6" s="200" t="s">
        <v>272</v>
      </c>
      <c r="F6" s="188" t="s">
        <v>246</v>
      </c>
      <c r="G6" s="195">
        <v>258009000</v>
      </c>
      <c r="H6" s="200" t="s">
        <v>267</v>
      </c>
      <c r="I6" s="178"/>
      <c r="J6" s="188" t="s">
        <v>246</v>
      </c>
      <c r="K6" s="195">
        <v>39613000</v>
      </c>
      <c r="L6" s="201" t="s">
        <v>268</v>
      </c>
      <c r="N6" s="188" t="s">
        <v>246</v>
      </c>
      <c r="O6" s="202">
        <v>147490</v>
      </c>
      <c r="P6" s="192" t="s">
        <v>154</v>
      </c>
      <c r="R6" s="188" t="s">
        <v>246</v>
      </c>
      <c r="S6" s="202">
        <v>177000</v>
      </c>
      <c r="T6" s="192" t="s">
        <v>155</v>
      </c>
      <c r="V6" s="188" t="s">
        <v>40</v>
      </c>
      <c r="W6" s="203">
        <v>1.6006669058583167E-2</v>
      </c>
      <c r="X6" s="192" t="s">
        <v>270</v>
      </c>
      <c r="Y6" s="204"/>
      <c r="Z6" s="188" t="s">
        <v>246</v>
      </c>
      <c r="AA6" s="202">
        <v>162245</v>
      </c>
      <c r="AB6" s="192">
        <v>2.7</v>
      </c>
      <c r="AC6" s="202">
        <v>60090.740740740737</v>
      </c>
      <c r="AD6" s="205">
        <v>1.6006669058583167E-2</v>
      </c>
      <c r="AE6" s="202">
        <v>96761.884398044975</v>
      </c>
      <c r="AF6" s="196"/>
      <c r="AG6" s="206"/>
      <c r="AH6" s="188" t="s">
        <v>246</v>
      </c>
      <c r="AI6" s="195">
        <v>2895541025.9479303</v>
      </c>
      <c r="AJ6" s="195">
        <v>3027637447.5435443</v>
      </c>
      <c r="AK6" s="192" t="s">
        <v>244</v>
      </c>
      <c r="AL6" s="206"/>
      <c r="AM6" s="188" t="s">
        <v>246</v>
      </c>
      <c r="AN6" s="195">
        <v>2209000649.9399996</v>
      </c>
      <c r="AO6" s="195">
        <v>2713800312.4499998</v>
      </c>
      <c r="AP6" s="196" t="s">
        <v>269</v>
      </c>
      <c r="AQ6" s="196" t="s">
        <v>271</v>
      </c>
      <c r="AR6" s="206"/>
      <c r="AS6" s="207" t="s">
        <v>246</v>
      </c>
      <c r="AT6" s="195">
        <v>2713800312.4499998</v>
      </c>
      <c r="AU6" s="208">
        <v>0.1</v>
      </c>
      <c r="AV6" s="195">
        <v>271380031.245</v>
      </c>
      <c r="AW6" s="196"/>
      <c r="AX6" s="206"/>
      <c r="AY6" s="207" t="s">
        <v>246</v>
      </c>
      <c r="AZ6" s="195">
        <v>2961589236.7457371</v>
      </c>
      <c r="BA6" s="208">
        <v>0.6</v>
      </c>
      <c r="BB6" s="195">
        <v>1776953542.0474422</v>
      </c>
      <c r="BC6" s="196"/>
      <c r="BD6" s="206"/>
    </row>
    <row r="7" spans="1:56" x14ac:dyDescent="0.35">
      <c r="A7" s="179"/>
      <c r="B7" s="188" t="s">
        <v>247</v>
      </c>
      <c r="C7" s="195">
        <v>12079015</v>
      </c>
      <c r="D7" s="200" t="s">
        <v>245</v>
      </c>
      <c r="F7" s="188" t="s">
        <v>247</v>
      </c>
      <c r="G7" s="195">
        <v>28238702.09376898</v>
      </c>
      <c r="H7" s="200" t="s">
        <v>267</v>
      </c>
      <c r="I7" s="178"/>
      <c r="J7" s="188" t="s">
        <v>247</v>
      </c>
      <c r="K7" s="195">
        <v>7530455.0099999988</v>
      </c>
      <c r="L7" s="201" t="s">
        <v>268</v>
      </c>
      <c r="N7" s="188" t="s">
        <v>247</v>
      </c>
      <c r="O7" s="202">
        <v>14865.424598842999</v>
      </c>
      <c r="P7" s="192" t="s">
        <v>273</v>
      </c>
      <c r="R7" s="188" t="s">
        <v>247</v>
      </c>
      <c r="S7" s="202">
        <v>13495.3694885103</v>
      </c>
      <c r="T7" s="192" t="s">
        <v>155</v>
      </c>
      <c r="V7" s="188" t="s">
        <v>41</v>
      </c>
      <c r="W7" s="203">
        <v>1.2775422338791698E-2</v>
      </c>
      <c r="X7" s="192" t="s">
        <v>270</v>
      </c>
      <c r="Y7" s="204"/>
      <c r="Z7" s="188" t="s">
        <v>247</v>
      </c>
      <c r="AA7" s="202">
        <v>14180.39704367665</v>
      </c>
      <c r="AB7" s="192">
        <v>2.7</v>
      </c>
      <c r="AC7" s="202">
        <v>5251.9989050654258</v>
      </c>
      <c r="AD7" s="205">
        <v>1.2775422338791698E-2</v>
      </c>
      <c r="AE7" s="202">
        <v>7686.333640563359</v>
      </c>
      <c r="AF7" s="196"/>
      <c r="AG7" s="206"/>
      <c r="AH7" s="188" t="s">
        <v>247</v>
      </c>
      <c r="AI7" s="195">
        <v>400129601.12762731</v>
      </c>
      <c r="AJ7" s="195">
        <v>426447256.13600981</v>
      </c>
      <c r="AK7" s="192" t="s">
        <v>244</v>
      </c>
      <c r="AL7" s="206"/>
      <c r="AM7" s="188" t="s">
        <v>247</v>
      </c>
      <c r="AN7" s="195">
        <v>243472280.99792996</v>
      </c>
      <c r="AO7" s="195">
        <v>265219950.02533293</v>
      </c>
      <c r="AP7" s="196" t="s">
        <v>269</v>
      </c>
      <c r="AQ7" s="196" t="s">
        <v>271</v>
      </c>
      <c r="AR7" s="206"/>
      <c r="AS7" s="207" t="s">
        <v>247</v>
      </c>
      <c r="AT7" s="195">
        <v>265219950.02533293</v>
      </c>
      <c r="AU7" s="208">
        <v>0.1</v>
      </c>
      <c r="AV7" s="195">
        <v>26521995.002533294</v>
      </c>
      <c r="AW7" s="196"/>
      <c r="AX7" s="206"/>
      <c r="AY7" s="207" t="s">
        <v>247</v>
      </c>
      <c r="AZ7" s="195">
        <v>413288428.63181853</v>
      </c>
      <c r="BA7" s="208">
        <v>0.6</v>
      </c>
      <c r="BB7" s="195">
        <v>247973057.1790911</v>
      </c>
      <c r="BC7" s="196"/>
      <c r="BD7" s="206"/>
    </row>
    <row r="8" spans="1:56" x14ac:dyDescent="0.35">
      <c r="A8" s="179"/>
      <c r="B8" s="188" t="s">
        <v>248</v>
      </c>
      <c r="C8" s="195">
        <v>2737000</v>
      </c>
      <c r="D8" s="200" t="s">
        <v>272</v>
      </c>
      <c r="F8" s="188" t="s">
        <v>248</v>
      </c>
      <c r="G8" s="195">
        <v>0</v>
      </c>
      <c r="H8" s="200" t="s">
        <v>267</v>
      </c>
      <c r="I8" s="178"/>
      <c r="J8" s="188" t="s">
        <v>248</v>
      </c>
      <c r="K8" s="195">
        <v>1840000</v>
      </c>
      <c r="L8" s="201" t="s">
        <v>268</v>
      </c>
      <c r="N8" s="188" t="s">
        <v>248</v>
      </c>
      <c r="O8" s="202">
        <v>7200</v>
      </c>
      <c r="P8" s="192" t="s">
        <v>154</v>
      </c>
      <c r="R8" s="188" t="s">
        <v>248</v>
      </c>
      <c r="S8" s="202">
        <v>7200</v>
      </c>
      <c r="T8" s="192" t="s">
        <v>155</v>
      </c>
      <c r="V8" s="188" t="s">
        <v>42</v>
      </c>
      <c r="W8" s="203">
        <v>3.4587533192984576E-3</v>
      </c>
      <c r="X8" s="192" t="s">
        <v>270</v>
      </c>
      <c r="Y8" s="204"/>
      <c r="Z8" s="188" t="s">
        <v>248</v>
      </c>
      <c r="AA8" s="202">
        <v>7200</v>
      </c>
      <c r="AB8" s="192">
        <v>2.7</v>
      </c>
      <c r="AC8" s="202">
        <v>2666.6666666666665</v>
      </c>
      <c r="AD8" s="205">
        <v>3.4587533192984576E-3</v>
      </c>
      <c r="AE8" s="202">
        <v>2957.7026069334484</v>
      </c>
      <c r="AF8" s="196"/>
      <c r="AG8" s="206"/>
      <c r="AH8" s="188" t="s">
        <v>248</v>
      </c>
      <c r="AI8" s="195">
        <v>63277669.223182514</v>
      </c>
      <c r="AJ8" s="195">
        <v>86153212.204788923</v>
      </c>
      <c r="AK8" s="192" t="s">
        <v>244</v>
      </c>
      <c r="AL8" s="206"/>
      <c r="AM8" s="188" t="s">
        <v>248</v>
      </c>
      <c r="AN8" s="195">
        <v>67400000</v>
      </c>
      <c r="AO8" s="195">
        <v>98299999.999999985</v>
      </c>
      <c r="AP8" s="196" t="s">
        <v>269</v>
      </c>
      <c r="AQ8" s="196" t="s">
        <v>271</v>
      </c>
      <c r="AR8" s="206"/>
      <c r="AS8" s="207" t="s">
        <v>248</v>
      </c>
      <c r="AT8" s="195">
        <v>98299999.999999985</v>
      </c>
      <c r="AU8" s="208">
        <v>0.1</v>
      </c>
      <c r="AV8" s="195">
        <v>9829999.9999999981</v>
      </c>
      <c r="AW8" s="196"/>
      <c r="AX8" s="206"/>
      <c r="AY8" s="207" t="s">
        <v>248</v>
      </c>
      <c r="AZ8" s="195">
        <v>74715440.713985711</v>
      </c>
      <c r="BA8" s="208">
        <v>0.6</v>
      </c>
      <c r="BB8" s="195">
        <v>44829264.428391427</v>
      </c>
      <c r="BC8" s="196"/>
      <c r="BD8" s="206"/>
    </row>
    <row r="9" spans="1:56" ht="31" x14ac:dyDescent="0.35">
      <c r="A9" s="179"/>
      <c r="B9" s="188" t="s">
        <v>249</v>
      </c>
      <c r="C9" s="195">
        <v>14935000</v>
      </c>
      <c r="D9" s="200" t="s">
        <v>272</v>
      </c>
      <c r="F9" s="188" t="s">
        <v>249</v>
      </c>
      <c r="G9" s="195">
        <v>13515000</v>
      </c>
      <c r="H9" s="200" t="s">
        <v>267</v>
      </c>
      <c r="I9" s="178"/>
      <c r="J9" s="188" t="s">
        <v>249</v>
      </c>
      <c r="K9" s="195">
        <v>7253000</v>
      </c>
      <c r="L9" s="201" t="s">
        <v>291</v>
      </c>
      <c r="N9" s="188" t="s">
        <v>249</v>
      </c>
      <c r="O9" s="202">
        <v>22500</v>
      </c>
      <c r="P9" s="192" t="s">
        <v>273</v>
      </c>
      <c r="R9" s="188" t="s">
        <v>249</v>
      </c>
      <c r="S9" s="202">
        <v>20000</v>
      </c>
      <c r="T9" s="192" t="s">
        <v>155</v>
      </c>
      <c r="V9" s="188" t="s">
        <v>43</v>
      </c>
      <c r="W9" s="203">
        <v>6.7174416065822751E-3</v>
      </c>
      <c r="X9" s="192" t="s">
        <v>270</v>
      </c>
      <c r="Y9" s="204"/>
      <c r="Z9" s="188" t="s">
        <v>249</v>
      </c>
      <c r="AA9" s="202">
        <v>21250</v>
      </c>
      <c r="AB9" s="192">
        <v>2.7</v>
      </c>
      <c r="AC9" s="202">
        <v>7870.3703703703695</v>
      </c>
      <c r="AD9" s="205">
        <v>6.7174416065822751E-3</v>
      </c>
      <c r="AE9" s="202">
        <v>9621.0607745337056</v>
      </c>
      <c r="AF9" s="196"/>
      <c r="AG9" s="206"/>
      <c r="AH9" s="188" t="s">
        <v>249</v>
      </c>
      <c r="AI9" s="195">
        <v>566230246.93240702</v>
      </c>
      <c r="AJ9" s="195">
        <v>601222871.4597888</v>
      </c>
      <c r="AK9" s="192" t="s">
        <v>244</v>
      </c>
      <c r="AL9" s="206"/>
      <c r="AM9" s="188" t="s">
        <v>249</v>
      </c>
      <c r="AN9" s="195">
        <v>307900000.00000006</v>
      </c>
      <c r="AO9" s="195">
        <v>307900000.00000006</v>
      </c>
      <c r="AP9" s="196" t="s">
        <v>269</v>
      </c>
      <c r="AQ9" s="196" t="s">
        <v>292</v>
      </c>
      <c r="AR9" s="206"/>
      <c r="AS9" s="207" t="s">
        <v>249</v>
      </c>
      <c r="AT9" s="195">
        <v>307900000.00000006</v>
      </c>
      <c r="AU9" s="208">
        <v>0.1</v>
      </c>
      <c r="AV9" s="195">
        <v>30790000.000000007</v>
      </c>
      <c r="AW9" s="196"/>
      <c r="AX9" s="206"/>
      <c r="AY9" s="207" t="s">
        <v>249</v>
      </c>
      <c r="AZ9" s="195">
        <v>583726559.19609785</v>
      </c>
      <c r="BA9" s="208">
        <v>0.6</v>
      </c>
      <c r="BB9" s="195">
        <v>350235935.51765871</v>
      </c>
      <c r="BC9" s="196"/>
      <c r="BD9" s="206"/>
    </row>
    <row r="10" spans="1:56" ht="77.5" x14ac:dyDescent="0.35">
      <c r="A10" s="179"/>
      <c r="B10" s="188" t="s">
        <v>250</v>
      </c>
      <c r="C10" s="195">
        <v>32184612</v>
      </c>
      <c r="D10" s="200" t="s">
        <v>272</v>
      </c>
      <c r="F10" s="188" t="s">
        <v>250</v>
      </c>
      <c r="G10" s="195">
        <v>95236000</v>
      </c>
      <c r="H10" s="200" t="s">
        <v>267</v>
      </c>
      <c r="I10" s="178"/>
      <c r="J10" s="188" t="s">
        <v>250</v>
      </c>
      <c r="K10" s="195">
        <v>19230000</v>
      </c>
      <c r="L10" s="201" t="s">
        <v>293</v>
      </c>
      <c r="N10" s="188" t="s">
        <v>250</v>
      </c>
      <c r="O10" s="202">
        <v>65499.15</v>
      </c>
      <c r="P10" s="192" t="s">
        <v>154</v>
      </c>
      <c r="R10" s="188" t="s">
        <v>250</v>
      </c>
      <c r="S10" s="202">
        <v>62208.1</v>
      </c>
      <c r="T10" s="192" t="s">
        <v>155</v>
      </c>
      <c r="V10" s="188" t="s">
        <v>44</v>
      </c>
      <c r="W10" s="203">
        <v>1.1536851986528429E-2</v>
      </c>
      <c r="X10" s="192" t="s">
        <v>270</v>
      </c>
      <c r="Y10" s="204"/>
      <c r="Z10" s="188" t="s">
        <v>250</v>
      </c>
      <c r="AA10" s="202">
        <v>63853.625</v>
      </c>
      <c r="AB10" s="192">
        <v>2.7</v>
      </c>
      <c r="AC10" s="202">
        <v>23649.490740740741</v>
      </c>
      <c r="AD10" s="205">
        <v>1.1536851986528429E-2</v>
      </c>
      <c r="AE10" s="202">
        <v>33363.613187834824</v>
      </c>
      <c r="AF10" s="196"/>
      <c r="AG10" s="206"/>
      <c r="AH10" s="188" t="s">
        <v>250</v>
      </c>
      <c r="AI10" s="195">
        <v>1196632163.1162653</v>
      </c>
      <c r="AJ10" s="195">
        <v>1340683481.8411047</v>
      </c>
      <c r="AK10" s="192" t="s">
        <v>244</v>
      </c>
      <c r="AL10" s="206"/>
      <c r="AM10" s="188" t="s">
        <v>250</v>
      </c>
      <c r="AN10" s="195">
        <v>978273000</v>
      </c>
      <c r="AO10" s="195">
        <v>1579937000</v>
      </c>
      <c r="AP10" s="196" t="s">
        <v>269</v>
      </c>
      <c r="AQ10" s="196" t="s">
        <v>271</v>
      </c>
      <c r="AR10" s="206"/>
      <c r="AS10" s="207" t="s">
        <v>250</v>
      </c>
      <c r="AT10" s="195">
        <v>1579937000</v>
      </c>
      <c r="AU10" s="208">
        <v>0.1</v>
      </c>
      <c r="AV10" s="195">
        <v>157993700</v>
      </c>
      <c r="AW10" s="196"/>
      <c r="AX10" s="206"/>
      <c r="AY10" s="207" t="s">
        <v>250</v>
      </c>
      <c r="AZ10" s="195">
        <v>1268657822.4786849</v>
      </c>
      <c r="BA10" s="208">
        <v>0.6</v>
      </c>
      <c r="BB10" s="195">
        <v>761194693.48721087</v>
      </c>
      <c r="BC10" s="196"/>
      <c r="BD10" s="206"/>
    </row>
    <row r="11" spans="1:56" x14ac:dyDescent="0.35">
      <c r="A11" s="179"/>
      <c r="B11" s="188" t="s">
        <v>251</v>
      </c>
      <c r="C11" s="195">
        <v>3165000</v>
      </c>
      <c r="D11" s="200" t="s">
        <v>272</v>
      </c>
      <c r="F11" s="188" t="s">
        <v>251</v>
      </c>
      <c r="G11" s="195">
        <v>0</v>
      </c>
      <c r="H11" s="200" t="s">
        <v>267</v>
      </c>
      <c r="I11" s="178"/>
      <c r="J11" s="188" t="s">
        <v>251</v>
      </c>
      <c r="K11" s="195">
        <v>3313855.0300000003</v>
      </c>
      <c r="L11" s="201" t="s">
        <v>268</v>
      </c>
      <c r="N11" s="188" t="s">
        <v>251</v>
      </c>
      <c r="O11" s="202">
        <v>5153</v>
      </c>
      <c r="P11" s="192" t="s">
        <v>273</v>
      </c>
      <c r="R11" s="188" t="s">
        <v>251</v>
      </c>
      <c r="S11" s="202">
        <v>3641</v>
      </c>
      <c r="T11" s="192" t="s">
        <v>155</v>
      </c>
      <c r="V11" s="188" t="s">
        <v>45</v>
      </c>
      <c r="W11" s="203">
        <v>1.5246008397444832E-2</v>
      </c>
      <c r="X11" s="192" t="s">
        <v>302</v>
      </c>
      <c r="Y11" s="204"/>
      <c r="Z11" s="188" t="s">
        <v>251</v>
      </c>
      <c r="AA11" s="202">
        <v>4397</v>
      </c>
      <c r="AB11" s="192">
        <v>2.7</v>
      </c>
      <c r="AC11" s="202">
        <v>1628.5185185185185</v>
      </c>
      <c r="AD11" s="205">
        <v>1.5246008397444832E-2</v>
      </c>
      <c r="AE11" s="202">
        <v>2564.0791162023338</v>
      </c>
      <c r="AF11" s="196"/>
      <c r="AG11" s="206"/>
      <c r="AH11" s="188" t="s">
        <v>251</v>
      </c>
      <c r="AI11" s="195">
        <v>307790000</v>
      </c>
      <c r="AJ11" s="195">
        <v>307790000</v>
      </c>
      <c r="AK11" s="192" t="s">
        <v>244</v>
      </c>
      <c r="AL11" s="206"/>
      <c r="AM11" s="188" t="s">
        <v>251</v>
      </c>
      <c r="AN11" s="195">
        <v>37456353.899999991</v>
      </c>
      <c r="AO11" s="195">
        <v>41201987.770000003</v>
      </c>
      <c r="AP11" s="196" t="s">
        <v>269</v>
      </c>
      <c r="AQ11" s="196" t="s">
        <v>271</v>
      </c>
      <c r="AR11" s="206"/>
      <c r="AS11" s="207" t="s">
        <v>251</v>
      </c>
      <c r="AT11" s="195">
        <v>41201987.770000003</v>
      </c>
      <c r="AU11" s="208">
        <v>0.1</v>
      </c>
      <c r="AV11" s="195">
        <v>4120198.7770000007</v>
      </c>
      <c r="AW11" s="196"/>
      <c r="AX11" s="206"/>
      <c r="AY11" s="207" t="s">
        <v>251</v>
      </c>
      <c r="AZ11" s="195">
        <v>307790000</v>
      </c>
      <c r="BA11" s="208">
        <v>0.6</v>
      </c>
      <c r="BB11" s="195">
        <v>184674000</v>
      </c>
      <c r="BC11" s="196"/>
      <c r="BD11" s="206"/>
    </row>
    <row r="12" spans="1:56" x14ac:dyDescent="0.35">
      <c r="A12" s="179"/>
      <c r="B12" s="188" t="s">
        <v>252</v>
      </c>
      <c r="C12" s="195">
        <v>2326000</v>
      </c>
      <c r="D12" s="200" t="s">
        <v>272</v>
      </c>
      <c r="F12" s="188" t="s">
        <v>252</v>
      </c>
      <c r="G12" s="195">
        <v>2859000</v>
      </c>
      <c r="H12" s="200" t="s">
        <v>267</v>
      </c>
      <c r="I12" s="178"/>
      <c r="J12" s="188" t="s">
        <v>252</v>
      </c>
      <c r="K12" s="195">
        <v>1874000</v>
      </c>
      <c r="L12" s="201" t="s">
        <v>268</v>
      </c>
      <c r="N12" s="188" t="s">
        <v>252</v>
      </c>
      <c r="O12" s="202">
        <v>4200</v>
      </c>
      <c r="P12" s="192" t="s">
        <v>154</v>
      </c>
      <c r="R12" s="188" t="s">
        <v>252</v>
      </c>
      <c r="S12" s="202">
        <v>3119</v>
      </c>
      <c r="T12" s="192" t="s">
        <v>155</v>
      </c>
      <c r="V12" s="188" t="s">
        <v>91</v>
      </c>
      <c r="W12" s="203">
        <v>1.9368091771997609E-2</v>
      </c>
      <c r="X12" s="192" t="s">
        <v>270</v>
      </c>
      <c r="Y12" s="204"/>
      <c r="Z12" s="188" t="s">
        <v>252</v>
      </c>
      <c r="AA12" s="202">
        <v>3659.5</v>
      </c>
      <c r="AB12" s="192">
        <v>2.7</v>
      </c>
      <c r="AC12" s="202">
        <v>1355.3703703703702</v>
      </c>
      <c r="AD12" s="205">
        <v>1.9368091771997609E-2</v>
      </c>
      <c r="AE12" s="202">
        <v>2409.8446296557222</v>
      </c>
      <c r="AF12" s="196"/>
      <c r="AG12" s="206"/>
      <c r="AH12" s="188" t="s">
        <v>252</v>
      </c>
      <c r="AI12" s="195">
        <v>256165000</v>
      </c>
      <c r="AJ12" s="195">
        <v>256165000</v>
      </c>
      <c r="AK12" s="192" t="s">
        <v>244</v>
      </c>
      <c r="AL12" s="206"/>
      <c r="AM12" s="188" t="s">
        <v>252</v>
      </c>
      <c r="AN12" s="195">
        <v>61053000.000000007</v>
      </c>
      <c r="AO12" s="195">
        <v>79379000.000000015</v>
      </c>
      <c r="AP12" s="196" t="s">
        <v>269</v>
      </c>
      <c r="AQ12" s="196" t="s">
        <v>271</v>
      </c>
      <c r="AR12" s="206"/>
      <c r="AS12" s="207" t="s">
        <v>252</v>
      </c>
      <c r="AT12" s="195">
        <v>79379000.000000015</v>
      </c>
      <c r="AU12" s="208">
        <v>0.1</v>
      </c>
      <c r="AV12" s="195">
        <v>7937900.0000000019</v>
      </c>
      <c r="AW12" s="196"/>
      <c r="AX12" s="206"/>
      <c r="AY12" s="207" t="s">
        <v>252</v>
      </c>
      <c r="AZ12" s="195">
        <v>256165000</v>
      </c>
      <c r="BA12" s="208">
        <v>0.6</v>
      </c>
      <c r="BB12" s="195">
        <v>153699000</v>
      </c>
      <c r="BC12" s="196"/>
      <c r="BD12" s="206"/>
    </row>
    <row r="13" spans="1:56" x14ac:dyDescent="0.35">
      <c r="A13" s="179"/>
      <c r="B13" s="188" t="s">
        <v>253</v>
      </c>
      <c r="C13" s="195">
        <v>8482000</v>
      </c>
      <c r="D13" s="200" t="s">
        <v>294</v>
      </c>
      <c r="F13" s="188" t="s">
        <v>253</v>
      </c>
      <c r="G13" s="195">
        <v>20870000</v>
      </c>
      <c r="H13" s="200" t="s">
        <v>267</v>
      </c>
      <c r="I13" s="178"/>
      <c r="J13" s="188" t="s">
        <v>253</v>
      </c>
      <c r="K13" s="195">
        <v>4516000</v>
      </c>
      <c r="L13" s="201" t="s">
        <v>268</v>
      </c>
      <c r="N13" s="188" t="s">
        <v>253</v>
      </c>
      <c r="O13" s="202">
        <v>15550</v>
      </c>
      <c r="P13" s="192" t="s">
        <v>154</v>
      </c>
      <c r="R13" s="188" t="s">
        <v>253</v>
      </c>
      <c r="S13" s="202">
        <v>15550</v>
      </c>
      <c r="T13" s="192" t="s">
        <v>155</v>
      </c>
      <c r="V13" s="188" t="s">
        <v>46</v>
      </c>
      <c r="W13" s="203">
        <v>1.1676703289849266E-2</v>
      </c>
      <c r="X13" s="192" t="s">
        <v>270</v>
      </c>
      <c r="Y13" s="204"/>
      <c r="Z13" s="188" t="s">
        <v>253</v>
      </c>
      <c r="AA13" s="202">
        <v>15550</v>
      </c>
      <c r="AB13" s="192">
        <v>2.7</v>
      </c>
      <c r="AC13" s="202">
        <v>5759.2592592592591</v>
      </c>
      <c r="AD13" s="205">
        <v>1.1676703289849266E-2</v>
      </c>
      <c r="AE13" s="202">
        <v>8158.6651075016089</v>
      </c>
      <c r="AF13" s="196"/>
      <c r="AG13" s="206"/>
      <c r="AH13" s="188" t="s">
        <v>253</v>
      </c>
      <c r="AI13" s="195">
        <v>1050774605.1906573</v>
      </c>
      <c r="AJ13" s="195">
        <v>1088500000</v>
      </c>
      <c r="AK13" s="192" t="s">
        <v>244</v>
      </c>
      <c r="AL13" s="206"/>
      <c r="AM13" s="188" t="s">
        <v>253</v>
      </c>
      <c r="AN13" s="195">
        <v>158326000</v>
      </c>
      <c r="AO13" s="195">
        <v>174977999.99999997</v>
      </c>
      <c r="AP13" s="196" t="s">
        <v>269</v>
      </c>
      <c r="AQ13" s="196" t="s">
        <v>271</v>
      </c>
      <c r="AR13" s="206"/>
      <c r="AS13" s="207" t="s">
        <v>253</v>
      </c>
      <c r="AT13" s="195">
        <v>174977999.99999997</v>
      </c>
      <c r="AU13" s="208">
        <v>0.1</v>
      </c>
      <c r="AV13" s="195">
        <v>17497799.999999996</v>
      </c>
      <c r="AW13" s="196"/>
      <c r="AX13" s="206"/>
      <c r="AY13" s="207" t="s">
        <v>253</v>
      </c>
      <c r="AZ13" s="195">
        <v>1069637302.5953286</v>
      </c>
      <c r="BA13" s="208">
        <v>0.6</v>
      </c>
      <c r="BB13" s="195">
        <v>641782381.55719709</v>
      </c>
      <c r="BC13" s="196"/>
      <c r="BD13" s="206"/>
    </row>
    <row r="14" spans="1:56" x14ac:dyDescent="0.35">
      <c r="A14" s="179"/>
      <c r="B14" s="188" t="s">
        <v>274</v>
      </c>
      <c r="C14" s="195">
        <v>33467700</v>
      </c>
      <c r="D14" s="200" t="s">
        <v>245</v>
      </c>
      <c r="F14" s="188" t="s">
        <v>274</v>
      </c>
      <c r="G14" s="195">
        <v>64876186.4649764</v>
      </c>
      <c r="H14" s="200" t="s">
        <v>267</v>
      </c>
      <c r="I14" s="178"/>
      <c r="J14" s="188" t="s">
        <v>274</v>
      </c>
      <c r="K14" s="195">
        <v>22449000</v>
      </c>
      <c r="L14" s="201" t="s">
        <v>268</v>
      </c>
      <c r="N14" s="188" t="s">
        <v>274</v>
      </c>
      <c r="O14" s="202">
        <v>62128</v>
      </c>
      <c r="P14" s="192" t="s">
        <v>154</v>
      </c>
      <c r="R14" s="188" t="s">
        <v>274</v>
      </c>
      <c r="S14" s="202">
        <v>62575.32</v>
      </c>
      <c r="T14" s="192" t="s">
        <v>155</v>
      </c>
      <c r="V14" s="188" t="s">
        <v>47</v>
      </c>
      <c r="W14" s="203">
        <v>1.4812091550443052E-2</v>
      </c>
      <c r="X14" s="192" t="s">
        <v>270</v>
      </c>
      <c r="Y14" s="204"/>
      <c r="Z14" s="188" t="s">
        <v>274</v>
      </c>
      <c r="AA14" s="202">
        <v>62351.66</v>
      </c>
      <c r="AB14" s="192">
        <v>2.7</v>
      </c>
      <c r="AC14" s="202">
        <v>23093.207407407408</v>
      </c>
      <c r="AD14" s="205">
        <v>1.4812091550443052E-2</v>
      </c>
      <c r="AE14" s="202">
        <v>35896.594812676958</v>
      </c>
      <c r="AF14" s="196"/>
      <c r="AG14" s="206"/>
      <c r="AH14" s="188" t="s">
        <v>274</v>
      </c>
      <c r="AI14" s="195">
        <v>1155145663.3673115</v>
      </c>
      <c r="AJ14" s="195">
        <v>1402203858.1814928</v>
      </c>
      <c r="AK14" s="192" t="s">
        <v>244</v>
      </c>
      <c r="AL14" s="206"/>
      <c r="AM14" s="188" t="s">
        <v>274</v>
      </c>
      <c r="AN14" s="195">
        <v>895150000.00000024</v>
      </c>
      <c r="AO14" s="195">
        <v>1118937500.0000002</v>
      </c>
      <c r="AP14" s="196" t="s">
        <v>269</v>
      </c>
      <c r="AQ14" s="196" t="s">
        <v>271</v>
      </c>
      <c r="AR14" s="206"/>
      <c r="AS14" s="207" t="s">
        <v>274</v>
      </c>
      <c r="AT14" s="195">
        <v>1118937500.0000002</v>
      </c>
      <c r="AU14" s="208">
        <v>0.1</v>
      </c>
      <c r="AV14" s="195">
        <v>111893750.00000003</v>
      </c>
      <c r="AW14" s="196"/>
      <c r="AX14" s="206"/>
      <c r="AY14" s="207" t="s">
        <v>274</v>
      </c>
      <c r="AZ14" s="195">
        <v>1278674760.7744021</v>
      </c>
      <c r="BA14" s="208">
        <v>0.6</v>
      </c>
      <c r="BB14" s="195">
        <v>767204856.46464121</v>
      </c>
      <c r="BC14" s="196"/>
      <c r="BD14" s="206"/>
    </row>
    <row r="15" spans="1:56" x14ac:dyDescent="0.35">
      <c r="A15" s="179"/>
      <c r="B15" s="188" t="s">
        <v>254</v>
      </c>
      <c r="C15" s="195">
        <v>5921000</v>
      </c>
      <c r="D15" s="200" t="s">
        <v>245</v>
      </c>
      <c r="F15" s="188" t="s">
        <v>254</v>
      </c>
      <c r="G15" s="195">
        <v>7187000</v>
      </c>
      <c r="H15" s="200" t="s">
        <v>267</v>
      </c>
      <c r="I15" s="178"/>
      <c r="J15" s="188" t="s">
        <v>254</v>
      </c>
      <c r="K15" s="195">
        <v>4591000</v>
      </c>
      <c r="L15" s="201" t="s">
        <v>268</v>
      </c>
      <c r="N15" s="188" t="s">
        <v>254</v>
      </c>
      <c r="O15" s="202">
        <v>7900</v>
      </c>
      <c r="P15" s="192" t="s">
        <v>154</v>
      </c>
      <c r="R15" s="188" t="s">
        <v>254</v>
      </c>
      <c r="S15" s="202">
        <v>7800</v>
      </c>
      <c r="T15" s="192" t="s">
        <v>155</v>
      </c>
      <c r="V15" s="188" t="s">
        <v>48</v>
      </c>
      <c r="W15" s="203">
        <v>1.5246008397444832E-2</v>
      </c>
      <c r="X15" s="192" t="s">
        <v>302</v>
      </c>
      <c r="Y15" s="204"/>
      <c r="Z15" s="188" t="s">
        <v>254</v>
      </c>
      <c r="AA15" s="202">
        <v>7850</v>
      </c>
      <c r="AB15" s="192">
        <v>2.7</v>
      </c>
      <c r="AC15" s="202">
        <v>2907.4074074074074</v>
      </c>
      <c r="AD15" s="205">
        <v>1.5246008397444832E-2</v>
      </c>
      <c r="AE15" s="202">
        <v>4577.6713809843804</v>
      </c>
      <c r="AF15" s="196"/>
      <c r="AG15" s="206"/>
      <c r="AH15" s="188" t="s">
        <v>254</v>
      </c>
      <c r="AI15" s="195">
        <v>549500000</v>
      </c>
      <c r="AJ15" s="195">
        <v>549500000</v>
      </c>
      <c r="AK15" s="192" t="s">
        <v>244</v>
      </c>
      <c r="AL15" s="206"/>
      <c r="AM15" s="188" t="s">
        <v>254</v>
      </c>
      <c r="AN15" s="195">
        <v>154739999.99999997</v>
      </c>
      <c r="AO15" s="195">
        <v>202900000</v>
      </c>
      <c r="AP15" s="196" t="s">
        <v>269</v>
      </c>
      <c r="AQ15" s="196" t="s">
        <v>271</v>
      </c>
      <c r="AR15" s="206"/>
      <c r="AS15" s="207" t="s">
        <v>254</v>
      </c>
      <c r="AT15" s="195">
        <v>202900000</v>
      </c>
      <c r="AU15" s="208">
        <v>0.1</v>
      </c>
      <c r="AV15" s="195">
        <v>20290000</v>
      </c>
      <c r="AW15" s="196"/>
      <c r="AX15" s="206"/>
      <c r="AY15" s="207" t="s">
        <v>254</v>
      </c>
      <c r="AZ15" s="195">
        <v>549500000</v>
      </c>
      <c r="BA15" s="208">
        <v>0.6</v>
      </c>
      <c r="BB15" s="195">
        <v>329700000</v>
      </c>
      <c r="BC15" s="196"/>
      <c r="BD15" s="206"/>
    </row>
    <row r="16" spans="1:56" x14ac:dyDescent="0.35">
      <c r="A16" s="179"/>
      <c r="B16" s="188" t="s">
        <v>255</v>
      </c>
      <c r="C16" s="195">
        <v>20060000</v>
      </c>
      <c r="D16" s="200" t="s">
        <v>295</v>
      </c>
      <c r="F16" s="188" t="s">
        <v>255</v>
      </c>
      <c r="G16" s="195">
        <v>75564000</v>
      </c>
      <c r="H16" s="200" t="s">
        <v>267</v>
      </c>
      <c r="I16" s="178"/>
      <c r="J16" s="188" t="s">
        <v>255</v>
      </c>
      <c r="K16" s="195">
        <v>9515642.6199999992</v>
      </c>
      <c r="L16" s="201" t="s">
        <v>268</v>
      </c>
      <c r="N16" s="188" t="s">
        <v>255</v>
      </c>
      <c r="O16" s="202">
        <v>21832</v>
      </c>
      <c r="P16" s="192" t="s">
        <v>154</v>
      </c>
      <c r="R16" s="188" t="s">
        <v>255</v>
      </c>
      <c r="S16" s="202">
        <v>17665</v>
      </c>
      <c r="T16" s="192" t="s">
        <v>155</v>
      </c>
      <c r="V16" s="188" t="s">
        <v>49</v>
      </c>
      <c r="W16" s="203">
        <v>1.0619897863394456E-2</v>
      </c>
      <c r="X16" s="192" t="s">
        <v>270</v>
      </c>
      <c r="Y16" s="204"/>
      <c r="Z16" s="188" t="s">
        <v>255</v>
      </c>
      <c r="AA16" s="202">
        <v>19748.5</v>
      </c>
      <c r="AB16" s="192">
        <v>2.7</v>
      </c>
      <c r="AC16" s="202">
        <v>7314.2592592592591</v>
      </c>
      <c r="AD16" s="205">
        <v>1.0619897863394456E-2</v>
      </c>
      <c r="AE16" s="202">
        <v>10041.664137648177</v>
      </c>
      <c r="AF16" s="196"/>
      <c r="AG16" s="206"/>
      <c r="AH16" s="188" t="s">
        <v>255</v>
      </c>
      <c r="AI16" s="195">
        <v>905073331.95593083</v>
      </c>
      <c r="AJ16" s="195">
        <v>952397605.77078664</v>
      </c>
      <c r="AK16" s="192" t="s">
        <v>244</v>
      </c>
      <c r="AL16" s="206"/>
      <c r="AM16" s="188" t="s">
        <v>255</v>
      </c>
      <c r="AN16" s="195">
        <v>462117105.7700007</v>
      </c>
      <c r="AO16" s="195">
        <v>554540526.92400086</v>
      </c>
      <c r="AP16" s="196" t="s">
        <v>269</v>
      </c>
      <c r="AQ16" s="196" t="s">
        <v>271</v>
      </c>
      <c r="AR16" s="206"/>
      <c r="AS16" s="207" t="s">
        <v>255</v>
      </c>
      <c r="AT16" s="195">
        <v>554540526.92400086</v>
      </c>
      <c r="AU16" s="208">
        <v>0.1</v>
      </c>
      <c r="AV16" s="195">
        <v>55454052.69240009</v>
      </c>
      <c r="AW16" s="196"/>
      <c r="AX16" s="206"/>
      <c r="AY16" s="207" t="s">
        <v>255</v>
      </c>
      <c r="AZ16" s="195">
        <v>928735468.86335874</v>
      </c>
      <c r="BA16" s="208">
        <v>0.6</v>
      </c>
      <c r="BB16" s="195">
        <v>557241281.31801522</v>
      </c>
      <c r="BC16" s="196"/>
      <c r="BD16" s="206"/>
    </row>
    <row r="17" spans="1:56" x14ac:dyDescent="0.35">
      <c r="A17" s="179"/>
      <c r="B17" s="188" t="s">
        <v>256</v>
      </c>
      <c r="C17" s="195">
        <v>8125000</v>
      </c>
      <c r="D17" s="200" t="s">
        <v>272</v>
      </c>
      <c r="F17" s="188" t="s">
        <v>256</v>
      </c>
      <c r="G17" s="195">
        <v>4507000</v>
      </c>
      <c r="H17" s="200" t="s">
        <v>267</v>
      </c>
      <c r="I17" s="178"/>
      <c r="J17" s="188" t="s">
        <v>256</v>
      </c>
      <c r="K17" s="195">
        <v>8417000</v>
      </c>
      <c r="L17" s="201" t="s">
        <v>268</v>
      </c>
      <c r="N17" s="188" t="s">
        <v>256</v>
      </c>
      <c r="O17" s="202">
        <v>19000</v>
      </c>
      <c r="P17" s="192" t="s">
        <v>273</v>
      </c>
      <c r="R17" s="188" t="s">
        <v>256</v>
      </c>
      <c r="S17" s="202">
        <v>19000</v>
      </c>
      <c r="T17" s="192" t="s">
        <v>155</v>
      </c>
      <c r="V17" s="188" t="s">
        <v>50</v>
      </c>
      <c r="W17" s="203">
        <v>1.890891471577838E-3</v>
      </c>
      <c r="X17" s="192" t="s">
        <v>270</v>
      </c>
      <c r="Y17" s="204"/>
      <c r="Z17" s="188" t="s">
        <v>256</v>
      </c>
      <c r="AA17" s="202">
        <v>19000</v>
      </c>
      <c r="AB17" s="192">
        <v>2.7</v>
      </c>
      <c r="AC17" s="202">
        <v>7037.0370370370365</v>
      </c>
      <c r="AD17" s="205">
        <v>1.890891471577838E-3</v>
      </c>
      <c r="AE17" s="202">
        <v>7447.3657983938811</v>
      </c>
      <c r="AF17" s="196"/>
      <c r="AG17" s="206"/>
      <c r="AH17" s="188" t="s">
        <v>256</v>
      </c>
      <c r="AI17" s="195">
        <v>519470998.37499726</v>
      </c>
      <c r="AJ17" s="195">
        <v>558248915.56011236</v>
      </c>
      <c r="AK17" s="192" t="s">
        <v>244</v>
      </c>
      <c r="AL17" s="206"/>
      <c r="AM17" s="188" t="s">
        <v>256</v>
      </c>
      <c r="AN17" s="195">
        <v>175730000.00000003</v>
      </c>
      <c r="AO17" s="195">
        <v>350620000.00000006</v>
      </c>
      <c r="AP17" s="196" t="s">
        <v>269</v>
      </c>
      <c r="AQ17" s="196" t="s">
        <v>271</v>
      </c>
      <c r="AR17" s="206"/>
      <c r="AS17" s="207" t="s">
        <v>256</v>
      </c>
      <c r="AT17" s="195">
        <v>350620000.00000006</v>
      </c>
      <c r="AU17" s="208">
        <v>0.1</v>
      </c>
      <c r="AV17" s="195">
        <v>35062000.000000007</v>
      </c>
      <c r="AW17" s="196"/>
      <c r="AX17" s="206"/>
      <c r="AY17" s="207" t="s">
        <v>256</v>
      </c>
      <c r="AZ17" s="195">
        <v>538859956.96755481</v>
      </c>
      <c r="BA17" s="208">
        <v>0.6</v>
      </c>
      <c r="BB17" s="195">
        <v>323315974.18053287</v>
      </c>
      <c r="BC17" s="196"/>
      <c r="BD17" s="206"/>
    </row>
    <row r="18" spans="1:56" x14ac:dyDescent="0.35">
      <c r="A18" s="179"/>
      <c r="B18" s="188" t="s">
        <v>257</v>
      </c>
      <c r="C18" s="195">
        <v>3287000</v>
      </c>
      <c r="D18" s="200" t="s">
        <v>272</v>
      </c>
      <c r="F18" s="188" t="s">
        <v>257</v>
      </c>
      <c r="G18" s="195">
        <v>8568000</v>
      </c>
      <c r="H18" s="200" t="s">
        <v>267</v>
      </c>
      <c r="I18" s="178"/>
      <c r="J18" s="188" t="s">
        <v>257</v>
      </c>
      <c r="K18" s="195">
        <v>1780000</v>
      </c>
      <c r="L18" s="201" t="s">
        <v>268</v>
      </c>
      <c r="N18" s="188" t="s">
        <v>257</v>
      </c>
      <c r="O18" s="202">
        <v>7008</v>
      </c>
      <c r="P18" s="192" t="s">
        <v>273</v>
      </c>
      <c r="R18" s="188" t="s">
        <v>257</v>
      </c>
      <c r="S18" s="202">
        <v>6067.2</v>
      </c>
      <c r="T18" s="192" t="s">
        <v>155</v>
      </c>
      <c r="V18" s="188" t="s">
        <v>51</v>
      </c>
      <c r="W18" s="203">
        <v>0</v>
      </c>
      <c r="X18" s="192" t="s">
        <v>270</v>
      </c>
      <c r="Y18" s="204"/>
      <c r="Z18" s="188" t="s">
        <v>257</v>
      </c>
      <c r="AA18" s="202">
        <v>6537.6</v>
      </c>
      <c r="AB18" s="192">
        <v>2.7</v>
      </c>
      <c r="AC18" s="202">
        <v>2421.3333333333335</v>
      </c>
      <c r="AD18" s="205">
        <v>0</v>
      </c>
      <c r="AE18" s="202">
        <v>2421.3333333333335</v>
      </c>
      <c r="AF18" s="196"/>
      <c r="AG18" s="206"/>
      <c r="AH18" s="188" t="s">
        <v>257</v>
      </c>
      <c r="AI18" s="195">
        <v>437381591.23645794</v>
      </c>
      <c r="AJ18" s="195">
        <v>457632000</v>
      </c>
      <c r="AK18" s="192" t="s">
        <v>184</v>
      </c>
      <c r="AL18" s="206"/>
      <c r="AM18" s="188" t="s">
        <v>257</v>
      </c>
      <c r="AN18" s="195">
        <v>47841599.000000007</v>
      </c>
      <c r="AO18" s="195">
        <v>58549912.550000012</v>
      </c>
      <c r="AP18" s="196" t="s">
        <v>269</v>
      </c>
      <c r="AQ18" s="196" t="s">
        <v>275</v>
      </c>
      <c r="AR18" s="206"/>
      <c r="AS18" s="207" t="s">
        <v>257</v>
      </c>
      <c r="AT18" s="195">
        <v>58549912.550000012</v>
      </c>
      <c r="AU18" s="208">
        <v>0.1</v>
      </c>
      <c r="AV18" s="195">
        <v>5854991.2550000018</v>
      </c>
      <c r="AW18" s="196"/>
      <c r="AX18" s="206"/>
      <c r="AY18" s="207" t="s">
        <v>257</v>
      </c>
      <c r="AZ18" s="195">
        <v>447506795.61822897</v>
      </c>
      <c r="BA18" s="208">
        <v>0.6</v>
      </c>
      <c r="BB18" s="195">
        <v>268504077.37093735</v>
      </c>
      <c r="BC18" s="196"/>
      <c r="BD18" s="206"/>
    </row>
    <row r="19" spans="1:56" x14ac:dyDescent="0.35">
      <c r="A19" s="179"/>
      <c r="B19" s="188" t="s">
        <v>258</v>
      </c>
      <c r="C19" s="195">
        <v>28459000</v>
      </c>
      <c r="D19" s="200" t="s">
        <v>272</v>
      </c>
      <c r="F19" s="188" t="s">
        <v>258</v>
      </c>
      <c r="G19" s="195">
        <v>79294000</v>
      </c>
      <c r="H19" s="200" t="s">
        <v>267</v>
      </c>
      <c r="I19" s="178"/>
      <c r="J19" s="188" t="s">
        <v>258</v>
      </c>
      <c r="K19" s="195">
        <v>12764000</v>
      </c>
      <c r="L19" s="201" t="s">
        <v>268</v>
      </c>
      <c r="N19" s="188" t="s">
        <v>258</v>
      </c>
      <c r="O19" s="202">
        <v>41335.199999999997</v>
      </c>
      <c r="P19" s="192" t="s">
        <v>154</v>
      </c>
      <c r="R19" s="188" t="s">
        <v>258</v>
      </c>
      <c r="S19" s="202">
        <v>35610</v>
      </c>
      <c r="T19" s="192" t="s">
        <v>155</v>
      </c>
      <c r="V19" s="188" t="s">
        <v>52</v>
      </c>
      <c r="W19" s="203">
        <v>5.7274895820256244E-3</v>
      </c>
      <c r="X19" s="192" t="s">
        <v>270</v>
      </c>
      <c r="Y19" s="204"/>
      <c r="Z19" s="188" t="s">
        <v>258</v>
      </c>
      <c r="AA19" s="202">
        <v>38472.6</v>
      </c>
      <c r="AB19" s="192">
        <v>2.7</v>
      </c>
      <c r="AC19" s="202">
        <v>14249.111111111109</v>
      </c>
      <c r="AD19" s="205">
        <v>5.7274895820256244E-3</v>
      </c>
      <c r="AE19" s="202">
        <v>16912.094600920962</v>
      </c>
      <c r="AF19" s="196"/>
      <c r="AG19" s="206"/>
      <c r="AH19" s="188" t="s">
        <v>258</v>
      </c>
      <c r="AI19" s="195">
        <v>1437680462.4501266</v>
      </c>
      <c r="AJ19" s="195">
        <v>1586255973.1593316</v>
      </c>
      <c r="AK19" s="192" t="s">
        <v>244</v>
      </c>
      <c r="AL19" s="206"/>
      <c r="AM19" s="188" t="s">
        <v>258</v>
      </c>
      <c r="AN19" s="195">
        <v>614400000.00000012</v>
      </c>
      <c r="AO19" s="195">
        <v>726110000</v>
      </c>
      <c r="AP19" s="196" t="s">
        <v>269</v>
      </c>
      <c r="AQ19" s="196" t="s">
        <v>271</v>
      </c>
      <c r="AR19" s="206"/>
      <c r="AS19" s="207" t="s">
        <v>258</v>
      </c>
      <c r="AT19" s="195">
        <v>726110000</v>
      </c>
      <c r="AU19" s="208">
        <v>0.1</v>
      </c>
      <c r="AV19" s="195">
        <v>72611000</v>
      </c>
      <c r="AW19" s="196"/>
      <c r="AX19" s="206"/>
      <c r="AY19" s="207" t="s">
        <v>258</v>
      </c>
      <c r="AZ19" s="195">
        <v>1511968217.804729</v>
      </c>
      <c r="BA19" s="208">
        <v>0.6</v>
      </c>
      <c r="BB19" s="195">
        <v>907180930.68283737</v>
      </c>
      <c r="BC19" s="196"/>
      <c r="BD19" s="206"/>
    </row>
    <row r="20" spans="1:56" ht="31" x14ac:dyDescent="0.35">
      <c r="A20" s="179"/>
      <c r="B20" s="188" t="s">
        <v>259</v>
      </c>
      <c r="C20" s="195">
        <v>102602000</v>
      </c>
      <c r="D20" s="200" t="s">
        <v>245</v>
      </c>
      <c r="F20" s="188" t="s">
        <v>259</v>
      </c>
      <c r="G20" s="195">
        <v>393112000</v>
      </c>
      <c r="H20" s="200" t="s">
        <v>267</v>
      </c>
      <c r="I20" s="178"/>
      <c r="J20" s="188" t="s">
        <v>259</v>
      </c>
      <c r="K20" s="195">
        <v>41583000</v>
      </c>
      <c r="L20" s="201" t="s">
        <v>296</v>
      </c>
      <c r="N20" s="188" t="s">
        <v>259</v>
      </c>
      <c r="O20" s="202">
        <v>147200</v>
      </c>
      <c r="P20" s="192" t="s">
        <v>273</v>
      </c>
      <c r="R20" s="188" t="s">
        <v>259</v>
      </c>
      <c r="S20" s="202">
        <v>139498.6</v>
      </c>
      <c r="T20" s="192" t="s">
        <v>155</v>
      </c>
      <c r="V20" s="188" t="s">
        <v>53</v>
      </c>
      <c r="W20" s="203">
        <v>1.7085795363435796E-2</v>
      </c>
      <c r="X20" s="192" t="s">
        <v>270</v>
      </c>
      <c r="Y20" s="204"/>
      <c r="Z20" s="188" t="s">
        <v>259</v>
      </c>
      <c r="AA20" s="202">
        <v>143349.29999999999</v>
      </c>
      <c r="AB20" s="192">
        <v>2.7</v>
      </c>
      <c r="AC20" s="202">
        <v>53092.333333333328</v>
      </c>
      <c r="AD20" s="205">
        <v>1.7085795363435796E-2</v>
      </c>
      <c r="AE20" s="202">
        <v>88259.097478915355</v>
      </c>
      <c r="AF20" s="196"/>
      <c r="AG20" s="206"/>
      <c r="AH20" s="188" t="s">
        <v>259</v>
      </c>
      <c r="AI20" s="195">
        <v>2736223229.9321785</v>
      </c>
      <c r="AJ20" s="195">
        <v>3184252695.9565415</v>
      </c>
      <c r="AK20" s="192" t="s">
        <v>244</v>
      </c>
      <c r="AL20" s="206"/>
      <c r="AM20" s="188" t="s">
        <v>259</v>
      </c>
      <c r="AN20" s="195">
        <v>1407010000.0000002</v>
      </c>
      <c r="AO20" s="195">
        <v>2364911200</v>
      </c>
      <c r="AP20" s="196" t="s">
        <v>269</v>
      </c>
      <c r="AQ20" s="196" t="s">
        <v>271</v>
      </c>
      <c r="AR20" s="206"/>
      <c r="AS20" s="207" t="s">
        <v>259</v>
      </c>
      <c r="AT20" s="195">
        <v>2364911200</v>
      </c>
      <c r="AU20" s="208">
        <v>0.1</v>
      </c>
      <c r="AV20" s="195">
        <v>236491120</v>
      </c>
      <c r="AW20" s="196"/>
      <c r="AX20" s="206"/>
      <c r="AY20" s="207" t="s">
        <v>259</v>
      </c>
      <c r="AZ20" s="195">
        <v>2960237962.9443598</v>
      </c>
      <c r="BA20" s="208">
        <v>0.6</v>
      </c>
      <c r="BB20" s="195">
        <v>1776142777.7666159</v>
      </c>
      <c r="BC20" s="196"/>
      <c r="BD20" s="206"/>
    </row>
    <row r="21" spans="1:56" x14ac:dyDescent="0.35">
      <c r="A21" s="179"/>
      <c r="B21" s="188" t="s">
        <v>260</v>
      </c>
      <c r="C21" s="195">
        <v>30686000</v>
      </c>
      <c r="D21" s="200" t="s">
        <v>272</v>
      </c>
      <c r="F21" s="188" t="s">
        <v>260</v>
      </c>
      <c r="G21" s="195">
        <v>83495000</v>
      </c>
      <c r="H21" s="200" t="s">
        <v>267</v>
      </c>
      <c r="I21" s="178"/>
      <c r="J21" s="188" t="s">
        <v>260</v>
      </c>
      <c r="K21" s="195">
        <v>14674000</v>
      </c>
      <c r="L21" s="201" t="s">
        <v>268</v>
      </c>
      <c r="N21" s="188" t="s">
        <v>260</v>
      </c>
      <c r="O21" s="202">
        <v>23000</v>
      </c>
      <c r="P21" s="192" t="s">
        <v>273</v>
      </c>
      <c r="R21" s="188" t="s">
        <v>260</v>
      </c>
      <c r="S21" s="202">
        <v>22426</v>
      </c>
      <c r="T21" s="192" t="s">
        <v>155</v>
      </c>
      <c r="V21" s="188" t="s">
        <v>54</v>
      </c>
      <c r="W21" s="203">
        <v>1.7376470711863101E-2</v>
      </c>
      <c r="X21" s="192" t="s">
        <v>270</v>
      </c>
      <c r="Y21" s="204"/>
      <c r="Z21" s="188" t="s">
        <v>260</v>
      </c>
      <c r="AA21" s="202">
        <v>22713</v>
      </c>
      <c r="AB21" s="192">
        <v>2.7</v>
      </c>
      <c r="AC21" s="202">
        <v>8412.2222222222208</v>
      </c>
      <c r="AD21" s="205">
        <v>1.7376470711863101E-2</v>
      </c>
      <c r="AE21" s="202">
        <v>14104.620835691254</v>
      </c>
      <c r="AF21" s="196"/>
      <c r="AG21" s="206"/>
      <c r="AH21" s="188" t="s">
        <v>260</v>
      </c>
      <c r="AI21" s="195">
        <v>710946695.28969812</v>
      </c>
      <c r="AJ21" s="195">
        <v>758290360.78153348</v>
      </c>
      <c r="AK21" s="192" t="s">
        <v>297</v>
      </c>
      <c r="AL21" s="206"/>
      <c r="AM21" s="188" t="s">
        <v>260</v>
      </c>
      <c r="AN21" s="195">
        <v>622170000</v>
      </c>
      <c r="AO21" s="195">
        <v>746589999.99999988</v>
      </c>
      <c r="AP21" s="196" t="s">
        <v>269</v>
      </c>
      <c r="AQ21" s="196" t="s">
        <v>271</v>
      </c>
      <c r="AR21" s="206"/>
      <c r="AS21" s="207" t="s">
        <v>260</v>
      </c>
      <c r="AT21" s="195">
        <v>746589999.99999988</v>
      </c>
      <c r="AU21" s="208">
        <v>0.1</v>
      </c>
      <c r="AV21" s="195">
        <v>74658999.999999985</v>
      </c>
      <c r="AW21" s="196"/>
      <c r="AX21" s="206"/>
      <c r="AY21" s="207" t="s">
        <v>260</v>
      </c>
      <c r="AZ21" s="195">
        <v>734618528.0356158</v>
      </c>
      <c r="BA21" s="208">
        <v>0.6</v>
      </c>
      <c r="BB21" s="195">
        <v>440771116.82136947</v>
      </c>
      <c r="BC21" s="196"/>
      <c r="BD21" s="206"/>
    </row>
    <row r="22" spans="1:56" x14ac:dyDescent="0.35">
      <c r="A22" s="179"/>
      <c r="B22" s="188" t="s">
        <v>261</v>
      </c>
      <c r="C22" s="195">
        <v>49314000</v>
      </c>
      <c r="D22" s="200" t="s">
        <v>272</v>
      </c>
      <c r="F22" s="188" t="s">
        <v>261</v>
      </c>
      <c r="G22" s="195">
        <v>0</v>
      </c>
      <c r="H22" s="200" t="s">
        <v>267</v>
      </c>
      <c r="I22" s="178"/>
      <c r="J22" s="188" t="s">
        <v>261</v>
      </c>
      <c r="K22" s="195">
        <v>15738150.289999999</v>
      </c>
      <c r="L22" s="201" t="s">
        <v>298</v>
      </c>
      <c r="N22" s="188" t="s">
        <v>261</v>
      </c>
      <c r="O22" s="202">
        <v>42303.600000000006</v>
      </c>
      <c r="P22" s="192" t="s">
        <v>154</v>
      </c>
      <c r="R22" s="188" t="s">
        <v>261</v>
      </c>
      <c r="S22" s="202">
        <v>32310.9</v>
      </c>
      <c r="T22" s="192" t="s">
        <v>155</v>
      </c>
      <c r="V22" s="188" t="s">
        <v>39</v>
      </c>
      <c r="W22" s="203">
        <v>2.4676785518339406E-2</v>
      </c>
      <c r="X22" s="192" t="s">
        <v>270</v>
      </c>
      <c r="Y22" s="204"/>
      <c r="Z22" s="188" t="s">
        <v>261</v>
      </c>
      <c r="AA22" s="202">
        <v>37307.25</v>
      </c>
      <c r="AB22" s="192">
        <v>2.7</v>
      </c>
      <c r="AC22" s="202">
        <v>13817.5</v>
      </c>
      <c r="AD22" s="205">
        <v>2.4676785518339406E-2</v>
      </c>
      <c r="AE22" s="202">
        <v>28710.211318858805</v>
      </c>
      <c r="AF22" s="196"/>
      <c r="AG22" s="206"/>
      <c r="AH22" s="188" t="s">
        <v>261</v>
      </c>
      <c r="AI22" s="195">
        <v>1430970925.8140101</v>
      </c>
      <c r="AJ22" s="195">
        <v>1531076367.9369352</v>
      </c>
      <c r="AK22" s="192" t="s">
        <v>299</v>
      </c>
      <c r="AL22" s="206"/>
      <c r="AM22" s="188" t="s">
        <v>261</v>
      </c>
      <c r="AN22" s="195">
        <v>475413390.99999988</v>
      </c>
      <c r="AO22" s="195">
        <v>855744103.80000007</v>
      </c>
      <c r="AP22" s="196" t="s">
        <v>269</v>
      </c>
      <c r="AQ22" s="196" t="s">
        <v>271</v>
      </c>
      <c r="AR22" s="206"/>
      <c r="AS22" s="207" t="s">
        <v>261</v>
      </c>
      <c r="AT22" s="195">
        <v>855744103.80000007</v>
      </c>
      <c r="AU22" s="208">
        <v>0.1</v>
      </c>
      <c r="AV22" s="195">
        <v>85574410.38000001</v>
      </c>
      <c r="AW22" s="196"/>
      <c r="AX22" s="206"/>
      <c r="AY22" s="207" t="s">
        <v>261</v>
      </c>
      <c r="AZ22" s="195">
        <v>1481023646.8754725</v>
      </c>
      <c r="BA22" s="208">
        <v>0.6</v>
      </c>
      <c r="BB22" s="195">
        <v>888614188.12528348</v>
      </c>
      <c r="BC22" s="196"/>
      <c r="BD22" s="206"/>
    </row>
    <row r="23" spans="1:56" x14ac:dyDescent="0.35">
      <c r="A23" s="179"/>
      <c r="B23" s="188" t="s">
        <v>262</v>
      </c>
      <c r="C23" s="195">
        <v>27638000</v>
      </c>
      <c r="D23" s="200" t="s">
        <v>245</v>
      </c>
      <c r="F23" s="188" t="s">
        <v>262</v>
      </c>
      <c r="G23" s="195">
        <v>57536000</v>
      </c>
      <c r="H23" s="200" t="s">
        <v>267</v>
      </c>
      <c r="I23" s="178"/>
      <c r="J23" s="188" t="s">
        <v>262</v>
      </c>
      <c r="K23" s="195">
        <v>16883000</v>
      </c>
      <c r="L23" s="201" t="s">
        <v>268</v>
      </c>
      <c r="N23" s="188" t="s">
        <v>262</v>
      </c>
      <c r="O23" s="202">
        <v>41508</v>
      </c>
      <c r="P23" s="192" t="s">
        <v>154</v>
      </c>
      <c r="R23" s="188" t="s">
        <v>262</v>
      </c>
      <c r="S23" s="202">
        <v>39485</v>
      </c>
      <c r="T23" s="192" t="s">
        <v>155</v>
      </c>
      <c r="V23" s="188" t="s">
        <v>55</v>
      </c>
      <c r="W23" s="203">
        <v>3.9616843919784372E-2</v>
      </c>
      <c r="X23" s="192" t="s">
        <v>270</v>
      </c>
      <c r="Y23" s="204"/>
      <c r="Z23" s="188" t="s">
        <v>262</v>
      </c>
      <c r="AA23" s="202">
        <v>40496.5</v>
      </c>
      <c r="AB23" s="192">
        <v>2.7</v>
      </c>
      <c r="AC23" s="202">
        <v>14998.703703703703</v>
      </c>
      <c r="AD23" s="205">
        <v>3.9616843919784372E-2</v>
      </c>
      <c r="AE23" s="202">
        <v>48111.948531637972</v>
      </c>
      <c r="AF23" s="196"/>
      <c r="AG23" s="206"/>
      <c r="AH23" s="188" t="s">
        <v>262</v>
      </c>
      <c r="AI23" s="195">
        <v>1392336072.7213342</v>
      </c>
      <c r="AJ23" s="195">
        <v>1402694877.9915466</v>
      </c>
      <c r="AK23" s="192" t="s">
        <v>183</v>
      </c>
      <c r="AL23" s="206"/>
      <c r="AM23" s="188" t="s">
        <v>262</v>
      </c>
      <c r="AN23" s="195">
        <v>639226000</v>
      </c>
      <c r="AO23" s="195">
        <v>958843000.00000012</v>
      </c>
      <c r="AP23" s="196" t="s">
        <v>269</v>
      </c>
      <c r="AQ23" s="196" t="s">
        <v>271</v>
      </c>
      <c r="AR23" s="206"/>
      <c r="AS23" s="207" t="s">
        <v>262</v>
      </c>
      <c r="AT23" s="195">
        <v>958843000.00000012</v>
      </c>
      <c r="AU23" s="208">
        <v>0.1</v>
      </c>
      <c r="AV23" s="195">
        <v>95884300.000000015</v>
      </c>
      <c r="AW23" s="196"/>
      <c r="AX23" s="206"/>
      <c r="AY23" s="207" t="s">
        <v>262</v>
      </c>
      <c r="AZ23" s="195">
        <v>1397515475.3564405</v>
      </c>
      <c r="BA23" s="208">
        <v>0.6</v>
      </c>
      <c r="BB23" s="195">
        <v>838509285.21386433</v>
      </c>
      <c r="BC23" s="196"/>
      <c r="BD23" s="206"/>
    </row>
    <row r="24" spans="1:56" x14ac:dyDescent="0.35">
      <c r="A24" s="179"/>
      <c r="B24" s="188" t="s">
        <v>263</v>
      </c>
      <c r="C24" s="195">
        <v>6676000</v>
      </c>
      <c r="D24" s="200" t="s">
        <v>272</v>
      </c>
      <c r="F24" s="188" t="s">
        <v>263</v>
      </c>
      <c r="G24" s="195">
        <v>0</v>
      </c>
      <c r="H24" s="200" t="s">
        <v>267</v>
      </c>
      <c r="I24" s="178"/>
      <c r="J24" s="188" t="s">
        <v>263</v>
      </c>
      <c r="K24" s="195">
        <v>3752000</v>
      </c>
      <c r="L24" s="201" t="s">
        <v>268</v>
      </c>
      <c r="N24" s="188" t="s">
        <v>263</v>
      </c>
      <c r="O24" s="202">
        <v>5600</v>
      </c>
      <c r="P24" s="192" t="s">
        <v>154</v>
      </c>
      <c r="R24" s="188" t="s">
        <v>263</v>
      </c>
      <c r="S24" s="202">
        <v>5350</v>
      </c>
      <c r="T24" s="192" t="s">
        <v>155</v>
      </c>
      <c r="V24" s="188" t="s">
        <v>56</v>
      </c>
      <c r="W24" s="203">
        <v>0</v>
      </c>
      <c r="X24" s="192" t="s">
        <v>270</v>
      </c>
      <c r="Y24" s="204"/>
      <c r="Z24" s="188" t="s">
        <v>263</v>
      </c>
      <c r="AA24" s="202">
        <v>5475</v>
      </c>
      <c r="AB24" s="192">
        <v>2.7</v>
      </c>
      <c r="AC24" s="202">
        <v>2027.7777777777776</v>
      </c>
      <c r="AD24" s="205">
        <v>0</v>
      </c>
      <c r="AE24" s="202">
        <v>2027.7777777777776</v>
      </c>
      <c r="AF24" s="196"/>
      <c r="AG24" s="206"/>
      <c r="AH24" s="188" t="s">
        <v>263</v>
      </c>
      <c r="AI24" s="195">
        <v>383250000</v>
      </c>
      <c r="AJ24" s="195">
        <v>383250000</v>
      </c>
      <c r="AK24" s="192" t="s">
        <v>184</v>
      </c>
      <c r="AL24" s="206"/>
      <c r="AM24" s="188" t="s">
        <v>263</v>
      </c>
      <c r="AN24" s="195">
        <v>87335000.000000015</v>
      </c>
      <c r="AO24" s="195">
        <v>113537500.00000003</v>
      </c>
      <c r="AP24" s="196" t="s">
        <v>269</v>
      </c>
      <c r="AQ24" s="196" t="s">
        <v>271</v>
      </c>
      <c r="AR24" s="206"/>
      <c r="AS24" s="207" t="s">
        <v>263</v>
      </c>
      <c r="AT24" s="195">
        <v>113537500.00000003</v>
      </c>
      <c r="AU24" s="208">
        <v>0.1</v>
      </c>
      <c r="AV24" s="195">
        <v>11353750.000000004</v>
      </c>
      <c r="AW24" s="196"/>
      <c r="AX24" s="206"/>
      <c r="AY24" s="207" t="s">
        <v>263</v>
      </c>
      <c r="AZ24" s="195">
        <v>383250000</v>
      </c>
      <c r="BA24" s="208">
        <v>0.6</v>
      </c>
      <c r="BB24" s="195">
        <v>229950000</v>
      </c>
      <c r="BC24" s="196"/>
      <c r="BD24" s="206"/>
    </row>
    <row r="25" spans="1:56" x14ac:dyDescent="0.35">
      <c r="A25" s="179"/>
      <c r="B25" s="188" t="s">
        <v>264</v>
      </c>
      <c r="C25" s="195">
        <v>36380000</v>
      </c>
      <c r="D25" s="200" t="s">
        <v>272</v>
      </c>
      <c r="F25" s="188" t="s">
        <v>264</v>
      </c>
      <c r="G25" s="195">
        <v>91342000</v>
      </c>
      <c r="H25" s="200" t="s">
        <v>267</v>
      </c>
      <c r="I25" s="178"/>
      <c r="J25" s="188" t="s">
        <v>264</v>
      </c>
      <c r="K25" s="195">
        <v>18680000</v>
      </c>
      <c r="L25" s="201" t="s">
        <v>268</v>
      </c>
      <c r="N25" s="188" t="s">
        <v>264</v>
      </c>
      <c r="O25" s="202">
        <v>36850</v>
      </c>
      <c r="P25" s="192" t="s">
        <v>154</v>
      </c>
      <c r="R25" s="188" t="s">
        <v>264</v>
      </c>
      <c r="S25" s="202">
        <v>27133</v>
      </c>
      <c r="T25" s="192" t="s">
        <v>155</v>
      </c>
      <c r="V25" s="188" t="s">
        <v>58</v>
      </c>
      <c r="W25" s="203">
        <v>2.1572324983513358E-2</v>
      </c>
      <c r="X25" s="192" t="s">
        <v>270</v>
      </c>
      <c r="Y25" s="204"/>
      <c r="Z25" s="188" t="s">
        <v>264</v>
      </c>
      <c r="AA25" s="202">
        <v>31991.5</v>
      </c>
      <c r="AB25" s="192">
        <v>2.7</v>
      </c>
      <c r="AC25" s="202">
        <v>11848.703703703703</v>
      </c>
      <c r="AD25" s="205">
        <v>2.1572324983513358E-2</v>
      </c>
      <c r="AE25" s="202">
        <v>22477.314009577654</v>
      </c>
      <c r="AF25" s="196"/>
      <c r="AG25" s="206"/>
      <c r="AH25" s="188" t="s">
        <v>264</v>
      </c>
      <c r="AI25" s="195">
        <v>789054074.40617955</v>
      </c>
      <c r="AJ25" s="195">
        <v>931688754.12430477</v>
      </c>
      <c r="AK25" s="192" t="s">
        <v>300</v>
      </c>
      <c r="AL25" s="206"/>
      <c r="AM25" s="188" t="s">
        <v>264</v>
      </c>
      <c r="AN25" s="195">
        <v>597660000.00000012</v>
      </c>
      <c r="AO25" s="195">
        <v>657410000</v>
      </c>
      <c r="AP25" s="196" t="s">
        <v>269</v>
      </c>
      <c r="AQ25" s="196" t="s">
        <v>271</v>
      </c>
      <c r="AR25" s="206"/>
      <c r="AS25" s="207" t="s">
        <v>264</v>
      </c>
      <c r="AT25" s="195">
        <v>657410000</v>
      </c>
      <c r="AU25" s="208">
        <v>0.1</v>
      </c>
      <c r="AV25" s="195">
        <v>65741000</v>
      </c>
      <c r="AW25" s="196"/>
      <c r="AX25" s="206"/>
      <c r="AY25" s="207" t="s">
        <v>264</v>
      </c>
      <c r="AZ25" s="195">
        <v>860371414.2652421</v>
      </c>
      <c r="BA25" s="208">
        <v>0.6</v>
      </c>
      <c r="BB25" s="195">
        <v>516222848.55914521</v>
      </c>
      <c r="BC25" s="196"/>
      <c r="BD25" s="206"/>
    </row>
    <row r="26" spans="1:56" x14ac:dyDescent="0.35">
      <c r="A26" s="179"/>
      <c r="B26" s="188" t="s">
        <v>265</v>
      </c>
      <c r="C26" s="195">
        <v>14927000</v>
      </c>
      <c r="D26" s="200" t="s">
        <v>245</v>
      </c>
      <c r="F26" s="188" t="s">
        <v>265</v>
      </c>
      <c r="G26" s="195">
        <v>46489900</v>
      </c>
      <c r="H26" s="200" t="s">
        <v>267</v>
      </c>
      <c r="I26" s="178"/>
      <c r="J26" s="188" t="s">
        <v>265</v>
      </c>
      <c r="K26" s="195">
        <v>7974000</v>
      </c>
      <c r="L26" s="201" t="s">
        <v>268</v>
      </c>
      <c r="N26" s="188" t="s">
        <v>265</v>
      </c>
      <c r="O26" s="202">
        <v>30854</v>
      </c>
      <c r="P26" s="192" t="s">
        <v>154</v>
      </c>
      <c r="R26" s="188" t="s">
        <v>265</v>
      </c>
      <c r="S26" s="202">
        <v>24106</v>
      </c>
      <c r="T26" s="192" t="s">
        <v>155</v>
      </c>
      <c r="V26" s="188" t="s">
        <v>59</v>
      </c>
      <c r="W26" s="203">
        <v>1.2761817817572796E-2</v>
      </c>
      <c r="X26" s="192" t="s">
        <v>270</v>
      </c>
      <c r="Y26" s="204"/>
      <c r="Z26" s="188" t="s">
        <v>265</v>
      </c>
      <c r="AA26" s="202">
        <v>27480</v>
      </c>
      <c r="AB26" s="192">
        <v>2.7</v>
      </c>
      <c r="AC26" s="202">
        <v>10177.777777777777</v>
      </c>
      <c r="AD26" s="205">
        <v>1.2761817817572796E-2</v>
      </c>
      <c r="AE26" s="202">
        <v>14889.240774470973</v>
      </c>
      <c r="AF26" s="196"/>
      <c r="AG26" s="206"/>
      <c r="AH26" s="188" t="s">
        <v>265</v>
      </c>
      <c r="AI26" s="195">
        <v>1061612086.7460042</v>
      </c>
      <c r="AJ26" s="195">
        <v>1245719739.9992378</v>
      </c>
      <c r="AK26" s="192" t="s">
        <v>301</v>
      </c>
      <c r="AL26" s="206"/>
      <c r="AM26" s="188" t="s">
        <v>265</v>
      </c>
      <c r="AN26" s="195">
        <v>391369573</v>
      </c>
      <c r="AO26" s="195">
        <v>512441863</v>
      </c>
      <c r="AP26" s="196" t="s">
        <v>269</v>
      </c>
      <c r="AQ26" s="196" t="s">
        <v>271</v>
      </c>
      <c r="AR26" s="206"/>
      <c r="AS26" s="207" t="s">
        <v>265</v>
      </c>
      <c r="AT26" s="195">
        <v>512441863</v>
      </c>
      <c r="AU26" s="208">
        <v>0.1</v>
      </c>
      <c r="AV26" s="195">
        <v>51244186.300000004</v>
      </c>
      <c r="AW26" s="196"/>
      <c r="AX26" s="206"/>
      <c r="AY26" s="207" t="s">
        <v>265</v>
      </c>
      <c r="AZ26" s="195">
        <v>1153665913.3726211</v>
      </c>
      <c r="BA26" s="208">
        <v>0.6</v>
      </c>
      <c r="BB26" s="195">
        <v>692199548.02357256</v>
      </c>
      <c r="BC26" s="196"/>
      <c r="BD26" s="206"/>
    </row>
    <row r="27" spans="1:56" x14ac:dyDescent="0.35">
      <c r="A27" s="179"/>
      <c r="B27" s="188" t="s">
        <v>266</v>
      </c>
      <c r="C27" s="195">
        <v>23321000</v>
      </c>
      <c r="D27" s="200" t="s">
        <v>272</v>
      </c>
      <c r="F27" s="188" t="s">
        <v>266</v>
      </c>
      <c r="G27" s="195">
        <v>80869000</v>
      </c>
      <c r="H27" s="200" t="s">
        <v>267</v>
      </c>
      <c r="I27" s="178"/>
      <c r="J27" s="188" t="s">
        <v>266</v>
      </c>
      <c r="K27" s="195">
        <v>13834485</v>
      </c>
      <c r="L27" s="201" t="s">
        <v>268</v>
      </c>
      <c r="N27" s="188" t="s">
        <v>266</v>
      </c>
      <c r="O27" s="202">
        <v>46000</v>
      </c>
      <c r="P27" s="192" t="s">
        <v>154</v>
      </c>
      <c r="R27" s="188" t="s">
        <v>266</v>
      </c>
      <c r="S27" s="202">
        <v>43000</v>
      </c>
      <c r="T27" s="192" t="s">
        <v>155</v>
      </c>
      <c r="V27" s="188" t="s">
        <v>57</v>
      </c>
      <c r="W27" s="203">
        <v>1.0913346129018064E-2</v>
      </c>
      <c r="X27" s="192" t="s">
        <v>270</v>
      </c>
      <c r="Y27" s="204"/>
      <c r="Z27" s="188" t="s">
        <v>266</v>
      </c>
      <c r="AA27" s="202">
        <v>44500</v>
      </c>
      <c r="AB27" s="192">
        <v>2.7</v>
      </c>
      <c r="AC27" s="202">
        <v>16481.481481481482</v>
      </c>
      <c r="AD27" s="205">
        <v>1.0913346129018064E-2</v>
      </c>
      <c r="AE27" s="202">
        <v>22825.176874936133</v>
      </c>
      <c r="AF27" s="196"/>
      <c r="AG27" s="206"/>
      <c r="AH27" s="188" t="s">
        <v>266</v>
      </c>
      <c r="AI27" s="195">
        <v>956574356.65680242</v>
      </c>
      <c r="AJ27" s="195">
        <v>1137936539.6543155</v>
      </c>
      <c r="AK27" s="192" t="s">
        <v>301</v>
      </c>
      <c r="AL27" s="206"/>
      <c r="AM27" s="188" t="s">
        <v>266</v>
      </c>
      <c r="AN27" s="195">
        <v>702180000.00000012</v>
      </c>
      <c r="AO27" s="195">
        <v>877725000</v>
      </c>
      <c r="AP27" s="196" t="s">
        <v>269</v>
      </c>
      <c r="AQ27" s="196" t="s">
        <v>271</v>
      </c>
      <c r="AR27" s="206"/>
      <c r="AS27" s="207" t="s">
        <v>266</v>
      </c>
      <c r="AT27" s="195">
        <v>877725000</v>
      </c>
      <c r="AU27" s="208">
        <v>0.1</v>
      </c>
      <c r="AV27" s="195">
        <v>87772500</v>
      </c>
      <c r="AW27" s="196"/>
      <c r="AX27" s="206"/>
      <c r="AY27" s="207" t="s">
        <v>266</v>
      </c>
      <c r="AZ27" s="195">
        <v>1047255448.1555589</v>
      </c>
      <c r="BA27" s="208">
        <v>0.6</v>
      </c>
      <c r="BB27" s="195">
        <v>628353268.89333534</v>
      </c>
      <c r="BC27" s="196"/>
      <c r="BD27" s="206"/>
    </row>
    <row r="28" spans="1:56" x14ac:dyDescent="0.35">
      <c r="A28" s="179"/>
      <c r="B28" s="188"/>
      <c r="C28" s="195"/>
      <c r="D28" s="200"/>
      <c r="F28" s="188"/>
      <c r="G28" s="195"/>
      <c r="H28" s="200"/>
      <c r="I28" s="178"/>
      <c r="J28" s="188"/>
      <c r="K28" s="209"/>
      <c r="L28" s="201"/>
      <c r="N28" s="188"/>
      <c r="O28" s="202"/>
      <c r="P28" s="192"/>
      <c r="R28" s="188"/>
      <c r="S28" s="202"/>
      <c r="T28" s="192"/>
      <c r="V28" s="210"/>
      <c r="W28" s="211"/>
      <c r="Y28" s="204"/>
      <c r="Z28" s="188"/>
      <c r="AA28" s="202"/>
      <c r="AB28" s="192"/>
      <c r="AC28" s="202"/>
      <c r="AD28" s="205"/>
      <c r="AE28" s="202"/>
      <c r="AF28" s="196"/>
      <c r="AG28" s="206"/>
      <c r="AH28" s="188"/>
      <c r="AI28" s="195"/>
      <c r="AJ28" s="195"/>
      <c r="AK28" s="192"/>
      <c r="AL28" s="206"/>
      <c r="AM28" s="188"/>
      <c r="AN28" s="195"/>
      <c r="AO28" s="195"/>
      <c r="AP28" s="196"/>
      <c r="AQ28" s="196"/>
      <c r="AR28" s="206"/>
      <c r="AS28" s="207"/>
      <c r="AT28" s="195"/>
      <c r="AU28" s="208"/>
      <c r="AV28" s="195"/>
      <c r="AW28" s="196"/>
      <c r="AX28" s="206"/>
      <c r="AY28" s="207"/>
      <c r="AZ28" s="195"/>
      <c r="BA28" s="208"/>
      <c r="BB28" s="212"/>
      <c r="BC28" s="196"/>
      <c r="BD28" s="206"/>
    </row>
    <row r="29" spans="1:56" x14ac:dyDescent="0.35">
      <c r="A29" s="178"/>
      <c r="B29" s="188" t="s">
        <v>229</v>
      </c>
      <c r="C29" s="195">
        <v>558887327</v>
      </c>
      <c r="D29" s="193" t="s">
        <v>276</v>
      </c>
      <c r="F29" s="188" t="s">
        <v>229</v>
      </c>
      <c r="G29" s="195">
        <v>1411567788.5587454</v>
      </c>
      <c r="H29" s="193" t="s">
        <v>276</v>
      </c>
      <c r="I29" s="178"/>
      <c r="J29" s="188" t="s">
        <v>229</v>
      </c>
      <c r="K29" s="195">
        <v>277805587.94999999</v>
      </c>
      <c r="L29" s="193" t="s">
        <v>276</v>
      </c>
      <c r="N29" s="188" t="s">
        <v>229</v>
      </c>
      <c r="O29" s="213">
        <v>814976.37459884293</v>
      </c>
      <c r="P29" s="193" t="s">
        <v>276</v>
      </c>
      <c r="R29" s="188" t="s">
        <v>229</v>
      </c>
      <c r="S29" s="213">
        <v>784240.4894885103</v>
      </c>
      <c r="T29" s="193" t="s">
        <v>276</v>
      </c>
      <c r="V29" s="214"/>
      <c r="W29" s="214"/>
      <c r="X29" s="214"/>
      <c r="Y29" s="214"/>
      <c r="Z29" s="188" t="s">
        <v>229</v>
      </c>
      <c r="AA29" s="213">
        <v>799608.4320436765</v>
      </c>
      <c r="AB29" s="192">
        <v>2.7</v>
      </c>
      <c r="AC29" s="213">
        <v>296151.27112728759</v>
      </c>
      <c r="AD29" s="192"/>
      <c r="AE29" s="213">
        <v>482225.29512709362</v>
      </c>
      <c r="AF29" s="193">
        <v>1.6384139991739488E-2</v>
      </c>
      <c r="AG29" s="211"/>
      <c r="AH29" s="188" t="s">
        <v>229</v>
      </c>
      <c r="AI29" s="195">
        <v>21201759800.489105</v>
      </c>
      <c r="AJ29" s="195">
        <v>23215746958.301376</v>
      </c>
      <c r="AK29" s="193" t="s">
        <v>276</v>
      </c>
      <c r="AL29" s="211"/>
      <c r="AM29" s="188" t="s">
        <v>229</v>
      </c>
      <c r="AN29" s="195">
        <v>11335223953.607929</v>
      </c>
      <c r="AO29" s="195">
        <v>15359576856.519333</v>
      </c>
      <c r="AP29" s="193"/>
      <c r="AQ29" s="192"/>
      <c r="AR29" s="211"/>
      <c r="AS29" s="207" t="s">
        <v>66</v>
      </c>
      <c r="AT29" s="195">
        <v>15359576856.519333</v>
      </c>
      <c r="AU29" s="193"/>
      <c r="AV29" s="195">
        <v>1535957685.6519334</v>
      </c>
      <c r="AW29" s="215">
        <v>0.1</v>
      </c>
      <c r="AX29" s="211"/>
      <c r="AY29" s="207" t="s">
        <v>66</v>
      </c>
      <c r="AZ29" s="195">
        <v>22208753379.395237</v>
      </c>
      <c r="BA29" s="193"/>
      <c r="BB29" s="195">
        <v>13325252027.637144</v>
      </c>
      <c r="BC29" s="215">
        <v>0.60000000000000009</v>
      </c>
      <c r="BD29" s="211"/>
    </row>
  </sheetData>
  <autoFilter ref="A5:BD5" xr:uid="{22BC79C2-BEDF-4D83-B9CC-C94441EF55F3}"/>
  <mergeCells count="1">
    <mergeCell ref="AP5:AQ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202"/>
  <sheetViews>
    <sheetView zoomScale="55" zoomScaleNormal="55"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7" bestFit="1" customWidth="1"/>
    <col min="4" max="4" width="29.58203125" style="108"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6" t="s">
        <v>167</v>
      </c>
    </row>
    <row r="2" spans="1:33" ht="26.5" thickBot="1" x14ac:dyDescent="0.4">
      <c r="A2" s="109"/>
      <c r="B2" s="109"/>
      <c r="D2" s="110"/>
    </row>
    <row r="3" spans="1:33" s="112" customFormat="1" ht="21.5" thickBot="1" x14ac:dyDescent="0.4">
      <c r="A3" s="84"/>
      <c r="B3" s="84"/>
      <c r="C3" s="111"/>
      <c r="D3" s="217" t="s">
        <v>27</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row>
    <row r="4" spans="1:33" s="118" customFormat="1" ht="16" thickBot="1" x14ac:dyDescent="0.4">
      <c r="A4" s="113" t="s">
        <v>25</v>
      </c>
      <c r="B4" s="113" t="s">
        <v>203</v>
      </c>
      <c r="C4" s="114" t="s">
        <v>26</v>
      </c>
      <c r="D4" s="115">
        <v>2022</v>
      </c>
      <c r="E4" s="116">
        <f t="shared" ref="E4:AG4" si="0">D4+1</f>
        <v>2023</v>
      </c>
      <c r="F4" s="117">
        <f t="shared" si="0"/>
        <v>2024</v>
      </c>
      <c r="G4" s="116">
        <f t="shared" si="0"/>
        <v>2025</v>
      </c>
      <c r="H4" s="117">
        <f t="shared" si="0"/>
        <v>2026</v>
      </c>
      <c r="I4" s="116">
        <f t="shared" si="0"/>
        <v>2027</v>
      </c>
      <c r="J4" s="117">
        <f t="shared" si="0"/>
        <v>2028</v>
      </c>
      <c r="K4" s="116">
        <f t="shared" si="0"/>
        <v>2029</v>
      </c>
      <c r="L4" s="117">
        <f t="shared" si="0"/>
        <v>2030</v>
      </c>
      <c r="M4" s="116">
        <f t="shared" si="0"/>
        <v>2031</v>
      </c>
      <c r="N4" s="117">
        <f t="shared" si="0"/>
        <v>2032</v>
      </c>
      <c r="O4" s="116">
        <f t="shared" si="0"/>
        <v>2033</v>
      </c>
      <c r="P4" s="117">
        <f t="shared" si="0"/>
        <v>2034</v>
      </c>
      <c r="Q4" s="116">
        <f t="shared" si="0"/>
        <v>2035</v>
      </c>
      <c r="R4" s="117">
        <f t="shared" si="0"/>
        <v>2036</v>
      </c>
      <c r="S4" s="116">
        <f t="shared" si="0"/>
        <v>2037</v>
      </c>
      <c r="T4" s="117">
        <f t="shared" si="0"/>
        <v>2038</v>
      </c>
      <c r="U4" s="116">
        <f t="shared" si="0"/>
        <v>2039</v>
      </c>
      <c r="V4" s="117">
        <f t="shared" si="0"/>
        <v>2040</v>
      </c>
      <c r="W4" s="116">
        <f t="shared" si="0"/>
        <v>2041</v>
      </c>
      <c r="X4" s="117">
        <f t="shared" si="0"/>
        <v>2042</v>
      </c>
      <c r="Y4" s="116">
        <f t="shared" si="0"/>
        <v>2043</v>
      </c>
      <c r="Z4" s="117">
        <f t="shared" si="0"/>
        <v>2044</v>
      </c>
      <c r="AA4" s="116">
        <f t="shared" si="0"/>
        <v>2045</v>
      </c>
      <c r="AB4" s="117">
        <f t="shared" si="0"/>
        <v>2046</v>
      </c>
      <c r="AC4" s="116">
        <f t="shared" si="0"/>
        <v>2047</v>
      </c>
      <c r="AD4" s="117">
        <f t="shared" si="0"/>
        <v>2048</v>
      </c>
      <c r="AE4" s="116">
        <f t="shared" si="0"/>
        <v>2049</v>
      </c>
      <c r="AF4" s="117">
        <f t="shared" si="0"/>
        <v>2050</v>
      </c>
      <c r="AG4" s="116">
        <f t="shared" si="0"/>
        <v>2051</v>
      </c>
    </row>
    <row r="5" spans="1:33" s="118" customFormat="1" x14ac:dyDescent="0.35">
      <c r="A5" s="119"/>
      <c r="B5" s="119"/>
      <c r="C5" s="120"/>
      <c r="D5" s="121"/>
      <c r="E5" s="122"/>
      <c r="F5" s="121"/>
      <c r="G5" s="122"/>
      <c r="H5" s="121"/>
      <c r="I5" s="122"/>
      <c r="J5" s="121"/>
      <c r="K5" s="122"/>
      <c r="L5" s="121"/>
      <c r="M5" s="122"/>
      <c r="N5" s="121"/>
      <c r="O5" s="122"/>
      <c r="P5" s="121"/>
      <c r="Q5" s="122"/>
      <c r="R5" s="121"/>
      <c r="S5" s="122"/>
      <c r="T5" s="121"/>
      <c r="U5" s="122"/>
      <c r="V5" s="121"/>
      <c r="W5" s="122"/>
      <c r="X5" s="121"/>
      <c r="Y5" s="122"/>
      <c r="Z5" s="121"/>
      <c r="AA5" s="122"/>
      <c r="AB5" s="121"/>
      <c r="AC5" s="122"/>
      <c r="AD5" s="121"/>
      <c r="AE5" s="122"/>
      <c r="AF5" s="121"/>
      <c r="AG5" s="122"/>
    </row>
    <row r="6" spans="1:33" s="118" customFormat="1" x14ac:dyDescent="0.35">
      <c r="A6" s="123" t="s">
        <v>28</v>
      </c>
      <c r="B6" s="123"/>
      <c r="C6" s="114"/>
      <c r="D6" s="115"/>
      <c r="E6" s="116"/>
      <c r="F6" s="115"/>
      <c r="G6" s="116"/>
      <c r="H6" s="115"/>
      <c r="I6" s="116"/>
      <c r="J6" s="115"/>
      <c r="K6" s="116"/>
      <c r="L6" s="115"/>
      <c r="M6" s="116"/>
      <c r="N6" s="115"/>
      <c r="O6" s="116"/>
      <c r="P6" s="115"/>
      <c r="Q6" s="116"/>
      <c r="R6" s="115"/>
      <c r="S6" s="116"/>
      <c r="T6" s="115"/>
      <c r="U6" s="116"/>
      <c r="V6" s="115"/>
      <c r="W6" s="116"/>
      <c r="X6" s="115"/>
      <c r="Y6" s="116"/>
      <c r="Z6" s="115"/>
      <c r="AA6" s="116"/>
      <c r="AB6" s="115"/>
      <c r="AC6" s="116"/>
      <c r="AD6" s="115"/>
      <c r="AE6" s="116"/>
      <c r="AF6" s="115"/>
      <c r="AG6" s="116"/>
    </row>
    <row r="7" spans="1:33" s="118" customFormat="1" x14ac:dyDescent="0.35">
      <c r="A7" s="123"/>
      <c r="B7" s="123"/>
      <c r="C7" s="114"/>
      <c r="D7" s="115"/>
      <c r="E7" s="116"/>
      <c r="F7" s="115"/>
      <c r="G7" s="116"/>
      <c r="H7" s="115"/>
      <c r="I7" s="116"/>
      <c r="J7" s="115"/>
      <c r="K7" s="116"/>
      <c r="L7" s="115"/>
      <c r="M7" s="116"/>
      <c r="N7" s="115"/>
      <c r="O7" s="116"/>
      <c r="P7" s="115"/>
      <c r="Q7" s="116"/>
      <c r="R7" s="115"/>
      <c r="S7" s="116"/>
      <c r="T7" s="115"/>
      <c r="U7" s="116"/>
      <c r="V7" s="115"/>
      <c r="W7" s="116"/>
      <c r="X7" s="115"/>
      <c r="Y7" s="116"/>
      <c r="Z7" s="115"/>
      <c r="AA7" s="116"/>
      <c r="AB7" s="115"/>
      <c r="AC7" s="116"/>
      <c r="AD7" s="115"/>
      <c r="AE7" s="116"/>
      <c r="AF7" s="115"/>
      <c r="AG7" s="116"/>
    </row>
    <row r="8" spans="1:33" x14ac:dyDescent="0.35">
      <c r="A8" s="77" t="s">
        <v>29</v>
      </c>
      <c r="B8" s="77"/>
      <c r="C8" s="124"/>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8" customFormat="1" x14ac:dyDescent="0.35">
      <c r="A9" s="78" t="s">
        <v>86</v>
      </c>
      <c r="B9" s="78" t="s">
        <v>152</v>
      </c>
      <c r="C9" s="125">
        <v>2.1999999999999999E-2</v>
      </c>
      <c r="D9" s="126">
        <f t="shared" ref="D9:AG9" si="1">(1+$C$9)^D8</f>
        <v>1.022</v>
      </c>
      <c r="E9" s="126">
        <f t="shared" si="1"/>
        <v>1.044484</v>
      </c>
      <c r="F9" s="126">
        <f t="shared" si="1"/>
        <v>1.067462648</v>
      </c>
      <c r="G9" s="126">
        <f t="shared" si="1"/>
        <v>1.090946826256</v>
      </c>
      <c r="H9" s="126">
        <f t="shared" si="1"/>
        <v>1.114947656433632</v>
      </c>
      <c r="I9" s="126">
        <f t="shared" si="1"/>
        <v>1.1394765048751718</v>
      </c>
      <c r="J9" s="126">
        <f t="shared" si="1"/>
        <v>1.1645449879824257</v>
      </c>
      <c r="K9" s="126">
        <f t="shared" si="1"/>
        <v>1.1901649777180392</v>
      </c>
      <c r="L9" s="126">
        <f t="shared" si="1"/>
        <v>1.216348607227836</v>
      </c>
      <c r="M9" s="126">
        <f t="shared" si="1"/>
        <v>1.2431082765868484</v>
      </c>
      <c r="N9" s="126">
        <f t="shared" si="1"/>
        <v>1.2704566586717592</v>
      </c>
      <c r="O9" s="126">
        <f t="shared" si="1"/>
        <v>1.2984067051625379</v>
      </c>
      <c r="P9" s="126">
        <f t="shared" si="1"/>
        <v>1.3269716526761137</v>
      </c>
      <c r="Q9" s="126">
        <f t="shared" si="1"/>
        <v>1.356165029034988</v>
      </c>
      <c r="R9" s="126">
        <f t="shared" si="1"/>
        <v>1.386000659673758</v>
      </c>
      <c r="S9" s="126">
        <f t="shared" si="1"/>
        <v>1.4164926741865806</v>
      </c>
      <c r="T9" s="126">
        <f t="shared" si="1"/>
        <v>1.4476555130186854</v>
      </c>
      <c r="U9" s="126">
        <f t="shared" si="1"/>
        <v>1.4795039343050964</v>
      </c>
      <c r="V9" s="126">
        <f t="shared" si="1"/>
        <v>1.5120530208598086</v>
      </c>
      <c r="W9" s="126">
        <f t="shared" si="1"/>
        <v>1.5453181873187245</v>
      </c>
      <c r="X9" s="126">
        <f t="shared" si="1"/>
        <v>1.5793151874397364</v>
      </c>
      <c r="Y9" s="126">
        <f t="shared" si="1"/>
        <v>1.6140601215634105</v>
      </c>
      <c r="Z9" s="126">
        <f t="shared" si="1"/>
        <v>1.6495694442378055</v>
      </c>
      <c r="AA9" s="126">
        <f t="shared" si="1"/>
        <v>1.6858599720110374</v>
      </c>
      <c r="AB9" s="126">
        <f t="shared" si="1"/>
        <v>1.7229488913952802</v>
      </c>
      <c r="AC9" s="126">
        <f t="shared" si="1"/>
        <v>1.7608537670059765</v>
      </c>
      <c r="AD9" s="126">
        <f t="shared" si="1"/>
        <v>1.799592549880108</v>
      </c>
      <c r="AE9" s="126">
        <f t="shared" si="1"/>
        <v>1.8391835859774703</v>
      </c>
      <c r="AF9" s="126">
        <f t="shared" si="1"/>
        <v>1.8796456248689748</v>
      </c>
      <c r="AG9" s="126">
        <f t="shared" si="1"/>
        <v>1.920997828616092</v>
      </c>
    </row>
    <row r="10" spans="1:33" s="118" customFormat="1" x14ac:dyDescent="0.35">
      <c r="A10" s="78"/>
      <c r="B10" s="78"/>
      <c r="C10" s="125"/>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row>
    <row r="11" spans="1:33" s="118" customFormat="1" x14ac:dyDescent="0.35">
      <c r="A11" s="77" t="s">
        <v>87</v>
      </c>
      <c r="B11" s="78" t="s">
        <v>277</v>
      </c>
      <c r="C11" s="125">
        <v>0</v>
      </c>
      <c r="D11" s="126">
        <f t="shared" ref="D11:AG11" si="2">(1+$C$9+$C$11)^D8</f>
        <v>1.022</v>
      </c>
      <c r="E11" s="126">
        <f t="shared" si="2"/>
        <v>1.044484</v>
      </c>
      <c r="F11" s="126">
        <f t="shared" si="2"/>
        <v>1.067462648</v>
      </c>
      <c r="G11" s="126">
        <f t="shared" si="2"/>
        <v>1.090946826256</v>
      </c>
      <c r="H11" s="126">
        <f t="shared" si="2"/>
        <v>1.114947656433632</v>
      </c>
      <c r="I11" s="126">
        <f t="shared" si="2"/>
        <v>1.1394765048751718</v>
      </c>
      <c r="J11" s="126">
        <f t="shared" si="2"/>
        <v>1.1645449879824257</v>
      </c>
      <c r="K11" s="126">
        <f t="shared" si="2"/>
        <v>1.1901649777180392</v>
      </c>
      <c r="L11" s="126">
        <f t="shared" si="2"/>
        <v>1.216348607227836</v>
      </c>
      <c r="M11" s="126">
        <f t="shared" si="2"/>
        <v>1.2431082765868484</v>
      </c>
      <c r="N11" s="126">
        <f t="shared" si="2"/>
        <v>1.2704566586717592</v>
      </c>
      <c r="O11" s="126">
        <f t="shared" si="2"/>
        <v>1.2984067051625379</v>
      </c>
      <c r="P11" s="126">
        <f t="shared" si="2"/>
        <v>1.3269716526761137</v>
      </c>
      <c r="Q11" s="126">
        <f t="shared" si="2"/>
        <v>1.356165029034988</v>
      </c>
      <c r="R11" s="126">
        <f t="shared" si="2"/>
        <v>1.386000659673758</v>
      </c>
      <c r="S11" s="126">
        <f t="shared" si="2"/>
        <v>1.4164926741865806</v>
      </c>
      <c r="T11" s="126">
        <f t="shared" si="2"/>
        <v>1.4476555130186854</v>
      </c>
      <c r="U11" s="126">
        <f t="shared" si="2"/>
        <v>1.4795039343050964</v>
      </c>
      <c r="V11" s="126">
        <f t="shared" si="2"/>
        <v>1.5120530208598086</v>
      </c>
      <c r="W11" s="126">
        <f t="shared" si="2"/>
        <v>1.5453181873187245</v>
      </c>
      <c r="X11" s="126">
        <f t="shared" si="2"/>
        <v>1.5793151874397364</v>
      </c>
      <c r="Y11" s="126">
        <f t="shared" si="2"/>
        <v>1.6140601215634105</v>
      </c>
      <c r="Z11" s="126">
        <f t="shared" si="2"/>
        <v>1.6495694442378055</v>
      </c>
      <c r="AA11" s="126">
        <f t="shared" si="2"/>
        <v>1.6858599720110374</v>
      </c>
      <c r="AB11" s="126">
        <f t="shared" si="2"/>
        <v>1.7229488913952802</v>
      </c>
      <c r="AC11" s="126">
        <f t="shared" si="2"/>
        <v>1.7608537670059765</v>
      </c>
      <c r="AD11" s="126">
        <f t="shared" si="2"/>
        <v>1.799592549880108</v>
      </c>
      <c r="AE11" s="126">
        <f t="shared" si="2"/>
        <v>1.8391835859774703</v>
      </c>
      <c r="AF11" s="126">
        <f t="shared" si="2"/>
        <v>1.8796456248689748</v>
      </c>
      <c r="AG11" s="126">
        <f t="shared" si="2"/>
        <v>1.920997828616092</v>
      </c>
    </row>
    <row r="12" spans="1:33" s="118" customFormat="1" x14ac:dyDescent="0.35">
      <c r="A12" s="77"/>
      <c r="B12" s="77"/>
      <c r="C12" s="125"/>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row>
    <row r="13" spans="1:33" s="118" customFormat="1" x14ac:dyDescent="0.35">
      <c r="A13" s="77" t="s">
        <v>31</v>
      </c>
      <c r="B13" s="104" t="s">
        <v>278</v>
      </c>
      <c r="C13" s="125">
        <f>'Data sheet'!AF29</f>
        <v>1.6384139991739488E-2</v>
      </c>
      <c r="D13" s="126">
        <f t="shared" ref="D13:AG13" si="3">(1+$C$13)^D8</f>
        <v>1.0163841399917395</v>
      </c>
      <c r="E13" s="126">
        <f t="shared" si="3"/>
        <v>1.0330367200267478</v>
      </c>
      <c r="F13" s="126">
        <f t="shared" si="3"/>
        <v>1.0499621382642734</v>
      </c>
      <c r="G13" s="126">
        <f t="shared" si="3"/>
        <v>1.0671648649236214</v>
      </c>
      <c r="H13" s="126">
        <f t="shared" si="3"/>
        <v>1.0846494434647957</v>
      </c>
      <c r="I13" s="126">
        <f t="shared" si="3"/>
        <v>1.1024204917884852</v>
      </c>
      <c r="J13" s="126">
        <f t="shared" si="3"/>
        <v>1.1204827034557101</v>
      </c>
      <c r="K13" s="126">
        <f t="shared" si="3"/>
        <v>1.1388408489274511</v>
      </c>
      <c r="L13" s="126">
        <f t="shared" si="3"/>
        <v>1.1574997768245898</v>
      </c>
      <c r="M13" s="126">
        <f t="shared" si="3"/>
        <v>1.1764644152084911</v>
      </c>
      <c r="N13" s="126">
        <f t="shared" si="3"/>
        <v>1.1957397728825669</v>
      </c>
      <c r="O13" s="126">
        <f t="shared" si="3"/>
        <v>1.2153309407151656</v>
      </c>
      <c r="P13" s="126">
        <f t="shared" si="3"/>
        <v>1.2352430929841354</v>
      </c>
      <c r="Q13" s="126">
        <f t="shared" si="3"/>
        <v>1.2554814887434167</v>
      </c>
      <c r="R13" s="126">
        <f t="shared" si="3"/>
        <v>1.2760514732120263</v>
      </c>
      <c r="S13" s="126">
        <f t="shared" si="3"/>
        <v>1.2969584791857975</v>
      </c>
      <c r="T13" s="126">
        <f t="shared" si="3"/>
        <v>1.3182080284722513</v>
      </c>
      <c r="U13" s="126">
        <f t="shared" si="3"/>
        <v>1.3398057333489755</v>
      </c>
      <c r="V13" s="126">
        <f t="shared" si="3"/>
        <v>1.3617572980459001</v>
      </c>
      <c r="W13" s="126">
        <f t="shared" si="3"/>
        <v>1.384068520251857</v>
      </c>
      <c r="X13" s="126">
        <f t="shared" si="3"/>
        <v>1.4067452926458233</v>
      </c>
      <c r="Y13" s="126">
        <f t="shared" si="3"/>
        <v>1.4297936044532529</v>
      </c>
      <c r="Z13" s="126">
        <f t="shared" si="3"/>
        <v>1.4532195430279087</v>
      </c>
      <c r="AA13" s="126">
        <f t="shared" si="3"/>
        <v>1.4770292954596096</v>
      </c>
      <c r="AB13" s="126">
        <f t="shared" si="3"/>
        <v>1.5012291502083202</v>
      </c>
      <c r="AC13" s="126">
        <f t="shared" si="3"/>
        <v>1.5258254987650133</v>
      </c>
      <c r="AD13" s="126">
        <f t="shared" si="3"/>
        <v>1.5508248373397451</v>
      </c>
      <c r="AE13" s="126">
        <f t="shared" si="3"/>
        <v>1.5762337685773857</v>
      </c>
      <c r="AF13" s="126">
        <f t="shared" si="3"/>
        <v>1.602059003301465</v>
      </c>
      <c r="AG13" s="126">
        <f t="shared" si="3"/>
        <v>1.6283073622865827</v>
      </c>
    </row>
    <row r="14" spans="1:33" ht="16" thickBot="1" x14ac:dyDescent="0.4">
      <c r="A14" s="79"/>
      <c r="B14" s="79"/>
      <c r="C14" s="127"/>
      <c r="D14" s="163"/>
      <c r="E14" s="129"/>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33" x14ac:dyDescent="0.35">
      <c r="A15" s="80" t="s">
        <v>200</v>
      </c>
      <c r="B15" s="173" t="s">
        <v>201</v>
      </c>
      <c r="C15" s="131"/>
      <c r="D15" s="132"/>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3" x14ac:dyDescent="0.35">
      <c r="A16" s="77"/>
      <c r="B16" s="77"/>
      <c r="C16" s="124"/>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153</v>
      </c>
      <c r="B17" s="77" t="s">
        <v>177</v>
      </c>
      <c r="C17" s="134">
        <f>AVERAGE(C69:C70)</f>
        <v>13347400405.063631</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150</v>
      </c>
      <c r="C18" s="134">
        <f>C17/2</f>
        <v>6673700202.5318155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4"/>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88</v>
      </c>
      <c r="B20" s="104" t="s">
        <v>278</v>
      </c>
      <c r="C20" s="135">
        <f>'Data sheet'!G29</f>
        <v>1411567788.5587454</v>
      </c>
      <c r="D20" s="138"/>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5"/>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6" customFormat="1" x14ac:dyDescent="0.35">
      <c r="A22" s="80" t="s">
        <v>165</v>
      </c>
      <c r="B22" s="173" t="s">
        <v>201</v>
      </c>
      <c r="C22" s="131"/>
      <c r="D22" s="132"/>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1:33" x14ac:dyDescent="0.35">
      <c r="A23" s="77"/>
      <c r="B23" s="77"/>
      <c r="C23" s="124"/>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04" t="s">
        <v>278</v>
      </c>
      <c r="C24" s="134">
        <f>'Data sheet'!C29</f>
        <v>558887327</v>
      </c>
      <c r="D24" s="138"/>
      <c r="E24" s="164"/>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104" t="s">
        <v>278</v>
      </c>
      <c r="C25" s="134">
        <f>'Data sheet'!K29</f>
        <v>277805587.94999999</v>
      </c>
      <c r="D25" s="138"/>
      <c r="E25" s="164"/>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152</v>
      </c>
      <c r="C26" s="137">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68</v>
      </c>
      <c r="B27" s="78" t="s">
        <v>152</v>
      </c>
      <c r="C27" s="137">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4"/>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6" customFormat="1" x14ac:dyDescent="0.35">
      <c r="A29" s="80" t="s">
        <v>204</v>
      </c>
      <c r="B29" s="80"/>
      <c r="C29" s="131"/>
      <c r="D29" s="132"/>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row>
    <row r="30" spans="1:33" s="73" customFormat="1" x14ac:dyDescent="0.35">
      <c r="A30" s="86"/>
      <c r="B30" s="86"/>
      <c r="C30" s="124"/>
      <c r="D30" s="72"/>
    </row>
    <row r="31" spans="1:33" s="73" customFormat="1" x14ac:dyDescent="0.35">
      <c r="A31" s="174" t="s">
        <v>205</v>
      </c>
      <c r="B31" s="174" t="s">
        <v>177</v>
      </c>
      <c r="C31" s="71">
        <f>C136</f>
        <v>799608.43204367661</v>
      </c>
      <c r="D31" s="72"/>
    </row>
    <row r="32" spans="1:33" x14ac:dyDescent="0.35">
      <c r="A32" s="77" t="s">
        <v>206</v>
      </c>
      <c r="B32" s="77" t="s">
        <v>214</v>
      </c>
      <c r="C32" s="71">
        <v>4344965.8520436771</v>
      </c>
      <c r="D32" s="72"/>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77" t="s">
        <v>207</v>
      </c>
      <c r="B33" s="77" t="s">
        <v>113</v>
      </c>
      <c r="C33" s="147">
        <f>C31/C32</f>
        <v>0.18403100490826105</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77"/>
      <c r="B34" s="77"/>
      <c r="C34" s="124"/>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s="73" customFormat="1" x14ac:dyDescent="0.35">
      <c r="A35" s="77" t="s">
        <v>208</v>
      </c>
      <c r="B35" s="174" t="s">
        <v>150</v>
      </c>
      <c r="C35" s="134">
        <v>3000000000</v>
      </c>
      <c r="D35" s="72"/>
    </row>
    <row r="36" spans="1:33" x14ac:dyDescent="0.35">
      <c r="A36" s="77"/>
      <c r="B36" s="77"/>
      <c r="C36" s="124"/>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77" t="s">
        <v>209</v>
      </c>
      <c r="B37" s="77" t="s">
        <v>113</v>
      </c>
      <c r="C37" s="134">
        <f>C35*$C$33</f>
        <v>552093014.72478318</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77"/>
      <c r="B38" s="77"/>
      <c r="C38" s="124"/>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77" t="s">
        <v>224</v>
      </c>
      <c r="B39" s="77"/>
      <c r="C39" s="124">
        <v>30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77"/>
      <c r="B40" s="77"/>
      <c r="C40" s="124"/>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77" t="s">
        <v>211</v>
      </c>
      <c r="B41" s="174" t="s">
        <v>150</v>
      </c>
      <c r="C41" s="134">
        <v>1000000000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77"/>
      <c r="B42" s="77"/>
      <c r="C42" s="124"/>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76" t="s">
        <v>212</v>
      </c>
      <c r="B43" s="77" t="s">
        <v>113</v>
      </c>
      <c r="C43" s="134">
        <f>C41*$C$33</f>
        <v>184031004.90826106</v>
      </c>
    </row>
    <row r="44" spans="1:33" x14ac:dyDescent="0.35">
      <c r="B44" s="77"/>
      <c r="C44" s="124"/>
    </row>
    <row r="45" spans="1:33" x14ac:dyDescent="0.35">
      <c r="A45" s="76" t="s">
        <v>213</v>
      </c>
      <c r="B45" s="77" t="s">
        <v>150</v>
      </c>
      <c r="C45" s="124">
        <v>5</v>
      </c>
    </row>
    <row r="46" spans="1:33" x14ac:dyDescent="0.35">
      <c r="B46" s="77"/>
      <c r="C46" s="124"/>
    </row>
    <row r="47" spans="1:33" x14ac:dyDescent="0.35">
      <c r="A47" s="76" t="s">
        <v>210</v>
      </c>
      <c r="B47" s="77" t="s">
        <v>113</v>
      </c>
      <c r="C47" s="134">
        <f>SUM(D47:H47)</f>
        <v>184031004.90826106</v>
      </c>
      <c r="D47" s="108">
        <f>$C$43/$C$45</f>
        <v>36806200.981652215</v>
      </c>
      <c r="E47" s="108">
        <f t="shared" ref="E47:H47" si="4">$C$43/$C$45</f>
        <v>36806200.981652215</v>
      </c>
      <c r="F47" s="108">
        <f t="shared" si="4"/>
        <v>36806200.981652215</v>
      </c>
      <c r="G47" s="108">
        <f t="shared" si="4"/>
        <v>36806200.981652215</v>
      </c>
      <c r="H47" s="108">
        <f t="shared" si="4"/>
        <v>36806200.981652215</v>
      </c>
    </row>
    <row r="48" spans="1:33" s="73" customFormat="1" ht="16" thickBot="1" x14ac:dyDescent="0.4">
      <c r="A48" s="86"/>
      <c r="B48" s="86"/>
      <c r="C48" s="124"/>
      <c r="D48" s="72"/>
    </row>
    <row r="49" spans="1:33" s="136" customFormat="1" x14ac:dyDescent="0.35">
      <c r="A49" s="80" t="s">
        <v>74</v>
      </c>
      <c r="B49" s="80"/>
      <c r="C49" s="131"/>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row>
    <row r="50" spans="1:33" x14ac:dyDescent="0.35">
      <c r="A50" s="77"/>
      <c r="B50" s="77"/>
      <c r="C50" s="124"/>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t="s">
        <v>75</v>
      </c>
      <c r="B51" s="70" t="s">
        <v>217</v>
      </c>
      <c r="C51" s="125">
        <v>-0.56589719670664207</v>
      </c>
      <c r="D51" s="138"/>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76</v>
      </c>
      <c r="B52" s="70" t="s">
        <v>216</v>
      </c>
      <c r="C52" s="125">
        <v>-0.49990567880435882</v>
      </c>
      <c r="D52" s="138"/>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81" t="s">
        <v>130</v>
      </c>
      <c r="B53" s="82" t="s">
        <v>279</v>
      </c>
      <c r="C53" s="125">
        <v>-4.0499999999999998E-3</v>
      </c>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25"/>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69" t="s">
        <v>77</v>
      </c>
      <c r="B55" s="69" t="s">
        <v>215</v>
      </c>
      <c r="C55" s="125">
        <v>-7.9615014594734301E-2</v>
      </c>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78</v>
      </c>
      <c r="B56" s="69" t="s">
        <v>215</v>
      </c>
      <c r="C56" s="125">
        <v>-4.4999043178213904E-2</v>
      </c>
      <c r="D56" s="72"/>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79</v>
      </c>
      <c r="B57" s="69" t="s">
        <v>215</v>
      </c>
      <c r="C57" s="125">
        <v>-3.7179815703462182E-2</v>
      </c>
      <c r="D57" s="72"/>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c r="B58" s="69"/>
      <c r="C58" s="125"/>
      <c r="D58" s="72"/>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t="s">
        <v>80</v>
      </c>
      <c r="B59" s="69" t="s">
        <v>215</v>
      </c>
      <c r="C59" s="125">
        <v>-6.8835029305179263E-2</v>
      </c>
      <c r="D59" s="72"/>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69" t="s">
        <v>81</v>
      </c>
      <c r="B60" s="69" t="s">
        <v>215</v>
      </c>
      <c r="C60" s="125">
        <v>-3.6901219113547268E-2</v>
      </c>
      <c r="D60" s="72"/>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82</v>
      </c>
      <c r="B61" s="69" t="s">
        <v>215</v>
      </c>
      <c r="C61" s="125">
        <v>-2.9237656339704432E-2</v>
      </c>
      <c r="D61" s="72"/>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c r="B62" s="69"/>
      <c r="C62" s="125"/>
      <c r="D62" s="72"/>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83</v>
      </c>
      <c r="B63" s="69" t="s">
        <v>113</v>
      </c>
      <c r="C63" s="139">
        <v>1</v>
      </c>
      <c r="D63" s="39">
        <v>1</v>
      </c>
      <c r="E63" s="39">
        <v>1</v>
      </c>
      <c r="F63" s="39">
        <v>1</v>
      </c>
      <c r="G63" s="39">
        <v>1</v>
      </c>
      <c r="H63" s="39">
        <f>G63*(1+$C$55)</f>
        <v>0.9203849854052657</v>
      </c>
      <c r="I63" s="39">
        <f t="shared" ref="I63:L63" si="5">H63*(1+$C$55)</f>
        <v>0.84710852135945114</v>
      </c>
      <c r="J63" s="39">
        <f t="shared" si="5"/>
        <v>0.77966596406809463</v>
      </c>
      <c r="K63" s="39">
        <f t="shared" si="5"/>
        <v>0.71759284695979564</v>
      </c>
      <c r="L63" s="39">
        <f t="shared" si="5"/>
        <v>0.66046168197601463</v>
      </c>
      <c r="M63" s="39">
        <f>L63*(1+$C$56)</f>
        <v>0.63074153823122014</v>
      </c>
      <c r="N63" s="39">
        <f t="shared" ref="N63:Q63" si="6">M63*(1+$C$56)</f>
        <v>0.60235877251806036</v>
      </c>
      <c r="O63" s="39">
        <f t="shared" si="6"/>
        <v>0.57525320410474423</v>
      </c>
      <c r="P63" s="39">
        <f t="shared" si="6"/>
        <v>0.54936736033482891</v>
      </c>
      <c r="Q63" s="39">
        <f t="shared" si="6"/>
        <v>0.52464635476642052</v>
      </c>
      <c r="R63" s="39">
        <f>Q63*(1+$C$57)</f>
        <v>0.50514009998671172</v>
      </c>
      <c r="S63" s="39">
        <f t="shared" ref="S63:V63" si="7">R63*(1+$C$57)</f>
        <v>0.4863590841647773</v>
      </c>
      <c r="T63" s="39">
        <f t="shared" si="7"/>
        <v>0.46827634304982624</v>
      </c>
      <c r="U63" s="39">
        <f t="shared" si="7"/>
        <v>0.45086591491694245</v>
      </c>
      <c r="V63" s="39">
        <f t="shared" si="7"/>
        <v>0.43410280329335765</v>
      </c>
      <c r="W63" s="39">
        <f t="shared" ref="W63:AG64" si="8">V63</f>
        <v>0.43410280329335765</v>
      </c>
      <c r="X63" s="39">
        <f t="shared" si="8"/>
        <v>0.43410280329335765</v>
      </c>
      <c r="Y63" s="39">
        <f t="shared" si="8"/>
        <v>0.43410280329335765</v>
      </c>
      <c r="Z63" s="39">
        <f t="shared" si="8"/>
        <v>0.43410280329335765</v>
      </c>
      <c r="AA63" s="39">
        <f t="shared" si="8"/>
        <v>0.43410280329335765</v>
      </c>
      <c r="AB63" s="39">
        <f t="shared" si="8"/>
        <v>0.43410280329335765</v>
      </c>
      <c r="AC63" s="39">
        <f t="shared" si="8"/>
        <v>0.43410280329335765</v>
      </c>
      <c r="AD63" s="39">
        <f t="shared" si="8"/>
        <v>0.43410280329335765</v>
      </c>
      <c r="AE63" s="39">
        <f t="shared" si="8"/>
        <v>0.43410280329335765</v>
      </c>
      <c r="AF63" s="39">
        <f t="shared" si="8"/>
        <v>0.43410280329335765</v>
      </c>
      <c r="AG63" s="39">
        <f t="shared" si="8"/>
        <v>0.43410280329335765</v>
      </c>
    </row>
    <row r="64" spans="1:33" x14ac:dyDescent="0.35">
      <c r="A64" s="69" t="s">
        <v>84</v>
      </c>
      <c r="B64" s="69" t="s">
        <v>113</v>
      </c>
      <c r="C64" s="139">
        <v>1</v>
      </c>
      <c r="D64" s="39">
        <v>1</v>
      </c>
      <c r="E64" s="39">
        <v>1</v>
      </c>
      <c r="F64" s="39">
        <v>1</v>
      </c>
      <c r="G64" s="39">
        <v>1</v>
      </c>
      <c r="H64" s="39">
        <f>G64*(1+$C$59)</f>
        <v>0.93116497069482074</v>
      </c>
      <c r="I64" s="39">
        <f t="shared" ref="I64:L64" si="9">H64*(1+$C$59)</f>
        <v>0.86706820264908635</v>
      </c>
      <c r="J64" s="39">
        <f t="shared" si="9"/>
        <v>0.80738353751014735</v>
      </c>
      <c r="K64" s="39">
        <f t="shared" si="9"/>
        <v>0.75180726804511711</v>
      </c>
      <c r="L64" s="39">
        <f t="shared" si="9"/>
        <v>0.70005659271738474</v>
      </c>
      <c r="M64" s="39">
        <f>L64*(1+$C$60)</f>
        <v>0.67422365099763726</v>
      </c>
      <c r="N64" s="39">
        <f t="shared" ref="N64:Q64" si="10">M64*(1+$C$60)</f>
        <v>0.64934397632063767</v>
      </c>
      <c r="O64" s="39">
        <f t="shared" si="10"/>
        <v>0.62538239197036782</v>
      </c>
      <c r="P64" s="39">
        <f t="shared" si="10"/>
        <v>0.60230501929451497</v>
      </c>
      <c r="Q64" s="39">
        <f t="shared" si="10"/>
        <v>0.58007922980433879</v>
      </c>
      <c r="R64" s="39">
        <f>Q64*(1+$C$61)</f>
        <v>0.56311907263351912</v>
      </c>
      <c r="S64" s="39">
        <f t="shared" ref="S64:V64" si="11">R64*(1+$C$61)</f>
        <v>0.54665479070952727</v>
      </c>
      <c r="T64" s="39">
        <f t="shared" si="11"/>
        <v>0.53067188580230906</v>
      </c>
      <c r="U64" s="39">
        <f t="shared" si="11"/>
        <v>0.51515628357607823</v>
      </c>
      <c r="V64" s="39">
        <f t="shared" si="11"/>
        <v>0.50009432119564157</v>
      </c>
      <c r="W64" s="39">
        <f t="shared" si="8"/>
        <v>0.50009432119564157</v>
      </c>
      <c r="X64" s="39">
        <f t="shared" si="8"/>
        <v>0.50009432119564157</v>
      </c>
      <c r="Y64" s="39">
        <f t="shared" si="8"/>
        <v>0.50009432119564157</v>
      </c>
      <c r="Z64" s="39">
        <f t="shared" si="8"/>
        <v>0.50009432119564157</v>
      </c>
      <c r="AA64" s="39">
        <f t="shared" si="8"/>
        <v>0.50009432119564157</v>
      </c>
      <c r="AB64" s="39">
        <f t="shared" si="8"/>
        <v>0.50009432119564157</v>
      </c>
      <c r="AC64" s="39">
        <f t="shared" si="8"/>
        <v>0.50009432119564157</v>
      </c>
      <c r="AD64" s="39">
        <f t="shared" si="8"/>
        <v>0.50009432119564157</v>
      </c>
      <c r="AE64" s="39">
        <f t="shared" si="8"/>
        <v>0.50009432119564157</v>
      </c>
      <c r="AF64" s="39">
        <f t="shared" si="8"/>
        <v>0.50009432119564157</v>
      </c>
      <c r="AG64" s="39">
        <f t="shared" si="8"/>
        <v>0.50009432119564157</v>
      </c>
    </row>
    <row r="65" spans="1:33" x14ac:dyDescent="0.35">
      <c r="A65" s="69" t="s">
        <v>114</v>
      </c>
      <c r="B65" s="69" t="s">
        <v>113</v>
      </c>
      <c r="C65" s="139">
        <v>1</v>
      </c>
      <c r="D65" s="39">
        <f>C65*(1+$C$53)</f>
        <v>0.99595</v>
      </c>
      <c r="E65" s="39">
        <f>D65*(1+$C$53)</f>
        <v>0.99191640250000002</v>
      </c>
      <c r="F65" s="39">
        <f t="shared" ref="F65:AG65" si="12">E65*(1+$C$53)</f>
        <v>0.98789914106987498</v>
      </c>
      <c r="G65" s="39">
        <f t="shared" si="12"/>
        <v>0.98389814954854193</v>
      </c>
      <c r="H65" s="39">
        <f t="shared" si="12"/>
        <v>0.97991336204287038</v>
      </c>
      <c r="I65" s="39">
        <f t="shared" si="12"/>
        <v>0.97594471292659679</v>
      </c>
      <c r="J65" s="39">
        <f t="shared" si="12"/>
        <v>0.97199213683924413</v>
      </c>
      <c r="K65" s="39">
        <f t="shared" si="12"/>
        <v>0.96805556868504516</v>
      </c>
      <c r="L65" s="39">
        <f t="shared" si="12"/>
        <v>0.96413494363187069</v>
      </c>
      <c r="M65" s="39">
        <f t="shared" si="12"/>
        <v>0.96023019711016167</v>
      </c>
      <c r="N65" s="39">
        <f t="shared" si="12"/>
        <v>0.95634126481186554</v>
      </c>
      <c r="O65" s="39">
        <f t="shared" si="12"/>
        <v>0.95246808268937744</v>
      </c>
      <c r="P65" s="39">
        <f t="shared" si="12"/>
        <v>0.94861058695448541</v>
      </c>
      <c r="Q65" s="39">
        <f t="shared" si="12"/>
        <v>0.94476871407731977</v>
      </c>
      <c r="R65" s="39">
        <f t="shared" si="12"/>
        <v>0.94094240078530667</v>
      </c>
      <c r="S65" s="39">
        <f t="shared" si="12"/>
        <v>0.93713158406212616</v>
      </c>
      <c r="T65" s="39">
        <f t="shared" si="12"/>
        <v>0.93333620114667459</v>
      </c>
      <c r="U65" s="39">
        <f t="shared" si="12"/>
        <v>0.92955618953203056</v>
      </c>
      <c r="V65" s="39">
        <f t="shared" si="12"/>
        <v>0.92579148696442581</v>
      </c>
      <c r="W65" s="39">
        <f t="shared" si="12"/>
        <v>0.92204203144221986</v>
      </c>
      <c r="X65" s="39">
        <f t="shared" si="12"/>
        <v>0.91830776121487889</v>
      </c>
      <c r="Y65" s="39">
        <f t="shared" si="12"/>
        <v>0.91458861478195863</v>
      </c>
      <c r="Z65" s="39">
        <f t="shared" si="12"/>
        <v>0.91088453089209165</v>
      </c>
      <c r="AA65" s="39">
        <f t="shared" si="12"/>
        <v>0.90719544854197864</v>
      </c>
      <c r="AB65" s="39">
        <f t="shared" si="12"/>
        <v>0.90352130697538369</v>
      </c>
      <c r="AC65" s="39">
        <f t="shared" si="12"/>
        <v>0.89986204568213335</v>
      </c>
      <c r="AD65" s="39">
        <f t="shared" si="12"/>
        <v>0.89621760439712073</v>
      </c>
      <c r="AE65" s="39">
        <f t="shared" si="12"/>
        <v>0.89258792309931234</v>
      </c>
      <c r="AF65" s="39">
        <f t="shared" si="12"/>
        <v>0.88897294201076016</v>
      </c>
      <c r="AG65" s="39">
        <f t="shared" si="12"/>
        <v>0.88537260159561659</v>
      </c>
    </row>
    <row r="66" spans="1:33" ht="16" thickBot="1" x14ac:dyDescent="0.4">
      <c r="A66" s="83"/>
      <c r="B66" s="83"/>
      <c r="C66" s="140"/>
      <c r="D66" s="128"/>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1:33" x14ac:dyDescent="0.35">
      <c r="A67" s="84" t="s">
        <v>166</v>
      </c>
      <c r="B67" s="84"/>
      <c r="C67" s="131"/>
      <c r="D67" s="132"/>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row>
    <row r="68" spans="1:33" x14ac:dyDescent="0.35">
      <c r="A68" s="69"/>
      <c r="B68" s="69"/>
      <c r="C68" s="124"/>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t="s">
        <v>132</v>
      </c>
      <c r="B69" s="104" t="s">
        <v>278</v>
      </c>
      <c r="C69" s="71">
        <f>'Data sheet'!AN29</f>
        <v>11335223953.607929</v>
      </c>
      <c r="D69" s="138"/>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69" t="s">
        <v>133</v>
      </c>
      <c r="B70" s="104" t="s">
        <v>278</v>
      </c>
      <c r="C70" s="71">
        <f>'Data sheet'!AO29</f>
        <v>15359576856.519333</v>
      </c>
      <c r="D70" s="138"/>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69"/>
      <c r="B71" s="69"/>
      <c r="C71" s="124"/>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175" t="s">
        <v>146</v>
      </c>
      <c r="B72" s="176" t="s">
        <v>280</v>
      </c>
      <c r="C72" s="141">
        <v>0.1</v>
      </c>
      <c r="D72" s="176"/>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175" t="s">
        <v>147</v>
      </c>
      <c r="B73" s="176" t="s">
        <v>280</v>
      </c>
      <c r="C73" s="141">
        <f>1-C72</f>
        <v>0.9</v>
      </c>
      <c r="D73" s="176"/>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175"/>
      <c r="B74" s="175"/>
      <c r="C74" s="141"/>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177" t="s">
        <v>145</v>
      </c>
      <c r="B75" s="177"/>
      <c r="C75" s="141"/>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175" t="s">
        <v>134</v>
      </c>
      <c r="B76" s="176" t="s">
        <v>178</v>
      </c>
      <c r="C76" s="71">
        <v>23.939688236227312</v>
      </c>
      <c r="D76" s="72"/>
      <c r="E76" s="73"/>
      <c r="F76" s="74"/>
      <c r="G76" s="73"/>
      <c r="H76" s="75"/>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175" t="s">
        <v>135</v>
      </c>
      <c r="B77" s="176" t="s">
        <v>178</v>
      </c>
      <c r="C77" s="71">
        <v>33.857631051616707</v>
      </c>
      <c r="D77" s="72"/>
      <c r="E77" s="73"/>
      <c r="F77" s="74"/>
      <c r="G77" s="73"/>
      <c r="H77" s="75"/>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175" t="s">
        <v>136</v>
      </c>
      <c r="B78" s="175" t="s">
        <v>113</v>
      </c>
      <c r="C78" s="71">
        <f>AVERAGE(C76:C77)</f>
        <v>28.898659643922009</v>
      </c>
      <c r="D78" s="72"/>
      <c r="E78" s="73"/>
      <c r="F78" s="74"/>
      <c r="G78" s="73"/>
      <c r="H78" s="75"/>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175"/>
      <c r="B79" s="175"/>
      <c r="C79" s="71"/>
      <c r="D79" s="72"/>
      <c r="E79" s="73"/>
      <c r="F79" s="74"/>
      <c r="G79" s="73"/>
      <c r="H79" s="75"/>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177" t="s">
        <v>143</v>
      </c>
      <c r="B80" s="177"/>
      <c r="C80" s="71"/>
      <c r="D80" s="72"/>
      <c r="E80" s="73"/>
      <c r="F80" s="74"/>
      <c r="G80" s="73"/>
      <c r="H80" s="75"/>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175" t="s">
        <v>134</v>
      </c>
      <c r="B81" s="176" t="s">
        <v>141</v>
      </c>
      <c r="C81" s="71">
        <v>84.01794006534017</v>
      </c>
      <c r="D81" s="72"/>
      <c r="E81" s="73"/>
      <c r="F81" s="74"/>
      <c r="G81" s="73"/>
      <c r="H81" s="75"/>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175" t="s">
        <v>135</v>
      </c>
      <c r="B82" s="176" t="s">
        <v>141</v>
      </c>
      <c r="C82" s="71">
        <v>111.79379467063849</v>
      </c>
      <c r="D82" s="72"/>
      <c r="E82" s="73"/>
      <c r="F82" s="74"/>
      <c r="G82" s="73"/>
      <c r="H82" s="75"/>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175" t="s">
        <v>136</v>
      </c>
      <c r="B83" s="175" t="s">
        <v>113</v>
      </c>
      <c r="C83" s="71">
        <f>AVERAGE(C81:C82)</f>
        <v>97.90586736798933</v>
      </c>
      <c r="D83" s="72"/>
      <c r="E83" s="73"/>
      <c r="F83" s="74"/>
      <c r="G83" s="73"/>
      <c r="H83" s="75"/>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175"/>
      <c r="B84" s="175"/>
      <c r="C84" s="124"/>
      <c r="D84" s="72"/>
      <c r="E84" s="73"/>
      <c r="F84" s="74"/>
      <c r="G84" s="73"/>
      <c r="H84" s="75"/>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177" t="s">
        <v>142</v>
      </c>
      <c r="B85" s="177"/>
      <c r="C85" s="124"/>
      <c r="D85" s="72"/>
      <c r="E85" s="73"/>
      <c r="F85" s="74"/>
      <c r="G85" s="73"/>
      <c r="H85" s="75"/>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175" t="s">
        <v>134</v>
      </c>
      <c r="B86" s="175" t="s">
        <v>113</v>
      </c>
      <c r="C86" s="71">
        <f>C69*C72/C77</f>
        <v>33479081.676822368</v>
      </c>
      <c r="D86" s="72"/>
      <c r="E86" s="73"/>
      <c r="F86" s="74"/>
      <c r="G86" s="73"/>
      <c r="H86" s="75"/>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175" t="s">
        <v>135</v>
      </c>
      <c r="B87" s="175" t="s">
        <v>113</v>
      </c>
      <c r="C87" s="71">
        <f>C70*C72/C76</f>
        <v>64159469.016292714</v>
      </c>
      <c r="D87" s="72"/>
      <c r="E87" s="73"/>
      <c r="F87" s="74"/>
      <c r="G87" s="73"/>
      <c r="H87" s="75"/>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175" t="s">
        <v>136</v>
      </c>
      <c r="B88" s="175" t="s">
        <v>113</v>
      </c>
      <c r="C88" s="142">
        <f>AVERAGE(C86:C87)</f>
        <v>48819275.346557543</v>
      </c>
      <c r="D88" s="72"/>
      <c r="E88" s="73"/>
      <c r="F88" s="74"/>
      <c r="G88" s="73"/>
      <c r="H88" s="75"/>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175"/>
      <c r="B89" s="175"/>
      <c r="C89" s="124"/>
      <c r="D89" s="72"/>
      <c r="E89" s="73"/>
      <c r="F89" s="74"/>
      <c r="G89" s="73"/>
      <c r="H89" s="75"/>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177" t="s">
        <v>144</v>
      </c>
      <c r="B90" s="177"/>
      <c r="C90" s="124"/>
      <c r="D90" s="72"/>
      <c r="E90" s="73"/>
      <c r="F90" s="74"/>
      <c r="G90" s="73"/>
      <c r="H90" s="75"/>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175" t="s">
        <v>134</v>
      </c>
      <c r="B91" s="175" t="s">
        <v>113</v>
      </c>
      <c r="C91" s="71">
        <f>C69*C73/C82</f>
        <v>91254631.69313556</v>
      </c>
      <c r="D91" s="72"/>
      <c r="E91" s="73"/>
      <c r="F91" s="74"/>
      <c r="G91" s="73"/>
      <c r="H91" s="75"/>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175" t="s">
        <v>135</v>
      </c>
      <c r="B92" s="175" t="s">
        <v>113</v>
      </c>
      <c r="C92" s="71">
        <f>C70*C73/C81</f>
        <v>164531755.48123252</v>
      </c>
      <c r="D92" s="72"/>
      <c r="E92" s="73"/>
      <c r="F92" s="74"/>
      <c r="G92" s="73"/>
      <c r="H92" s="75"/>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175" t="s">
        <v>136</v>
      </c>
      <c r="B93" s="175" t="s">
        <v>113</v>
      </c>
      <c r="C93" s="142">
        <f>AVERAGE(C91:C92)</f>
        <v>127893193.58718404</v>
      </c>
      <c r="D93" s="72"/>
      <c r="E93" s="73"/>
      <c r="F93" s="74"/>
      <c r="G93" s="73"/>
      <c r="H93" s="75"/>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175"/>
      <c r="B94" s="175"/>
      <c r="C94" s="142"/>
      <c r="D94" s="72"/>
      <c r="E94" s="73"/>
      <c r="F94" s="74"/>
      <c r="G94" s="73"/>
      <c r="H94" s="75"/>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137</v>
      </c>
      <c r="B95" s="70" t="s">
        <v>214</v>
      </c>
      <c r="C95" s="71">
        <f>C87+C93</f>
        <v>192052662.60347676</v>
      </c>
      <c r="D95" s="72"/>
      <c r="E95" s="73"/>
      <c r="F95" s="74"/>
      <c r="G95" s="73"/>
      <c r="H95" s="75"/>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c r="B96" s="69"/>
      <c r="C96" s="143"/>
      <c r="D96" s="144"/>
      <c r="E96" s="144"/>
      <c r="F96" s="145"/>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t="s">
        <v>158</v>
      </c>
      <c r="B97" s="176" t="s">
        <v>280</v>
      </c>
      <c r="C97" s="85">
        <f>'Data sheet'!AI29</f>
        <v>21201759800.489105</v>
      </c>
      <c r="D97" s="144"/>
      <c r="E97" s="146"/>
      <c r="F97" s="145"/>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159</v>
      </c>
      <c r="B98" s="176" t="s">
        <v>280</v>
      </c>
      <c r="C98" s="85">
        <f>'Data sheet'!AJ29</f>
        <v>23215746958.301376</v>
      </c>
      <c r="D98" s="144"/>
      <c r="E98" s="144"/>
      <c r="F98" s="145"/>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85"/>
      <c r="D99" s="144"/>
      <c r="E99" s="144"/>
      <c r="F99" s="145"/>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218</v>
      </c>
      <c r="B100" s="176" t="s">
        <v>280</v>
      </c>
      <c r="C100" s="71">
        <f>AVERAGE(C97:C98)</f>
        <v>22208753379.395241</v>
      </c>
      <c r="D100" s="165"/>
      <c r="E100" s="166"/>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71"/>
      <c r="D101" s="144"/>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72</v>
      </c>
      <c r="B102" s="69"/>
      <c r="C102" s="124">
        <v>30</v>
      </c>
      <c r="D102" s="144"/>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124"/>
      <c r="D103" s="144"/>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73</v>
      </c>
      <c r="B104" s="69" t="s">
        <v>113</v>
      </c>
      <c r="C104" s="71">
        <f>C100/C102</f>
        <v>740291779.31317472</v>
      </c>
      <c r="D104" s="144"/>
      <c r="E104" s="73"/>
      <c r="F104" s="74"/>
      <c r="G104" s="73"/>
      <c r="H104" s="75"/>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c r="B105" s="69"/>
      <c r="C105" s="71"/>
      <c r="D105" s="144"/>
      <c r="E105" s="73"/>
      <c r="F105" s="74"/>
      <c r="G105" s="73"/>
      <c r="H105" s="75"/>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219</v>
      </c>
      <c r="B106" s="69"/>
      <c r="C106" s="71"/>
      <c r="D106" s="144"/>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220</v>
      </c>
      <c r="B107" s="69"/>
      <c r="C107" s="147">
        <v>0.2</v>
      </c>
      <c r="D107" s="144"/>
      <c r="E107" s="73"/>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t="s">
        <v>221</v>
      </c>
      <c r="B108" s="69"/>
      <c r="C108" s="147">
        <v>1.2</v>
      </c>
      <c r="D108" s="144"/>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222</v>
      </c>
      <c r="B109" s="69"/>
      <c r="C109" s="147">
        <v>1.6</v>
      </c>
      <c r="D109" s="144"/>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71"/>
      <c r="D110" s="144"/>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ht="31" x14ac:dyDescent="0.35">
      <c r="A111" s="69" t="s">
        <v>61</v>
      </c>
      <c r="B111" s="70" t="s">
        <v>282</v>
      </c>
      <c r="C111" s="147">
        <v>0.6</v>
      </c>
      <c r="D111" s="72"/>
      <c r="E111" s="73"/>
      <c r="F111" s="74"/>
      <c r="G111" s="73"/>
      <c r="H111" s="75"/>
      <c r="I111" s="73"/>
      <c r="J111" s="73"/>
      <c r="K111" s="73"/>
      <c r="L111" s="146"/>
      <c r="M111" s="73"/>
      <c r="N111" s="73"/>
      <c r="O111" s="73"/>
      <c r="P111" s="73"/>
      <c r="Q111" s="73"/>
      <c r="R111" s="73"/>
      <c r="S111" s="73"/>
      <c r="T111" s="73"/>
      <c r="U111" s="73"/>
      <c r="V111" s="73"/>
      <c r="W111" s="73"/>
      <c r="X111" s="73"/>
      <c r="Y111" s="73"/>
      <c r="Z111" s="73"/>
      <c r="AA111" s="73"/>
      <c r="AB111" s="73"/>
      <c r="AC111" s="73"/>
      <c r="AD111" s="73"/>
      <c r="AE111" s="73"/>
      <c r="AF111" s="73"/>
      <c r="AG111" s="73"/>
    </row>
    <row r="112" spans="1:33" ht="31" x14ac:dyDescent="0.35">
      <c r="A112" s="69" t="s">
        <v>62</v>
      </c>
      <c r="B112" s="70" t="s">
        <v>281</v>
      </c>
      <c r="C112" s="147">
        <f>1-C111</f>
        <v>0.4</v>
      </c>
      <c r="D112" s="72"/>
      <c r="E112" s="73"/>
      <c r="F112" s="74"/>
      <c r="G112" s="73"/>
      <c r="H112" s="75"/>
      <c r="I112" s="73"/>
      <c r="J112" s="73"/>
      <c r="K112" s="73"/>
      <c r="L112" s="148"/>
      <c r="M112" s="73"/>
      <c r="N112" s="73"/>
      <c r="O112" s="73"/>
      <c r="P112" s="73"/>
      <c r="Q112" s="73"/>
      <c r="R112" s="73"/>
      <c r="S112" s="73"/>
      <c r="T112" s="73"/>
      <c r="U112" s="73"/>
      <c r="V112" s="73"/>
      <c r="W112" s="73"/>
      <c r="X112" s="73"/>
      <c r="Y112" s="73"/>
      <c r="Z112" s="73"/>
      <c r="AA112" s="73"/>
      <c r="AB112" s="73"/>
      <c r="AC112" s="73"/>
      <c r="AD112" s="73"/>
      <c r="AE112" s="73"/>
      <c r="AF112" s="73"/>
      <c r="AG112" s="73"/>
    </row>
    <row r="113" spans="1:33" x14ac:dyDescent="0.35">
      <c r="A113" s="69" t="s">
        <v>63</v>
      </c>
      <c r="B113" s="69" t="s">
        <v>176</v>
      </c>
      <c r="C113" s="142">
        <v>30</v>
      </c>
      <c r="D113" s="72"/>
      <c r="E113" s="73"/>
      <c r="F113" s="74"/>
      <c r="G113" s="73"/>
      <c r="H113" s="75"/>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row>
    <row r="114" spans="1:33" x14ac:dyDescent="0.35">
      <c r="A114" s="69" t="s">
        <v>64</v>
      </c>
      <c r="B114" s="69" t="s">
        <v>176</v>
      </c>
      <c r="C114" s="142">
        <v>100</v>
      </c>
      <c r="D114" s="72"/>
      <c r="E114" s="146"/>
      <c r="F114" s="74"/>
      <c r="G114" s="73"/>
      <c r="H114" s="75"/>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row>
    <row r="115" spans="1:33" x14ac:dyDescent="0.35">
      <c r="A115" s="69"/>
      <c r="B115" s="69"/>
      <c r="C115" s="124"/>
      <c r="D115" s="72"/>
      <c r="E115" s="73"/>
      <c r="F115" s="74"/>
      <c r="G115" s="73"/>
      <c r="H115" s="75"/>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row>
    <row r="116" spans="1:33" x14ac:dyDescent="0.35">
      <c r="A116" s="69" t="s">
        <v>138</v>
      </c>
      <c r="B116" s="69" t="s">
        <v>283</v>
      </c>
      <c r="C116" s="137">
        <v>0</v>
      </c>
      <c r="D116" s="72"/>
      <c r="E116" s="73"/>
      <c r="F116" s="74"/>
      <c r="G116" s="73"/>
      <c r="H116" s="75"/>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row>
    <row r="117" spans="1:33" x14ac:dyDescent="0.35">
      <c r="A117" s="69"/>
      <c r="B117" s="69"/>
      <c r="C117" s="147"/>
      <c r="D117" s="72"/>
      <c r="E117" s="73"/>
      <c r="F117" s="74"/>
      <c r="G117" s="73"/>
      <c r="H117" s="75"/>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row>
    <row r="118" spans="1:33" x14ac:dyDescent="0.35">
      <c r="A118" s="69" t="s">
        <v>92</v>
      </c>
      <c r="B118" s="69" t="s">
        <v>151</v>
      </c>
      <c r="C118" s="71"/>
      <c r="D118" s="146">
        <f t="shared" ref="D118:AG118" si="13">$C$95</f>
        <v>192052662.60347676</v>
      </c>
      <c r="E118" s="146">
        <f t="shared" si="13"/>
        <v>192052662.60347676</v>
      </c>
      <c r="F118" s="146">
        <f t="shared" si="13"/>
        <v>192052662.60347676</v>
      </c>
      <c r="G118" s="146">
        <f t="shared" si="13"/>
        <v>192052662.60347676</v>
      </c>
      <c r="H118" s="146">
        <f t="shared" si="13"/>
        <v>192052662.60347676</v>
      </c>
      <c r="I118" s="146">
        <f t="shared" si="13"/>
        <v>192052662.60347676</v>
      </c>
      <c r="J118" s="146">
        <f t="shared" si="13"/>
        <v>192052662.60347676</v>
      </c>
      <c r="K118" s="146">
        <f t="shared" si="13"/>
        <v>192052662.60347676</v>
      </c>
      <c r="L118" s="146">
        <f t="shared" si="13"/>
        <v>192052662.60347676</v>
      </c>
      <c r="M118" s="146">
        <f t="shared" si="13"/>
        <v>192052662.60347676</v>
      </c>
      <c r="N118" s="146">
        <f t="shared" si="13"/>
        <v>192052662.60347676</v>
      </c>
      <c r="O118" s="146">
        <f t="shared" si="13"/>
        <v>192052662.60347676</v>
      </c>
      <c r="P118" s="146">
        <f t="shared" si="13"/>
        <v>192052662.60347676</v>
      </c>
      <c r="Q118" s="146">
        <f t="shared" si="13"/>
        <v>192052662.60347676</v>
      </c>
      <c r="R118" s="146">
        <f t="shared" si="13"/>
        <v>192052662.60347676</v>
      </c>
      <c r="S118" s="146">
        <f t="shared" si="13"/>
        <v>192052662.60347676</v>
      </c>
      <c r="T118" s="146">
        <f t="shared" si="13"/>
        <v>192052662.60347676</v>
      </c>
      <c r="U118" s="146">
        <f t="shared" si="13"/>
        <v>192052662.60347676</v>
      </c>
      <c r="V118" s="146">
        <f t="shared" si="13"/>
        <v>192052662.60347676</v>
      </c>
      <c r="W118" s="146">
        <f t="shared" si="13"/>
        <v>192052662.60347676</v>
      </c>
      <c r="X118" s="146">
        <f t="shared" si="13"/>
        <v>192052662.60347676</v>
      </c>
      <c r="Y118" s="146">
        <f t="shared" si="13"/>
        <v>192052662.60347676</v>
      </c>
      <c r="Z118" s="146">
        <f t="shared" si="13"/>
        <v>192052662.60347676</v>
      </c>
      <c r="AA118" s="146">
        <f t="shared" si="13"/>
        <v>192052662.60347676</v>
      </c>
      <c r="AB118" s="146">
        <f t="shared" si="13"/>
        <v>192052662.60347676</v>
      </c>
      <c r="AC118" s="146">
        <f t="shared" si="13"/>
        <v>192052662.60347676</v>
      </c>
      <c r="AD118" s="146">
        <f t="shared" si="13"/>
        <v>192052662.60347676</v>
      </c>
      <c r="AE118" s="146">
        <f t="shared" si="13"/>
        <v>192052662.60347676</v>
      </c>
      <c r="AF118" s="146">
        <f t="shared" si="13"/>
        <v>192052662.60347676</v>
      </c>
      <c r="AG118" s="146">
        <f t="shared" si="13"/>
        <v>192052662.60347676</v>
      </c>
    </row>
    <row r="119" spans="1:33" x14ac:dyDescent="0.35">
      <c r="A119" s="69"/>
      <c r="B119" s="69"/>
      <c r="C119" s="71"/>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row>
    <row r="120" spans="1:33" s="149" customFormat="1" x14ac:dyDescent="0.35">
      <c r="A120" s="69" t="s">
        <v>93</v>
      </c>
      <c r="B120" s="69" t="s">
        <v>113</v>
      </c>
      <c r="C120" s="71">
        <f>SUM(D120:AG120)</f>
        <v>22208753379.395248</v>
      </c>
      <c r="D120" s="146">
        <f>$C$104*$C$107</f>
        <v>148058355.86263496</v>
      </c>
      <c r="E120" s="146">
        <f t="shared" ref="E120:L120" si="14">$C$104*$C$107</f>
        <v>148058355.86263496</v>
      </c>
      <c r="F120" s="146">
        <f t="shared" si="14"/>
        <v>148058355.86263496</v>
      </c>
      <c r="G120" s="146">
        <f t="shared" si="14"/>
        <v>148058355.86263496</v>
      </c>
      <c r="H120" s="146">
        <f t="shared" si="14"/>
        <v>148058355.86263496</v>
      </c>
      <c r="I120" s="146">
        <f t="shared" si="14"/>
        <v>148058355.86263496</v>
      </c>
      <c r="J120" s="146">
        <f t="shared" si="14"/>
        <v>148058355.86263496</v>
      </c>
      <c r="K120" s="146">
        <f t="shared" si="14"/>
        <v>148058355.86263496</v>
      </c>
      <c r="L120" s="146">
        <f t="shared" si="14"/>
        <v>148058355.86263496</v>
      </c>
      <c r="M120" s="146">
        <f>$C$104*$C$107</f>
        <v>148058355.86263496</v>
      </c>
      <c r="N120" s="146">
        <f t="shared" ref="N120:W120" si="15">$C$104*$C$108</f>
        <v>888350135.17580962</v>
      </c>
      <c r="O120" s="146">
        <f t="shared" si="15"/>
        <v>888350135.17580962</v>
      </c>
      <c r="P120" s="146">
        <f t="shared" si="15"/>
        <v>888350135.17580962</v>
      </c>
      <c r="Q120" s="146">
        <f t="shared" si="15"/>
        <v>888350135.17580962</v>
      </c>
      <c r="R120" s="146">
        <f t="shared" si="15"/>
        <v>888350135.17580962</v>
      </c>
      <c r="S120" s="146">
        <f t="shared" si="15"/>
        <v>888350135.17580962</v>
      </c>
      <c r="T120" s="146">
        <f t="shared" si="15"/>
        <v>888350135.17580962</v>
      </c>
      <c r="U120" s="146">
        <f t="shared" si="15"/>
        <v>888350135.17580962</v>
      </c>
      <c r="V120" s="146">
        <f t="shared" si="15"/>
        <v>888350135.17580962</v>
      </c>
      <c r="W120" s="146">
        <f t="shared" si="15"/>
        <v>888350135.17580962</v>
      </c>
      <c r="X120" s="146">
        <f>$C$104*$C$109</f>
        <v>1184466846.9010797</v>
      </c>
      <c r="Y120" s="146">
        <f t="shared" ref="Y120:AG120" si="16">$C$104*$C$109</f>
        <v>1184466846.9010797</v>
      </c>
      <c r="Z120" s="146">
        <f t="shared" si="16"/>
        <v>1184466846.9010797</v>
      </c>
      <c r="AA120" s="146">
        <f t="shared" si="16"/>
        <v>1184466846.9010797</v>
      </c>
      <c r="AB120" s="146">
        <f t="shared" si="16"/>
        <v>1184466846.9010797</v>
      </c>
      <c r="AC120" s="146">
        <f t="shared" si="16"/>
        <v>1184466846.9010797</v>
      </c>
      <c r="AD120" s="146">
        <f t="shared" si="16"/>
        <v>1184466846.9010797</v>
      </c>
      <c r="AE120" s="146">
        <f t="shared" si="16"/>
        <v>1184466846.9010797</v>
      </c>
      <c r="AF120" s="146">
        <f t="shared" si="16"/>
        <v>1184466846.9010797</v>
      </c>
      <c r="AG120" s="146">
        <f t="shared" si="16"/>
        <v>1184466846.9010797</v>
      </c>
    </row>
    <row r="121" spans="1:33" s="149" customFormat="1" x14ac:dyDescent="0.35">
      <c r="A121" s="69"/>
      <c r="B121" s="69"/>
      <c r="C121" s="150">
        <f>C120-C100</f>
        <v>0</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row>
    <row r="122" spans="1:33" s="149" customFormat="1" x14ac:dyDescent="0.35">
      <c r="A122" s="69" t="s">
        <v>115</v>
      </c>
      <c r="B122" s="69" t="s">
        <v>113</v>
      </c>
      <c r="C122" s="124"/>
      <c r="D122" s="146">
        <f>(D120*D$64)-D120</f>
        <v>0</v>
      </c>
      <c r="E122" s="146">
        <f t="shared" ref="E122:AG122" si="17">(E120*E$64)-E120</f>
        <v>0</v>
      </c>
      <c r="F122" s="146">
        <f t="shared" si="17"/>
        <v>0</v>
      </c>
      <c r="G122" s="146">
        <f t="shared" si="17"/>
        <v>0</v>
      </c>
      <c r="H122" s="146">
        <f>(H120*H$64)-H120</f>
        <v>-10191601.264681131</v>
      </c>
      <c r="I122" s="146">
        <f t="shared" si="17"/>
        <v>-19681663.35764125</v>
      </c>
      <c r="J122" s="146">
        <f t="shared" si="17"/>
        <v>-28518476.748324484</v>
      </c>
      <c r="K122" s="146">
        <f t="shared" si="17"/>
        <v>-36747007.830295622</v>
      </c>
      <c r="L122" s="146">
        <f t="shared" si="17"/>
        <v>-44409127.734100699</v>
      </c>
      <c r="M122" s="146">
        <f t="shared" si="17"/>
        <v>-48233910.612221792</v>
      </c>
      <c r="N122" s="146">
        <f t="shared" si="17"/>
        <v>-311505326.0357734</v>
      </c>
      <c r="O122" s="146">
        <f t="shared" si="17"/>
        <v>-332791602.73236215</v>
      </c>
      <c r="P122" s="146">
        <f t="shared" si="17"/>
        <v>-353292389.86845863</v>
      </c>
      <c r="Q122" s="146">
        <f t="shared" si="17"/>
        <v>-373036672.96644574</v>
      </c>
      <c r="R122" s="146">
        <f t="shared" si="17"/>
        <v>-388103230.88174635</v>
      </c>
      <c r="S122" s="146">
        <f t="shared" si="17"/>
        <v>-402729277.95449716</v>
      </c>
      <c r="T122" s="146">
        <f t="shared" si="17"/>
        <v>-416927693.68932658</v>
      </c>
      <c r="U122" s="146">
        <f t="shared" si="17"/>
        <v>-430710981.02433282</v>
      </c>
      <c r="V122" s="146">
        <f t="shared" si="17"/>
        <v>-444091277.3410067</v>
      </c>
      <c r="W122" s="146">
        <f t="shared" si="17"/>
        <v>-444091277.3410067</v>
      </c>
      <c r="X122" s="146">
        <f t="shared" si="17"/>
        <v>-592121703.1213423</v>
      </c>
      <c r="Y122" s="146">
        <f t="shared" si="17"/>
        <v>-592121703.1213423</v>
      </c>
      <c r="Z122" s="146">
        <f t="shared" si="17"/>
        <v>-592121703.1213423</v>
      </c>
      <c r="AA122" s="146">
        <f t="shared" si="17"/>
        <v>-592121703.1213423</v>
      </c>
      <c r="AB122" s="146">
        <f t="shared" si="17"/>
        <v>-592121703.1213423</v>
      </c>
      <c r="AC122" s="146">
        <f t="shared" si="17"/>
        <v>-592121703.1213423</v>
      </c>
      <c r="AD122" s="146">
        <f t="shared" si="17"/>
        <v>-592121703.1213423</v>
      </c>
      <c r="AE122" s="146">
        <f t="shared" si="17"/>
        <v>-592121703.1213423</v>
      </c>
      <c r="AF122" s="146">
        <f t="shared" si="17"/>
        <v>-592121703.1213423</v>
      </c>
      <c r="AG122" s="146">
        <f t="shared" si="17"/>
        <v>-592121703.1213423</v>
      </c>
    </row>
    <row r="123" spans="1:33" s="149" customFormat="1" x14ac:dyDescent="0.35">
      <c r="A123" s="69" t="s">
        <v>116</v>
      </c>
      <c r="B123" s="69" t="s">
        <v>113</v>
      </c>
      <c r="C123" s="124"/>
      <c r="D123" s="146">
        <f t="shared" ref="D123:AG123" si="18">(D120*D$65)-D120</f>
        <v>-599636.34124368429</v>
      </c>
      <c r="E123" s="146">
        <f t="shared" si="18"/>
        <v>-1196844.1553052962</v>
      </c>
      <c r="F123" s="146">
        <f t="shared" si="18"/>
        <v>-1791633.2777200043</v>
      </c>
      <c r="G123" s="146">
        <f t="shared" si="18"/>
        <v>-2384013.5041888952</v>
      </c>
      <c r="H123" s="146">
        <f t="shared" si="18"/>
        <v>-2973994.5907406211</v>
      </c>
      <c r="I123" s="146">
        <f t="shared" si="18"/>
        <v>-3561586.2538917661</v>
      </c>
      <c r="J123" s="146">
        <f t="shared" si="18"/>
        <v>-4146798.1708071828</v>
      </c>
      <c r="K123" s="146">
        <f t="shared" si="18"/>
        <v>-4729639.9794590771</v>
      </c>
      <c r="L123" s="146">
        <f t="shared" si="18"/>
        <v>-5310121.278785944</v>
      </c>
      <c r="M123" s="146">
        <f t="shared" si="18"/>
        <v>-5888251.6288505197</v>
      </c>
      <c r="N123" s="146">
        <f t="shared" si="18"/>
        <v>-38784243.305984139</v>
      </c>
      <c r="O123" s="146">
        <f t="shared" si="18"/>
        <v>-42224985.168056965</v>
      </c>
      <c r="P123" s="146">
        <f t="shared" si="18"/>
        <v>-45651792.025588393</v>
      </c>
      <c r="Q123" s="146">
        <f t="shared" si="18"/>
        <v>-49064720.315346718</v>
      </c>
      <c r="R123" s="146">
        <f t="shared" si="18"/>
        <v>-52463826.245531559</v>
      </c>
      <c r="S123" s="146">
        <f t="shared" si="18"/>
        <v>-55849165.796699286</v>
      </c>
      <c r="T123" s="146">
        <f t="shared" si="18"/>
        <v>-59220794.722684622</v>
      </c>
      <c r="U123" s="146">
        <f t="shared" si="18"/>
        <v>-62578768.551519752</v>
      </c>
      <c r="V123" s="146">
        <f t="shared" si="18"/>
        <v>-65923142.586348176</v>
      </c>
      <c r="W123" s="146">
        <f t="shared" si="18"/>
        <v>-69253971.906335473</v>
      </c>
      <c r="X123" s="146">
        <f t="shared" si="18"/>
        <v>-96761748.49010253</v>
      </c>
      <c r="Y123" s="146">
        <f t="shared" si="18"/>
        <v>-101166954.13866687</v>
      </c>
      <c r="Z123" s="146">
        <f t="shared" si="18"/>
        <v>-105554318.70435476</v>
      </c>
      <c r="AA123" s="146">
        <f t="shared" si="18"/>
        <v>-109923914.44355154</v>
      </c>
      <c r="AB123" s="146">
        <f t="shared" si="18"/>
        <v>-114275813.32000446</v>
      </c>
      <c r="AC123" s="146">
        <f t="shared" si="18"/>
        <v>-118610087.00600791</v>
      </c>
      <c r="AD123" s="146">
        <f t="shared" si="18"/>
        <v>-122926806.88358283</v>
      </c>
      <c r="AE123" s="146">
        <f t="shared" si="18"/>
        <v>-127226044.04565382</v>
      </c>
      <c r="AF123" s="146">
        <f t="shared" si="18"/>
        <v>-131507869.2972182</v>
      </c>
      <c r="AG123" s="146">
        <f t="shared" si="18"/>
        <v>-135772353.15651381</v>
      </c>
    </row>
    <row r="124" spans="1:33" s="149" customFormat="1" x14ac:dyDescent="0.35">
      <c r="A124" s="69"/>
      <c r="B124" s="69"/>
      <c r="C124" s="124"/>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row>
    <row r="125" spans="1:33" s="149" customFormat="1" x14ac:dyDescent="0.35">
      <c r="A125" s="69" t="s">
        <v>117</v>
      </c>
      <c r="B125" s="69" t="s">
        <v>113</v>
      </c>
      <c r="C125" s="124"/>
      <c r="D125" s="146">
        <f>D120+D122+D123</f>
        <v>147458719.52139127</v>
      </c>
      <c r="E125" s="146">
        <f t="shared" ref="E125:AG125" si="19">E120+E122+E123</f>
        <v>146861511.70732966</v>
      </c>
      <c r="F125" s="146">
        <f>F120+F122+F123</f>
        <v>146266722.58491495</v>
      </c>
      <c r="G125" s="146">
        <f t="shared" si="19"/>
        <v>145674342.35844606</v>
      </c>
      <c r="H125" s="146">
        <f t="shared" si="19"/>
        <v>134892760.00721321</v>
      </c>
      <c r="I125" s="146">
        <f t="shared" si="19"/>
        <v>124815106.25110194</v>
      </c>
      <c r="J125" s="146">
        <f t="shared" si="19"/>
        <v>115393080.94350329</v>
      </c>
      <c r="K125" s="146">
        <f t="shared" si="19"/>
        <v>106581708.05288026</v>
      </c>
      <c r="L125" s="146">
        <f t="shared" si="19"/>
        <v>98339106.849748313</v>
      </c>
      <c r="M125" s="146">
        <f t="shared" si="19"/>
        <v>93936193.621562645</v>
      </c>
      <c r="N125" s="146">
        <f t="shared" si="19"/>
        <v>538060565.83405209</v>
      </c>
      <c r="O125" s="146">
        <f t="shared" si="19"/>
        <v>513333547.27539051</v>
      </c>
      <c r="P125" s="146">
        <f t="shared" si="19"/>
        <v>489405953.2817626</v>
      </c>
      <c r="Q125" s="146">
        <f t="shared" si="19"/>
        <v>466248741.89401716</v>
      </c>
      <c r="R125" s="146">
        <f t="shared" si="19"/>
        <v>447783078.04853171</v>
      </c>
      <c r="S125" s="146">
        <f t="shared" si="19"/>
        <v>429771691.42461318</v>
      </c>
      <c r="T125" s="146">
        <f t="shared" si="19"/>
        <v>412201646.76379842</v>
      </c>
      <c r="U125" s="146">
        <f t="shared" si="19"/>
        <v>395060385.59995705</v>
      </c>
      <c r="V125" s="146">
        <f t="shared" si="19"/>
        <v>378335715.24845475</v>
      </c>
      <c r="W125" s="146">
        <f t="shared" si="19"/>
        <v>375004885.92846745</v>
      </c>
      <c r="X125" s="146">
        <f t="shared" si="19"/>
        <v>495583395.28963482</v>
      </c>
      <c r="Y125" s="146">
        <f t="shared" si="19"/>
        <v>491178189.64107049</v>
      </c>
      <c r="Z125" s="146">
        <f t="shared" si="19"/>
        <v>486790825.07538259</v>
      </c>
      <c r="AA125" s="146">
        <f t="shared" si="19"/>
        <v>482421229.33618581</v>
      </c>
      <c r="AB125" s="146">
        <f t="shared" si="19"/>
        <v>478069330.45973289</v>
      </c>
      <c r="AC125" s="146">
        <f t="shared" si="19"/>
        <v>473735056.77372944</v>
      </c>
      <c r="AD125" s="146">
        <f t="shared" si="19"/>
        <v>469418336.89615452</v>
      </c>
      <c r="AE125" s="146">
        <f t="shared" si="19"/>
        <v>465119099.73408353</v>
      </c>
      <c r="AF125" s="146">
        <f t="shared" si="19"/>
        <v>460837274.48251915</v>
      </c>
      <c r="AG125" s="146">
        <f t="shared" si="19"/>
        <v>456572790.62322354</v>
      </c>
    </row>
    <row r="126" spans="1:33" s="149" customFormat="1" x14ac:dyDescent="0.35">
      <c r="A126" s="69"/>
      <c r="B126" s="69"/>
      <c r="C126" s="124"/>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row>
    <row r="127" spans="1:33" s="149" customFormat="1" x14ac:dyDescent="0.35">
      <c r="A127" s="69" t="s">
        <v>94</v>
      </c>
      <c r="B127" s="69" t="s">
        <v>113</v>
      </c>
      <c r="C127" s="124"/>
      <c r="D127" s="146">
        <f>(SUM($D$125:D125)*$C$111/$C$113)+(SUM($D$125:D125)*$C$112/$C$114)</f>
        <v>3539009.2685133908</v>
      </c>
      <c r="E127" s="146">
        <f>(SUM($D$125:E125)*$C$111/$C$113)+(SUM($D$125:E125)*$C$112/$C$114)</f>
        <v>7063685.5494893016</v>
      </c>
      <c r="F127" s="146">
        <f>(SUM($D$125:F125)*$C$111/$C$113)+(SUM($D$125:F125)*$C$112/$C$114)</f>
        <v>10574086.89152726</v>
      </c>
      <c r="G127" s="146">
        <f>(SUM($D$125:G125)*$C$111/$C$113)+(SUM($D$125:G125)*$C$112/$C$114)</f>
        <v>14070271.108129967</v>
      </c>
      <c r="H127" s="146">
        <f>(SUM($D$125:H125)*$C$111/$C$113)+(SUM($D$125:H125)*$C$112/$C$114)</f>
        <v>17307697.348303083</v>
      </c>
      <c r="I127" s="146">
        <f>(SUM($D$125:I125)*$C$111/$C$113)+(SUM($D$125:I125)*$C$112/$C$114)</f>
        <v>20303259.89832953</v>
      </c>
      <c r="J127" s="146">
        <f>(SUM($D$125:J125)*$C$111/$C$113)+(SUM($D$125:J125)*$C$112/$C$114)</f>
        <v>23072693.840973612</v>
      </c>
      <c r="K127" s="146">
        <f>(SUM($D$125:K125)*$C$111/$C$113)+(SUM($D$125:K125)*$C$112/$C$114)</f>
        <v>25630654.834242735</v>
      </c>
      <c r="L127" s="146">
        <f>(SUM($D$125:L125)*$C$111/$C$113)+(SUM($D$125:L125)*$C$112/$C$114)</f>
        <v>27990793.398636699</v>
      </c>
      <c r="M127" s="146">
        <f>(SUM($D$125:M125)*$C$111/$C$113)+(SUM($D$125:M125)*$C$112/$C$114)</f>
        <v>30245262.045554206</v>
      </c>
      <c r="N127" s="146">
        <f>(SUM($D$125:N125)*$C$111/$C$113)+(SUM($D$125:N125)*$C$112/$C$114)</f>
        <v>43158715.625571452</v>
      </c>
      <c r="O127" s="146">
        <f>(SUM($D$125:O125)*$C$111/$C$113)+(SUM($D$125:O125)*$C$112/$C$114)</f>
        <v>55478720.760180824</v>
      </c>
      <c r="P127" s="146">
        <f>(SUM($D$125:P125)*$C$111/$C$113)+(SUM($D$125:P125)*$C$112/$C$114)</f>
        <v>67224463.638943136</v>
      </c>
      <c r="Q127" s="146">
        <f>(SUM($D$125:Q125)*$C$111/$C$113)+(SUM($D$125:Q125)*$C$112/$C$114)</f>
        <v>78414433.444399536</v>
      </c>
      <c r="R127" s="146">
        <f>(SUM($D$125:R125)*$C$111/$C$113)+(SUM($D$125:R125)*$C$112/$C$114)</f>
        <v>89161227.317564309</v>
      </c>
      <c r="S127" s="146">
        <f>(SUM($D$125:S125)*$C$111/$C$113)+(SUM($D$125:S125)*$C$112/$C$114)</f>
        <v>99475747.91175501</v>
      </c>
      <c r="T127" s="146">
        <f>(SUM($D$125:T125)*$C$111/$C$113)+(SUM($D$125:T125)*$C$112/$C$114)</f>
        <v>109368587.43408617</v>
      </c>
      <c r="U127" s="146">
        <f>(SUM($D$125:U125)*$C$111/$C$113)+(SUM($D$125:U125)*$C$112/$C$114)</f>
        <v>118850036.68848518</v>
      </c>
      <c r="V127" s="146">
        <f>(SUM($D$125:V125)*$C$111/$C$113)+(SUM($D$125:V125)*$C$112/$C$114)</f>
        <v>127930093.85444808</v>
      </c>
      <c r="W127" s="146">
        <f>(SUM($D$125:W125)*$C$111/$C$113)+(SUM($D$125:W125)*$C$112/$C$114)</f>
        <v>136930211.11673129</v>
      </c>
      <c r="X127" s="146">
        <f>(SUM($D$125:X125)*$C$111/$C$113)+(SUM($D$125:X125)*$C$112/$C$114)</f>
        <v>148824212.60368255</v>
      </c>
      <c r="Y127" s="146">
        <f>(SUM($D$125:Y125)*$C$111/$C$113)+(SUM($D$125:Y125)*$C$112/$C$114)</f>
        <v>160612489.15506822</v>
      </c>
      <c r="Z127" s="146">
        <f>(SUM($D$125:Z125)*$C$111/$C$113)+(SUM($D$125:Z125)*$C$112/$C$114)</f>
        <v>172295468.95687741</v>
      </c>
      <c r="AA127" s="146">
        <f>(SUM($D$125:AA125)*$C$111/$C$113)+(SUM($D$125:AA125)*$C$112/$C$114)</f>
        <v>183873578.46094587</v>
      </c>
      <c r="AB127" s="146">
        <f>(SUM($D$125:AB125)*$C$111/$C$113)+(SUM($D$125:AB125)*$C$112/$C$114)</f>
        <v>195347242.39197943</v>
      </c>
      <c r="AC127" s="146">
        <f>(SUM($D$125:AC125)*$C$111/$C$113)+(SUM($D$125:AC125)*$C$112/$C$114)</f>
        <v>206716883.75454894</v>
      </c>
      <c r="AD127" s="146">
        <f>(SUM($D$125:AD125)*$C$111/$C$113)+(SUM($D$125:AD125)*$C$112/$C$114)</f>
        <v>217982923.84005666</v>
      </c>
      <c r="AE127" s="146">
        <f>(SUM($D$125:AE125)*$C$111/$C$113)+(SUM($D$125:AE125)*$C$112/$C$114)</f>
        <v>229145782.23367468</v>
      </c>
      <c r="AF127" s="146">
        <f>(SUM($D$125:AF125)*$C$111/$C$113)+(SUM($D$125:AF125)*$C$112/$C$114)</f>
        <v>240205876.82125512</v>
      </c>
      <c r="AG127" s="146">
        <f>(SUM($D$125:AG125)*$C$111/$C$113)+(SUM($D$125:AG125)*$C$112/$C$114)</f>
        <v>251163623.79621252</v>
      </c>
    </row>
    <row r="128" spans="1:33" s="149" customFormat="1" x14ac:dyDescent="0.35">
      <c r="A128" s="85"/>
      <c r="B128" s="85"/>
      <c r="C128" s="124"/>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row>
    <row r="129" spans="1:33" x14ac:dyDescent="0.35">
      <c r="A129" s="69" t="s">
        <v>118</v>
      </c>
      <c r="B129" s="69" t="s">
        <v>113</v>
      </c>
      <c r="C129" s="124"/>
      <c r="D129" s="72">
        <f>(SUM($D$125:D125)*$C$116)</f>
        <v>0</v>
      </c>
      <c r="E129" s="72">
        <f>(SUM($D$125:E125)*$C$116)</f>
        <v>0</v>
      </c>
      <c r="F129" s="72">
        <f>(SUM($D$125:F125)*$C$116)</f>
        <v>0</v>
      </c>
      <c r="G129" s="72">
        <f>(SUM($D$125:G125)*$C$116)</f>
        <v>0</v>
      </c>
      <c r="H129" s="72">
        <f>(SUM($D$125:H125)*$C$116)</f>
        <v>0</v>
      </c>
      <c r="I129" s="72">
        <f>(SUM($D$125:I125)*$C$116)</f>
        <v>0</v>
      </c>
      <c r="J129" s="72">
        <f>(SUM($D$125:J125)*$C$116)</f>
        <v>0</v>
      </c>
      <c r="K129" s="72">
        <f>(SUM($D$125:K125)*$C$116)</f>
        <v>0</v>
      </c>
      <c r="L129" s="72">
        <f>(SUM($D$125:L125)*$C$116)</f>
        <v>0</v>
      </c>
      <c r="M129" s="72">
        <f>(SUM($D$125:M125)*$C$116)</f>
        <v>0</v>
      </c>
      <c r="N129" s="72">
        <f>(SUM($D$125:N125)*$C$116)</f>
        <v>0</v>
      </c>
      <c r="O129" s="72">
        <f>(SUM($D$125:O125)*$C$116)</f>
        <v>0</v>
      </c>
      <c r="P129" s="72">
        <f>(SUM($D$125:P125)*$C$116)</f>
        <v>0</v>
      </c>
      <c r="Q129" s="72">
        <f>(SUM($D$125:Q125)*$C$116)</f>
        <v>0</v>
      </c>
      <c r="R129" s="72">
        <f>(SUM($D$125:R125)*$C$116)</f>
        <v>0</v>
      </c>
      <c r="S129" s="72">
        <f>(SUM($D$125:S125)*$C$116)</f>
        <v>0</v>
      </c>
      <c r="T129" s="72">
        <f>(SUM($D$125:T125)*$C$116)</f>
        <v>0</v>
      </c>
      <c r="U129" s="72">
        <f>(SUM($D$125:U125)*$C$116)</f>
        <v>0</v>
      </c>
      <c r="V129" s="72">
        <f>(SUM($D$125:V125)*$C$116)</f>
        <v>0</v>
      </c>
      <c r="W129" s="72">
        <f>(SUM($D$125:W125)*$C$116)</f>
        <v>0</v>
      </c>
      <c r="X129" s="72">
        <f>(SUM($D$125:X125)*$C$116)</f>
        <v>0</v>
      </c>
      <c r="Y129" s="72">
        <f>(SUM($D$125:Y125)*$C$116)</f>
        <v>0</v>
      </c>
      <c r="Z129" s="72">
        <f>(SUM($D$125:Z125)*$C$116)</f>
        <v>0</v>
      </c>
      <c r="AA129" s="72">
        <f>(SUM($D$125:AA125)*$C$116)</f>
        <v>0</v>
      </c>
      <c r="AB129" s="72">
        <f>(SUM($D$125:AB125)*$C$116)</f>
        <v>0</v>
      </c>
      <c r="AC129" s="72">
        <f>(SUM($D$125:AC125)*$C$116)</f>
        <v>0</v>
      </c>
      <c r="AD129" s="72">
        <f>(SUM($D$125:AD125)*$C$116)</f>
        <v>0</v>
      </c>
      <c r="AE129" s="72">
        <f>(SUM($D$125:AE125)*$C$116)</f>
        <v>0</v>
      </c>
      <c r="AF129" s="72">
        <f>(SUM($D$125:AF125)*$C$116)</f>
        <v>0</v>
      </c>
      <c r="AG129" s="72">
        <f>(SUM($D$125:AG125)*$C$116)</f>
        <v>0</v>
      </c>
    </row>
    <row r="130" spans="1:33" ht="16" thickBot="1" x14ac:dyDescent="0.4">
      <c r="A130" s="83"/>
      <c r="B130" s="83"/>
      <c r="C130" s="127"/>
      <c r="D130" s="128"/>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row>
    <row r="131" spans="1:33" s="136" customFormat="1" x14ac:dyDescent="0.35">
      <c r="A131" s="80" t="s">
        <v>71</v>
      </c>
      <c r="B131" s="80"/>
      <c r="C131" s="131"/>
      <c r="D131" s="132"/>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row>
    <row r="132" spans="1:33" s="73" customFormat="1" x14ac:dyDescent="0.35">
      <c r="A132" s="86"/>
      <c r="B132" s="86"/>
      <c r="C132" s="124"/>
      <c r="D132" s="72"/>
    </row>
    <row r="133" spans="1:33" s="73" customFormat="1" x14ac:dyDescent="0.35">
      <c r="A133" s="77" t="s">
        <v>161</v>
      </c>
      <c r="B133" s="77" t="s">
        <v>278</v>
      </c>
      <c r="C133" s="71">
        <f>'Data sheet'!O29</f>
        <v>814976.37459884293</v>
      </c>
      <c r="D133" s="138"/>
    </row>
    <row r="134" spans="1:33" x14ac:dyDescent="0.35">
      <c r="A134" s="77" t="s">
        <v>160</v>
      </c>
      <c r="B134" s="77" t="s">
        <v>278</v>
      </c>
      <c r="C134" s="71">
        <f>'Data sheet'!S29</f>
        <v>784240.4894885103</v>
      </c>
      <c r="D134" s="138"/>
      <c r="E134" s="73"/>
      <c r="F134" s="73"/>
      <c r="G134" s="73"/>
      <c r="H134" s="73"/>
      <c r="I134" s="73"/>
      <c r="J134" s="73"/>
      <c r="K134" s="73"/>
      <c r="L134" s="73"/>
      <c r="M134" s="73"/>
      <c r="N134" s="73"/>
      <c r="O134" s="73"/>
      <c r="P134" s="73"/>
      <c r="Q134" s="151"/>
      <c r="R134" s="73"/>
      <c r="S134" s="73"/>
      <c r="T134" s="73"/>
      <c r="U134" s="73"/>
      <c r="V134" s="73"/>
      <c r="W134" s="73"/>
      <c r="X134" s="73"/>
      <c r="Y134" s="73"/>
      <c r="Z134" s="73"/>
      <c r="AA134" s="73"/>
      <c r="AB134" s="73"/>
      <c r="AC134" s="73"/>
      <c r="AD134" s="73"/>
      <c r="AE134" s="73"/>
      <c r="AF134" s="73"/>
      <c r="AG134" s="73"/>
    </row>
    <row r="135" spans="1:33" x14ac:dyDescent="0.35">
      <c r="A135" s="77"/>
      <c r="B135" s="77"/>
      <c r="C135" s="124"/>
      <c r="D135" s="72"/>
      <c r="E135" s="73"/>
      <c r="F135" s="73"/>
      <c r="G135" s="73"/>
      <c r="H135" s="73"/>
      <c r="I135" s="73"/>
      <c r="J135" s="73"/>
      <c r="K135" s="73"/>
      <c r="L135" s="73"/>
      <c r="M135" s="73"/>
      <c r="N135" s="73"/>
      <c r="O135" s="73"/>
      <c r="P135" s="73"/>
      <c r="Q135" s="151"/>
      <c r="R135" s="73"/>
      <c r="S135" s="73"/>
      <c r="T135" s="73"/>
      <c r="U135" s="73"/>
      <c r="V135" s="73"/>
      <c r="W135" s="73"/>
      <c r="X135" s="73"/>
      <c r="Y135" s="73"/>
      <c r="Z135" s="73"/>
      <c r="AA135" s="73"/>
      <c r="AB135" s="73"/>
      <c r="AC135" s="73"/>
      <c r="AD135" s="73"/>
      <c r="AE135" s="73"/>
      <c r="AF135" s="73"/>
      <c r="AG135" s="73"/>
    </row>
    <row r="136" spans="1:33" x14ac:dyDescent="0.35">
      <c r="A136" s="77" t="s">
        <v>139</v>
      </c>
      <c r="B136" s="77" t="s">
        <v>113</v>
      </c>
      <c r="C136" s="71">
        <f>AVERAGE(C133:C134)</f>
        <v>799608.43204367661</v>
      </c>
      <c r="D136" s="72"/>
      <c r="E136" s="73"/>
      <c r="F136" s="73"/>
      <c r="G136" s="73"/>
      <c r="H136" s="73"/>
      <c r="I136" s="73"/>
      <c r="J136" s="73"/>
      <c r="K136" s="73"/>
      <c r="L136" s="73"/>
      <c r="M136" s="73"/>
      <c r="N136" s="73"/>
      <c r="O136" s="73"/>
      <c r="P136" s="73"/>
      <c r="Q136" s="151"/>
      <c r="R136" s="73"/>
      <c r="S136" s="73"/>
      <c r="T136" s="73"/>
      <c r="U136" s="73"/>
      <c r="V136" s="73"/>
      <c r="W136" s="73"/>
      <c r="X136" s="73"/>
      <c r="Y136" s="73"/>
      <c r="Z136" s="73"/>
      <c r="AA136" s="73"/>
      <c r="AB136" s="73"/>
      <c r="AC136" s="73"/>
      <c r="AD136" s="73"/>
      <c r="AE136" s="73"/>
      <c r="AF136" s="73"/>
      <c r="AG136" s="73"/>
    </row>
    <row r="137" spans="1:33" x14ac:dyDescent="0.35">
      <c r="A137" s="77"/>
      <c r="B137" s="77"/>
      <c r="C137" s="124"/>
      <c r="D137" s="72"/>
      <c r="E137" s="73"/>
      <c r="F137" s="73"/>
      <c r="G137" s="73"/>
      <c r="H137" s="73"/>
      <c r="I137" s="73"/>
      <c r="J137" s="73"/>
      <c r="K137" s="73"/>
      <c r="L137" s="73"/>
      <c r="M137" s="73"/>
      <c r="N137" s="73"/>
      <c r="O137" s="73"/>
      <c r="P137" s="73"/>
      <c r="Q137" s="151"/>
      <c r="R137" s="73"/>
      <c r="S137" s="73"/>
      <c r="T137" s="73"/>
      <c r="U137" s="73"/>
      <c r="V137" s="73"/>
      <c r="W137" s="73"/>
      <c r="X137" s="73"/>
      <c r="Y137" s="73"/>
      <c r="Z137" s="73"/>
      <c r="AA137" s="73"/>
      <c r="AB137" s="73"/>
      <c r="AC137" s="73"/>
      <c r="AD137" s="73"/>
      <c r="AE137" s="73"/>
      <c r="AF137" s="73"/>
      <c r="AG137" s="73"/>
    </row>
    <row r="138" spans="1:33" x14ac:dyDescent="0.35">
      <c r="A138" s="77" t="s">
        <v>149</v>
      </c>
      <c r="B138" s="77" t="s">
        <v>148</v>
      </c>
      <c r="C138" s="124">
        <v>2.7</v>
      </c>
      <c r="D138" s="72"/>
      <c r="E138" s="73"/>
      <c r="F138" s="73"/>
      <c r="G138" s="73"/>
      <c r="H138" s="73"/>
      <c r="I138" s="73"/>
      <c r="J138" s="73"/>
      <c r="K138" s="73"/>
      <c r="L138" s="73"/>
      <c r="M138" s="73"/>
      <c r="N138" s="73"/>
      <c r="O138" s="73"/>
      <c r="P138" s="73"/>
      <c r="Q138" s="151"/>
      <c r="R138" s="73"/>
      <c r="S138" s="73"/>
      <c r="T138" s="73"/>
      <c r="U138" s="73"/>
      <c r="V138" s="73"/>
      <c r="W138" s="73"/>
      <c r="X138" s="73"/>
      <c r="Y138" s="73"/>
      <c r="Z138" s="73"/>
      <c r="AA138" s="73"/>
      <c r="AB138" s="73"/>
      <c r="AC138" s="73"/>
      <c r="AD138" s="73"/>
      <c r="AE138" s="73"/>
      <c r="AF138" s="73"/>
      <c r="AG138" s="73"/>
    </row>
    <row r="139" spans="1:33" x14ac:dyDescent="0.35">
      <c r="A139" s="77"/>
      <c r="B139" s="77"/>
      <c r="C139" s="124"/>
      <c r="D139" s="72"/>
      <c r="E139" s="73"/>
      <c r="F139" s="73"/>
      <c r="G139" s="73"/>
      <c r="H139" s="73"/>
      <c r="I139" s="73"/>
      <c r="J139" s="73"/>
      <c r="K139" s="73"/>
      <c r="L139" s="73"/>
      <c r="M139" s="73"/>
      <c r="N139" s="73"/>
      <c r="O139" s="73"/>
      <c r="P139" s="73"/>
      <c r="Q139" s="151"/>
      <c r="R139" s="73"/>
      <c r="S139" s="73"/>
      <c r="T139" s="73"/>
      <c r="U139" s="73"/>
      <c r="V139" s="73"/>
      <c r="W139" s="73"/>
      <c r="X139" s="73"/>
      <c r="Y139" s="73"/>
      <c r="Z139" s="73"/>
      <c r="AA139" s="73"/>
      <c r="AB139" s="73"/>
      <c r="AC139" s="73"/>
      <c r="AD139" s="73"/>
      <c r="AE139" s="73"/>
      <c r="AF139" s="73"/>
      <c r="AG139" s="73"/>
    </row>
    <row r="140" spans="1:33" x14ac:dyDescent="0.35">
      <c r="A140" s="77" t="s">
        <v>162</v>
      </c>
      <c r="B140" s="77" t="s">
        <v>163</v>
      </c>
      <c r="C140" s="141">
        <v>0.7</v>
      </c>
      <c r="D140" s="72"/>
      <c r="E140" s="73"/>
      <c r="F140" s="73"/>
      <c r="G140" s="73"/>
      <c r="H140" s="73"/>
      <c r="I140" s="73"/>
      <c r="J140" s="73"/>
      <c r="K140" s="73"/>
      <c r="L140" s="73"/>
      <c r="M140" s="73"/>
      <c r="N140" s="73"/>
      <c r="O140" s="73"/>
      <c r="P140" s="73"/>
      <c r="Q140" s="151"/>
      <c r="R140" s="73"/>
      <c r="S140" s="73"/>
      <c r="T140" s="73"/>
      <c r="U140" s="73"/>
      <c r="V140" s="73"/>
      <c r="W140" s="73"/>
      <c r="X140" s="73"/>
      <c r="Y140" s="73"/>
      <c r="Z140" s="73"/>
      <c r="AA140" s="73"/>
      <c r="AB140" s="73"/>
      <c r="AC140" s="73"/>
      <c r="AD140" s="73"/>
      <c r="AE140" s="73"/>
      <c r="AF140" s="73"/>
      <c r="AG140" s="73"/>
    </row>
    <row r="141" spans="1:33" x14ac:dyDescent="0.35">
      <c r="A141" s="77"/>
      <c r="B141" s="77"/>
      <c r="C141" s="124"/>
      <c r="D141" s="72"/>
      <c r="E141" s="73"/>
      <c r="F141" s="73"/>
      <c r="G141" s="73"/>
      <c r="H141" s="73"/>
      <c r="I141" s="73"/>
      <c r="J141" s="73"/>
      <c r="K141" s="73"/>
      <c r="L141" s="73"/>
      <c r="M141" s="73"/>
      <c r="N141" s="73"/>
      <c r="O141" s="73"/>
      <c r="P141" s="73"/>
      <c r="Q141" s="151"/>
      <c r="R141" s="73"/>
      <c r="S141" s="73"/>
      <c r="T141" s="73"/>
      <c r="U141" s="73"/>
      <c r="V141" s="73"/>
      <c r="W141" s="73"/>
      <c r="X141" s="73"/>
      <c r="Y141" s="73"/>
      <c r="Z141" s="73"/>
      <c r="AA141" s="73"/>
      <c r="AB141" s="73"/>
      <c r="AC141" s="73"/>
      <c r="AD141" s="73"/>
      <c r="AE141" s="73"/>
      <c r="AF141" s="73"/>
      <c r="AG141" s="73"/>
    </row>
    <row r="142" spans="1:33" ht="16" thickBot="1" x14ac:dyDescent="0.4">
      <c r="A142" s="79" t="s">
        <v>125</v>
      </c>
      <c r="B142" s="79" t="s">
        <v>113</v>
      </c>
      <c r="C142" s="152">
        <f>C136/C138</f>
        <v>296151.27112728759</v>
      </c>
      <c r="D142" s="153">
        <f t="shared" ref="D142:AG142" si="20">$C$142*D13</f>
        <v>301003.45501216868</v>
      </c>
      <c r="E142" s="153">
        <f t="shared" si="20"/>
        <v>305935.13775708526</v>
      </c>
      <c r="F142" s="153">
        <f t="shared" si="20"/>
        <v>310947.62188248947</v>
      </c>
      <c r="G142" s="153">
        <f t="shared" si="20"/>
        <v>316042.23124951066</v>
      </c>
      <c r="H142" s="153">
        <f t="shared" si="20"/>
        <v>321220.31140960433</v>
      </c>
      <c r="I142" s="153">
        <f t="shared" si="20"/>
        <v>326483.22995992942</v>
      </c>
      <c r="J142" s="153">
        <f t="shared" si="20"/>
        <v>331832.3769045482</v>
      </c>
      <c r="K142" s="153">
        <f t="shared" si="20"/>
        <v>337269.16502154391</v>
      </c>
      <c r="L142" s="153">
        <f t="shared" si="20"/>
        <v>342795.03023615398</v>
      </c>
      <c r="M142" s="153">
        <f t="shared" si="20"/>
        <v>348411.43200001569</v>
      </c>
      <c r="N142" s="153">
        <f t="shared" si="20"/>
        <v>354119.85367662634</v>
      </c>
      <c r="O142" s="153">
        <f t="shared" si="20"/>
        <v>359921.80293311848</v>
      </c>
      <c r="P142" s="153">
        <f t="shared" si="20"/>
        <v>365818.812138454</v>
      </c>
      <c r="Q142" s="153">
        <f t="shared" si="20"/>
        <v>371812.43876814225</v>
      </c>
      <c r="R142" s="153">
        <f t="shared" si="20"/>
        <v>377904.26581558958</v>
      </c>
      <c r="S142" s="153">
        <f t="shared" si="20"/>
        <v>384095.90221018769</v>
      </c>
      <c r="T142" s="153">
        <f t="shared" si="20"/>
        <v>390388.9832422529</v>
      </c>
      <c r="U142" s="153">
        <f t="shared" si="20"/>
        <v>396785.17099492683</v>
      </c>
      <c r="V142" s="153">
        <f t="shared" si="20"/>
        <v>403286.15478315391</v>
      </c>
      <c r="W142" s="153">
        <f t="shared" si="20"/>
        <v>409893.65159985144</v>
      </c>
      <c r="X142" s="153">
        <f t="shared" si="20"/>
        <v>416609.40656938875</v>
      </c>
      <c r="Y142" s="153">
        <f t="shared" si="20"/>
        <v>423435.19340849709</v>
      </c>
      <c r="Z142" s="153">
        <f t="shared" si="20"/>
        <v>430372.81489473116</v>
      </c>
      <c r="AA142" s="153">
        <f t="shared" si="20"/>
        <v>437424.10334260541</v>
      </c>
      <c r="AB142" s="153">
        <f t="shared" si="20"/>
        <v>444590.92108753178</v>
      </c>
      <c r="AC142" s="153">
        <f t="shared" si="20"/>
        <v>451875.16097768629</v>
      </c>
      <c r="AD142" s="153">
        <f t="shared" si="20"/>
        <v>459278.74687393452</v>
      </c>
      <c r="AE142" s="153">
        <f t="shared" si="20"/>
        <v>466803.63415794761</v>
      </c>
      <c r="AF142" s="153">
        <f t="shared" si="20"/>
        <v>474451.81024864427</v>
      </c>
      <c r="AG142" s="153">
        <f t="shared" si="20"/>
        <v>482225.29512709222</v>
      </c>
    </row>
    <row r="147" spans="3:33" x14ac:dyDescent="0.35">
      <c r="C147" s="197"/>
    </row>
    <row r="153" spans="3:33" x14ac:dyDescent="0.35">
      <c r="D153" s="154"/>
    </row>
    <row r="160" spans="3:33" x14ac:dyDescent="0.3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row>
    <row r="163" spans="4:33" x14ac:dyDescent="0.35">
      <c r="D163" s="156"/>
    </row>
    <row r="166" spans="4:33" x14ac:dyDescent="0.35">
      <c r="D166" s="157"/>
    </row>
    <row r="169" spans="4:33" x14ac:dyDescent="0.35">
      <c r="D169" s="154"/>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row>
    <row r="170" spans="4:33" x14ac:dyDescent="0.35">
      <c r="D170" s="154"/>
    </row>
    <row r="173" spans="4:33" x14ac:dyDescent="0.35">
      <c r="M173" s="159"/>
    </row>
    <row r="181" spans="4:4" x14ac:dyDescent="0.35">
      <c r="D181" s="160"/>
    </row>
    <row r="182" spans="4:4" x14ac:dyDescent="0.35">
      <c r="D182" s="160"/>
    </row>
    <row r="183" spans="4:4" x14ac:dyDescent="0.35">
      <c r="D183" s="154"/>
    </row>
    <row r="184" spans="4:4" x14ac:dyDescent="0.35">
      <c r="D184" s="154"/>
    </row>
    <row r="186" spans="4:4" x14ac:dyDescent="0.35">
      <c r="D186" s="161"/>
    </row>
    <row r="187" spans="4:4" x14ac:dyDescent="0.35">
      <c r="D187" s="160"/>
    </row>
    <row r="188" spans="4:4" x14ac:dyDescent="0.35">
      <c r="D188" s="160"/>
    </row>
    <row r="193" spans="4:4" x14ac:dyDescent="0.35">
      <c r="D193" s="162"/>
    </row>
    <row r="202" spans="4:4" x14ac:dyDescent="0.35">
      <c r="D202" s="154"/>
    </row>
  </sheetData>
  <mergeCells count="1">
    <mergeCell ref="D3:A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131</v>
      </c>
      <c r="B4" s="35"/>
      <c r="C4" s="34"/>
      <c r="D4" s="53"/>
      <c r="E4" s="65">
        <v>0.09</v>
      </c>
      <c r="F4" s="65">
        <v>0.03</v>
      </c>
      <c r="G4" s="65">
        <v>2.1999999999999999E-2</v>
      </c>
      <c r="H4" s="65">
        <v>0.02</v>
      </c>
      <c r="I4" s="65">
        <v>0.02</v>
      </c>
      <c r="J4" s="65">
        <v>0.02</v>
      </c>
      <c r="K4" s="65">
        <v>0.02</v>
      </c>
      <c r="L4" s="65">
        <v>0.02</v>
      </c>
      <c r="M4" s="65">
        <v>0.02</v>
      </c>
      <c r="N4" s="65">
        <v>0.02</v>
      </c>
      <c r="O4" s="65">
        <v>0.02</v>
      </c>
      <c r="P4" s="65">
        <v>0.02</v>
      </c>
      <c r="Q4" s="65">
        <v>0.02</v>
      </c>
      <c r="R4" s="65">
        <v>0.02</v>
      </c>
      <c r="S4" s="65">
        <v>0.02</v>
      </c>
      <c r="T4" s="65">
        <v>0.02</v>
      </c>
      <c r="U4" s="65">
        <v>0.02</v>
      </c>
      <c r="V4" s="65">
        <v>0.02</v>
      </c>
      <c r="W4" s="65">
        <v>0.02</v>
      </c>
      <c r="X4" s="65">
        <v>0.02</v>
      </c>
      <c r="Y4" s="65">
        <v>0.02</v>
      </c>
      <c r="Z4" s="65">
        <v>0.02</v>
      </c>
      <c r="AA4" s="65">
        <v>0.01</v>
      </c>
      <c r="AB4" s="65">
        <v>0.01</v>
      </c>
      <c r="AC4" s="65">
        <v>0.01</v>
      </c>
      <c r="AD4" s="65">
        <v>0.01</v>
      </c>
      <c r="AE4" s="65">
        <v>0.01</v>
      </c>
      <c r="AF4" s="65">
        <v>0.01</v>
      </c>
      <c r="AG4" s="65">
        <v>0.01</v>
      </c>
      <c r="AH4" s="65">
        <v>0.01</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60</v>
      </c>
      <c r="B6" s="68">
        <f ca="1">MAX(E6:AH6)</f>
        <v>5.9964847237892016</v>
      </c>
      <c r="C6" s="25"/>
      <c r="D6" s="25"/>
      <c r="E6" s="27">
        <f>'Debt worksheet'!C5/'Profit and Loss'!C5</f>
        <v>2.2797808429593927</v>
      </c>
      <c r="F6" s="28">
        <f ca="1">'Debt worksheet'!D5/'Profit and Loss'!D5</f>
        <v>3.2881577721658868</v>
      </c>
      <c r="G6" s="28">
        <f ca="1">'Debt worksheet'!E5/'Profit and Loss'!E5</f>
        <v>3.4117562781859854</v>
      </c>
      <c r="H6" s="28">
        <f ca="1">'Debt worksheet'!F5/'Profit and Loss'!F5</f>
        <v>3.532341105413229</v>
      </c>
      <c r="I6" s="28">
        <f ca="1">'Debt worksheet'!G5/'Profit and Loss'!G5</f>
        <v>3.645432300059916</v>
      </c>
      <c r="J6" s="28">
        <f ca="1">'Debt worksheet'!H5/'Profit and Loss'!H5</f>
        <v>3.6980198106993289</v>
      </c>
      <c r="K6" s="28">
        <f ca="1">'Debt worksheet'!I5/'Profit and Loss'!I5</f>
        <v>3.5837033220727017</v>
      </c>
      <c r="L6" s="28">
        <f ca="1">'Debt worksheet'!J5/'Profit and Loss'!J5</f>
        <v>3.4184412852256005</v>
      </c>
      <c r="M6" s="28">
        <f ca="1">'Debt worksheet'!K5/'Profit and Loss'!K5</f>
        <v>3.2056351928489475</v>
      </c>
      <c r="N6" s="28">
        <f ca="1">'Debt worksheet'!L5/'Profit and Loss'!L5</f>
        <v>2.9484289142119584</v>
      </c>
      <c r="O6" s="28">
        <f ca="1">'Debt worksheet'!M5/'Profit and Loss'!M5</f>
        <v>2.6652979790633089</v>
      </c>
      <c r="P6" s="28">
        <f ca="1">'Debt worksheet'!N5/'Profit and Loss'!N5</f>
        <v>3.0054299026934252</v>
      </c>
      <c r="Q6" s="28">
        <f ca="1">'Debt worksheet'!O5/'Profit and Loss'!O5</f>
        <v>3.2966777713812472</v>
      </c>
      <c r="R6" s="28">
        <f ca="1">'Debt worksheet'!P5/'Profit and Loss'!P5</f>
        <v>3.5405800514795596</v>
      </c>
      <c r="S6" s="28">
        <f ca="1">'Debt worksheet'!Q5/'Profit and Loss'!Q5</f>
        <v>3.7386215728728449</v>
      </c>
      <c r="T6" s="28">
        <f ca="1">'Debt worksheet'!R5/'Profit and Loss'!R5</f>
        <v>3.8995679097301155</v>
      </c>
      <c r="U6" s="28">
        <f ca="1">'Debt worksheet'!S5/'Profit and Loss'!S5</f>
        <v>4.0242586646781238</v>
      </c>
      <c r="V6" s="28">
        <f ca="1">'Debt worksheet'!T5/'Profit and Loss'!T5</f>
        <v>4.1135164689540522</v>
      </c>
      <c r="W6" s="28">
        <f ca="1">'Debt worksheet'!U5/'Profit and Loss'!U5</f>
        <v>4.1681472026915021</v>
      </c>
      <c r="X6" s="28">
        <f ca="1">'Debt worksheet'!V5/'Profit and Loss'!V5</f>
        <v>4.1889402212024436</v>
      </c>
      <c r="Y6" s="28">
        <f ca="1">'Debt worksheet'!W5/'Profit and Loss'!W5</f>
        <v>4.2008830083557767</v>
      </c>
      <c r="Z6" s="28">
        <f ca="1">'Debt worksheet'!X5/'Profit and Loss'!X5</f>
        <v>4.3590186497638124</v>
      </c>
      <c r="AA6" s="28">
        <f ca="1">'Debt worksheet'!Y5/'Profit and Loss'!Y5</f>
        <v>4.552375121570857</v>
      </c>
      <c r="AB6" s="28">
        <f ca="1">'Debt worksheet'!Z5/'Profit and Loss'!Z5</f>
        <v>4.7493655647127753</v>
      </c>
      <c r="AC6" s="28">
        <f ca="1">'Debt worksheet'!AA5/'Profit and Loss'!AA5</f>
        <v>4.9497874046644332</v>
      </c>
      <c r="AD6" s="28">
        <f ca="1">'Debt worksheet'!AB5/'Profit and Loss'!AB5</f>
        <v>5.1534410797260843</v>
      </c>
      <c r="AE6" s="28">
        <f ca="1">'Debt worksheet'!AC5/'Profit and Loss'!AC5</f>
        <v>5.360129975991641</v>
      </c>
      <c r="AF6" s="28">
        <f ca="1">'Debt worksheet'!AD5/'Profit and Loss'!AD5</f>
        <v>5.5696603630208141</v>
      </c>
      <c r="AG6" s="28">
        <f ca="1">'Debt worksheet'!AE5/'Profit and Loss'!AE5</f>
        <v>5.7818413302015346</v>
      </c>
      <c r="AH6" s="28">
        <f ca="1">'Debt worksheet'!AF5/'Profit and Loss'!AF5</f>
        <v>5.9964847237892016</v>
      </c>
      <c r="AI6" s="31"/>
    </row>
    <row r="7" spans="1:35" ht="21" x14ac:dyDescent="0.5">
      <c r="A7" s="19" t="s">
        <v>38</v>
      </c>
      <c r="B7" s="26">
        <f ca="1">MIN('Price and Financial ratios'!E7:AH7)</f>
        <v>0.10056844077648504</v>
      </c>
      <c r="C7" s="26"/>
      <c r="D7" s="26"/>
      <c r="E7" s="56">
        <f ca="1">'Cash Flow'!C7/'Debt worksheet'!C5</f>
        <v>0.15564730818046596</v>
      </c>
      <c r="F7" s="32">
        <f ca="1">'Cash Flow'!D7/'Debt worksheet'!D5</f>
        <v>0.10900676589380716</v>
      </c>
      <c r="G7" s="32">
        <f ca="1">'Cash Flow'!E7/'Debt worksheet'!E5</f>
        <v>0.10473762776085357</v>
      </c>
      <c r="H7" s="32">
        <f ca="1">'Cash Flow'!F7/'Debt worksheet'!F5</f>
        <v>0.10056844077648504</v>
      </c>
      <c r="I7" s="32">
        <f ca="1">'Cash Flow'!G7/'Debt worksheet'!G5</f>
        <v>0.10760884390777659</v>
      </c>
      <c r="J7" s="32">
        <f ca="1">'Cash Flow'!H7/'Debt worksheet'!H5</f>
        <v>0.13172188525510453</v>
      </c>
      <c r="K7" s="32">
        <f ca="1">'Cash Flow'!I7/'Debt worksheet'!I5</f>
        <v>0.14667274209982079</v>
      </c>
      <c r="L7" s="32">
        <f ca="1">'Cash Flow'!J7/'Debt worksheet'!J5</f>
        <v>0.16483894135748761</v>
      </c>
      <c r="M7" s="17">
        <f ca="1">'Cash Flow'!K7/'Debt worksheet'!K5</f>
        <v>0.18740861643841369</v>
      </c>
      <c r="N7" s="17">
        <f ca="1">'Cash Flow'!L7/'Debt worksheet'!L5</f>
        <v>0.21239384344479359</v>
      </c>
      <c r="O7" s="17">
        <f ca="1">'Cash Flow'!M7/'Debt worksheet'!M5</f>
        <v>0.2358095235861502</v>
      </c>
      <c r="P7" s="17">
        <f ca="1">'Cash Flow'!N7/'Debt worksheet'!N5</f>
        <v>0.2102863009533143</v>
      </c>
      <c r="Q7" s="17">
        <f ca="1">'Cash Flow'!O7/'Debt worksheet'!O5</f>
        <v>0.19313089353861251</v>
      </c>
      <c r="R7" s="17">
        <f ca="1">'Cash Flow'!P7/'Debt worksheet'!P5</f>
        <v>0.18147880405755312</v>
      </c>
      <c r="S7" s="17">
        <f ca="1">'Cash Flow'!Q7/'Debt worksheet'!Q5</f>
        <v>0.17314187064286188</v>
      </c>
      <c r="T7" s="17">
        <f ca="1">'Cash Flow'!R7/'Debt worksheet'!R5</f>
        <v>0.1674775935644259</v>
      </c>
      <c r="U7" s="17">
        <f ca="1">'Cash Flow'!S7/'Debt worksheet'!S5</f>
        <v>0.16396963865149311</v>
      </c>
      <c r="V7" s="17">
        <f ca="1">'Cash Flow'!T7/'Debt worksheet'!T5</f>
        <v>0.16229208888480071</v>
      </c>
      <c r="W7" s="17">
        <f ca="1">'Cash Flow'!U7/'Debt worksheet'!U5</f>
        <v>0.16224872777243018</v>
      </c>
      <c r="X7" s="17">
        <f ca="1">'Cash Flow'!V7/'Debt worksheet'!V5</f>
        <v>0.16168746465065822</v>
      </c>
      <c r="Y7" s="17">
        <f ca="1">'Cash Flow'!W7/'Debt worksheet'!W5</f>
        <v>0.16020826238663044</v>
      </c>
      <c r="Z7" s="17">
        <f ca="1">'Cash Flow'!X7/'Debt worksheet'!X5</f>
        <v>0.1534918332782855</v>
      </c>
      <c r="AA7" s="17">
        <f ca="1">'Cash Flow'!Y7/'Debt worksheet'!Y5</f>
        <v>0.1453761078253672</v>
      </c>
      <c r="AB7" s="17">
        <f ca="1">'Cash Flow'!Z7/'Debt worksheet'!Z5</f>
        <v>0.13779268902924113</v>
      </c>
      <c r="AC7" s="17">
        <f ca="1">'Cash Flow'!AA7/'Debt worksheet'!AA5</f>
        <v>0.13070157504915517</v>
      </c>
      <c r="AD7" s="17">
        <f ca="1">'Cash Flow'!AB7/'Debt worksheet'!AB5</f>
        <v>0.12406571764702862</v>
      </c>
      <c r="AE7" s="17">
        <f ca="1">'Cash Flow'!AC7/'Debt worksheet'!AC5</f>
        <v>0.11785089911416059</v>
      </c>
      <c r="AF7" s="17">
        <f ca="1">'Cash Flow'!AD7/'Debt worksheet'!AD5</f>
        <v>0.11202558182762688</v>
      </c>
      <c r="AG7" s="17">
        <f ca="1">'Cash Flow'!AE7/'Debt worksheet'!AE5</f>
        <v>0.10656074287867193</v>
      </c>
      <c r="AH7" s="17">
        <f ca="1">'Cash Flow'!AF7/'Debt worksheet'!AF5</f>
        <v>0.10142970263047944</v>
      </c>
      <c r="AI7" s="29"/>
    </row>
    <row r="8" spans="1:35" ht="21" x14ac:dyDescent="0.5">
      <c r="A8" s="19" t="s">
        <v>33</v>
      </c>
      <c r="B8" s="26">
        <f ca="1">MAX('Price and Financial ratios'!E8:AH8)</f>
        <v>0.4989589960850237</v>
      </c>
      <c r="C8" s="26"/>
      <c r="D8" s="171"/>
      <c r="E8" s="17">
        <f>'Balance Sheet'!B11/'Balance Sheet'!B8</f>
        <v>0.21804297109831386</v>
      </c>
      <c r="F8" s="17">
        <f ca="1">'Balance Sheet'!C11/'Balance Sheet'!C8</f>
        <v>0.32956755064798388</v>
      </c>
      <c r="G8" s="17">
        <f ca="1">'Balance Sheet'!D11/'Balance Sheet'!D8</f>
        <v>0.34749975465392274</v>
      </c>
      <c r="H8" s="17">
        <f ca="1">'Balance Sheet'!E11/'Balance Sheet'!E8</f>
        <v>0.36498719105582983</v>
      </c>
      <c r="I8" s="17">
        <f ca="1">'Balance Sheet'!F11/'Balance Sheet'!F8</f>
        <v>0.38219863717397401</v>
      </c>
      <c r="J8" s="17">
        <f ca="1">'Balance Sheet'!G11/'Balance Sheet'!G8</f>
        <v>0.39411386120846581</v>
      </c>
      <c r="K8" s="17">
        <f ca="1">'Balance Sheet'!H11/'Balance Sheet'!H8</f>
        <v>0.38888873784450695</v>
      </c>
      <c r="L8" s="17">
        <f ca="1">'Balance Sheet'!I11/'Balance Sheet'!I8</f>
        <v>0.37830267221202774</v>
      </c>
      <c r="M8" s="17">
        <f ca="1">'Balance Sheet'!J11/'Balance Sheet'!J8</f>
        <v>0.36230601503856041</v>
      </c>
      <c r="N8" s="17">
        <f ca="1">'Balance Sheet'!K11/'Balance Sheet'!K8</f>
        <v>0.34080094125054161</v>
      </c>
      <c r="O8" s="17">
        <f ca="1">'Balance Sheet'!L11/'Balance Sheet'!L8</f>
        <v>0.31587513875713519</v>
      </c>
      <c r="P8" s="17">
        <f ca="1">'Balance Sheet'!M11/'Balance Sheet'!M8</f>
        <v>0.34018413691366928</v>
      </c>
      <c r="Q8" s="17">
        <f ca="1">'Balance Sheet'!N11/'Balance Sheet'!N8</f>
        <v>0.35939538287822609</v>
      </c>
      <c r="R8" s="17">
        <f ca="1">'Balance Sheet'!O11/'Balance Sheet'!O8</f>
        <v>0.37441148437452437</v>
      </c>
      <c r="S8" s="17">
        <f ca="1">'Balance Sheet'!P11/'Balance Sheet'!P8</f>
        <v>0.38585626039401921</v>
      </c>
      <c r="T8" s="17">
        <f ca="1">'Balance Sheet'!Q11/'Balance Sheet'!Q8</f>
        <v>0.39469500539505864</v>
      </c>
      <c r="U8" s="17">
        <f ca="1">'Balance Sheet'!R11/'Balance Sheet'!R8</f>
        <v>0.40115753608124705</v>
      </c>
      <c r="V8" s="17">
        <f ca="1">'Balance Sheet'!S11/'Balance Sheet'!S8</f>
        <v>0.4053987861126982</v>
      </c>
      <c r="W8" s="17">
        <f ca="1">'Balance Sheet'!T11/'Balance Sheet'!T8</f>
        <v>0.40751645228832878</v>
      </c>
      <c r="X8" s="17">
        <f ca="1">'Balance Sheet'!U11/'Balance Sheet'!U8</f>
        <v>0.40757842939605177</v>
      </c>
      <c r="Y8" s="17">
        <f ca="1">'Balance Sheet'!V11/'Balance Sheet'!V8</f>
        <v>0.40747938052796229</v>
      </c>
      <c r="Z8" s="17">
        <f ca="1">'Balance Sheet'!W11/'Balance Sheet'!W8</f>
        <v>0.41616375545063844</v>
      </c>
      <c r="AA8" s="17">
        <f ca="1">'Balance Sheet'!X11/'Balance Sheet'!X8</f>
        <v>0.42454528579497947</v>
      </c>
      <c r="AB8" s="17">
        <f ca="1">'Balance Sheet'!Y11/'Balance Sheet'!Y8</f>
        <v>0.43354199373789198</v>
      </c>
      <c r="AC8" s="17">
        <f ca="1">'Balance Sheet'!Z11/'Balance Sheet'!Z8</f>
        <v>0.44311993911372088</v>
      </c>
      <c r="AD8" s="17">
        <f ca="1">'Balance Sheet'!AA11/'Balance Sheet'!AA8</f>
        <v>0.45325203134698916</v>
      </c>
      <c r="AE8" s="17">
        <f ca="1">'Balance Sheet'!AB11/'Balance Sheet'!AB8</f>
        <v>0.46391681877918478</v>
      </c>
      <c r="AF8" s="17">
        <f ca="1">'Balance Sheet'!AC11/'Balance Sheet'!AC8</f>
        <v>0.47509754603190241</v>
      </c>
      <c r="AG8" s="17">
        <f ca="1">'Balance Sheet'!AD11/'Balance Sheet'!AD8</f>
        <v>0.48678141416890675</v>
      </c>
      <c r="AH8" s="17">
        <f ca="1">'Balance Sheet'!AE11/'Balance Sheet'!AE8</f>
        <v>0.4989589960850237</v>
      </c>
      <c r="AI8" s="29"/>
    </row>
    <row r="9" spans="1:35" ht="21.5" thickBot="1" x14ac:dyDescent="0.55000000000000004">
      <c r="A9" s="20" t="s">
        <v>32</v>
      </c>
      <c r="B9" s="21">
        <f ca="1">MIN('Price and Financial ratios'!E9:AH9)</f>
        <v>3.6856487958756983</v>
      </c>
      <c r="C9" s="21"/>
      <c r="D9" s="172"/>
      <c r="E9" s="21">
        <f ca="1">('Cash Flow'!C7+'Profit and Loss'!C8)/('Profit and Loss'!C8)</f>
        <v>3.9452279817672427</v>
      </c>
      <c r="F9" s="21">
        <f ca="1">('Cash Flow'!D7+'Profit and Loss'!D8)/('Profit and Loss'!D8)</f>
        <v>3.8896901885633737</v>
      </c>
      <c r="G9" s="21">
        <f ca="1">('Cash Flow'!E7+'Profit and Loss'!E8)/('Profit and Loss'!E8)</f>
        <v>3.7879950717777464</v>
      </c>
      <c r="H9" s="21">
        <f ca="1">('Cash Flow'!F7+'Profit and Loss'!F8)/('Profit and Loss'!F8)</f>
        <v>3.6856487958756983</v>
      </c>
      <c r="I9" s="21">
        <f ca="1">('Cash Flow'!G7+'Profit and Loss'!G8)/('Profit and Loss'!G8)</f>
        <v>3.923490411869504</v>
      </c>
      <c r="J9" s="21">
        <f ca="1">('Cash Flow'!H7+'Profit and Loss'!H8)/('Profit and Loss'!H8)</f>
        <v>4.7460108102051333</v>
      </c>
      <c r="K9" s="21">
        <f ca="1">('Cash Flow'!I7+'Profit and Loss'!I8)/('Profit and Loss'!I8)</f>
        <v>5.237671036067729</v>
      </c>
      <c r="L9" s="21">
        <f ca="1">('Cash Flow'!J7+'Profit and Loss'!J8)/('Profit and Loss'!J8)</f>
        <v>5.8444864845105986</v>
      </c>
      <c r="M9" s="21">
        <f ca="1">('Cash Flow'!K7+'Profit and Loss'!K8)/('Profit and Loss'!K8)</f>
        <v>6.6154801265598504</v>
      </c>
      <c r="N9" s="21">
        <f ca="1">('Cash Flow'!L7+'Profit and Loss'!L8)/('Profit and Loss'!L8)</f>
        <v>7.4753123116974916</v>
      </c>
      <c r="O9" s="21">
        <f ca="1">('Cash Flow'!M7+'Profit and Loss'!M8)/('Profit and Loss'!M8)</f>
        <v>6.7633422712525872</v>
      </c>
      <c r="P9" s="21">
        <f ca="1">('Cash Flow'!N7+'Profit and Loss'!N8)/('Profit and Loss'!N8)</f>
        <v>6.2834182170733222</v>
      </c>
      <c r="Q9" s="21">
        <f ca="1">('Cash Flow'!O7+'Profit and Loss'!O8)/('Profit and Loss'!O8)</f>
        <v>5.9559593533000541</v>
      </c>
      <c r="R9" s="21">
        <f ca="1">('Cash Flow'!P7+'Profit and Loss'!P8)/('Profit and Loss'!P8)</f>
        <v>5.7365565136913501</v>
      </c>
      <c r="S9" s="21">
        <f ca="1">('Cash Flow'!Q7+'Profit and Loss'!Q8)/('Profit and Loss'!Q8)</f>
        <v>5.5747885925918421</v>
      </c>
      <c r="T9" s="21">
        <f ca="1">('Cash Flow'!R7+'Profit and Loss'!R8)/('Profit and Loss'!R8)</f>
        <v>5.4726119146553458</v>
      </c>
      <c r="U9" s="21">
        <f ca="1">('Cash Flow'!S7+'Profit and Loss'!S8)/('Profit and Loss'!S8)</f>
        <v>5.4208928742997378</v>
      </c>
      <c r="V9" s="21">
        <f ca="1">('Cash Flow'!T7+'Profit and Loss'!T8)/('Profit and Loss'!T8)</f>
        <v>5.414092671911618</v>
      </c>
      <c r="W9" s="21">
        <f ca="1">('Cash Flow'!U7+'Profit and Loss'!U8)/('Profit and Loss'!U8)</f>
        <v>5.4493245898696943</v>
      </c>
      <c r="X9" s="21">
        <f ca="1">('Cash Flow'!V7+'Profit and Loss'!V8)/('Profit and Loss'!V8)</f>
        <v>5.4433838406966499</v>
      </c>
      <c r="Y9" s="21">
        <f ca="1">('Cash Flow'!W7+'Profit and Loss'!W8)/('Profit and Loss'!W8)</f>
        <v>5.2551088497339178</v>
      </c>
      <c r="Z9" s="21">
        <f ca="1">('Cash Flow'!X7+'Profit and Loss'!X8)/('Profit and Loss'!X8)</f>
        <v>5.0906155167306535</v>
      </c>
      <c r="AA9" s="21">
        <f ca="1">('Cash Flow'!Y7+'Profit and Loss'!Y8)/('Profit and Loss'!Y8)</f>
        <v>4.8783605605355742</v>
      </c>
      <c r="AB9" s="21">
        <f ca="1">('Cash Flow'!Z7+'Profit and Loss'!Z8)/('Profit and Loss'!Z8)</f>
        <v>4.6798314825420571</v>
      </c>
      <c r="AC9" s="21">
        <f ca="1">('Cash Flow'!AA7+'Profit and Loss'!AA8)/('Profit and Loss'!AA8)</f>
        <v>4.4939988255673802</v>
      </c>
      <c r="AD9" s="21">
        <f ca="1">('Cash Flow'!AB7+'Profit and Loss'!AB8)/('Profit and Loss'!AB8)</f>
        <v>4.3199113606880486</v>
      </c>
      <c r="AE9" s="21">
        <f ca="1">('Cash Flow'!AC7+'Profit and Loss'!AC8)/('Profit and Loss'!AC8)</f>
        <v>4.1566920073153844</v>
      </c>
      <c r="AF9" s="21">
        <f ca="1">('Cash Flow'!AD7+'Profit and Loss'!AD8)/('Profit and Loss'!AD8)</f>
        <v>4.0035333188151681</v>
      </c>
      <c r="AG9" s="21">
        <f ca="1">('Cash Flow'!AE7+'Profit and Loss'!AE8)/('Profit and Loss'!AE8)</f>
        <v>3.8596927833954005</v>
      </c>
      <c r="AH9" s="21">
        <f ca="1">('Cash Flow'!AF7+'Profit and Loss'!AF8)/('Profit and Loss'!AF8)</f>
        <v>3.7244881148807121</v>
      </c>
      <c r="AI9" s="30"/>
    </row>
    <row r="11" spans="1:35" ht="26" x14ac:dyDescent="0.6">
      <c r="A11" s="13"/>
      <c r="E11" s="39"/>
    </row>
    <row r="12" spans="1:35" x14ac:dyDescent="0.35">
      <c r="A12" s="14"/>
      <c r="E12" s="39"/>
    </row>
    <row r="13" spans="1:35" ht="18.5" x14ac:dyDescent="0.45">
      <c r="A13" s="87"/>
      <c r="B13" s="88"/>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88"/>
      <c r="B14" s="8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88"/>
      <c r="B15" s="89"/>
      <c r="E15" s="39"/>
    </row>
    <row r="16" spans="1:35" ht="18.5" x14ac:dyDescent="0.45">
      <c r="A16" s="88"/>
      <c r="B16" s="90"/>
      <c r="E16" s="39"/>
    </row>
    <row r="17" spans="1:5" ht="18.5" x14ac:dyDescent="0.45">
      <c r="A17" s="88"/>
      <c r="B17" s="91"/>
      <c r="E17" s="39"/>
    </row>
    <row r="18" spans="1:5" ht="18.5" x14ac:dyDescent="0.45">
      <c r="A18" s="92"/>
      <c r="B18" s="93"/>
      <c r="E18" s="39"/>
    </row>
    <row r="19" spans="1:5" ht="18.5" x14ac:dyDescent="0.45">
      <c r="A19" s="92"/>
      <c r="B19" s="92"/>
    </row>
    <row r="20" spans="1:5" ht="18.5" x14ac:dyDescent="0.45">
      <c r="A20" s="92"/>
      <c r="B20" s="89"/>
    </row>
    <row r="21" spans="1:5" ht="18.5" x14ac:dyDescent="0.45">
      <c r="A21" s="94"/>
      <c r="B21" s="95"/>
    </row>
    <row r="22" spans="1:5" ht="18.5" x14ac:dyDescent="0.45">
      <c r="A22" s="92"/>
      <c r="B22" s="96"/>
    </row>
    <row r="23" spans="1:5" ht="18.5" x14ac:dyDescent="0.45">
      <c r="A23" s="94"/>
      <c r="B23" s="97"/>
    </row>
    <row r="24" spans="1:5" ht="18.5" x14ac:dyDescent="0.45">
      <c r="A24" s="94"/>
      <c r="B24" s="98"/>
    </row>
    <row r="25" spans="1:5" ht="18.5" x14ac:dyDescent="0.45">
      <c r="A25" s="92"/>
      <c r="B25" s="99"/>
    </row>
    <row r="26" spans="1:5" ht="18.5" x14ac:dyDescent="0.45">
      <c r="A26" s="100"/>
      <c r="B26" s="99"/>
    </row>
    <row r="27" spans="1:5" ht="18.5" x14ac:dyDescent="0.45">
      <c r="A27" s="92"/>
      <c r="B27" s="99"/>
    </row>
    <row r="28" spans="1:5" ht="18.5" x14ac:dyDescent="0.45">
      <c r="A28" s="92"/>
      <c r="B28" s="89"/>
    </row>
    <row r="29" spans="1:5" ht="18.5" x14ac:dyDescent="0.45">
      <c r="A29" s="92"/>
      <c r="B29" s="90"/>
    </row>
    <row r="30" spans="1:5" ht="18.5" x14ac:dyDescent="0.45">
      <c r="A30" s="92"/>
      <c r="B30" s="92"/>
    </row>
    <row r="31" spans="1:5" ht="18.5" x14ac:dyDescent="0.45">
      <c r="A31" s="92"/>
      <c r="B31" s="93"/>
    </row>
    <row r="32" spans="1:5" ht="18.5" x14ac:dyDescent="0.45">
      <c r="A32" s="92"/>
      <c r="B32" s="92"/>
    </row>
    <row r="33" spans="1:5" ht="18.5" x14ac:dyDescent="0.45">
      <c r="A33" s="92"/>
      <c r="B33" s="89"/>
    </row>
    <row r="34" spans="1:5" ht="18.5" x14ac:dyDescent="0.45">
      <c r="A34" s="92"/>
      <c r="B34" s="89"/>
    </row>
    <row r="35" spans="1:5" ht="18.5" x14ac:dyDescent="0.45">
      <c r="A35" s="92"/>
      <c r="B35" s="101"/>
    </row>
    <row r="36" spans="1:5" ht="18.5" x14ac:dyDescent="0.45">
      <c r="A36" s="94"/>
      <c r="B36" s="95"/>
    </row>
    <row r="37" spans="1:5" ht="18.5" x14ac:dyDescent="0.45">
      <c r="A37" s="94"/>
      <c r="B37" s="89"/>
    </row>
    <row r="38" spans="1:5" ht="18.5" x14ac:dyDescent="0.45">
      <c r="A38" s="94"/>
      <c r="B38" s="95"/>
    </row>
    <row r="39" spans="1:5" ht="18.5" x14ac:dyDescent="0.45">
      <c r="A39" s="100"/>
      <c r="B39" s="94"/>
    </row>
    <row r="40" spans="1:5" ht="18.5" x14ac:dyDescent="0.45">
      <c r="A40" s="92"/>
      <c r="B40" s="89"/>
      <c r="D40" s="67"/>
    </row>
    <row r="41" spans="1:5" ht="18.5" x14ac:dyDescent="0.45">
      <c r="A41" s="92"/>
      <c r="B41" s="89"/>
      <c r="D41" s="5"/>
    </row>
    <row r="42" spans="1:5" ht="18.5" x14ac:dyDescent="0.45">
      <c r="A42" s="92"/>
      <c r="B42" s="90"/>
      <c r="D42" s="3"/>
    </row>
    <row r="43" spans="1:5" ht="18.5" x14ac:dyDescent="0.45">
      <c r="A43" s="92"/>
      <c r="B43" s="92"/>
    </row>
    <row r="44" spans="1:5" ht="18.5" x14ac:dyDescent="0.45">
      <c r="A44" s="92"/>
      <c r="B44" s="93"/>
      <c r="D44" s="5"/>
    </row>
    <row r="45" spans="1:5" ht="18.5" x14ac:dyDescent="0.45">
      <c r="A45" s="92"/>
      <c r="B45" s="92"/>
      <c r="E45" s="1"/>
    </row>
    <row r="46" spans="1:5" ht="18.5" x14ac:dyDescent="0.45">
      <c r="A46" s="92"/>
      <c r="B46" s="89"/>
      <c r="D46" s="41"/>
      <c r="E46" s="1"/>
    </row>
    <row r="47" spans="1:5" ht="18.5" x14ac:dyDescent="0.45">
      <c r="A47" s="92"/>
      <c r="B47" s="92"/>
    </row>
    <row r="48" spans="1:5" ht="18.5" x14ac:dyDescent="0.45">
      <c r="A48" s="92"/>
      <c r="B48" s="101"/>
      <c r="D48" s="8"/>
    </row>
    <row r="49" spans="1:3" ht="18.5" x14ac:dyDescent="0.45">
      <c r="A49" s="94"/>
      <c r="B49" s="95"/>
    </row>
    <row r="50" spans="1:3" ht="18.5" x14ac:dyDescent="0.45">
      <c r="A50" s="94"/>
      <c r="B50" s="89"/>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168</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97</v>
      </c>
      <c r="C5" s="1">
        <f>Assumptions!D118</f>
        <v>192052662.60347676</v>
      </c>
      <c r="D5" s="1">
        <f>Assumptions!E118</f>
        <v>192052662.60347676</v>
      </c>
      <c r="E5" s="1">
        <f>Assumptions!F118</f>
        <v>192052662.60347676</v>
      </c>
      <c r="F5" s="1">
        <f>Assumptions!G118</f>
        <v>192052662.60347676</v>
      </c>
      <c r="G5" s="1">
        <f>Assumptions!H118</f>
        <v>192052662.60347676</v>
      </c>
      <c r="H5" s="1">
        <f>Assumptions!I118</f>
        <v>192052662.60347676</v>
      </c>
      <c r="I5" s="1">
        <f>Assumptions!J118</f>
        <v>192052662.60347676</v>
      </c>
      <c r="J5" s="1">
        <f>Assumptions!K118</f>
        <v>192052662.60347676</v>
      </c>
      <c r="K5" s="1">
        <f>Assumptions!L118</f>
        <v>192052662.60347676</v>
      </c>
      <c r="L5" s="1">
        <f>Assumptions!M118</f>
        <v>192052662.60347676</v>
      </c>
      <c r="M5" s="1">
        <f>Assumptions!N118</f>
        <v>192052662.60347676</v>
      </c>
      <c r="N5" s="1">
        <f>Assumptions!O118</f>
        <v>192052662.60347676</v>
      </c>
      <c r="O5" s="1">
        <f>Assumptions!P118</f>
        <v>192052662.60347676</v>
      </c>
      <c r="P5" s="1">
        <f>Assumptions!Q118</f>
        <v>192052662.60347676</v>
      </c>
      <c r="Q5" s="1">
        <f>Assumptions!R118</f>
        <v>192052662.60347676</v>
      </c>
      <c r="R5" s="1">
        <f>Assumptions!S118</f>
        <v>192052662.60347676</v>
      </c>
      <c r="S5" s="1">
        <f>Assumptions!T118</f>
        <v>192052662.60347676</v>
      </c>
      <c r="T5" s="1">
        <f>Assumptions!U118</f>
        <v>192052662.60347676</v>
      </c>
      <c r="U5" s="1">
        <f>Assumptions!V118</f>
        <v>192052662.60347676</v>
      </c>
      <c r="V5" s="1">
        <f>Assumptions!W118</f>
        <v>192052662.60347676</v>
      </c>
      <c r="W5" s="1">
        <f>Assumptions!X118</f>
        <v>192052662.60347676</v>
      </c>
      <c r="X5" s="1">
        <f>Assumptions!Y118</f>
        <v>192052662.60347676</v>
      </c>
      <c r="Y5" s="1">
        <f>Assumptions!Z118</f>
        <v>192052662.60347676</v>
      </c>
      <c r="Z5" s="1">
        <f>Assumptions!AA118</f>
        <v>192052662.60347676</v>
      </c>
      <c r="AA5" s="1">
        <f>Assumptions!AB118</f>
        <v>192052662.60347676</v>
      </c>
      <c r="AB5" s="1">
        <f>Assumptions!AC118</f>
        <v>192052662.60347676</v>
      </c>
      <c r="AC5" s="1">
        <f>Assumptions!AD118</f>
        <v>192052662.60347676</v>
      </c>
      <c r="AD5" s="1">
        <f>Assumptions!AE118</f>
        <v>192052662.60347676</v>
      </c>
      <c r="AE5" s="1">
        <f>Assumptions!AF118</f>
        <v>192052662.60347676</v>
      </c>
      <c r="AF5" s="1">
        <f>Assumptions!AG118</f>
        <v>192052662.60347676</v>
      </c>
    </row>
    <row r="6" spans="1:32" x14ac:dyDescent="0.35">
      <c r="A6" t="s">
        <v>93</v>
      </c>
      <c r="C6" s="1">
        <f>Assumptions!D120</f>
        <v>148058355.86263496</v>
      </c>
      <c r="D6" s="1">
        <f>Assumptions!E120</f>
        <v>148058355.86263496</v>
      </c>
      <c r="E6" s="1">
        <f>Assumptions!F120</f>
        <v>148058355.86263496</v>
      </c>
      <c r="F6" s="1">
        <f>Assumptions!G120</f>
        <v>148058355.86263496</v>
      </c>
      <c r="G6" s="1">
        <f>Assumptions!H120</f>
        <v>148058355.86263496</v>
      </c>
      <c r="H6" s="1">
        <f>Assumptions!I120</f>
        <v>148058355.86263496</v>
      </c>
      <c r="I6" s="1">
        <f>Assumptions!J120</f>
        <v>148058355.86263496</v>
      </c>
      <c r="J6" s="1">
        <f>Assumptions!K120</f>
        <v>148058355.86263496</v>
      </c>
      <c r="K6" s="1">
        <f>Assumptions!L120</f>
        <v>148058355.86263496</v>
      </c>
      <c r="L6" s="1">
        <f>Assumptions!M120</f>
        <v>148058355.86263496</v>
      </c>
      <c r="M6" s="1">
        <f>Assumptions!N120</f>
        <v>888350135.17580962</v>
      </c>
      <c r="N6" s="1">
        <f>Assumptions!O120</f>
        <v>888350135.17580962</v>
      </c>
      <c r="O6" s="1">
        <f>Assumptions!P120</f>
        <v>888350135.17580962</v>
      </c>
      <c r="P6" s="1">
        <f>Assumptions!Q120</f>
        <v>888350135.17580962</v>
      </c>
      <c r="Q6" s="1">
        <f>Assumptions!R120</f>
        <v>888350135.17580962</v>
      </c>
      <c r="R6" s="1">
        <f>Assumptions!S120</f>
        <v>888350135.17580962</v>
      </c>
      <c r="S6" s="1">
        <f>Assumptions!T120</f>
        <v>888350135.17580962</v>
      </c>
      <c r="T6" s="1">
        <f>Assumptions!U120</f>
        <v>888350135.17580962</v>
      </c>
      <c r="U6" s="1">
        <f>Assumptions!V120</f>
        <v>888350135.17580962</v>
      </c>
      <c r="V6" s="1">
        <f>Assumptions!W120</f>
        <v>888350135.17580962</v>
      </c>
      <c r="W6" s="1">
        <f>Assumptions!X120</f>
        <v>1184466846.9010797</v>
      </c>
      <c r="X6" s="1">
        <f>Assumptions!Y120</f>
        <v>1184466846.9010797</v>
      </c>
      <c r="Y6" s="1">
        <f>Assumptions!Z120</f>
        <v>1184466846.9010797</v>
      </c>
      <c r="Z6" s="1">
        <f>Assumptions!AA120</f>
        <v>1184466846.9010797</v>
      </c>
      <c r="AA6" s="1">
        <f>Assumptions!AB120</f>
        <v>1184466846.9010797</v>
      </c>
      <c r="AB6" s="1">
        <f>Assumptions!AC120</f>
        <v>1184466846.9010797</v>
      </c>
      <c r="AC6" s="1">
        <f>Assumptions!AD120</f>
        <v>1184466846.9010797</v>
      </c>
      <c r="AD6" s="1">
        <f>Assumptions!AE120</f>
        <v>1184466846.9010797</v>
      </c>
      <c r="AE6" s="1">
        <f>Assumptions!AF120</f>
        <v>1184466846.9010797</v>
      </c>
      <c r="AF6" s="1">
        <f>Assumptions!AG120</f>
        <v>1184466846.9010797</v>
      </c>
    </row>
    <row r="7" spans="1:32" x14ac:dyDescent="0.35">
      <c r="A7" t="s">
        <v>98</v>
      </c>
      <c r="C7" s="1">
        <f>Assumptions!D127</f>
        <v>3539009.2685133908</v>
      </c>
      <c r="D7" s="1">
        <f>Assumptions!E127</f>
        <v>7063685.5494893016</v>
      </c>
      <c r="E7" s="1">
        <f>Assumptions!F127</f>
        <v>10574086.89152726</v>
      </c>
      <c r="F7" s="1">
        <f>Assumptions!G127</f>
        <v>14070271.108129967</v>
      </c>
      <c r="G7" s="1">
        <f>Assumptions!H127</f>
        <v>17307697.348303083</v>
      </c>
      <c r="H7" s="1">
        <f>Assumptions!I127</f>
        <v>20303259.89832953</v>
      </c>
      <c r="I7" s="1">
        <f>Assumptions!J127</f>
        <v>23072693.840973612</v>
      </c>
      <c r="J7" s="1">
        <f>Assumptions!K127</f>
        <v>25630654.834242735</v>
      </c>
      <c r="K7" s="1">
        <f>Assumptions!L127</f>
        <v>27990793.398636699</v>
      </c>
      <c r="L7" s="1">
        <f>Assumptions!M127</f>
        <v>30245262.045554206</v>
      </c>
      <c r="M7" s="1">
        <f>Assumptions!N127</f>
        <v>43158715.625571452</v>
      </c>
      <c r="N7" s="1">
        <f>Assumptions!O127</f>
        <v>55478720.760180824</v>
      </c>
      <c r="O7" s="1">
        <f>Assumptions!P127</f>
        <v>67224463.638943136</v>
      </c>
      <c r="P7" s="1">
        <f>Assumptions!Q127</f>
        <v>78414433.444399536</v>
      </c>
      <c r="Q7" s="1">
        <f>Assumptions!R127</f>
        <v>89161227.317564309</v>
      </c>
      <c r="R7" s="1">
        <f>Assumptions!S127</f>
        <v>99475747.91175501</v>
      </c>
      <c r="S7" s="1">
        <f>Assumptions!T127</f>
        <v>109368587.43408617</v>
      </c>
      <c r="T7" s="1">
        <f>Assumptions!U127</f>
        <v>118850036.68848518</v>
      </c>
      <c r="U7" s="1">
        <f>Assumptions!V127</f>
        <v>127930093.85444808</v>
      </c>
      <c r="V7" s="1">
        <f>Assumptions!W127</f>
        <v>136930211.11673129</v>
      </c>
      <c r="W7" s="1">
        <f>Assumptions!X127</f>
        <v>148824212.60368255</v>
      </c>
      <c r="X7" s="1">
        <f>Assumptions!Y127</f>
        <v>160612489.15506822</v>
      </c>
      <c r="Y7" s="1">
        <f>Assumptions!Z127</f>
        <v>172295468.95687741</v>
      </c>
      <c r="Z7" s="1">
        <f>Assumptions!AA127</f>
        <v>183873578.46094587</v>
      </c>
      <c r="AA7" s="1">
        <f>Assumptions!AB127</f>
        <v>195347242.39197943</v>
      </c>
      <c r="AB7" s="1">
        <f>Assumptions!AC127</f>
        <v>206716883.75454894</v>
      </c>
      <c r="AC7" s="1">
        <f>Assumptions!AD127</f>
        <v>217982923.84005666</v>
      </c>
      <c r="AD7" s="1">
        <f>Assumptions!AE127</f>
        <v>229145782.23367468</v>
      </c>
      <c r="AE7" s="1">
        <f>Assumptions!AF127</f>
        <v>240205876.82125512</v>
      </c>
      <c r="AF7" s="1">
        <f>Assumptions!AG127</f>
        <v>251163623.79621252</v>
      </c>
    </row>
    <row r="9" spans="1:32" x14ac:dyDescent="0.35">
      <c r="A9" t="s">
        <v>119</v>
      </c>
      <c r="C9" s="42">
        <f>Assumptions!D11</f>
        <v>1.022</v>
      </c>
      <c r="D9" s="42">
        <f>Assumptions!E11</f>
        <v>1.044484</v>
      </c>
      <c r="E9" s="42">
        <f>Assumptions!F11</f>
        <v>1.067462648</v>
      </c>
      <c r="F9" s="42">
        <f>Assumptions!G11</f>
        <v>1.090946826256</v>
      </c>
      <c r="G9" s="42">
        <f>Assumptions!H11</f>
        <v>1.114947656433632</v>
      </c>
      <c r="H9" s="42">
        <f>Assumptions!I11</f>
        <v>1.1394765048751718</v>
      </c>
      <c r="I9" s="42">
        <f>Assumptions!J11</f>
        <v>1.1645449879824257</v>
      </c>
      <c r="J9" s="42">
        <f>Assumptions!K11</f>
        <v>1.1901649777180392</v>
      </c>
      <c r="K9" s="42">
        <f>Assumptions!L11</f>
        <v>1.216348607227836</v>
      </c>
      <c r="L9" s="42">
        <f>Assumptions!M11</f>
        <v>1.2431082765868484</v>
      </c>
      <c r="M9" s="42">
        <f>Assumptions!N11</f>
        <v>1.2704566586717592</v>
      </c>
      <c r="N9" s="42">
        <f>Assumptions!O11</f>
        <v>1.2984067051625379</v>
      </c>
      <c r="O9" s="42">
        <f>Assumptions!P11</f>
        <v>1.3269716526761137</v>
      </c>
      <c r="P9" s="42">
        <f>Assumptions!Q11</f>
        <v>1.356165029034988</v>
      </c>
      <c r="Q9" s="42">
        <f>Assumptions!R11</f>
        <v>1.386000659673758</v>
      </c>
      <c r="R9" s="42">
        <f>Assumptions!S11</f>
        <v>1.4164926741865806</v>
      </c>
      <c r="S9" s="42">
        <f>Assumptions!T11</f>
        <v>1.4476555130186854</v>
      </c>
      <c r="T9" s="42">
        <f>Assumptions!U11</f>
        <v>1.4795039343050964</v>
      </c>
      <c r="U9" s="42">
        <f>Assumptions!V11</f>
        <v>1.5120530208598086</v>
      </c>
      <c r="V9" s="42">
        <f>Assumptions!W11</f>
        <v>1.5453181873187245</v>
      </c>
      <c r="W9" s="42">
        <f>Assumptions!X11</f>
        <v>1.5793151874397364</v>
      </c>
      <c r="X9" s="42">
        <f>Assumptions!Y11</f>
        <v>1.6140601215634105</v>
      </c>
      <c r="Y9" s="42">
        <f>Assumptions!Z11</f>
        <v>1.6495694442378055</v>
      </c>
      <c r="Z9" s="42">
        <f>Assumptions!AA11</f>
        <v>1.6858599720110374</v>
      </c>
      <c r="AA9" s="42">
        <f>Assumptions!AB11</f>
        <v>1.7229488913952802</v>
      </c>
      <c r="AB9" s="42">
        <f>Assumptions!AC11</f>
        <v>1.7608537670059765</v>
      </c>
      <c r="AC9" s="42">
        <f>Assumptions!AD11</f>
        <v>1.799592549880108</v>
      </c>
      <c r="AD9" s="42">
        <f>Assumptions!AE11</f>
        <v>1.8391835859774703</v>
      </c>
      <c r="AE9" s="42">
        <f>Assumptions!AF11</f>
        <v>1.8796456248689748</v>
      </c>
      <c r="AF9" s="42">
        <f>Assumptions!AG11</f>
        <v>1.920997828616092</v>
      </c>
    </row>
    <row r="11" spans="1:32" x14ac:dyDescent="0.35">
      <c r="A11" t="s">
        <v>95</v>
      </c>
      <c r="C11" s="1">
        <f>C5*C$9</f>
        <v>196277821.18075326</v>
      </c>
      <c r="D11" s="1">
        <f>D5*D$9</f>
        <v>200595933.24672982</v>
      </c>
      <c r="E11" s="1">
        <f t="shared" ref="D11:AF13" si="1">E5*E$9</f>
        <v>205009043.77815789</v>
      </c>
      <c r="F11" s="1">
        <f t="shared" si="1"/>
        <v>209519242.74127737</v>
      </c>
      <c r="G11" s="1">
        <f t="shared" si="1"/>
        <v>214128666.08158547</v>
      </c>
      <c r="H11" s="1">
        <f t="shared" si="1"/>
        <v>218839496.73538032</v>
      </c>
      <c r="I11" s="1">
        <f t="shared" si="1"/>
        <v>223653965.66355869</v>
      </c>
      <c r="J11" s="1">
        <f t="shared" si="1"/>
        <v>228574352.90815702</v>
      </c>
      <c r="K11" s="1">
        <f t="shared" si="1"/>
        <v>233602988.67213646</v>
      </c>
      <c r="L11" s="1">
        <f t="shared" si="1"/>
        <v>238742254.42292348</v>
      </c>
      <c r="M11" s="1">
        <f t="shared" si="1"/>
        <v>243994584.02022779</v>
      </c>
      <c r="N11" s="1">
        <f t="shared" si="1"/>
        <v>249362464.86867282</v>
      </c>
      <c r="O11" s="1">
        <f t="shared" si="1"/>
        <v>254848439.09578362</v>
      </c>
      <c r="P11" s="1">
        <f t="shared" si="1"/>
        <v>260455104.75589082</v>
      </c>
      <c r="Q11" s="1">
        <f t="shared" si="1"/>
        <v>266185117.06052047</v>
      </c>
      <c r="R11" s="1">
        <f t="shared" si="1"/>
        <v>272041189.63585192</v>
      </c>
      <c r="S11" s="1">
        <f t="shared" si="1"/>
        <v>278026095.80784065</v>
      </c>
      <c r="T11" s="1">
        <f t="shared" si="1"/>
        <v>284142669.91561311</v>
      </c>
      <c r="U11" s="1">
        <f t="shared" si="1"/>
        <v>290393808.65375662</v>
      </c>
      <c r="V11" s="1">
        <f t="shared" si="1"/>
        <v>296782472.4441393</v>
      </c>
      <c r="W11" s="1">
        <f t="shared" si="1"/>
        <v>303311686.83791035</v>
      </c>
      <c r="X11" s="1">
        <f t="shared" si="1"/>
        <v>309984543.94834435</v>
      </c>
      <c r="Y11" s="1">
        <f t="shared" si="1"/>
        <v>316804203.91520792</v>
      </c>
      <c r="Z11" s="1">
        <f t="shared" si="1"/>
        <v>323773896.40134257</v>
      </c>
      <c r="AA11" s="1">
        <f t="shared" si="1"/>
        <v>330896922.12217206</v>
      </c>
      <c r="AB11" s="1">
        <f t="shared" si="1"/>
        <v>338176654.40885991</v>
      </c>
      <c r="AC11" s="1">
        <f t="shared" si="1"/>
        <v>345616540.8058548</v>
      </c>
      <c r="AD11" s="1">
        <f t="shared" si="1"/>
        <v>353220104.7035836</v>
      </c>
      <c r="AE11" s="1">
        <f t="shared" si="1"/>
        <v>360990947.00706249</v>
      </c>
      <c r="AF11" s="1">
        <f t="shared" si="1"/>
        <v>368932747.84121782</v>
      </c>
    </row>
    <row r="12" spans="1:32" x14ac:dyDescent="0.35">
      <c r="A12" t="s">
        <v>96</v>
      </c>
      <c r="C12" s="1">
        <f t="shared" ref="C12:R12" si="2">C6*C$9</f>
        <v>151315639.69161293</v>
      </c>
      <c r="D12" s="1">
        <f t="shared" si="2"/>
        <v>154644583.76482841</v>
      </c>
      <c r="E12" s="1">
        <f t="shared" si="2"/>
        <v>158046764.60765463</v>
      </c>
      <c r="F12" s="1">
        <f t="shared" si="2"/>
        <v>161523793.42902306</v>
      </c>
      <c r="G12" s="1">
        <f t="shared" si="2"/>
        <v>165077316.88446155</v>
      </c>
      <c r="H12" s="1">
        <f t="shared" si="2"/>
        <v>168709017.85591969</v>
      </c>
      <c r="I12" s="1">
        <f t="shared" si="2"/>
        <v>172420616.24874994</v>
      </c>
      <c r="J12" s="1">
        <f t="shared" si="2"/>
        <v>176213869.80622244</v>
      </c>
      <c r="K12" s="1">
        <f t="shared" si="2"/>
        <v>180090574.94195935</v>
      </c>
      <c r="L12" s="1">
        <f t="shared" si="2"/>
        <v>184052567.59068245</v>
      </c>
      <c r="M12" s="1">
        <f t="shared" si="2"/>
        <v>1128610344.4660647</v>
      </c>
      <c r="N12" s="1">
        <f t="shared" si="2"/>
        <v>1153439772.0443182</v>
      </c>
      <c r="O12" s="1">
        <f t="shared" si="2"/>
        <v>1178815447.0292931</v>
      </c>
      <c r="P12" s="1">
        <f t="shared" si="2"/>
        <v>1204749386.8639374</v>
      </c>
      <c r="Q12" s="1">
        <f t="shared" si="2"/>
        <v>1231253873.3749442</v>
      </c>
      <c r="R12" s="1">
        <f t="shared" si="2"/>
        <v>1258341458.5891929</v>
      </c>
      <c r="S12" s="1">
        <f t="shared" si="1"/>
        <v>1286024970.6781552</v>
      </c>
      <c r="T12" s="1">
        <f t="shared" si="1"/>
        <v>1314317520.0330746</v>
      </c>
      <c r="U12" s="1">
        <f t="shared" si="1"/>
        <v>1343232505.4738023</v>
      </c>
      <c r="V12" s="1">
        <f t="shared" si="1"/>
        <v>1372783620.5942261</v>
      </c>
      <c r="W12" s="1">
        <f t="shared" si="1"/>
        <v>1870646480.3297322</v>
      </c>
      <c r="X12" s="1">
        <f t="shared" si="1"/>
        <v>1911800702.8969862</v>
      </c>
      <c r="Y12" s="1">
        <f t="shared" si="1"/>
        <v>1953860318.3607199</v>
      </c>
      <c r="Z12" s="1">
        <f t="shared" si="1"/>
        <v>1996845245.364656</v>
      </c>
      <c r="AA12" s="1">
        <f t="shared" si="1"/>
        <v>2040775840.7626781</v>
      </c>
      <c r="AB12" s="1">
        <f t="shared" si="1"/>
        <v>2085672909.2594573</v>
      </c>
      <c r="AC12" s="1">
        <f t="shared" si="1"/>
        <v>2131557713.2631655</v>
      </c>
      <c r="AD12" s="1">
        <f t="shared" si="1"/>
        <v>2178451982.9549551</v>
      </c>
      <c r="AE12" s="1">
        <f t="shared" si="1"/>
        <v>2226377926.5799642</v>
      </c>
      <c r="AF12" s="1">
        <f t="shared" si="1"/>
        <v>2275358240.9647231</v>
      </c>
    </row>
    <row r="13" spans="1:32" x14ac:dyDescent="0.35">
      <c r="A13" t="s">
        <v>99</v>
      </c>
      <c r="C13" s="1">
        <f>C7*C$9</f>
        <v>3616867.4724206855</v>
      </c>
      <c r="D13" s="1">
        <f t="shared" si="1"/>
        <v>7377906.5374727836</v>
      </c>
      <c r="E13" s="1">
        <f t="shared" si="1"/>
        <v>11287442.793411778</v>
      </c>
      <c r="F13" s="1">
        <f t="shared" si="1"/>
        <v>15349917.60997588</v>
      </c>
      <c r="G13" s="1">
        <f t="shared" si="1"/>
        <v>19297176.596753109</v>
      </c>
      <c r="H13" s="1">
        <f t="shared" si="1"/>
        <v>23135087.626520768</v>
      </c>
      <c r="I13" s="1">
        <f t="shared" si="1"/>
        <v>26869189.971758801</v>
      </c>
      <c r="J13" s="1">
        <f t="shared" si="1"/>
        <v>30504707.739695258</v>
      </c>
      <c r="K13" s="1">
        <f t="shared" si="1"/>
        <v>34046562.565633856</v>
      </c>
      <c r="L13" s="1">
        <f t="shared" si="1"/>
        <v>37598135.576366507</v>
      </c>
      <c r="M13" s="1">
        <f t="shared" si="1"/>
        <v>54831277.64622815</v>
      </c>
      <c r="N13" s="1">
        <f t="shared" si="1"/>
        <v>72033943.02885887</v>
      </c>
      <c r="O13" s="1">
        <f t="shared" si="1"/>
        <v>89204957.61523369</v>
      </c>
      <c r="P13" s="1">
        <f t="shared" si="1"/>
        <v>106342912.40888624</v>
      </c>
      <c r="Q13" s="1">
        <f t="shared" si="1"/>
        <v>123577519.87946603</v>
      </c>
      <c r="R13" s="1">
        <f t="shared" si="1"/>
        <v>140906668.17623201</v>
      </c>
      <c r="S13" s="1">
        <f t="shared" si="1"/>
        <v>158328038.55002096</v>
      </c>
      <c r="T13" s="1">
        <f t="shared" si="1"/>
        <v>175839096.87291887</v>
      </c>
      <c r="U13" s="1">
        <f t="shared" si="1"/>
        <v>193437084.87149706</v>
      </c>
      <c r="V13" s="1">
        <f t="shared" si="1"/>
        <v>211600745.63207746</v>
      </c>
      <c r="W13" s="1">
        <f t="shared" si="1"/>
        <v>235040339.22375607</v>
      </c>
      <c r="X13" s="1">
        <f t="shared" si="1"/>
        <v>259238213.77023137</v>
      </c>
      <c r="Y13" s="1">
        <f t="shared" si="1"/>
        <v>284213340.97188836</v>
      </c>
      <c r="Z13" s="1">
        <f t="shared" si="1"/>
        <v>309985105.83773953</v>
      </c>
      <c r="AA13" s="1">
        <f t="shared" si="1"/>
        <v>336573314.71638602</v>
      </c>
      <c r="AB13" s="1">
        <f t="shared" si="1"/>
        <v>363998203.46293402</v>
      </c>
      <c r="AC13" s="1">
        <f t="shared" si="1"/>
        <v>392280445.74364895</v>
      </c>
      <c r="AD13" s="1">
        <f t="shared" si="1"/>
        <v>421441161.4801423</v>
      </c>
      <c r="AE13" s="1">
        <f t="shared" si="1"/>
        <v>451501925.43488806</v>
      </c>
      <c r="AF13" s="1">
        <f t="shared" si="1"/>
        <v>482484775.93987328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106</v>
      </c>
      <c r="C15" s="38">
        <f>Assumptions!D64</f>
        <v>1</v>
      </c>
      <c r="D15" s="38">
        <f>Assumptions!E64</f>
        <v>1</v>
      </c>
      <c r="E15" s="38">
        <f>Assumptions!F64</f>
        <v>1</v>
      </c>
      <c r="F15" s="38">
        <f>Assumptions!G64</f>
        <v>1</v>
      </c>
      <c r="G15" s="38">
        <f>Assumptions!H64</f>
        <v>0.93116497069482074</v>
      </c>
      <c r="H15" s="38">
        <f>Assumptions!I64</f>
        <v>0.86706820264908635</v>
      </c>
      <c r="I15" s="38">
        <f>Assumptions!J64</f>
        <v>0.80738353751014735</v>
      </c>
      <c r="J15" s="38">
        <f>Assumptions!K64</f>
        <v>0.75180726804511711</v>
      </c>
      <c r="K15" s="38">
        <f>Assumptions!L64</f>
        <v>0.70005659271738474</v>
      </c>
      <c r="L15" s="38">
        <f>Assumptions!M64</f>
        <v>0.67422365099763726</v>
      </c>
      <c r="M15" s="38">
        <f>Assumptions!N64</f>
        <v>0.64934397632063767</v>
      </c>
      <c r="N15" s="38">
        <f>Assumptions!O64</f>
        <v>0.62538239197036782</v>
      </c>
      <c r="O15" s="38">
        <f>Assumptions!P64</f>
        <v>0.60230501929451497</v>
      </c>
      <c r="P15" s="38">
        <f>Assumptions!Q64</f>
        <v>0.58007922980433879</v>
      </c>
      <c r="Q15" s="38">
        <f>Assumptions!R64</f>
        <v>0.56311907263351912</v>
      </c>
      <c r="R15" s="38">
        <f>Assumptions!S64</f>
        <v>0.54665479070952727</v>
      </c>
      <c r="S15" s="38">
        <f>Assumptions!T64</f>
        <v>0.53067188580230906</v>
      </c>
      <c r="T15" s="38">
        <f>Assumptions!U64</f>
        <v>0.51515628357607823</v>
      </c>
      <c r="U15" s="38">
        <f>Assumptions!V64</f>
        <v>0.50009432119564157</v>
      </c>
      <c r="V15" s="38">
        <f>Assumptions!W64</f>
        <v>0.50009432119564157</v>
      </c>
      <c r="W15" s="38">
        <f>Assumptions!X64</f>
        <v>0.50009432119564157</v>
      </c>
      <c r="X15" s="38">
        <f>Assumptions!Y64</f>
        <v>0.50009432119564157</v>
      </c>
      <c r="Y15" s="38">
        <f>Assumptions!Z64</f>
        <v>0.50009432119564157</v>
      </c>
      <c r="Z15" s="38">
        <f>Assumptions!AA64</f>
        <v>0.50009432119564157</v>
      </c>
      <c r="AA15" s="38">
        <f>Assumptions!AB64</f>
        <v>0.50009432119564157</v>
      </c>
      <c r="AB15" s="38">
        <f>Assumptions!AC64</f>
        <v>0.50009432119564157</v>
      </c>
      <c r="AC15" s="38">
        <f>Assumptions!AD64</f>
        <v>0.50009432119564157</v>
      </c>
      <c r="AD15" s="38">
        <f>Assumptions!AE64</f>
        <v>0.50009432119564157</v>
      </c>
      <c r="AE15" s="38">
        <f>Assumptions!AF64</f>
        <v>0.50009432119564157</v>
      </c>
      <c r="AF15" s="38">
        <f>Assumptions!AG64</f>
        <v>0.50009432119564157</v>
      </c>
    </row>
    <row r="16" spans="1:32" x14ac:dyDescent="0.35">
      <c r="A16" t="s">
        <v>85</v>
      </c>
      <c r="C16" s="45">
        <f>Assumptions!D65</f>
        <v>0.99595</v>
      </c>
      <c r="D16" s="45">
        <f>Assumptions!E65</f>
        <v>0.99191640250000002</v>
      </c>
      <c r="E16" s="45">
        <f>Assumptions!F65</f>
        <v>0.98789914106987498</v>
      </c>
      <c r="F16" s="45">
        <f>Assumptions!G65</f>
        <v>0.98389814954854193</v>
      </c>
      <c r="G16" s="45">
        <f>Assumptions!H65</f>
        <v>0.97991336204287038</v>
      </c>
      <c r="H16" s="45">
        <f>Assumptions!I65</f>
        <v>0.97594471292659679</v>
      </c>
      <c r="I16" s="45">
        <f>Assumptions!J65</f>
        <v>0.97199213683924413</v>
      </c>
      <c r="J16" s="45">
        <f>Assumptions!K65</f>
        <v>0.96805556868504516</v>
      </c>
      <c r="K16" s="45">
        <f>Assumptions!L65</f>
        <v>0.96413494363187069</v>
      </c>
      <c r="L16" s="45">
        <f>Assumptions!M65</f>
        <v>0.96023019711016167</v>
      </c>
      <c r="M16" s="45">
        <f>Assumptions!N65</f>
        <v>0.95634126481186554</v>
      </c>
      <c r="N16" s="45">
        <f>Assumptions!O65</f>
        <v>0.95246808268937744</v>
      </c>
      <c r="O16" s="45">
        <f>Assumptions!P65</f>
        <v>0.94861058695448541</v>
      </c>
      <c r="P16" s="45">
        <f>Assumptions!Q65</f>
        <v>0.94476871407731977</v>
      </c>
      <c r="Q16" s="45">
        <f>Assumptions!R65</f>
        <v>0.94094240078530667</v>
      </c>
      <c r="R16" s="45">
        <f>Assumptions!S65</f>
        <v>0.93713158406212616</v>
      </c>
      <c r="S16" s="45">
        <f>Assumptions!T65</f>
        <v>0.93333620114667459</v>
      </c>
      <c r="T16" s="45">
        <f>Assumptions!U65</f>
        <v>0.92955618953203056</v>
      </c>
      <c r="U16" s="45">
        <f>Assumptions!V65</f>
        <v>0.92579148696442581</v>
      </c>
      <c r="V16" s="45">
        <f>Assumptions!W65</f>
        <v>0.92204203144221986</v>
      </c>
      <c r="W16" s="45">
        <f>Assumptions!X65</f>
        <v>0.91830776121487889</v>
      </c>
      <c r="X16" s="45">
        <f>Assumptions!Y65</f>
        <v>0.91458861478195863</v>
      </c>
      <c r="Y16" s="45">
        <f>Assumptions!Z65</f>
        <v>0.91088453089209165</v>
      </c>
      <c r="Z16" s="45">
        <f>Assumptions!AA65</f>
        <v>0.90719544854197864</v>
      </c>
      <c r="AA16" s="45">
        <f>Assumptions!AB65</f>
        <v>0.90352130697538369</v>
      </c>
      <c r="AB16" s="45">
        <f>Assumptions!AC65</f>
        <v>0.89986204568213335</v>
      </c>
      <c r="AC16" s="45">
        <f>Assumptions!AD65</f>
        <v>0.89621760439712073</v>
      </c>
      <c r="AD16" s="45">
        <f>Assumptions!AE65</f>
        <v>0.89258792309931234</v>
      </c>
      <c r="AE16" s="45">
        <f>Assumptions!AF65</f>
        <v>0.88897294201076016</v>
      </c>
      <c r="AF16" s="45">
        <f>Assumptions!AG65</f>
        <v>0.88537260159561659</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103</v>
      </c>
      <c r="C18" s="1">
        <f>(C11*C16)-C11</f>
        <v>-794925.17578205466</v>
      </c>
      <c r="D18" s="1">
        <f t="shared" ref="D18:AF18" si="3">(D11*D16)-D11</f>
        <v>-1621536.7845034301</v>
      </c>
      <c r="E18" s="1">
        <f t="shared" si="3"/>
        <v>-2480785.5181593001</v>
      </c>
      <c r="F18" s="1">
        <f t="shared" si="3"/>
        <v>-3373647.5133228004</v>
      </c>
      <c r="G18" s="1">
        <f t="shared" si="3"/>
        <v>-4301124.9918239117</v>
      </c>
      <c r="H18" s="1">
        <f t="shared" si="3"/>
        <v>-5264246.9169686437</v>
      </c>
      <c r="I18" s="1">
        <f t="shared" si="3"/>
        <v>-6264069.6656653583</v>
      </c>
      <c r="J18" s="1">
        <f t="shared" si="3"/>
        <v>-7301677.716834873</v>
      </c>
      <c r="K18" s="1">
        <f t="shared" si="3"/>
        <v>-8378184.3564896584</v>
      </c>
      <c r="L18" s="1">
        <f t="shared" si="3"/>
        <v>-9494732.399875313</v>
      </c>
      <c r="M18" s="1">
        <f t="shared" si="3"/>
        <v>-10652494.931078136</v>
      </c>
      <c r="N18" s="1">
        <f t="shared" si="3"/>
        <v>-11852676.060510784</v>
      </c>
      <c r="O18" s="1">
        <f t="shared" si="3"/>
        <v>-13096511.700697899</v>
      </c>
      <c r="P18" s="1">
        <f t="shared" si="3"/>
        <v>-14385270.360794246</v>
      </c>
      <c r="Q18" s="1">
        <f t="shared" si="3"/>
        <v>-15720253.960276455</v>
      </c>
      <c r="R18" s="1">
        <f t="shared" si="3"/>
        <v>-17102798.662260741</v>
      </c>
      <c r="S18" s="1">
        <f t="shared" si="3"/>
        <v>-18534275.72690928</v>
      </c>
      <c r="T18" s="1">
        <f t="shared" si="3"/>
        <v>-20016092.385398239</v>
      </c>
      <c r="U18" s="1">
        <f t="shared" si="3"/>
        <v>-21549692.734932363</v>
      </c>
      <c r="V18" s="1">
        <f t="shared" si="3"/>
        <v>-23136558.655300438</v>
      </c>
      <c r="W18" s="1">
        <f t="shared" si="3"/>
        <v>-24778210.747480452</v>
      </c>
      <c r="X18" s="1">
        <f t="shared" si="3"/>
        <v>-26476209.294810891</v>
      </c>
      <c r="Y18" s="1">
        <f t="shared" si="3"/>
        <v>-28232155.247261226</v>
      </c>
      <c r="Z18" s="1">
        <f t="shared" si="3"/>
        <v>-30047691.229342461</v>
      </c>
      <c r="AA18" s="1">
        <f t="shared" si="3"/>
        <v>-31924502.572215438</v>
      </c>
      <c r="AB18" s="1">
        <f t="shared" si="3"/>
        <v>-33864318.370563388</v>
      </c>
      <c r="AC18" s="1">
        <f t="shared" si="3"/>
        <v>-35868912.564811885</v>
      </c>
      <c r="AD18" s="1">
        <f t="shared" si="3"/>
        <v>-37940105.04929024</v>
      </c>
      <c r="AE18" s="1">
        <f t="shared" si="3"/>
        <v>-40079762.806943715</v>
      </c>
      <c r="AF18" s="1">
        <f t="shared" si="3"/>
        <v>-42289801.071219206</v>
      </c>
    </row>
    <row r="20" spans="1:32" x14ac:dyDescent="0.35">
      <c r="A20" t="s">
        <v>100</v>
      </c>
      <c r="C20" s="1">
        <f>(C12*C15)-C12</f>
        <v>0</v>
      </c>
      <c r="D20" s="1">
        <f t="shared" ref="D20:AF20" si="4">(D12*D15)-D12</f>
        <v>0</v>
      </c>
      <c r="E20" s="1">
        <f t="shared" si="4"/>
        <v>0</v>
      </c>
      <c r="F20" s="1">
        <f t="shared" si="4"/>
        <v>0</v>
      </c>
      <c r="G20" s="1">
        <f t="shared" si="4"/>
        <v>-11363101.94536227</v>
      </c>
      <c r="H20" s="1">
        <f t="shared" si="4"/>
        <v>-22426792.972894788</v>
      </c>
      <c r="I20" s="1">
        <f t="shared" si="4"/>
        <v>-33211049.162154615</v>
      </c>
      <c r="J20" s="1">
        <f t="shared" si="4"/>
        <v>-43735001.755548403</v>
      </c>
      <c r="K20" s="1">
        <f t="shared" si="4"/>
        <v>-54016980.667576462</v>
      </c>
      <c r="L20" s="1">
        <f t="shared" si="4"/>
        <v>-59959973.49420312</v>
      </c>
      <c r="M20" s="1">
        <f t="shared" si="4"/>
        <v>-395754015.67386568</v>
      </c>
      <c r="N20" s="1">
        <f t="shared" si="4"/>
        <v>-432098848.40948665</v>
      </c>
      <c r="O20" s="1">
        <f t="shared" si="4"/>
        <v>-468808986.46164238</v>
      </c>
      <c r="P20" s="1">
        <f t="shared" si="4"/>
        <v>-505899290.4246552</v>
      </c>
      <c r="Q20" s="1">
        <f t="shared" si="4"/>
        <v>-537911334.02361727</v>
      </c>
      <c r="R20" s="1">
        <f t="shared" si="4"/>
        <v>-570463071.90299642</v>
      </c>
      <c r="S20" s="1">
        <f t="shared" si="4"/>
        <v>-603567674.2995193</v>
      </c>
      <c r="T20" s="1">
        <f t="shared" si="4"/>
        <v>-637238590.97390819</v>
      </c>
      <c r="U20" s="1">
        <f t="shared" si="4"/>
        <v>-671489557.44096029</v>
      </c>
      <c r="V20" s="1">
        <f t="shared" si="4"/>
        <v>-686262327.70466149</v>
      </c>
      <c r="W20" s="1">
        <f t="shared" si="4"/>
        <v>-935146798.55221868</v>
      </c>
      <c r="X20" s="1">
        <f t="shared" si="4"/>
        <v>-955720028.12036753</v>
      </c>
      <c r="Y20" s="1">
        <f t="shared" si="4"/>
        <v>-976745868.73901558</v>
      </c>
      <c r="Z20" s="1">
        <f t="shared" si="4"/>
        <v>-998234277.85127401</v>
      </c>
      <c r="AA20" s="1">
        <f t="shared" si="4"/>
        <v>-1020195431.9640019</v>
      </c>
      <c r="AB20" s="1">
        <f t="shared" si="4"/>
        <v>-1042639731.4672101</v>
      </c>
      <c r="AC20" s="1">
        <f t="shared" si="4"/>
        <v>-1065577805.5594888</v>
      </c>
      <c r="AD20" s="1">
        <f t="shared" si="4"/>
        <v>-1089020517.2817974</v>
      </c>
      <c r="AE20" s="1">
        <f t="shared" si="4"/>
        <v>-1112978968.6619971</v>
      </c>
      <c r="AF20" s="1">
        <f t="shared" si="4"/>
        <v>-1137464505.9725609</v>
      </c>
    </row>
    <row r="21" spans="1:32" x14ac:dyDescent="0.35">
      <c r="A21" t="s">
        <v>101</v>
      </c>
      <c r="C21" s="1">
        <f>(C12*C16)-C12</f>
        <v>-612828.3407510221</v>
      </c>
      <c r="D21" s="1">
        <f t="shared" ref="D21:AF21" si="5">(D12*D16)-D12</f>
        <v>-1250084.570709914</v>
      </c>
      <c r="E21" s="1">
        <f t="shared" si="5"/>
        <v>-1912501.6028799117</v>
      </c>
      <c r="F21" s="1">
        <f t="shared" si="5"/>
        <v>-2600831.9661463201</v>
      </c>
      <c r="G21" s="1">
        <f t="shared" si="5"/>
        <v>-3315848.2991925478</v>
      </c>
      <c r="H21" s="1">
        <f t="shared" si="5"/>
        <v>-4058343.8563960493</v>
      </c>
      <c r="I21" s="1">
        <f t="shared" si="5"/>
        <v>-4829133.0259881914</v>
      </c>
      <c r="J21" s="1">
        <f t="shared" si="5"/>
        <v>-5629051.8607672751</v>
      </c>
      <c r="K21" s="1">
        <f t="shared" si="5"/>
        <v>-6458958.6216621995</v>
      </c>
      <c r="L21" s="1">
        <f t="shared" si="5"/>
        <v>-7319734.3344500959</v>
      </c>
      <c r="M21" s="1">
        <f t="shared" si="5"/>
        <v>-49273700.15963316</v>
      </c>
      <c r="N21" s="1">
        <f t="shared" si="5"/>
        <v>-54825203.867593765</v>
      </c>
      <c r="O21" s="1">
        <f t="shared" si="5"/>
        <v>-60578633.911821365</v>
      </c>
      <c r="P21" s="1">
        <f t="shared" si="5"/>
        <v>-66539857.851055861</v>
      </c>
      <c r="Q21" s="1">
        <f t="shared" si="5"/>
        <v>-72714897.785316229</v>
      </c>
      <c r="R21" s="1">
        <f t="shared" si="5"/>
        <v>-79109934.210456133</v>
      </c>
      <c r="S21" s="1">
        <f t="shared" si="5"/>
        <v>-85731309.965642214</v>
      </c>
      <c r="T21" s="1">
        <f t="shared" si="5"/>
        <v>-92585534.27594161</v>
      </c>
      <c r="U21" s="1">
        <f t="shared" si="5"/>
        <v>-99679286.892259598</v>
      </c>
      <c r="V21" s="1">
        <f t="shared" si="5"/>
        <v>-107019422.33092022</v>
      </c>
      <c r="W21" s="1">
        <f t="shared" si="5"/>
        <v>-152817298.95364285</v>
      </c>
      <c r="X21" s="1">
        <f t="shared" si="5"/>
        <v>-163289546.29525685</v>
      </c>
      <c r="Y21" s="1">
        <f t="shared" si="5"/>
        <v>-174119178.84204268</v>
      </c>
      <c r="Z21" s="1">
        <f t="shared" si="5"/>
        <v>-185316327.32714939</v>
      </c>
      <c r="AA21" s="1">
        <f t="shared" si="5"/>
        <v>-196891385.87299562</v>
      </c>
      <c r="AB21" s="1">
        <f t="shared" si="5"/>
        <v>-208855018.50943565</v>
      </c>
      <c r="AC21" s="1">
        <f t="shared" si="5"/>
        <v>-221218165.84824657</v>
      </c>
      <c r="AD21" s="1">
        <f t="shared" si="5"/>
        <v>-233992051.91761327</v>
      </c>
      <c r="AE21" s="1">
        <f t="shared" si="5"/>
        <v>-247188191.16035724</v>
      </c>
      <c r="AF21" s="1">
        <f t="shared" si="5"/>
        <v>-260818395.59976029</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102</v>
      </c>
      <c r="C23" s="1">
        <f>(C13*C16)-C13</f>
        <v>-14648.3132633036</v>
      </c>
      <c r="D23" s="1">
        <f t="shared" ref="D23:AF23" si="6">(D13*D16)-D13</f>
        <v>-59640.026841548271</v>
      </c>
      <c r="E23" s="1">
        <f t="shared" si="6"/>
        <v>-136587.75292493217</v>
      </c>
      <c r="F23" s="1">
        <f t="shared" si="6"/>
        <v>-247162.077798035</v>
      </c>
      <c r="G23" s="1">
        <f t="shared" si="6"/>
        <v>-387615.39989377558</v>
      </c>
      <c r="H23" s="1">
        <f t="shared" si="6"/>
        <v>-556521.17432429641</v>
      </c>
      <c r="I23" s="1">
        <f t="shared" si="6"/>
        <v>-752548.59596937522</v>
      </c>
      <c r="J23" s="1">
        <f t="shared" si="6"/>
        <v>-974455.54117346555</v>
      </c>
      <c r="K23" s="1">
        <f t="shared" si="6"/>
        <v>-1221081.8855574988</v>
      </c>
      <c r="L23" s="1">
        <f t="shared" si="6"/>
        <v>-1495270.4408975169</v>
      </c>
      <c r="M23" s="1">
        <f t="shared" si="6"/>
        <v>-2393864.2307837531</v>
      </c>
      <c r="N23" s="1">
        <f t="shared" si="6"/>
        <v>-3423911.4236058146</v>
      </c>
      <c r="O23" s="1">
        <f t="shared" si="6"/>
        <v>-4584190.4125968665</v>
      </c>
      <c r="P23" s="1">
        <f t="shared" si="6"/>
        <v>-5873455.8011057377</v>
      </c>
      <c r="Q23" s="1">
        <f t="shared" si="6"/>
        <v>-7298191.6409873068</v>
      </c>
      <c r="R23" s="1">
        <f t="shared" si="6"/>
        <v>-8858579.0233233273</v>
      </c>
      <c r="S23" s="1">
        <f t="shared" si="6"/>
        <v>-10554748.514740139</v>
      </c>
      <c r="T23" s="1">
        <f t="shared" si="6"/>
        <v>-12386776.012974828</v>
      </c>
      <c r="U23" s="1">
        <f t="shared" si="6"/>
        <v>-14354678.434249967</v>
      </c>
      <c r="V23" s="1">
        <f t="shared" si="6"/>
        <v>-16495964.27478832</v>
      </c>
      <c r="W23" s="1">
        <f t="shared" si="6"/>
        <v>-19200971.516002953</v>
      </c>
      <c r="X23" s="1">
        <f t="shared" si="6"/>
        <v>-22141894.939566195</v>
      </c>
      <c r="Y23" s="1">
        <f t="shared" si="6"/>
        <v>-25327805.207435727</v>
      </c>
      <c r="Z23" s="1">
        <f t="shared" si="6"/>
        <v>-28768028.705938697</v>
      </c>
      <c r="AA23" s="1">
        <f t="shared" si="6"/>
        <v>-32472153.510799766</v>
      </c>
      <c r="AB23" s="1">
        <f t="shared" si="6"/>
        <v>-36450035.470156789</v>
      </c>
      <c r="AC23" s="1">
        <f t="shared" si="6"/>
        <v>-40711804.407441199</v>
      </c>
      <c r="AD23" s="1">
        <f t="shared" si="6"/>
        <v>-45267870.446020186</v>
      </c>
      <c r="AE23" s="1">
        <f t="shared" si="6"/>
        <v>-50128930.457512736</v>
      </c>
      <c r="AF23" s="1">
        <f t="shared" si="6"/>
        <v>-55305974.635709524</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124</v>
      </c>
      <c r="C25" s="40">
        <f>SUM(C11:C13,C18:C23)</f>
        <v>349787926.51499045</v>
      </c>
      <c r="D25" s="40">
        <f>SUM(D11:D13,D18:D23)</f>
        <v>359687162.16697609</v>
      </c>
      <c r="E25" s="40">
        <f t="shared" ref="E25:AF25" si="7">SUM(E11:E13,E18:E23)</f>
        <v>369813376.30526018</v>
      </c>
      <c r="F25" s="40">
        <f t="shared" si="7"/>
        <v>380171312.22300911</v>
      </c>
      <c r="G25" s="40">
        <f t="shared" si="7"/>
        <v>379135468.92652768</v>
      </c>
      <c r="H25" s="40">
        <f t="shared" si="7"/>
        <v>378377697.29723704</v>
      </c>
      <c r="I25" s="40">
        <f t="shared" si="7"/>
        <v>377886971.43428987</v>
      </c>
      <c r="J25" s="40">
        <f t="shared" si="7"/>
        <v>377652743.57975066</v>
      </c>
      <c r="K25" s="40">
        <f t="shared" si="7"/>
        <v>377664920.64844382</v>
      </c>
      <c r="L25" s="40">
        <f t="shared" si="7"/>
        <v>382123246.92054635</v>
      </c>
      <c r="M25" s="40">
        <f t="shared" si="7"/>
        <v>969362131.13715971</v>
      </c>
      <c r="N25" s="40">
        <f t="shared" si="7"/>
        <v>972635540.18065286</v>
      </c>
      <c r="O25" s="40">
        <f t="shared" si="7"/>
        <v>975800521.25355196</v>
      </c>
      <c r="P25" s="40">
        <f t="shared" si="7"/>
        <v>978849529.59110332</v>
      </c>
      <c r="Q25" s="40">
        <f t="shared" si="7"/>
        <v>987371832.90473354</v>
      </c>
      <c r="R25" s="40">
        <f t="shared" si="7"/>
        <v>995754932.60224009</v>
      </c>
      <c r="S25" s="40">
        <f t="shared" si="7"/>
        <v>1003991096.5292057</v>
      </c>
      <c r="T25" s="40">
        <f t="shared" si="7"/>
        <v>1012072293.1733838</v>
      </c>
      <c r="U25" s="40">
        <f t="shared" si="7"/>
        <v>1019990183.4966539</v>
      </c>
      <c r="V25" s="40">
        <f t="shared" si="7"/>
        <v>1048252565.7047725</v>
      </c>
      <c r="W25" s="40">
        <f t="shared" si="7"/>
        <v>1277055226.6220536</v>
      </c>
      <c r="X25" s="40">
        <f t="shared" si="7"/>
        <v>1313395781.9655607</v>
      </c>
      <c r="Y25" s="40">
        <f t="shared" si="7"/>
        <v>1350452855.2120614</v>
      </c>
      <c r="Z25" s="40">
        <f t="shared" si="7"/>
        <v>1388237922.4900331</v>
      </c>
      <c r="AA25" s="40">
        <f t="shared" si="7"/>
        <v>1426762603.6812229</v>
      </c>
      <c r="AB25" s="40">
        <f t="shared" si="7"/>
        <v>1466038663.3138852</v>
      </c>
      <c r="AC25" s="40">
        <f t="shared" si="7"/>
        <v>1506078011.4326811</v>
      </c>
      <c r="AD25" s="40">
        <f t="shared" si="7"/>
        <v>1546892704.44396</v>
      </c>
      <c r="AE25" s="40">
        <f t="shared" si="7"/>
        <v>1588494945.9351034</v>
      </c>
      <c r="AF25" s="40">
        <f t="shared" si="7"/>
        <v>1630897087.4665642</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3W2DU3RAJ5R2-1900874439-934</_dlc_DocId>
    <_dlc_DocIdUrl xmlns="f54e2983-00ce-40fc-8108-18f351fc47bf">
      <Url>https://dia.cohesion.net.nz/Sites/LGV/TWRP/CAE/_layouts/15/DocIdRedir.aspx?ID=3W2DU3RAJ5R2-1900874439-934</Url>
      <Description>3W2DU3RAJ5R2-1900874439-934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63AB27EA-DD8A-4B29-8144-210CEC81BC0A}"/>
</file>

<file path=customXml/itemProps3.xml><?xml version="1.0" encoding="utf-8"?>
<ds:datastoreItem xmlns:ds="http://schemas.openxmlformats.org/officeDocument/2006/customXml" ds:itemID="{CBCC2D2A-763C-48F8-A3E5-6B0A81386C39}">
  <ds:schemaRef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65b6d800-2dda-48d6-88d8-9e2b35e6f7ea"/>
    <ds:schemaRef ds:uri="08a23fc5-e034-477c-ac83-93bc1440f322"/>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C405A578-103A-4848-8316-DB45FB0C0C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Model overview and manual</vt:lpstr>
      <vt:lpstr>Model output==&gt;</vt:lpstr>
      <vt:lpstr>Average cost per household</vt:lpstr>
      <vt:lpstr>Input sheets ===&gt;</vt:lpstr>
      <vt:lpstr>Data sheet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2021-07-20T15:13:15Z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5190b780-a105-480a-9b48-9d098c7a1886</vt:lpwstr>
  </property>
  <property fmtid="{D5CDD505-2E9C-101B-9397-08002B2CF9AE}" pid="10" name="TaxKeyword">
    <vt:lpwstr/>
  </property>
  <property fmtid="{D5CDD505-2E9C-101B-9397-08002B2CF9AE}" pid="11" name="DIAAdministrationDocumentType">
    <vt:lpwstr/>
  </property>
  <property fmtid="{D5CDD505-2E9C-101B-9397-08002B2CF9AE}" pid="12" name="ld855601a22744588946efdda84ef6c0">
    <vt:lpwstr/>
  </property>
  <property fmtid="{D5CDD505-2E9C-101B-9397-08002B2CF9AE}" pid="13" name="le8f14e3a5174dcd8947229fe72147e2">
    <vt:lpwstr/>
  </property>
  <property fmtid="{D5CDD505-2E9C-101B-9397-08002B2CF9AE}" pid="14" name="DIABriefingType">
    <vt:lpwstr/>
  </property>
  <property fmtid="{D5CDD505-2E9C-101B-9397-08002B2CF9AE}" pid="15" name="h6a4697b39e74ba095548f0435f03d14">
    <vt:lpwstr/>
  </property>
  <property fmtid="{D5CDD505-2E9C-101B-9397-08002B2CF9AE}" pid="16" name="DIABriefingAudience">
    <vt:lpwstr/>
  </property>
  <property fmtid="{D5CDD505-2E9C-101B-9397-08002B2CF9AE}" pid="17" name="C3Topic">
    <vt:lpwstr/>
  </property>
  <property fmtid="{D5CDD505-2E9C-101B-9397-08002B2CF9AE}" pid="18" name="DIAMediaDocumentType">
    <vt:lpwstr/>
  </property>
  <property fmtid="{D5CDD505-2E9C-101B-9397-08002B2CF9AE}" pid="19" name="DIAReportDocumentType">
    <vt:lpwstr/>
  </property>
  <property fmtid="{D5CDD505-2E9C-101B-9397-08002B2CF9AE}" pid="20" name="b6dab2e87b6a495ebad2906ab9494053">
    <vt:lpwstr/>
  </property>
  <property fmtid="{D5CDD505-2E9C-101B-9397-08002B2CF9AE}" pid="21" name="o548e6814ab94c938ba56a3d768e8f45">
    <vt:lpwstr/>
  </property>
  <property fmtid="{D5CDD505-2E9C-101B-9397-08002B2CF9AE}" pid="22" name="DIAMeetingDocumentType">
    <vt:lpwstr/>
  </property>
  <property fmtid="{D5CDD505-2E9C-101B-9397-08002B2CF9AE}" pid="23" name="_docset_NoMedatataSyncRequired">
    <vt:lpwstr>False</vt:lpwstr>
  </property>
  <property fmtid="{D5CDD505-2E9C-101B-9397-08002B2CF9AE}" pid="24" name="DIAPlanningDocumentType">
    <vt:lpwstr/>
  </property>
  <property fmtid="{D5CDD505-2E9C-101B-9397-08002B2CF9AE}" pid="25" name="a5be7c9889484186a869be5aa1b9c3a4">
    <vt:lpwstr/>
  </property>
</Properties>
</file>