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defaultThemeVersion="166925"/>
  <xr:revisionPtr revIDLastSave="81" documentId="8_{34CE1B71-F3EA-4037-A614-371D25B73CBB}" xr6:coauthVersionLast="47" xr6:coauthVersionMax="47" xr10:uidLastSave="{7A6E3CB7-0AD4-454F-8A47-EAECD3CC0E26}"/>
  <bookViews>
    <workbookView xWindow="2280" yWindow="2280" windowWidth="28800" windowHeight="15460" tabRatio="721" xr2:uid="{F81EE535-A8E0-6F47-8BBD-3284EB91CB61}"/>
  </bookViews>
  <sheets>
    <sheet name="Model overview and manual" sheetId="19" r:id="rId1"/>
    <sheet name="Model output==&gt;" sheetId="22" r:id="rId2"/>
    <sheet name="Average cost per household" sheetId="21" r:id="rId3"/>
    <sheet name="Input sheets ===&gt;" sheetId="24" r:id="rId4"/>
    <sheet name="Data sheet" sheetId="27" r:id="rId5"/>
    <sheet name="Assumptions" sheetId="2" r:id="rId6"/>
    <sheet name="Price and Financial ratios" sheetId="7" r:id="rId7"/>
    <sheet name="Processing sheets ===&gt;" sheetId="23" r:id="rId8"/>
    <sheet name="Investment" sheetId="9" r:id="rId9"/>
    <sheet name="Profit and Loss" sheetId="8" r:id="rId10"/>
    <sheet name="Balance Sheet" sheetId="5" r:id="rId11"/>
    <sheet name="Cash Flow" sheetId="4" r:id="rId12"/>
    <sheet name="Depreciation" sheetId="6" r:id="rId13"/>
    <sheet name="Debt worksheet" sheetId="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xlnm._FilterDatabase" localSheetId="4" hidden="1">'Data sheet'!$A$5:$BD$9</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5" hidden="1">Assumptions!#REF!</definedName>
    <definedName name="solver_adj" localSheetId="6" hidden="1">'Price and Financial ratios'!$F$4</definedName>
    <definedName name="solver_cvg" localSheetId="5" hidden="1">0.0001</definedName>
    <definedName name="solver_cvg" localSheetId="6" hidden="1">0.0001</definedName>
    <definedName name="solver_drv" localSheetId="5" hidden="1">1</definedName>
    <definedName name="solver_drv" localSheetId="6" hidden="1">1</definedName>
    <definedName name="solver_eng" localSheetId="5" hidden="1">1</definedName>
    <definedName name="solver_eng" localSheetId="6" hidden="1">1</definedName>
    <definedName name="solver_est" localSheetId="5" hidden="1">1</definedName>
    <definedName name="solver_est" localSheetId="6" hidden="1">1</definedName>
    <definedName name="solver_itr" localSheetId="5" hidden="1">2147483647</definedName>
    <definedName name="solver_itr" localSheetId="6" hidden="1">2147483647</definedName>
    <definedName name="solver_mip" localSheetId="5" hidden="1">2147483647</definedName>
    <definedName name="solver_mip" localSheetId="6" hidden="1">2147483647</definedName>
    <definedName name="solver_mni" localSheetId="5" hidden="1">30</definedName>
    <definedName name="solver_mni" localSheetId="6" hidden="1">30</definedName>
    <definedName name="solver_mrt" localSheetId="5" hidden="1">0.075</definedName>
    <definedName name="solver_mrt" localSheetId="6" hidden="1">0.075</definedName>
    <definedName name="solver_msl" localSheetId="5" hidden="1">2</definedName>
    <definedName name="solver_msl" localSheetId="6" hidden="1">2</definedName>
    <definedName name="solver_neg" localSheetId="5" hidden="1">1</definedName>
    <definedName name="solver_neg" localSheetId="6" hidden="1">1</definedName>
    <definedName name="solver_nod" localSheetId="5" hidden="1">2147483647</definedName>
    <definedName name="solver_nod" localSheetId="6" hidden="1">2147483647</definedName>
    <definedName name="solver_num" localSheetId="5" hidden="1">0</definedName>
    <definedName name="solver_num" localSheetId="6" hidden="1">0</definedName>
    <definedName name="solver_nwt" localSheetId="5" hidden="1">1</definedName>
    <definedName name="solver_nwt" localSheetId="6" hidden="1">1</definedName>
    <definedName name="solver_opt" localSheetId="5" hidden="1">Assumptions!$C$120</definedName>
    <definedName name="solver_opt" localSheetId="6" hidden="1">'Price and Financial ratios'!$F$6</definedName>
    <definedName name="solver_pre" localSheetId="5" hidden="1">0.000001</definedName>
    <definedName name="solver_pre" localSheetId="6" hidden="1">0.000001</definedName>
    <definedName name="solver_rbv" localSheetId="5" hidden="1">1</definedName>
    <definedName name="solver_rbv" localSheetId="6" hidden="1">1</definedName>
    <definedName name="solver_rlx" localSheetId="5" hidden="1">2</definedName>
    <definedName name="solver_rlx" localSheetId="6" hidden="1">2</definedName>
    <definedName name="solver_rsd" localSheetId="5" hidden="1">0</definedName>
    <definedName name="solver_rsd" localSheetId="6" hidden="1">0</definedName>
    <definedName name="solver_scl" localSheetId="5" hidden="1">1</definedName>
    <definedName name="solver_scl" localSheetId="6" hidden="1">1</definedName>
    <definedName name="solver_sho" localSheetId="5" hidden="1">2</definedName>
    <definedName name="solver_sho" localSheetId="6" hidden="1">2</definedName>
    <definedName name="solver_ssz" localSheetId="5" hidden="1">100</definedName>
    <definedName name="solver_ssz" localSheetId="6" hidden="1">100</definedName>
    <definedName name="solver_tim" localSheetId="5" hidden="1">2147483647</definedName>
    <definedName name="solver_tim" localSheetId="6" hidden="1">2147483647</definedName>
    <definedName name="solver_tol" localSheetId="5" hidden="1">0.01</definedName>
    <definedName name="solver_tol" localSheetId="6" hidden="1">0.01</definedName>
    <definedName name="solver_typ" localSheetId="5" hidden="1">3</definedName>
    <definedName name="solver_typ" localSheetId="6" hidden="1">3</definedName>
    <definedName name="solver_val" localSheetId="5" hidden="1">563251470</definedName>
    <definedName name="solver_val" localSheetId="6" hidden="1">2.5</definedName>
    <definedName name="solver_ver" localSheetId="5" hidden="1">3</definedName>
    <definedName name="solver_ver" localSheetId="6"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3" l="1"/>
  <c r="D7" i="3"/>
  <c r="E7" i="3"/>
  <c r="F7" i="3"/>
  <c r="G7" i="3"/>
  <c r="H7" i="3"/>
  <c r="I7" i="3"/>
  <c r="J7" i="3"/>
  <c r="K7" i="3"/>
  <c r="L7" i="3"/>
  <c r="M7" i="3"/>
  <c r="N7" i="3"/>
  <c r="O7" i="3"/>
  <c r="P7" i="3"/>
  <c r="Q7" i="3"/>
  <c r="R7" i="3"/>
  <c r="S7" i="3"/>
  <c r="T7" i="3"/>
  <c r="U7" i="3"/>
  <c r="V7" i="3"/>
  <c r="W7" i="3"/>
  <c r="X7" i="3"/>
  <c r="Y7" i="3"/>
  <c r="Z7" i="3"/>
  <c r="AA7" i="3"/>
  <c r="AB7" i="3"/>
  <c r="AC7" i="3"/>
  <c r="AD7" i="3"/>
  <c r="AE7" i="3"/>
  <c r="AF7" i="3"/>
  <c r="C134" i="2"/>
  <c r="C133" i="2"/>
  <c r="C98" i="2"/>
  <c r="C97" i="2"/>
  <c r="C70" i="2"/>
  <c r="C69" i="2"/>
  <c r="C13" i="2"/>
  <c r="AA13" i="2" s="1"/>
  <c r="C25" i="2"/>
  <c r="C20" i="2"/>
  <c r="B11" i="5" s="1"/>
  <c r="C22" i="6" s="1"/>
  <c r="C24" i="2"/>
  <c r="C112" i="2"/>
  <c r="C73" i="2"/>
  <c r="C83" i="2"/>
  <c r="C78" i="2"/>
  <c r="D6" i="3"/>
  <c r="E6" i="3"/>
  <c r="F6" i="3"/>
  <c r="G6" i="3"/>
  <c r="H6" i="3"/>
  <c r="I6" i="3"/>
  <c r="J6" i="3"/>
  <c r="K6" i="3"/>
  <c r="L6" i="3"/>
  <c r="M6" i="3"/>
  <c r="N6" i="3"/>
  <c r="O6" i="3"/>
  <c r="P6" i="3"/>
  <c r="Q6" i="3"/>
  <c r="R6" i="3"/>
  <c r="S6" i="3"/>
  <c r="T6" i="3"/>
  <c r="U6" i="3"/>
  <c r="V6" i="3"/>
  <c r="W6" i="3"/>
  <c r="X6" i="3"/>
  <c r="Y6" i="3"/>
  <c r="Z6" i="3"/>
  <c r="AA6" i="3"/>
  <c r="AB6" i="3"/>
  <c r="AC6" i="3"/>
  <c r="AD6" i="3"/>
  <c r="AE6" i="3"/>
  <c r="AF6" i="3"/>
  <c r="C53" i="2"/>
  <c r="D65" i="2" s="1"/>
  <c r="H64" i="2"/>
  <c r="G15" i="9" s="1"/>
  <c r="H63" i="2"/>
  <c r="G16" i="8" s="1"/>
  <c r="I63" i="2"/>
  <c r="H16" i="8" s="1"/>
  <c r="A11" i="19"/>
  <c r="A9" i="19"/>
  <c r="B40" i="21"/>
  <c r="B27" i="21"/>
  <c r="A21" i="21"/>
  <c r="A34" i="21"/>
  <c r="B8" i="21"/>
  <c r="B21" i="21" s="1"/>
  <c r="B34" i="21" s="1"/>
  <c r="D11" i="2"/>
  <c r="C9" i="9" s="1"/>
  <c r="F9" i="2"/>
  <c r="E9" i="2"/>
  <c r="D9" i="2"/>
  <c r="G11" i="2"/>
  <c r="F9" i="9"/>
  <c r="V9" i="2"/>
  <c r="U13" i="8" s="1"/>
  <c r="E11" i="2"/>
  <c r="D9" i="9" s="1"/>
  <c r="F11" i="2"/>
  <c r="E9" i="9" s="1"/>
  <c r="H11" i="2"/>
  <c r="G9" i="9"/>
  <c r="I11" i="2"/>
  <c r="H9" i="9"/>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L11" i="2"/>
  <c r="K9" i="9" s="1"/>
  <c r="M11" i="2"/>
  <c r="L9" i="9"/>
  <c r="N11" i="2"/>
  <c r="M9" i="9" s="1"/>
  <c r="O11" i="2"/>
  <c r="N9" i="9" s="1"/>
  <c r="P11" i="2"/>
  <c r="O9" i="9" s="1"/>
  <c r="Q11" i="2"/>
  <c r="P9" i="9" s="1"/>
  <c r="R11" i="2"/>
  <c r="Q9" i="9" s="1"/>
  <c r="S11" i="2"/>
  <c r="R9" i="9" s="1"/>
  <c r="T11" i="2"/>
  <c r="S9" i="9"/>
  <c r="U11" i="2"/>
  <c r="T9" i="9" s="1"/>
  <c r="V11" i="2"/>
  <c r="U9" i="9" s="1"/>
  <c r="W11" i="2"/>
  <c r="V9" i="9" s="1"/>
  <c r="X11" i="2"/>
  <c r="W9" i="9" s="1"/>
  <c r="Y11" i="2"/>
  <c r="X9" i="9"/>
  <c r="Z11" i="2"/>
  <c r="Y9" i="9" s="1"/>
  <c r="AA11" i="2"/>
  <c r="Z9" i="9" s="1"/>
  <c r="AB11" i="2"/>
  <c r="AA9" i="9" s="1"/>
  <c r="AC11" i="2"/>
  <c r="AB9" i="9" s="1"/>
  <c r="AD11" i="2"/>
  <c r="AC9" i="9" s="1"/>
  <c r="AE11" i="2"/>
  <c r="AD9" i="9" s="1"/>
  <c r="AF11" i="2"/>
  <c r="AE9" i="9" s="1"/>
  <c r="AG11" i="2"/>
  <c r="AF9" i="9" s="1"/>
  <c r="J11" i="2"/>
  <c r="I9" i="9" s="1"/>
  <c r="K11" i="2"/>
  <c r="J9" i="9" s="1"/>
  <c r="E4" i="2"/>
  <c r="F4" i="2" s="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AG9" i="2"/>
  <c r="AF9" i="2"/>
  <c r="AE9" i="2"/>
  <c r="AD13" i="8" s="1"/>
  <c r="AD9" i="2"/>
  <c r="AC9" i="2"/>
  <c r="AB9" i="2"/>
  <c r="AA13" i="8" s="1"/>
  <c r="AA9" i="2"/>
  <c r="Z13" i="8" s="1"/>
  <c r="Z9" i="2"/>
  <c r="Y13" i="8" s="1"/>
  <c r="Y9" i="2"/>
  <c r="X13" i="8"/>
  <c r="X9" i="2"/>
  <c r="W9" i="2"/>
  <c r="V13" i="8" s="1"/>
  <c r="U9" i="2"/>
  <c r="T13" i="8" s="1"/>
  <c r="T9" i="2"/>
  <c r="S9" i="2"/>
  <c r="R9" i="2"/>
  <c r="Q13" i="8"/>
  <c r="Q9" i="2"/>
  <c r="P13" i="8" s="1"/>
  <c r="P9" i="2"/>
  <c r="O13" i="8" s="1"/>
  <c r="O9" i="2"/>
  <c r="N9" i="2"/>
  <c r="M9" i="2"/>
  <c r="L9" i="2"/>
  <c r="K9" i="2"/>
  <c r="J9" i="2"/>
  <c r="I9" i="2"/>
  <c r="H9" i="2"/>
  <c r="G9" i="2"/>
  <c r="AF13" i="8"/>
  <c r="AE13" i="8"/>
  <c r="I13" i="8" l="1"/>
  <c r="S13" i="8"/>
  <c r="J13" i="8"/>
  <c r="W13" i="8"/>
  <c r="J63" i="2"/>
  <c r="I16" i="8" s="1"/>
  <c r="R13" i="8"/>
  <c r="AB13" i="8"/>
  <c r="C5" i="3"/>
  <c r="C136" i="2"/>
  <c r="C142" i="2" s="1"/>
  <c r="AC142" i="2" s="1"/>
  <c r="Z12" i="8"/>
  <c r="AB13" i="2"/>
  <c r="AA12" i="8" s="1"/>
  <c r="AF13" i="2"/>
  <c r="AE12" i="8" s="1"/>
  <c r="G13" i="2"/>
  <c r="F12" i="8" s="1"/>
  <c r="AE13" i="2"/>
  <c r="AD12" i="8" s="1"/>
  <c r="L13" i="2"/>
  <c r="I13" i="2"/>
  <c r="S13" i="2"/>
  <c r="R12" i="8" s="1"/>
  <c r="H13" i="2"/>
  <c r="G12" i="8" s="1"/>
  <c r="G19" i="8" s="1"/>
  <c r="D13" i="2"/>
  <c r="C12" i="8" s="1"/>
  <c r="C19" i="8" s="1"/>
  <c r="P13" i="2"/>
  <c r="O12" i="8" s="1"/>
  <c r="V13" i="2"/>
  <c r="U12" i="8" s="1"/>
  <c r="N13" i="2"/>
  <c r="X13" i="2"/>
  <c r="W12" i="8" s="1"/>
  <c r="K13" i="2"/>
  <c r="J12" i="8" s="1"/>
  <c r="Q13" i="2"/>
  <c r="P12" i="8" s="1"/>
  <c r="O13" i="2"/>
  <c r="N12" i="8" s="1"/>
  <c r="R13" i="2"/>
  <c r="Q12" i="8" s="1"/>
  <c r="M13" i="2"/>
  <c r="T13" i="2"/>
  <c r="AC13" i="2"/>
  <c r="AB12" i="8" s="1"/>
  <c r="AG13" i="2"/>
  <c r="AF12" i="8" s="1"/>
  <c r="W13" i="2"/>
  <c r="V12" i="8" s="1"/>
  <c r="U13" i="2"/>
  <c r="Y13" i="2"/>
  <c r="X12" i="8" s="1"/>
  <c r="C5" i="8"/>
  <c r="D5" i="8" s="1"/>
  <c r="E5" i="8" s="1"/>
  <c r="F5" i="8" s="1"/>
  <c r="G5" i="8" s="1"/>
  <c r="H5" i="8" s="1"/>
  <c r="I5" i="8" s="1"/>
  <c r="J5" i="8" s="1"/>
  <c r="K5" i="8" s="1"/>
  <c r="L5" i="8" s="1"/>
  <c r="B20" i="21" s="1"/>
  <c r="E13" i="2"/>
  <c r="F13" i="2"/>
  <c r="E12" i="8" s="1"/>
  <c r="E19" i="8" s="1"/>
  <c r="AD13" i="2"/>
  <c r="AC12" i="8" s="1"/>
  <c r="J13" i="2"/>
  <c r="I12" i="8" s="1"/>
  <c r="Z13" i="2"/>
  <c r="Y12" i="8" s="1"/>
  <c r="C100" i="2"/>
  <c r="C104" i="2" s="1"/>
  <c r="C91" i="2"/>
  <c r="C92" i="2"/>
  <c r="C87" i="2"/>
  <c r="C86" i="2"/>
  <c r="C17" i="2"/>
  <c r="C6" i="6" s="1"/>
  <c r="B7" i="21"/>
  <c r="L13" i="8"/>
  <c r="L12" i="8"/>
  <c r="M13" i="8"/>
  <c r="C17" i="8"/>
  <c r="C16" i="9"/>
  <c r="E65" i="2"/>
  <c r="H13" i="8"/>
  <c r="I64" i="2"/>
  <c r="N13" i="8"/>
  <c r="AC13" i="8"/>
  <c r="D12" i="8"/>
  <c r="D19" i="8" s="1"/>
  <c r="K13" i="8"/>
  <c r="F19" i="8"/>
  <c r="K63" i="2" l="1"/>
  <c r="K142" i="2"/>
  <c r="AF142" i="2"/>
  <c r="C93" i="2"/>
  <c r="I142" i="2"/>
  <c r="P142" i="2"/>
  <c r="B10" i="21"/>
  <c r="L142" i="2"/>
  <c r="M142" i="2"/>
  <c r="B23" i="21" s="1"/>
  <c r="B25" i="21" s="1"/>
  <c r="B29" i="21" s="1"/>
  <c r="U142" i="2"/>
  <c r="N142" i="2"/>
  <c r="AA142" i="2"/>
  <c r="C31" i="2"/>
  <c r="C33" i="2" s="1"/>
  <c r="G142" i="2"/>
  <c r="Z142" i="2"/>
  <c r="T142" i="2"/>
  <c r="D142" i="2"/>
  <c r="E142" i="2"/>
  <c r="H12" i="8"/>
  <c r="V142" i="2"/>
  <c r="S12" i="8"/>
  <c r="M12" i="8"/>
  <c r="AE142" i="2"/>
  <c r="W142" i="2"/>
  <c r="Y142" i="2"/>
  <c r="AB142" i="2"/>
  <c r="E6" i="7"/>
  <c r="C20" i="8"/>
  <c r="S142" i="2"/>
  <c r="T12" i="8"/>
  <c r="H142" i="2"/>
  <c r="R142" i="2"/>
  <c r="O142" i="2"/>
  <c r="M5" i="8"/>
  <c r="N5" i="8" s="1"/>
  <c r="O5" i="8" s="1"/>
  <c r="P5" i="8" s="1"/>
  <c r="Q5" i="8" s="1"/>
  <c r="R5" i="8" s="1"/>
  <c r="S5" i="8" s="1"/>
  <c r="T5" i="8" s="1"/>
  <c r="U5" i="8" s="1"/>
  <c r="V5" i="8" s="1"/>
  <c r="W5" i="8" s="1"/>
  <c r="X5" i="8" s="1"/>
  <c r="Y5" i="8" s="1"/>
  <c r="Z5" i="8" s="1"/>
  <c r="AA5" i="8" s="1"/>
  <c r="AB5" i="8" s="1"/>
  <c r="AC5" i="8" s="1"/>
  <c r="AD5" i="8" s="1"/>
  <c r="AE5" i="8" s="1"/>
  <c r="AF5" i="8" s="1"/>
  <c r="B33" i="21" s="1"/>
  <c r="X142" i="2"/>
  <c r="AD142" i="2"/>
  <c r="C88" i="2"/>
  <c r="Q142" i="2"/>
  <c r="K12" i="8"/>
  <c r="J142" i="2"/>
  <c r="AG142" i="2"/>
  <c r="B36" i="21" s="1"/>
  <c r="I19" i="8"/>
  <c r="F142" i="2"/>
  <c r="C95" i="2"/>
  <c r="C18" i="2"/>
  <c r="C7" i="6" s="1"/>
  <c r="B6" i="5"/>
  <c r="B12" i="21"/>
  <c r="B16" i="21" s="1"/>
  <c r="J64" i="2"/>
  <c r="H15" i="9"/>
  <c r="D17" i="8"/>
  <c r="F65" i="2"/>
  <c r="D16" i="9"/>
  <c r="H19" i="8"/>
  <c r="D20" i="8"/>
  <c r="L63" i="2"/>
  <c r="J16" i="8"/>
  <c r="J19" i="8" s="1"/>
  <c r="C43" i="2"/>
  <c r="C37" i="2"/>
  <c r="Y120" i="2"/>
  <c r="AG120" i="2"/>
  <c r="Z120" i="2"/>
  <c r="AE120" i="2"/>
  <c r="M120" i="2"/>
  <c r="H120" i="2"/>
  <c r="J120" i="2"/>
  <c r="F120" i="2"/>
  <c r="E120" i="2"/>
  <c r="AA120" i="2"/>
  <c r="AF120" i="2"/>
  <c r="AD120" i="2"/>
  <c r="D120" i="2"/>
  <c r="G120" i="2"/>
  <c r="S120" i="2"/>
  <c r="W120" i="2"/>
  <c r="L120" i="2"/>
  <c r="X120" i="2"/>
  <c r="P120" i="2"/>
  <c r="O120" i="2"/>
  <c r="Q120" i="2"/>
  <c r="I120" i="2"/>
  <c r="T120" i="2"/>
  <c r="U120" i="2"/>
  <c r="N120" i="2"/>
  <c r="K120" i="2"/>
  <c r="V120" i="2"/>
  <c r="AB120" i="2"/>
  <c r="AC120" i="2"/>
  <c r="R120" i="2"/>
  <c r="B38" i="21" l="1"/>
  <c r="B42" i="21" s="1"/>
  <c r="N118" i="2"/>
  <c r="H118" i="2"/>
  <c r="L118" i="2"/>
  <c r="AE118" i="2"/>
  <c r="M118" i="2"/>
  <c r="W118" i="2"/>
  <c r="V118" i="2"/>
  <c r="AC118" i="2"/>
  <c r="S118" i="2"/>
  <c r="X118" i="2"/>
  <c r="U118" i="2"/>
  <c r="R118" i="2"/>
  <c r="I118" i="2"/>
  <c r="AB118" i="2"/>
  <c r="AG118" i="2"/>
  <c r="F118" i="2"/>
  <c r="AD118" i="2"/>
  <c r="P118" i="2"/>
  <c r="Y118" i="2"/>
  <c r="J118" i="2"/>
  <c r="D118" i="2"/>
  <c r="G118" i="2"/>
  <c r="Z118" i="2"/>
  <c r="K118" i="2"/>
  <c r="Q118" i="2"/>
  <c r="AA118" i="2"/>
  <c r="AF118" i="2"/>
  <c r="T118" i="2"/>
  <c r="E118" i="2"/>
  <c r="O118" i="2"/>
  <c r="E16" i="9"/>
  <c r="E17" i="8"/>
  <c r="E20" i="8" s="1"/>
  <c r="G65" i="2"/>
  <c r="K64" i="2"/>
  <c r="K122" i="2" s="1"/>
  <c r="I15" i="9"/>
  <c r="K16" i="8"/>
  <c r="K19" i="8" s="1"/>
  <c r="M63" i="2"/>
  <c r="U9" i="4"/>
  <c r="U8" i="3" s="1"/>
  <c r="AD9" i="4"/>
  <c r="AD8" i="3" s="1"/>
  <c r="X9" i="4"/>
  <c r="X8" i="3" s="1"/>
  <c r="H9" i="4"/>
  <c r="H8" i="3" s="1"/>
  <c r="Z9" i="4"/>
  <c r="Z8" i="3" s="1"/>
  <c r="G9" i="4"/>
  <c r="G8" i="3" s="1"/>
  <c r="T9" i="4"/>
  <c r="T8" i="3" s="1"/>
  <c r="V9" i="4"/>
  <c r="V8" i="3" s="1"/>
  <c r="P9" i="4"/>
  <c r="P8" i="3" s="1"/>
  <c r="J9" i="4"/>
  <c r="J8" i="3" s="1"/>
  <c r="R9" i="4"/>
  <c r="R8" i="3" s="1"/>
  <c r="C6" i="3"/>
  <c r="I9" i="4"/>
  <c r="I8" i="3" s="1"/>
  <c r="N9" i="4"/>
  <c r="N8" i="3" s="1"/>
  <c r="M9" i="4"/>
  <c r="M8" i="3" s="1"/>
  <c r="AE9" i="4"/>
  <c r="AE8" i="3" s="1"/>
  <c r="L9" i="4"/>
  <c r="L8" i="3" s="1"/>
  <c r="Q9" i="4"/>
  <c r="Q8" i="3" s="1"/>
  <c r="AF9" i="4"/>
  <c r="AF8" i="3" s="1"/>
  <c r="AA9" i="4"/>
  <c r="AA8" i="3" s="1"/>
  <c r="W9" i="4"/>
  <c r="W8" i="3" s="1"/>
  <c r="K9" i="4"/>
  <c r="K8" i="3" s="1"/>
  <c r="O9" i="4"/>
  <c r="O8" i="3" s="1"/>
  <c r="AB9" i="4"/>
  <c r="AB8" i="3" s="1"/>
  <c r="C9" i="4"/>
  <c r="C8" i="3" s="1"/>
  <c r="F9" i="4"/>
  <c r="F8" i="3" s="1"/>
  <c r="AC9" i="4"/>
  <c r="AC8" i="3" s="1"/>
  <c r="D9" i="4"/>
  <c r="D8" i="3" s="1"/>
  <c r="Y9" i="4"/>
  <c r="Y8" i="3" s="1"/>
  <c r="E9" i="4"/>
  <c r="E8" i="3" s="1"/>
  <c r="S9" i="4"/>
  <c r="S8" i="3" s="1"/>
  <c r="E47" i="2"/>
  <c r="H47" i="2"/>
  <c r="D47" i="2"/>
  <c r="F47" i="2"/>
  <c r="G47" i="2"/>
  <c r="I122" i="2"/>
  <c r="H6" i="9"/>
  <c r="H12" i="9" s="1"/>
  <c r="AB6" i="9"/>
  <c r="AB12" i="9" s="1"/>
  <c r="AA6" i="9"/>
  <c r="AA12" i="9" s="1"/>
  <c r="N6" i="9"/>
  <c r="N12" i="9" s="1"/>
  <c r="AC6" i="9"/>
  <c r="AC12" i="9" s="1"/>
  <c r="AD6" i="9"/>
  <c r="AD12" i="9" s="1"/>
  <c r="Q6" i="9"/>
  <c r="Q12" i="9" s="1"/>
  <c r="P6" i="9"/>
  <c r="P12" i="9" s="1"/>
  <c r="H122" i="2"/>
  <c r="G6" i="9"/>
  <c r="G12" i="9" s="1"/>
  <c r="C120" i="2"/>
  <c r="C121" i="2" s="1"/>
  <c r="C6" i="9"/>
  <c r="C12" i="9" s="1"/>
  <c r="D123" i="2"/>
  <c r="D122" i="2"/>
  <c r="W6" i="9"/>
  <c r="W12" i="9" s="1"/>
  <c r="M6" i="9"/>
  <c r="M12" i="9" s="1"/>
  <c r="K6" i="9"/>
  <c r="K12" i="9" s="1"/>
  <c r="E123" i="2"/>
  <c r="E122" i="2"/>
  <c r="D6" i="9"/>
  <c r="D12" i="9" s="1"/>
  <c r="X6" i="9"/>
  <c r="X12" i="9" s="1"/>
  <c r="L6" i="9"/>
  <c r="L12" i="9" s="1"/>
  <c r="O6" i="9"/>
  <c r="O12" i="9" s="1"/>
  <c r="Y6" i="9"/>
  <c r="Y12" i="9" s="1"/>
  <c r="AF6" i="9"/>
  <c r="AF12" i="9" s="1"/>
  <c r="T6" i="9"/>
  <c r="T12" i="9" s="1"/>
  <c r="V6" i="9"/>
  <c r="V12" i="9" s="1"/>
  <c r="E6" i="9"/>
  <c r="E12" i="9" s="1"/>
  <c r="F123" i="2"/>
  <c r="F122" i="2"/>
  <c r="G123" i="2"/>
  <c r="G122" i="2"/>
  <c r="F6" i="9"/>
  <c r="F12" i="9" s="1"/>
  <c r="U6" i="9"/>
  <c r="U12" i="9" s="1"/>
  <c r="AE6" i="9"/>
  <c r="AE12" i="9" s="1"/>
  <c r="J6" i="9"/>
  <c r="J12" i="9" s="1"/>
  <c r="Z6" i="9"/>
  <c r="Z12" i="9" s="1"/>
  <c r="S6" i="9"/>
  <c r="S12" i="9" s="1"/>
  <c r="R6" i="9"/>
  <c r="R12" i="9" s="1"/>
  <c r="I6" i="9"/>
  <c r="I12" i="9" s="1"/>
  <c r="J122" i="2"/>
  <c r="G125" i="2" l="1"/>
  <c r="F125" i="2"/>
  <c r="E125" i="2"/>
  <c r="W5" i="9"/>
  <c r="W11" i="9" s="1"/>
  <c r="W8" i="6"/>
  <c r="AF8" i="6"/>
  <c r="AF5" i="9"/>
  <c r="AF11" i="9" s="1"/>
  <c r="U5" i="9"/>
  <c r="U11" i="9" s="1"/>
  <c r="U8" i="6"/>
  <c r="N8" i="6"/>
  <c r="N5" i="9"/>
  <c r="N11" i="9" s="1"/>
  <c r="F5" i="9"/>
  <c r="F11" i="9" s="1"/>
  <c r="F8" i="6"/>
  <c r="AA8" i="6"/>
  <c r="AA5" i="9"/>
  <c r="AA11" i="9" s="1"/>
  <c r="V5" i="9"/>
  <c r="V11" i="9" s="1"/>
  <c r="V8" i="6"/>
  <c r="O8" i="6"/>
  <c r="O5" i="9"/>
  <c r="O11" i="9" s="1"/>
  <c r="P8" i="6"/>
  <c r="P5" i="9"/>
  <c r="P11" i="9" s="1"/>
  <c r="AC5" i="9"/>
  <c r="AC11" i="9" s="1"/>
  <c r="AC8" i="6"/>
  <c r="R5" i="9"/>
  <c r="R11" i="9" s="1"/>
  <c r="R8" i="6"/>
  <c r="M5" i="9"/>
  <c r="M11" i="9" s="1"/>
  <c r="M8" i="6"/>
  <c r="E8" i="6"/>
  <c r="E5" i="9"/>
  <c r="E11" i="9" s="1"/>
  <c r="E18" i="9" s="1"/>
  <c r="Y8" i="6"/>
  <c r="Y5" i="9"/>
  <c r="Y11" i="9" s="1"/>
  <c r="H5" i="9"/>
  <c r="H11" i="9" s="1"/>
  <c r="H8" i="6"/>
  <c r="S8" i="6"/>
  <c r="S5" i="9"/>
  <c r="S11" i="9" s="1"/>
  <c r="I8" i="6"/>
  <c r="I5" i="9"/>
  <c r="I11" i="9" s="1"/>
  <c r="Q8" i="6"/>
  <c r="Q5" i="9"/>
  <c r="Q11" i="9" s="1"/>
  <c r="AD5" i="9"/>
  <c r="AD11" i="9" s="1"/>
  <c r="AD8" i="6"/>
  <c r="Z8" i="6"/>
  <c r="Z5" i="9"/>
  <c r="Z11" i="9" s="1"/>
  <c r="G5" i="9"/>
  <c r="G11" i="9" s="1"/>
  <c r="G8" i="6"/>
  <c r="J8" i="6"/>
  <c r="J5" i="9"/>
  <c r="J11" i="9" s="1"/>
  <c r="AB5" i="9"/>
  <c r="AB11" i="9" s="1"/>
  <c r="AB8" i="6"/>
  <c r="D8" i="6"/>
  <c r="D5" i="9"/>
  <c r="D11" i="9" s="1"/>
  <c r="D18" i="9" s="1"/>
  <c r="C8" i="6"/>
  <c r="C5" i="9"/>
  <c r="C11" i="9" s="1"/>
  <c r="C18" i="9" s="1"/>
  <c r="L5" i="9"/>
  <c r="L11" i="9" s="1"/>
  <c r="L8" i="6"/>
  <c r="AE5" i="9"/>
  <c r="AE11" i="9" s="1"/>
  <c r="AE8" i="6"/>
  <c r="X5" i="9"/>
  <c r="X11" i="9" s="1"/>
  <c r="X8" i="6"/>
  <c r="T8" i="6"/>
  <c r="T5" i="9"/>
  <c r="T11" i="9" s="1"/>
  <c r="K5" i="9"/>
  <c r="K11" i="9" s="1"/>
  <c r="K8" i="6"/>
  <c r="L16" i="8"/>
  <c r="L19" i="8" s="1"/>
  <c r="N63" i="2"/>
  <c r="D125" i="2"/>
  <c r="D129" i="2" s="1"/>
  <c r="C14" i="8" s="1"/>
  <c r="L64" i="2"/>
  <c r="J15" i="9"/>
  <c r="F17" i="8"/>
  <c r="F20" i="8" s="1"/>
  <c r="H65" i="2"/>
  <c r="F16" i="9"/>
  <c r="F18" i="9" s="1"/>
  <c r="F13" i="8"/>
  <c r="E13" i="8"/>
  <c r="E22" i="8" s="1"/>
  <c r="C13" i="8"/>
  <c r="C22" i="8" s="1"/>
  <c r="C47" i="2"/>
  <c r="G13" i="8"/>
  <c r="D13" i="8"/>
  <c r="D22" i="8" s="1"/>
  <c r="E20" i="9"/>
  <c r="E21" i="9"/>
  <c r="F20" i="9"/>
  <c r="I20" i="9"/>
  <c r="C20" i="9"/>
  <c r="C21" i="9"/>
  <c r="G20" i="9"/>
  <c r="H20" i="9"/>
  <c r="J20" i="9"/>
  <c r="D20" i="9"/>
  <c r="D21" i="9"/>
  <c r="F21" i="9" l="1"/>
  <c r="E127" i="2"/>
  <c r="D9" i="6" s="1"/>
  <c r="G127" i="2"/>
  <c r="F7" i="9" s="1"/>
  <c r="F13" i="9" s="1"/>
  <c r="F127" i="2"/>
  <c r="E9" i="6" s="1"/>
  <c r="E129" i="2"/>
  <c r="D14" i="8" s="1"/>
  <c r="D25" i="8" s="1"/>
  <c r="D127" i="2"/>
  <c r="C7" i="9" s="1"/>
  <c r="C13" i="9" s="1"/>
  <c r="G129" i="2"/>
  <c r="F14" i="8" s="1"/>
  <c r="F25" i="8" s="1"/>
  <c r="F129" i="2"/>
  <c r="E14" i="8" s="1"/>
  <c r="E25" i="8" s="1"/>
  <c r="G17" i="8"/>
  <c r="G20" i="8" s="1"/>
  <c r="G16" i="9"/>
  <c r="I65" i="2"/>
  <c r="H123" i="2"/>
  <c r="H125" i="2" s="1"/>
  <c r="O63" i="2"/>
  <c r="M16" i="8"/>
  <c r="M19" i="8" s="1"/>
  <c r="F22" i="8"/>
  <c r="K15" i="9"/>
  <c r="K20" i="9" s="1"/>
  <c r="M64" i="2"/>
  <c r="L122" i="2"/>
  <c r="C24" i="8"/>
  <c r="C25" i="8"/>
  <c r="E7" i="9" l="1"/>
  <c r="E13" i="9" s="1"/>
  <c r="E23" i="9" s="1"/>
  <c r="E25" i="9" s="1"/>
  <c r="F9" i="6"/>
  <c r="F6" i="4" s="1"/>
  <c r="D7" i="9"/>
  <c r="D13" i="9" s="1"/>
  <c r="D23" i="9" s="1"/>
  <c r="D25" i="9" s="1"/>
  <c r="F24" i="8"/>
  <c r="F27" i="8" s="1"/>
  <c r="F6" i="8" s="1"/>
  <c r="C27" i="8"/>
  <c r="C6" i="8" s="1"/>
  <c r="C9" i="6"/>
  <c r="C12" i="6" s="1"/>
  <c r="E24" i="8"/>
  <c r="E27" i="8" s="1"/>
  <c r="E6" i="8" s="1"/>
  <c r="D24" i="8"/>
  <c r="D27" i="8" s="1"/>
  <c r="D6" i="8" s="1"/>
  <c r="N16" i="8"/>
  <c r="N19" i="8" s="1"/>
  <c r="P63" i="2"/>
  <c r="H129" i="2"/>
  <c r="G14" i="8" s="1"/>
  <c r="H127" i="2"/>
  <c r="G22" i="8"/>
  <c r="H16" i="9"/>
  <c r="J65" i="2"/>
  <c r="H17" i="8"/>
  <c r="I123" i="2"/>
  <c r="I125" i="2" s="1"/>
  <c r="I129" i="2" s="1"/>
  <c r="H14" i="8" s="1"/>
  <c r="G18" i="9"/>
  <c r="G21" i="9"/>
  <c r="N64" i="2"/>
  <c r="L15" i="9"/>
  <c r="L20" i="9" s="1"/>
  <c r="M122" i="2"/>
  <c r="C23" i="9"/>
  <c r="C25" i="9" s="1"/>
  <c r="D7" i="8"/>
  <c r="D6" i="4"/>
  <c r="F23" i="9"/>
  <c r="F25" i="9" s="1"/>
  <c r="E6" i="4"/>
  <c r="E7" i="8"/>
  <c r="F7" i="8" l="1"/>
  <c r="C7" i="8"/>
  <c r="C10" i="6"/>
  <c r="E10" i="6"/>
  <c r="D10" i="6"/>
  <c r="F10" i="6"/>
  <c r="C6" i="4"/>
  <c r="M15" i="9"/>
  <c r="M20" i="9" s="1"/>
  <c r="O64" i="2"/>
  <c r="N122" i="2"/>
  <c r="H18" i="9"/>
  <c r="H21" i="9"/>
  <c r="G24" i="8"/>
  <c r="G25" i="8"/>
  <c r="H22" i="8"/>
  <c r="H20" i="8"/>
  <c r="H24" i="8"/>
  <c r="H25" i="8"/>
  <c r="G9" i="6"/>
  <c r="G7" i="9"/>
  <c r="G13" i="9" s="1"/>
  <c r="Q63" i="2"/>
  <c r="O16" i="8"/>
  <c r="O19" i="8" s="1"/>
  <c r="I17" i="8"/>
  <c r="K65" i="2"/>
  <c r="I16" i="9"/>
  <c r="J123" i="2"/>
  <c r="J125" i="2" s="1"/>
  <c r="I127" i="2"/>
  <c r="C10" i="4"/>
  <c r="C18" i="6"/>
  <c r="C19" i="6" s="1"/>
  <c r="C20" i="6" s="1"/>
  <c r="C23" i="6" s="1"/>
  <c r="E10" i="4"/>
  <c r="E18" i="6"/>
  <c r="D10" i="4"/>
  <c r="D18" i="6"/>
  <c r="F10" i="4"/>
  <c r="F18" i="6"/>
  <c r="B7" i="5"/>
  <c r="B8" i="5" s="1"/>
  <c r="D7" i="6"/>
  <c r="D12" i="6" s="1"/>
  <c r="G27" i="8" l="1"/>
  <c r="G6" i="8" s="1"/>
  <c r="H27" i="8"/>
  <c r="H6" i="8" s="1"/>
  <c r="I22" i="8"/>
  <c r="I20" i="8"/>
  <c r="J16" i="9"/>
  <c r="L65" i="2"/>
  <c r="J17" i="8"/>
  <c r="K123" i="2"/>
  <c r="K125" i="2" s="1"/>
  <c r="R63" i="2"/>
  <c r="P16" i="8"/>
  <c r="P19" i="8" s="1"/>
  <c r="P64" i="2"/>
  <c r="N15" i="9"/>
  <c r="N20" i="9" s="1"/>
  <c r="O122" i="2"/>
  <c r="J127" i="2"/>
  <c r="J129" i="2"/>
  <c r="I14" i="8" s="1"/>
  <c r="G6" i="4"/>
  <c r="G7" i="8"/>
  <c r="G10" i="6"/>
  <c r="H7" i="9"/>
  <c r="H13" i="9" s="1"/>
  <c r="H9" i="6"/>
  <c r="I18" i="9"/>
  <c r="I21" i="9"/>
  <c r="G23" i="9"/>
  <c r="G25" i="9" s="1"/>
  <c r="C7" i="5"/>
  <c r="E7" i="6"/>
  <c r="E12" i="6" s="1"/>
  <c r="E8" i="7"/>
  <c r="B10" i="5"/>
  <c r="D19" i="6"/>
  <c r="D20" i="6" s="1"/>
  <c r="E19" i="6" s="1"/>
  <c r="E20" i="6" s="1"/>
  <c r="F19" i="6" s="1"/>
  <c r="F20" i="6" s="1"/>
  <c r="G10" i="4" l="1"/>
  <c r="G18" i="6"/>
  <c r="G19" i="6" s="1"/>
  <c r="G20" i="6" s="1"/>
  <c r="J22" i="8"/>
  <c r="J20" i="8"/>
  <c r="H23" i="9"/>
  <c r="H25" i="9" s="1"/>
  <c r="K129" i="2"/>
  <c r="J14" i="8" s="1"/>
  <c r="L127" i="2"/>
  <c r="M65" i="2"/>
  <c r="K17" i="8"/>
  <c r="K16" i="9"/>
  <c r="L123" i="2"/>
  <c r="L125" i="2" s="1"/>
  <c r="L129" i="2" s="1"/>
  <c r="K14" i="8" s="1"/>
  <c r="I9" i="6"/>
  <c r="I7" i="9"/>
  <c r="I13" i="9" s="1"/>
  <c r="I23" i="9" s="1"/>
  <c r="I25" i="9" s="1"/>
  <c r="K127" i="2"/>
  <c r="J18" i="9"/>
  <c r="J21" i="9"/>
  <c r="H7" i="8"/>
  <c r="H6" i="4"/>
  <c r="Q64" i="2"/>
  <c r="O15" i="9"/>
  <c r="O20" i="9" s="1"/>
  <c r="P122" i="2"/>
  <c r="I24" i="8"/>
  <c r="I25" i="8"/>
  <c r="H10" i="6"/>
  <c r="S63" i="2"/>
  <c r="Q16" i="8"/>
  <c r="Q19" i="8" s="1"/>
  <c r="F7" i="6"/>
  <c r="F12" i="6" s="1"/>
  <c r="D7" i="5"/>
  <c r="I27" i="8" l="1"/>
  <c r="I6" i="8" s="1"/>
  <c r="H10" i="4"/>
  <c r="H18" i="6"/>
  <c r="H19" i="6" s="1"/>
  <c r="H20" i="6" s="1"/>
  <c r="K25" i="8"/>
  <c r="K24" i="8"/>
  <c r="P15" i="9"/>
  <c r="P20" i="9" s="1"/>
  <c r="R64" i="2"/>
  <c r="Q122" i="2"/>
  <c r="I10" i="6"/>
  <c r="K18" i="9"/>
  <c r="K21" i="9"/>
  <c r="T63" i="2"/>
  <c r="R16" i="8"/>
  <c r="R19" i="8" s="1"/>
  <c r="K22" i="8"/>
  <c r="K20" i="8"/>
  <c r="K27" i="8" s="1"/>
  <c r="K6" i="8" s="1"/>
  <c r="I18" i="6"/>
  <c r="I10" i="4"/>
  <c r="I6" i="4"/>
  <c r="I7" i="8"/>
  <c r="K7" i="9"/>
  <c r="K13" i="9" s="1"/>
  <c r="K9" i="6"/>
  <c r="J25" i="8"/>
  <c r="J24" i="8"/>
  <c r="J9" i="6"/>
  <c r="K10" i="6" s="1"/>
  <c r="J7" i="9"/>
  <c r="J13" i="9" s="1"/>
  <c r="N65" i="2"/>
  <c r="L16" i="9"/>
  <c r="L17" i="8"/>
  <c r="M123" i="2"/>
  <c r="M125" i="2" s="1"/>
  <c r="G7" i="6"/>
  <c r="G12" i="6" s="1"/>
  <c r="E7" i="5"/>
  <c r="J27" i="8" l="1"/>
  <c r="J6" i="8" s="1"/>
  <c r="I19" i="6"/>
  <c r="I20" i="6" s="1"/>
  <c r="J23" i="9"/>
  <c r="J25" i="9" s="1"/>
  <c r="S64" i="2"/>
  <c r="Q15" i="9"/>
  <c r="Q20" i="9" s="1"/>
  <c r="R122" i="2"/>
  <c r="M17" i="8"/>
  <c r="M16" i="9"/>
  <c r="O65" i="2"/>
  <c r="N123" i="2"/>
  <c r="N125" i="2" s="1"/>
  <c r="N127" i="2" s="1"/>
  <c r="K23" i="9"/>
  <c r="K25" i="9" s="1"/>
  <c r="K7" i="8"/>
  <c r="K6" i="4"/>
  <c r="U63" i="2"/>
  <c r="S16" i="8"/>
  <c r="S19" i="8" s="1"/>
  <c r="M129" i="2"/>
  <c r="L14" i="8" s="1"/>
  <c r="M127" i="2"/>
  <c r="L22" i="8"/>
  <c r="L20" i="8"/>
  <c r="J7" i="8"/>
  <c r="J6" i="4"/>
  <c r="J10" i="6"/>
  <c r="L18" i="9"/>
  <c r="L21" i="9"/>
  <c r="H7" i="6"/>
  <c r="H12" i="6" s="1"/>
  <c r="F7" i="5"/>
  <c r="N129" i="2" l="1"/>
  <c r="M14" i="8" s="1"/>
  <c r="M25" i="8" s="1"/>
  <c r="K10" i="4"/>
  <c r="K18" i="6"/>
  <c r="J10" i="4"/>
  <c r="J18" i="6"/>
  <c r="J19" i="6" s="1"/>
  <c r="J20" i="6" s="1"/>
  <c r="N16" i="9"/>
  <c r="N17" i="8"/>
  <c r="P65" i="2"/>
  <c r="O123" i="2"/>
  <c r="O125" i="2" s="1"/>
  <c r="O127" i="2" s="1"/>
  <c r="T64" i="2"/>
  <c r="R15" i="9"/>
  <c r="R20" i="9" s="1"/>
  <c r="S122" i="2"/>
  <c r="M18" i="9"/>
  <c r="M21" i="9"/>
  <c r="L24" i="8"/>
  <c r="L25" i="8"/>
  <c r="L7" i="9"/>
  <c r="L13" i="9" s="1"/>
  <c r="L23" i="9" s="1"/>
  <c r="L25" i="9" s="1"/>
  <c r="L9" i="6"/>
  <c r="M20" i="8"/>
  <c r="M22" i="8"/>
  <c r="M9" i="6"/>
  <c r="M7" i="9"/>
  <c r="M13" i="9" s="1"/>
  <c r="M23" i="9" s="1"/>
  <c r="M25" i="9" s="1"/>
  <c r="V63" i="2"/>
  <c r="T16" i="8"/>
  <c r="T19" i="8" s="1"/>
  <c r="G7" i="5"/>
  <c r="I7" i="6"/>
  <c r="I12" i="6" s="1"/>
  <c r="M24" i="8" l="1"/>
  <c r="M27" i="8" s="1"/>
  <c r="M6" i="8" s="1"/>
  <c r="L27" i="8"/>
  <c r="L6" i="8" s="1"/>
  <c r="O129" i="2"/>
  <c r="N14" i="8" s="1"/>
  <c r="M6" i="4"/>
  <c r="M7" i="8"/>
  <c r="O17" i="8"/>
  <c r="Q65" i="2"/>
  <c r="O16" i="9"/>
  <c r="P123" i="2"/>
  <c r="P125" i="2" s="1"/>
  <c r="P129" i="2" s="1"/>
  <c r="O14" i="8" s="1"/>
  <c r="U64" i="2"/>
  <c r="S15" i="9"/>
  <c r="S20" i="9" s="1"/>
  <c r="T122" i="2"/>
  <c r="U16" i="8"/>
  <c r="U19" i="8" s="1"/>
  <c r="W63" i="2"/>
  <c r="N20" i="8"/>
  <c r="N22" i="8"/>
  <c r="M18" i="6"/>
  <c r="M10" i="4"/>
  <c r="N7" i="9"/>
  <c r="N13" i="9" s="1"/>
  <c r="N9" i="6"/>
  <c r="N10" i="6" s="1"/>
  <c r="L7" i="8"/>
  <c r="L6" i="4"/>
  <c r="M10" i="6"/>
  <c r="L10" i="6"/>
  <c r="N18" i="9"/>
  <c r="N21" i="9"/>
  <c r="L18" i="6"/>
  <c r="L10" i="4"/>
  <c r="K19" i="6"/>
  <c r="K20" i="6" s="1"/>
  <c r="J7" i="6"/>
  <c r="J12" i="6" s="1"/>
  <c r="H7" i="5"/>
  <c r="O24" i="8" l="1"/>
  <c r="O25" i="8"/>
  <c r="O18" i="9"/>
  <c r="O21" i="9"/>
  <c r="R65" i="2"/>
  <c r="P17" i="8"/>
  <c r="P16" i="9"/>
  <c r="Q123" i="2"/>
  <c r="Q125" i="2" s="1"/>
  <c r="X63" i="2"/>
  <c r="V16" i="8"/>
  <c r="V19" i="8" s="1"/>
  <c r="O22" i="8"/>
  <c r="O20" i="8"/>
  <c r="N23" i="9"/>
  <c r="N25" i="9"/>
  <c r="L19" i="6"/>
  <c r="L20" i="6" s="1"/>
  <c r="M19" i="6" s="1"/>
  <c r="M20" i="6" s="1"/>
  <c r="N6" i="4"/>
  <c r="N7" i="8"/>
  <c r="P127" i="2"/>
  <c r="N24" i="8"/>
  <c r="N25" i="8"/>
  <c r="V64" i="2"/>
  <c r="T15" i="9"/>
  <c r="T20" i="9" s="1"/>
  <c r="U122" i="2"/>
  <c r="I7" i="5"/>
  <c r="K7" i="6"/>
  <c r="K12" i="6" s="1"/>
  <c r="N27" i="8" l="1"/>
  <c r="N6" i="8" s="1"/>
  <c r="Q129" i="2"/>
  <c r="P14" i="8" s="1"/>
  <c r="Q127" i="2"/>
  <c r="P22" i="8"/>
  <c r="P20" i="8"/>
  <c r="P18" i="9"/>
  <c r="P21" i="9"/>
  <c r="O7" i="9"/>
  <c r="O13" i="9" s="1"/>
  <c r="O9" i="6"/>
  <c r="N10" i="4"/>
  <c r="N18" i="6"/>
  <c r="N19" i="6" s="1"/>
  <c r="N20" i="6" s="1"/>
  <c r="W64" i="2"/>
  <c r="U15" i="9"/>
  <c r="U20" i="9" s="1"/>
  <c r="V122" i="2"/>
  <c r="Q16" i="9"/>
  <c r="Q17" i="8"/>
  <c r="S65" i="2"/>
  <c r="R123" i="2"/>
  <c r="R125" i="2" s="1"/>
  <c r="Y63" i="2"/>
  <c r="W16" i="8"/>
  <c r="W19" i="8" s="1"/>
  <c r="O27" i="8"/>
  <c r="O6" i="8" s="1"/>
  <c r="L7" i="6"/>
  <c r="L12" i="6" s="1"/>
  <c r="J7" i="5"/>
  <c r="Q18" i="9" l="1"/>
  <c r="Q21" i="9"/>
  <c r="O23" i="9"/>
  <c r="O25" i="9" s="1"/>
  <c r="Q22" i="8"/>
  <c r="Q20" i="8"/>
  <c r="V15" i="9"/>
  <c r="V20" i="9" s="1"/>
  <c r="X64" i="2"/>
  <c r="W122" i="2"/>
  <c r="Z63" i="2"/>
  <c r="X16" i="8"/>
  <c r="X19" i="8" s="1"/>
  <c r="R127" i="2"/>
  <c r="R129" i="2"/>
  <c r="Q14" i="8" s="1"/>
  <c r="P7" i="9"/>
  <c r="P13" i="9" s="1"/>
  <c r="P23" i="9" s="1"/>
  <c r="P25" i="9" s="1"/>
  <c r="P9" i="6"/>
  <c r="T65" i="2"/>
  <c r="R16" i="9"/>
  <c r="R17" i="8"/>
  <c r="S123" i="2"/>
  <c r="S125" i="2" s="1"/>
  <c r="O7" i="8"/>
  <c r="O6" i="4"/>
  <c r="O10" i="6"/>
  <c r="P24" i="8"/>
  <c r="P25" i="8"/>
  <c r="K7" i="5"/>
  <c r="M7" i="6"/>
  <c r="M12" i="6" s="1"/>
  <c r="P27" i="8" l="1"/>
  <c r="P6" i="8" s="1"/>
  <c r="Q9" i="6"/>
  <c r="Q7" i="9"/>
  <c r="Q13" i="9" s="1"/>
  <c r="Q23" i="9" s="1"/>
  <c r="Q25" i="9" s="1"/>
  <c r="P6" i="4"/>
  <c r="P7" i="8"/>
  <c r="P10" i="6"/>
  <c r="O10" i="4"/>
  <c r="O18" i="6"/>
  <c r="O19" i="6" s="1"/>
  <c r="O20" i="6" s="1"/>
  <c r="Q25" i="8"/>
  <c r="Q24" i="8"/>
  <c r="S129" i="2"/>
  <c r="R14" i="8" s="1"/>
  <c r="S127" i="2"/>
  <c r="R22" i="8"/>
  <c r="R20" i="8"/>
  <c r="AA63" i="2"/>
  <c r="Y16" i="8"/>
  <c r="Y19" i="8" s="1"/>
  <c r="R18" i="9"/>
  <c r="R21" i="9"/>
  <c r="P10" i="4"/>
  <c r="P18" i="6"/>
  <c r="U65" i="2"/>
  <c r="S16" i="9"/>
  <c r="S17" i="8"/>
  <c r="T123" i="2"/>
  <c r="T125" i="2" s="1"/>
  <c r="Y64" i="2"/>
  <c r="W15" i="9"/>
  <c r="W20" i="9" s="1"/>
  <c r="X122" i="2"/>
  <c r="L7" i="5"/>
  <c r="N7" i="6"/>
  <c r="N12" i="6" s="1"/>
  <c r="Q27" i="8" l="1"/>
  <c r="Q6" i="8" s="1"/>
  <c r="S18" i="9"/>
  <c r="S21" i="9"/>
  <c r="V65" i="2"/>
  <c r="T17" i="8"/>
  <c r="T16" i="9"/>
  <c r="U123" i="2"/>
  <c r="U125" i="2" s="1"/>
  <c r="R7" i="9"/>
  <c r="R13" i="9" s="1"/>
  <c r="R23" i="9" s="1"/>
  <c r="R25" i="9" s="1"/>
  <c r="R9" i="6"/>
  <c r="AB63" i="2"/>
  <c r="Z16" i="8"/>
  <c r="Z19" i="8" s="1"/>
  <c r="R25" i="8"/>
  <c r="R24" i="8"/>
  <c r="R27" i="8" s="1"/>
  <c r="R6" i="8" s="1"/>
  <c r="Q10" i="4"/>
  <c r="Q18" i="6"/>
  <c r="T129" i="2"/>
  <c r="S14" i="8" s="1"/>
  <c r="T127" i="2"/>
  <c r="S22" i="8"/>
  <c r="S20" i="8"/>
  <c r="P19" i="6"/>
  <c r="P20" i="6" s="1"/>
  <c r="Z64" i="2"/>
  <c r="X15" i="9"/>
  <c r="X20" i="9" s="1"/>
  <c r="Y122" i="2"/>
  <c r="Q6" i="4"/>
  <c r="Q7" i="8"/>
  <c r="Q10" i="6"/>
  <c r="M7" i="5"/>
  <c r="O7" i="6"/>
  <c r="O12" i="6" s="1"/>
  <c r="Q19" i="6" l="1"/>
  <c r="Q20" i="6" s="1"/>
  <c r="R6" i="4"/>
  <c r="R7" i="8"/>
  <c r="R10" i="6"/>
  <c r="U127" i="2"/>
  <c r="U129" i="2"/>
  <c r="T14" i="8" s="1"/>
  <c r="T18" i="9"/>
  <c r="T21" i="9"/>
  <c r="T22" i="8"/>
  <c r="T20" i="8"/>
  <c r="R10" i="4"/>
  <c r="R18" i="6"/>
  <c r="U16" i="9"/>
  <c r="W65" i="2"/>
  <c r="U17" i="8"/>
  <c r="V123" i="2"/>
  <c r="V125" i="2" s="1"/>
  <c r="Y15" i="9"/>
  <c r="Y20" i="9" s="1"/>
  <c r="AA64" i="2"/>
  <c r="Z122" i="2"/>
  <c r="S7" i="9"/>
  <c r="S13" i="9" s="1"/>
  <c r="S23" i="9" s="1"/>
  <c r="S25" i="9" s="1"/>
  <c r="S9" i="6"/>
  <c r="S24" i="8"/>
  <c r="S25" i="8"/>
  <c r="AC63" i="2"/>
  <c r="AA16" i="8"/>
  <c r="AA19" i="8" s="1"/>
  <c r="N7" i="5"/>
  <c r="P7" i="6"/>
  <c r="P12" i="6" s="1"/>
  <c r="S27" i="8" l="1"/>
  <c r="S6" i="8" s="1"/>
  <c r="R19" i="6"/>
  <c r="R20" i="6" s="1"/>
  <c r="X65" i="2"/>
  <c r="V17" i="8"/>
  <c r="V16" i="9"/>
  <c r="W123" i="2"/>
  <c r="W125" i="2" s="1"/>
  <c r="V129" i="2"/>
  <c r="U14" i="8" s="1"/>
  <c r="V127" i="2"/>
  <c r="S7" i="8"/>
  <c r="S6" i="4"/>
  <c r="S10" i="6"/>
  <c r="T24" i="8"/>
  <c r="T25" i="8"/>
  <c r="T9" i="6"/>
  <c r="T7" i="9"/>
  <c r="T13" i="9" s="1"/>
  <c r="U18" i="9"/>
  <c r="U21" i="9"/>
  <c r="U22" i="8"/>
  <c r="U20" i="8"/>
  <c r="S10" i="4"/>
  <c r="S18" i="6"/>
  <c r="Z15" i="9"/>
  <c r="Z20" i="9" s="1"/>
  <c r="AB64" i="2"/>
  <c r="AA122" i="2"/>
  <c r="AB16" i="8"/>
  <c r="AB19" i="8" s="1"/>
  <c r="AD63" i="2"/>
  <c r="Q7" i="6"/>
  <c r="Q12" i="6" s="1"/>
  <c r="O7" i="5"/>
  <c r="S19" i="6" l="1"/>
  <c r="S20" i="6" s="1"/>
  <c r="T27" i="8"/>
  <c r="T6" i="8" s="1"/>
  <c r="AA15" i="9"/>
  <c r="AA20" i="9" s="1"/>
  <c r="AC64" i="2"/>
  <c r="AB122" i="2"/>
  <c r="T23" i="9"/>
  <c r="T25" i="9" s="1"/>
  <c r="U9" i="6"/>
  <c r="U7" i="9"/>
  <c r="U13" i="9" s="1"/>
  <c r="U24" i="8"/>
  <c r="U25" i="8"/>
  <c r="V18" i="9"/>
  <c r="V21" i="9"/>
  <c r="T6" i="4"/>
  <c r="T7" i="8"/>
  <c r="T10" i="6"/>
  <c r="AE63" i="2"/>
  <c r="AC16" i="8"/>
  <c r="AC19" i="8" s="1"/>
  <c r="V22" i="8"/>
  <c r="V20" i="8"/>
  <c r="W129" i="2"/>
  <c r="V14" i="8" s="1"/>
  <c r="W127" i="2"/>
  <c r="W16" i="9"/>
  <c r="Y65" i="2"/>
  <c r="W17" i="8"/>
  <c r="X123" i="2"/>
  <c r="X125" i="2" s="1"/>
  <c r="R7" i="6"/>
  <c r="R12" i="6" s="1"/>
  <c r="P7" i="5"/>
  <c r="U27" i="8" l="1"/>
  <c r="U6" i="8" s="1"/>
  <c r="T18" i="6"/>
  <c r="T19" i="6" s="1"/>
  <c r="T20" i="6" s="1"/>
  <c r="T10" i="4"/>
  <c r="U6" i="4"/>
  <c r="U7" i="8"/>
  <c r="U10" i="6"/>
  <c r="V9" i="6"/>
  <c r="V7" i="9"/>
  <c r="V13" i="9" s="1"/>
  <c r="X17" i="8"/>
  <c r="Z65" i="2"/>
  <c r="X16" i="9"/>
  <c r="Y123" i="2"/>
  <c r="Y125" i="2" s="1"/>
  <c r="W18" i="9"/>
  <c r="W21" i="9"/>
  <c r="U23" i="9"/>
  <c r="U25" i="9" s="1"/>
  <c r="AD64" i="2"/>
  <c r="AB15" i="9"/>
  <c r="AB20" i="9" s="1"/>
  <c r="AC122" i="2"/>
  <c r="AF63" i="2"/>
  <c r="AD16" i="8"/>
  <c r="AD19" i="8" s="1"/>
  <c r="V24" i="8"/>
  <c r="V25" i="8"/>
  <c r="V27" i="8"/>
  <c r="V6" i="8" s="1"/>
  <c r="X127" i="2"/>
  <c r="X129" i="2"/>
  <c r="W14" i="8" s="1"/>
  <c r="W22" i="8"/>
  <c r="W20" i="8"/>
  <c r="S7" i="6"/>
  <c r="S12" i="6" s="1"/>
  <c r="Q7" i="5"/>
  <c r="U18" i="6" l="1"/>
  <c r="U19" i="6" s="1"/>
  <c r="U20" i="6" s="1"/>
  <c r="U10" i="4"/>
  <c r="V23" i="9"/>
  <c r="V25" i="9" s="1"/>
  <c r="V6" i="4"/>
  <c r="V7" i="8"/>
  <c r="V10" i="6"/>
  <c r="X20" i="8"/>
  <c r="X22" i="8"/>
  <c r="Y127" i="2"/>
  <c r="Y129" i="2"/>
  <c r="X14" i="8" s="1"/>
  <c r="W24" i="8"/>
  <c r="W25" i="8"/>
  <c r="X18" i="9"/>
  <c r="X21" i="9"/>
  <c r="AG63" i="2"/>
  <c r="AE16" i="8"/>
  <c r="AE19" i="8" s="1"/>
  <c r="W7" i="9"/>
  <c r="W13" i="9" s="1"/>
  <c r="W23" i="9" s="1"/>
  <c r="W25" i="9" s="1"/>
  <c r="W9" i="6"/>
  <c r="AE64" i="2"/>
  <c r="AC15" i="9"/>
  <c r="AC20" i="9" s="1"/>
  <c r="AD122" i="2"/>
  <c r="Y17" i="8"/>
  <c r="AA65" i="2"/>
  <c r="Y16" i="9"/>
  <c r="Z123" i="2"/>
  <c r="Z125" i="2" s="1"/>
  <c r="T7" i="6"/>
  <c r="T12" i="6" s="1"/>
  <c r="R7" i="5"/>
  <c r="W27" i="8" l="1"/>
  <c r="W6" i="8" s="1"/>
  <c r="V18" i="6"/>
  <c r="V19" i="6" s="1"/>
  <c r="V20" i="6" s="1"/>
  <c r="V10" i="4"/>
  <c r="X24" i="8"/>
  <c r="X25" i="8"/>
  <c r="X27" i="8" s="1"/>
  <c r="X6" i="8" s="1"/>
  <c r="W7" i="8"/>
  <c r="W6" i="4"/>
  <c r="W10" i="6"/>
  <c r="Y18" i="9"/>
  <c r="Y21" i="9"/>
  <c r="AD15" i="9"/>
  <c r="AD20" i="9" s="1"/>
  <c r="AF64" i="2"/>
  <c r="AE122" i="2"/>
  <c r="Z127" i="2"/>
  <c r="Z129" i="2"/>
  <c r="Y14" i="8" s="1"/>
  <c r="X7" i="9"/>
  <c r="X13" i="9" s="1"/>
  <c r="X23" i="9" s="1"/>
  <c r="X25" i="9" s="1"/>
  <c r="X9" i="6"/>
  <c r="AF16" i="8"/>
  <c r="AF19" i="8" s="1"/>
  <c r="W10" i="4"/>
  <c r="W18" i="6"/>
  <c r="Z16" i="9"/>
  <c r="AB65" i="2"/>
  <c r="Z17" i="8"/>
  <c r="AA123" i="2"/>
  <c r="AA125" i="2" s="1"/>
  <c r="Y20" i="8"/>
  <c r="Y22" i="8"/>
  <c r="U7" i="6"/>
  <c r="U12" i="6" s="1"/>
  <c r="S7" i="5"/>
  <c r="W19" i="6" l="1"/>
  <c r="W20" i="6" s="1"/>
  <c r="Y25" i="8"/>
  <c r="Y24" i="8"/>
  <c r="AE15" i="9"/>
  <c r="AE20" i="9" s="1"/>
  <c r="AG64" i="2"/>
  <c r="AF122" i="2"/>
  <c r="X10" i="4"/>
  <c r="X18" i="6"/>
  <c r="Z18" i="9"/>
  <c r="Z21" i="9"/>
  <c r="Y7" i="9"/>
  <c r="Y13" i="9" s="1"/>
  <c r="Y23" i="9" s="1"/>
  <c r="Y25" i="9" s="1"/>
  <c r="Y9" i="6"/>
  <c r="Z20" i="8"/>
  <c r="Z22" i="8"/>
  <c r="AC65" i="2"/>
  <c r="AA17" i="8"/>
  <c r="AA16" i="9"/>
  <c r="AB123" i="2"/>
  <c r="AB125" i="2" s="1"/>
  <c r="AA127" i="2"/>
  <c r="AA129" i="2"/>
  <c r="Z14" i="8" s="1"/>
  <c r="X6" i="4"/>
  <c r="X7" i="8"/>
  <c r="X10" i="6"/>
  <c r="V7" i="6"/>
  <c r="V12" i="6" s="1"/>
  <c r="T7" i="5"/>
  <c r="X19" i="6" l="1"/>
  <c r="X20" i="6" s="1"/>
  <c r="Y27" i="8"/>
  <c r="Y6" i="8" s="1"/>
  <c r="AB16" i="9"/>
  <c r="AD65" i="2"/>
  <c r="AB17" i="8"/>
  <c r="AC123" i="2"/>
  <c r="AC125" i="2" s="1"/>
  <c r="AF15" i="9"/>
  <c r="AF20" i="9" s="1"/>
  <c r="AG122" i="2"/>
  <c r="Y18" i="6"/>
  <c r="Y19" i="6" s="1"/>
  <c r="Y20" i="6" s="1"/>
  <c r="Y10" i="4"/>
  <c r="Z25" i="8"/>
  <c r="Z24" i="8"/>
  <c r="Z27" i="8" s="1"/>
  <c r="Z6" i="8" s="1"/>
  <c r="AB129" i="2"/>
  <c r="AA14" i="8" s="1"/>
  <c r="AB127" i="2"/>
  <c r="AA22" i="8"/>
  <c r="AA20" i="8"/>
  <c r="Y7" i="8"/>
  <c r="Y6" i="4"/>
  <c r="Y10" i="6"/>
  <c r="Z7" i="9"/>
  <c r="Z13" i="9" s="1"/>
  <c r="Z9" i="6"/>
  <c r="AA18" i="9"/>
  <c r="AA21" i="9"/>
  <c r="U7" i="5"/>
  <c r="W7" i="6"/>
  <c r="W12" i="6" s="1"/>
  <c r="AA7" i="9" l="1"/>
  <c r="AA13" i="9" s="1"/>
  <c r="AA9" i="6"/>
  <c r="AB22" i="8"/>
  <c r="AB20" i="8"/>
  <c r="Z6" i="4"/>
  <c r="Z7" i="8"/>
  <c r="Z10" i="6"/>
  <c r="AC127" i="2"/>
  <c r="AC129" i="2"/>
  <c r="AB14" i="8" s="1"/>
  <c r="AC16" i="9"/>
  <c r="AC17" i="8"/>
  <c r="AE65" i="2"/>
  <c r="AD123" i="2"/>
  <c r="AD125" i="2" s="1"/>
  <c r="AA25" i="8"/>
  <c r="AA24" i="8"/>
  <c r="Z23" i="9"/>
  <c r="Z25" i="9" s="1"/>
  <c r="AB18" i="9"/>
  <c r="AB21" i="9"/>
  <c r="V7" i="5"/>
  <c r="X7" i="6"/>
  <c r="X12" i="6" s="1"/>
  <c r="AA27" i="8" l="1"/>
  <c r="AA6" i="8" s="1"/>
  <c r="Z18" i="6"/>
  <c r="Z19" i="6" s="1"/>
  <c r="Z20" i="6" s="1"/>
  <c r="Z10" i="4"/>
  <c r="AD127" i="2"/>
  <c r="AD129" i="2"/>
  <c r="AC14" i="8" s="1"/>
  <c r="AC20" i="8"/>
  <c r="AC22" i="8"/>
  <c r="AC18" i="9"/>
  <c r="AC21" i="9"/>
  <c r="AB24" i="8"/>
  <c r="AB25" i="8"/>
  <c r="AA7" i="8"/>
  <c r="AA6" i="4"/>
  <c r="AA10" i="6"/>
  <c r="AF65" i="2"/>
  <c r="AD17" i="8"/>
  <c r="AD16" i="9"/>
  <c r="AE123" i="2"/>
  <c r="AE125" i="2" s="1"/>
  <c r="AB9" i="6"/>
  <c r="AB7" i="9"/>
  <c r="AB13" i="9" s="1"/>
  <c r="AB23" i="9" s="1"/>
  <c r="AB25" i="9" s="1"/>
  <c r="AA23" i="9"/>
  <c r="AA25" i="9" s="1"/>
  <c r="W7" i="5"/>
  <c r="Y7" i="6"/>
  <c r="Y12" i="6" s="1"/>
  <c r="AB27" i="8" l="1"/>
  <c r="AB6" i="8" s="1"/>
  <c r="AD22" i="8"/>
  <c r="AD20" i="8"/>
  <c r="AA10" i="4"/>
  <c r="AA18" i="6"/>
  <c r="AA19" i="6" s="1"/>
  <c r="AA20" i="6" s="1"/>
  <c r="AB18" i="6"/>
  <c r="AB10" i="4"/>
  <c r="AC9" i="6"/>
  <c r="AC7" i="9"/>
  <c r="AC13" i="9" s="1"/>
  <c r="AE127" i="2"/>
  <c r="AE129" i="2"/>
  <c r="AD14" i="8" s="1"/>
  <c r="AE16" i="9"/>
  <c r="AG65" i="2"/>
  <c r="AE17" i="8"/>
  <c r="AF123" i="2"/>
  <c r="AF125" i="2" s="1"/>
  <c r="AC25" i="8"/>
  <c r="AC24" i="8"/>
  <c r="AB6" i="4"/>
  <c r="AB7" i="8"/>
  <c r="AB10" i="6"/>
  <c r="AD18" i="9"/>
  <c r="AD21" i="9"/>
  <c r="X7" i="5"/>
  <c r="Z7" i="6"/>
  <c r="Z12" i="6" s="1"/>
  <c r="AC27" i="8" l="1"/>
  <c r="AC6" i="8" s="1"/>
  <c r="AB19" i="6"/>
  <c r="AB20" i="6" s="1"/>
  <c r="AC23" i="9"/>
  <c r="AC25" i="9"/>
  <c r="AC6" i="4"/>
  <c r="AC7" i="8"/>
  <c r="AC10" i="6"/>
  <c r="AE22" i="8"/>
  <c r="AE20" i="8"/>
  <c r="AE18" i="9"/>
  <c r="AE21" i="9"/>
  <c r="AF129" i="2"/>
  <c r="AE14" i="8" s="1"/>
  <c r="AF127" i="2"/>
  <c r="AD25" i="8"/>
  <c r="AD24" i="8"/>
  <c r="AF16" i="9"/>
  <c r="AF17" i="8"/>
  <c r="AG123" i="2"/>
  <c r="AG125" i="2" s="1"/>
  <c r="AD7" i="9"/>
  <c r="AD13" i="9" s="1"/>
  <c r="AD9" i="6"/>
  <c r="Y7" i="5"/>
  <c r="AA7" i="6"/>
  <c r="AA12" i="6" s="1"/>
  <c r="AF20" i="8" l="1"/>
  <c r="AF22" i="8"/>
  <c r="AE9" i="6"/>
  <c r="AE7" i="9"/>
  <c r="AE13" i="9" s="1"/>
  <c r="AF18" i="9"/>
  <c r="AF21" i="9"/>
  <c r="AD27" i="8"/>
  <c r="AD6" i="8" s="1"/>
  <c r="AD7" i="8"/>
  <c r="AD6" i="4"/>
  <c r="AD10" i="6"/>
  <c r="AE25" i="8"/>
  <c r="AE24" i="8"/>
  <c r="AC18" i="6"/>
  <c r="AC19" i="6" s="1"/>
  <c r="AC20" i="6" s="1"/>
  <c r="AC10" i="4"/>
  <c r="AG129" i="2"/>
  <c r="AF14" i="8" s="1"/>
  <c r="AG127" i="2"/>
  <c r="AD23" i="9"/>
  <c r="AD25" i="9" s="1"/>
  <c r="Z7" i="5"/>
  <c r="AB7" i="6"/>
  <c r="AB12" i="6" s="1"/>
  <c r="AE27" i="8" l="1"/>
  <c r="AE6" i="8" s="1"/>
  <c r="AF24" i="8"/>
  <c r="AF25" i="8"/>
  <c r="AE23" i="9"/>
  <c r="AE25" i="9" s="1"/>
  <c r="AE7" i="8"/>
  <c r="AE6" i="4"/>
  <c r="AE10" i="6"/>
  <c r="AF7" i="9"/>
  <c r="AF13" i="9" s="1"/>
  <c r="AF9" i="6"/>
  <c r="AD18" i="6"/>
  <c r="AD19" i="6" s="1"/>
  <c r="AD20" i="6" s="1"/>
  <c r="AD10" i="4"/>
  <c r="AC7" i="6"/>
  <c r="AC12" i="6" s="1"/>
  <c r="AA7" i="5"/>
  <c r="AF27" i="8" l="1"/>
  <c r="AF6" i="8" s="1"/>
  <c r="AE10" i="4"/>
  <c r="AE18" i="6"/>
  <c r="AE19" i="6" s="1"/>
  <c r="AE20" i="6" s="1"/>
  <c r="AF6" i="4"/>
  <c r="AF7" i="8"/>
  <c r="AF10" i="6"/>
  <c r="AF23" i="9"/>
  <c r="AF25" i="9"/>
  <c r="AD7" i="6"/>
  <c r="AD12" i="6" s="1"/>
  <c r="AB7" i="5"/>
  <c r="AF18" i="6" l="1"/>
  <c r="AF19" i="6" s="1"/>
  <c r="AF20" i="6" s="1"/>
  <c r="AF10" i="4"/>
  <c r="AC7" i="5"/>
  <c r="AE7" i="6"/>
  <c r="AE12" i="6" s="1"/>
  <c r="AD7" i="5" l="1"/>
  <c r="AF7" i="6"/>
  <c r="AF12" i="6" s="1"/>
  <c r="AE7" i="5" s="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9" i="3"/>
  <c r="D9" i="3"/>
  <c r="E9" i="3"/>
  <c r="F9" i="3"/>
  <c r="G9" i="3"/>
  <c r="H9" i="3"/>
  <c r="I9" i="3"/>
  <c r="J9" i="3"/>
  <c r="K9" i="3"/>
  <c r="L9" i="3"/>
  <c r="M9" i="3"/>
  <c r="N9" i="3"/>
  <c r="O9" i="3"/>
  <c r="P9" i="3"/>
  <c r="Q9" i="3"/>
  <c r="R9" i="3"/>
  <c r="S9" i="3"/>
  <c r="T9" i="3"/>
  <c r="U9" i="3"/>
  <c r="V9" i="3"/>
  <c r="W9" i="3"/>
  <c r="X9" i="3"/>
  <c r="Y9" i="3"/>
  <c r="Z9" i="3"/>
  <c r="AA9" i="3"/>
  <c r="AB9" i="3"/>
  <c r="AC9" i="3"/>
  <c r="AD9" i="3"/>
  <c r="AE9" i="3"/>
  <c r="AF9" i="3"/>
  <c r="C11"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<sst xmlns="http://schemas.openxmlformats.org/spreadsheetml/2006/main" count="433" uniqueCount="254">
  <si>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</si>
  <si>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</si>
  <si>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</si>
  <si>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</si>
  <si>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</si>
  <si>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</si>
  <si>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</si>
  <si>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</si>
  <si>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</si>
  <si>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</si>
  <si>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</si>
  <si>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</si>
  <si>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</si>
  <si>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</si>
  <si>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</si>
  <si>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</si>
  <si>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</si>
  <si>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</si>
  <si>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</si>
  <si>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</si>
  <si>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</si>
  <si>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</si>
  <si>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</si>
  <si>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</si>
  <si>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</si>
  <si>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</si>
  <si>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</si>
  <si>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</si>
  <si>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</si>
  <si>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</si>
  <si>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</si>
  <si>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</si>
  <si>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</si>
  <si>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</si>
  <si>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</si>
  <si>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</si>
  <si>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</si>
  <si>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</si>
  <si>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</si>
  <si>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</si>
  <si>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</si>
  <si>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</si>
  <si>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</si>
  <si>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</si>
  <si>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</si>
  <si>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Subtotal</t>
  </si>
  <si>
    <t>Total operating costs post efficiency</t>
  </si>
  <si>
    <t>Interest on cash</t>
  </si>
  <si>
    <t>Water population</t>
  </si>
  <si>
    <t>Wastewater population</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</si>
  <si>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</si>
  <si>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</si>
  <si>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</si>
  <si>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</si>
  <si>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</si>
  <si>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</si>
  <si>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</si>
  <si>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</si>
  <si>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</si>
  <si>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</si>
  <si>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</si>
  <si>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</si>
  <si>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</si>
  <si>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</si>
  <si>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</si>
  <si>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</si>
  <si>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</si>
  <si>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</si>
  <si>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</si>
  <si>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</si>
  <si>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</si>
  <si>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</si>
  <si>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</si>
  <si>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</si>
  <si>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</si>
  <si>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</si>
  <si>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</si>
  <si>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</si>
  <si>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</si>
  <si>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</si>
  <si>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</si>
  <si>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</si>
  <si>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</si>
  <si>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</si>
  <si>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</si>
  <si>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</si>
  <si>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</si>
  <si>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</si>
  <si>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</si>
  <si>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Three Waters Debt</t>
  </si>
  <si>
    <t>Operating expenditure reported in 2020</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</si>
  <si>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</si>
  <si>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</si>
  <si>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</si>
  <si>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</si>
  <si>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</si>
  <si>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</si>
  <si>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</si>
  <si>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</si>
  <si>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</si>
  <si>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</si>
  <si>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</si>
  <si>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</si>
  <si>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</si>
  <si>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</si>
  <si>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</si>
  <si>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</si>
  <si>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</si>
  <si>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</si>
  <si>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</si>
  <si>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</si>
  <si>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</si>
  <si>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</si>
  <si>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</si>
  <si>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</si>
  <si>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</si>
  <si>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</si>
  <si>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</si>
  <si>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Source</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</si>
  <si>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</si>
  <si>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</si>
  <si>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</si>
  <si>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</si>
  <si>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</si>
  <si>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</si>
  <si>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</si>
  <si>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Stats NZ</t>
  </si>
  <si>
    <t>Assumed occupancy rate across New Zealand</t>
  </si>
  <si>
    <t>Assumption</t>
  </si>
  <si>
    <t>As above</t>
  </si>
  <si>
    <t>Macro-economic assumption from DIA's commercial and financial advisors</t>
  </si>
  <si>
    <t xml:space="preserve">Optimised replacement cost </t>
  </si>
  <si>
    <t>RFI Table A1; Line A1.47</t>
  </si>
  <si>
    <t>RFI Table A3; Line A3.58</t>
  </si>
  <si>
    <t>Optimised replacement cost opening value</t>
  </si>
  <si>
    <t>Charged Depreciation on existing assets</t>
  </si>
  <si>
    <t>Growth and enhancement investment (estimated based on density: pre-capping)</t>
  </si>
  <si>
    <t>Growth and enhancement investment (estimated based on a 50/50 weighted: pre-capping)</t>
  </si>
  <si>
    <t>Wastewater connected population</t>
  </si>
  <si>
    <t>Water connected population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</si>
  <si>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</si>
  <si>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</si>
  <si>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</si>
  <si>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</si>
  <si>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</si>
  <si>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</si>
  <si>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</si>
  <si>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</si>
  <si>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</si>
  <si>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</si>
  <si>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</si>
  <si>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</si>
  <si>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</si>
  <si>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Low</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</si>
  <si>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</si>
  <si>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</si>
  <si>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</si>
  <si>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</si>
  <si>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</si>
  <si>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</si>
  <si>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</si>
  <si>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</si>
  <si>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</si>
  <si>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</si>
  <si>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</si>
  <si>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</si>
  <si>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</si>
  <si>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</si>
  <si>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</si>
  <si>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</si>
  <si>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</si>
  <si>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</si>
  <si>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</si>
  <si>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</si>
  <si>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</si>
  <si>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</si>
  <si>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</si>
  <si>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</si>
  <si>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</si>
  <si>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</si>
  <si>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</si>
  <si>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Additional assumptions for the amalgamated entity</t>
  </si>
  <si>
    <t>Connected population of the amalgamated entity</t>
  </si>
  <si>
    <t>Total connected population in New Zealand</t>
  </si>
  <si>
    <t>Percentage of the NZ population</t>
  </si>
  <si>
    <t>Additional debt across all entities</t>
  </si>
  <si>
    <t>Entity share of additional debt</t>
  </si>
  <si>
    <t>Spend-to-save allowance</t>
  </si>
  <si>
    <t>Spend-to-save allowance across all entities</t>
  </si>
  <si>
    <t>Entity share of spend-to-save</t>
  </si>
  <si>
    <t xml:space="preserve">Number of years </t>
  </si>
  <si>
    <t>Individual council models</t>
  </si>
  <si>
    <t>Based on achieving the efficiencies above</t>
  </si>
  <si>
    <t xml:space="preserve">Based on observed experience from GB </t>
  </si>
  <si>
    <t>Cost gap between the amalgamated entity and the frontier company in GB after adjusting for special factors</t>
  </si>
  <si>
    <t>Total enhancement and growth investment (average: post-capping)</t>
  </si>
  <si>
    <t>Profile of enhancement and growth</t>
  </si>
  <si>
    <t>Year 1 to 10</t>
  </si>
  <si>
    <t>Year 11 to 20</t>
  </si>
  <si>
    <t>Year 21 to 30</t>
  </si>
  <si>
    <t>Repayment of debt principal</t>
  </si>
  <si>
    <t>Repayment term</t>
  </si>
  <si>
    <t>Spend-to-save operating costs (projected outturn prices)</t>
  </si>
  <si>
    <t>Additional borrowing at restructuring</t>
  </si>
  <si>
    <t>Spend-to-save</t>
  </si>
  <si>
    <t>Auckland Council</t>
  </si>
  <si>
    <t>Far North District Council</t>
  </si>
  <si>
    <t xml:space="preserve">Whangarei District Council </t>
  </si>
  <si>
    <t>Kaipara Disrict Council</t>
  </si>
  <si>
    <t>Council</t>
  </si>
  <si>
    <t>Total for amalgamated entity</t>
  </si>
  <si>
    <t>Sources</t>
  </si>
  <si>
    <t>Average water and wastewater population (A)</t>
  </si>
  <si>
    <t>Assumed household occupancy rate (B)</t>
  </si>
  <si>
    <t>Assumed connected properties in 2020 (C)</t>
  </si>
  <si>
    <t>Annual growth in connections (D)</t>
  </si>
  <si>
    <t>Assumed connected properties in 2051 (E)</t>
  </si>
  <si>
    <t xml:space="preserve">Annual growth in connections (F) </t>
  </si>
  <si>
    <t>Enhancement and growth</t>
  </si>
  <si>
    <t>Asset values</t>
  </si>
  <si>
    <t>Percentage related to short- medium life assets (B)</t>
  </si>
  <si>
    <t>Asset value related to short-medium life assets (C)</t>
  </si>
  <si>
    <t>Weighted average percentage (D)</t>
  </si>
  <si>
    <t>Enhancement and growth (A)</t>
  </si>
  <si>
    <t>Asset value: high range (A)</t>
  </si>
  <si>
    <t>See previous slide.</t>
  </si>
  <si>
    <t>RFI Table F10; Lines F10.62 + F10.70 - F10.61</t>
  </si>
  <si>
    <t>Kaipara District Council</t>
  </si>
  <si>
    <t>Whangarei District Council</t>
  </si>
  <si>
    <t>RFI Table F3; Line F3.20</t>
  </si>
  <si>
    <t>RFI Table E1, E2 and E2b; Lines E1.22 + E2.21 + E2b.21</t>
  </si>
  <si>
    <t>RFI Table J1; Sum of lines J1.1 to J1.30 (Column I)</t>
  </si>
  <si>
    <t>RFI Table G1; Calculated from additional properties connected in the year (line G1.3b) divided by properties served in 2019/20</t>
  </si>
  <si>
    <t>RFI Table J1; Sum of lines J1.1 to J1.30 (Column J)</t>
  </si>
  <si>
    <t>RFI Table F10; Lines F10.62 + F10.70</t>
  </si>
  <si>
    <t>RFI Table A1; Line A1.43</t>
  </si>
  <si>
    <t xml:space="preserve">Calculated as the sum of the lines above. </t>
  </si>
  <si>
    <t>Amalgamated entities expected to absorb the additional inflationary pressure</t>
  </si>
  <si>
    <t>See data sheet for sources for individual councils</t>
  </si>
  <si>
    <t>Assumption that amalgamated entities would be able to match half of NZ wide productivity of 0.8% per annum</t>
  </si>
  <si>
    <t>See data sheet</t>
  </si>
  <si>
    <t>Consistent with reaching a percentage split of 70% for long life assets by 2051. This split is in line with international experience</t>
  </si>
  <si>
    <t>Consistent with reaching a percentage split of 30% for short-medium life assets by 2051. This split is in line with international experience</t>
  </si>
  <si>
    <t>Amalgamated entities expected to absorb</t>
  </si>
  <si>
    <t>Growth rate for the amalgamated entity</t>
  </si>
  <si>
    <t>Percentage of asset value related to short- medium life assets (existing)</t>
  </si>
  <si>
    <t>Percentage of enhancement related to short- medium life assets (new)</t>
  </si>
  <si>
    <t xml:space="preserve">See data sheet </t>
  </si>
  <si>
    <t>New Zealand wide assumption based on the observed split in Great Britain</t>
  </si>
  <si>
    <t>Assumed inflation of 2.2% per annum from DIA's commercial and financial advisors</t>
  </si>
  <si>
    <t>Scenario 30; Entity A</t>
  </si>
  <si>
    <t>For Auckland Council (stormwater): RFI Table F10; Line F10.62.
For Watercare: RFI Table F10; Lines F10.62 + F10.70.</t>
  </si>
  <si>
    <t>For Auckland Council (stormwater): RFI Table E2b; Line E2b.21.
For Watercare: RFI Table E1 and E2; Lines E1.22 + E2.21.</t>
  </si>
  <si>
    <t xml:space="preserve">RFI Table E1, E2 and E2b; Lines E1.22 - E1.19 + E2.21 + E2b.21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</si>
</sst>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1409]#,##0"/>
    <numFmt numFmtId="176" formatCode="0.0000"/>
    <numFmt numFmtId="177" formatCode="_-* #,##0.000_-;\-* #,##0.000_-;_-* &quot;-&quot;??_-;_-@_-"/>
    <numFmt numFmtId="178" formatCode="_-[$$-1409]* #,##0_-;\-[$$-1409]* #,##0_-;_-[$$-1409]* &quot;-&quot;_-;_-@_-"/>
    <numFmt numFmtId="179" formatCode="_-* #,##0.0000_-;\-* #,##0.0000_-;_-* &quot;-&quot;??_-;_-@_-"/>
    <numFmt numFmtId="180" formatCode="&quot;NZ$&quot;#,##0\ &quot;Million&quot;"/>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2"/>
      <color theme="3"/>
      <name val="Trebuchet MS"/>
      <family val="2"/>
    </font>
    <font>
      <u/>
      <sz val="12"/>
      <color theme="3"/>
      <name val="Trebuchet MS"/>
      <family val="2"/>
    </font>
    <font>
      <b/>
      <sz val="12"/>
      <color theme="0"/>
      <name val="Trebuchet MS"/>
      <family val="2"/>
    </font>
    <font>
      <b/>
      <u/>
      <sz val="14"/>
      <color theme="3"/>
      <name val="Trebuchet MS"/>
      <family val="2"/>
    </font>
  </fonts>
  <fills count="6">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rgb="FF4472C4"/>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236">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7" fontId="0" fillId="0" borderId="0" xfId="0" applyNumberFormat="1"/>
    <xf numFmtId="170" fontId="0" fillId="0" borderId="0" xfId="0" applyNumberFormat="1" applyAlignment="1">
      <alignment horizontal="center"/>
    </xf>
    <xf numFmtId="176"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9"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0" fontId="0" fillId="0" borderId="0" xfId="0" applyFont="1" applyAlignment="1">
      <alignment wrapText="1"/>
    </xf>
    <xf numFmtId="0" fontId="0" fillId="5" borderId="0" xfId="0" applyFill="1"/>
    <xf numFmtId="0" fontId="7" fillId="5"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11" xfId="0" applyFont="1" applyFill="1" applyBorder="1" applyAlignment="1">
      <alignment vertical="top"/>
    </xf>
    <xf numFmtId="0" fontId="0" fillId="0" borderId="9" xfId="0" applyBorder="1" applyAlignment="1">
      <alignment vertical="top"/>
    </xf>
    <xf numFmtId="0" fontId="0" fillId="0" borderId="11" xfId="0" applyBorder="1" applyAlignment="1">
      <alignment vertical="top"/>
    </xf>
    <xf numFmtId="0" fontId="14" fillId="0" borderId="9" xfId="0" applyFont="1" applyBorder="1" applyAlignment="1">
      <alignment vertical="top"/>
    </xf>
    <xf numFmtId="169" fontId="18" fillId="0" borderId="0" xfId="3" applyNumberFormat="1" applyFont="1" applyFill="1" applyAlignment="1">
      <alignment vertical="center"/>
    </xf>
    <xf numFmtId="0" fontId="18" fillId="0" borderId="0" xfId="0" applyFont="1" applyAlignment="1">
      <alignment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Border="1" applyAlignment="1">
      <alignment horizontal="center" vertical="center" wrapText="1" readingOrder="1"/>
    </xf>
    <xf numFmtId="175" fontId="18" fillId="0" borderId="0" xfId="0" applyNumberFormat="1" applyFont="1" applyFill="1" applyAlignment="1">
      <alignment vertical="center"/>
    </xf>
    <xf numFmtId="0" fontId="18" fillId="0" borderId="0" xfId="0" applyFont="1" applyFill="1" applyBorder="1" applyAlignment="1">
      <alignment horizontal="center" vertical="center"/>
    </xf>
    <xf numFmtId="178" fontId="18" fillId="0" borderId="0" xfId="0" applyNumberFormat="1" applyFont="1" applyFill="1" applyAlignment="1">
      <alignment vertical="center"/>
    </xf>
    <xf numFmtId="0" fontId="18" fillId="0" borderId="0" xfId="0" applyNumberFormat="1" applyFont="1" applyFill="1" applyAlignment="1">
      <alignment vertical="center"/>
    </xf>
    <xf numFmtId="167" fontId="18" fillId="0" borderId="0" xfId="0" applyNumberFormat="1" applyFont="1" applyFill="1" applyAlignment="1">
      <alignment vertical="center"/>
    </xf>
    <xf numFmtId="43" fontId="18" fillId="0" borderId="0" xfId="0" applyNumberFormat="1" applyFont="1" applyFill="1" applyAlignment="1">
      <alignment vertical="center"/>
    </xf>
    <xf numFmtId="167" fontId="18" fillId="0" borderId="0" xfId="1" applyNumberFormat="1" applyFont="1" applyFill="1" applyAlignment="1">
      <alignment horizontal="center" vertical="center"/>
    </xf>
    <xf numFmtId="0" fontId="18" fillId="0" borderId="0" xfId="0" applyFont="1" applyAlignment="1">
      <alignment horizontal="left" vertical="center"/>
    </xf>
    <xf numFmtId="169" fontId="18" fillId="0" borderId="0" xfId="3" applyNumberFormat="1" applyFont="1" applyFill="1" applyBorder="1" applyAlignment="1">
      <alignment vertical="center"/>
    </xf>
    <xf numFmtId="0" fontId="19" fillId="0" borderId="0" xfId="0" applyFont="1" applyFill="1" applyBorder="1" applyAlignment="1">
      <alignment horizontal="center" vertical="center" wrapText="1"/>
    </xf>
    <xf numFmtId="0" fontId="20" fillId="4" borderId="18" xfId="0" applyFont="1" applyFill="1" applyBorder="1" applyAlignment="1">
      <alignment horizontal="center" vertical="center" wrapText="1" readingOrder="1"/>
    </xf>
    <xf numFmtId="175" fontId="18" fillId="0" borderId="18" xfId="0" applyNumberFormat="1" applyFont="1" applyFill="1" applyBorder="1" applyAlignment="1">
      <alignment vertical="center"/>
    </xf>
    <xf numFmtId="178" fontId="18" fillId="0" borderId="18" xfId="0" applyNumberFormat="1" applyFont="1" applyFill="1" applyBorder="1" applyAlignment="1">
      <alignment vertical="center" wrapText="1"/>
    </xf>
    <xf numFmtId="175" fontId="18" fillId="0" borderId="18" xfId="0" applyNumberFormat="1" applyFont="1" applyBorder="1" applyAlignment="1">
      <alignment vertical="center"/>
    </xf>
    <xf numFmtId="169" fontId="18" fillId="0" borderId="18" xfId="3" applyNumberFormat="1" applyFont="1" applyFill="1" applyBorder="1" applyAlignment="1">
      <alignment vertical="center"/>
    </xf>
    <xf numFmtId="175" fontId="18" fillId="0" borderId="18" xfId="0" applyNumberFormat="1" applyFont="1" applyFill="1" applyBorder="1" applyAlignment="1">
      <alignment horizontal="center" vertical="center"/>
    </xf>
    <xf numFmtId="0" fontId="21" fillId="0" borderId="0" xfId="0" applyFont="1" applyAlignment="1">
      <alignment horizontal="left" vertical="center"/>
    </xf>
    <xf numFmtId="0" fontId="21" fillId="0" borderId="0" xfId="0" applyFont="1" applyFill="1" applyAlignment="1">
      <alignment horizontal="left" vertical="center" wrapText="1"/>
    </xf>
    <xf numFmtId="0" fontId="18" fillId="0" borderId="18" xfId="0" applyNumberFormat="1" applyFont="1" applyFill="1" applyBorder="1" applyAlignment="1">
      <alignment vertical="center" wrapText="1"/>
    </xf>
    <xf numFmtId="180" fontId="18" fillId="0" borderId="18" xfId="0" applyNumberFormat="1" applyFont="1" applyFill="1" applyBorder="1" applyAlignment="1">
      <alignment horizontal="center" vertical="center"/>
    </xf>
    <xf numFmtId="3" fontId="18" fillId="0" borderId="18" xfId="0" applyNumberFormat="1" applyFont="1" applyFill="1" applyBorder="1" applyAlignment="1">
      <alignment horizontal="center" vertical="center"/>
    </xf>
    <xf numFmtId="0" fontId="18" fillId="0" borderId="18" xfId="0" applyNumberFormat="1" applyFont="1" applyFill="1" applyBorder="1" applyAlignment="1">
      <alignment vertical="center"/>
    </xf>
    <xf numFmtId="3" fontId="18" fillId="0" borderId="18" xfId="1" applyNumberFormat="1" applyFont="1" applyFill="1" applyBorder="1" applyAlignment="1">
      <alignment horizontal="center" vertical="center"/>
    </xf>
    <xf numFmtId="0" fontId="18" fillId="0" borderId="18" xfId="0" applyFont="1" applyFill="1" applyBorder="1" applyAlignment="1">
      <alignment vertical="center"/>
    </xf>
    <xf numFmtId="0" fontId="18" fillId="0" borderId="0" xfId="0" applyFont="1" applyFill="1" applyBorder="1" applyAlignment="1">
      <alignment horizontal="left" vertical="center"/>
    </xf>
    <xf numFmtId="169" fontId="18" fillId="0" borderId="18" xfId="3" applyNumberFormat="1" applyFont="1" applyFill="1" applyBorder="1" applyAlignment="1">
      <alignment horizontal="center" vertical="center"/>
    </xf>
    <xf numFmtId="169" fontId="18" fillId="0" borderId="18" xfId="0" applyNumberFormat="1" applyFont="1" applyFill="1" applyBorder="1" applyAlignment="1">
      <alignment vertical="center"/>
    </xf>
    <xf numFmtId="43" fontId="18" fillId="0" borderId="18" xfId="0" applyNumberFormat="1" applyFont="1" applyFill="1" applyBorder="1" applyAlignment="1">
      <alignment vertical="center"/>
    </xf>
    <xf numFmtId="0" fontId="18" fillId="0" borderId="18" xfId="0" applyFont="1" applyBorder="1" applyAlignment="1">
      <alignment vertical="center"/>
    </xf>
    <xf numFmtId="169" fontId="18" fillId="0" borderId="18" xfId="3" applyNumberFormat="1" applyFont="1" applyBorder="1" applyAlignment="1">
      <alignment vertical="center"/>
    </xf>
    <xf numFmtId="0" fontId="21" fillId="0" borderId="0" xfId="0" applyFont="1" applyFill="1" applyAlignment="1">
      <alignment horizontal="left" vertical="center"/>
    </xf>
    <xf numFmtId="175" fontId="18" fillId="0" borderId="18" xfId="0" applyNumberFormat="1" applyFont="1" applyBorder="1" applyAlignment="1">
      <alignment horizontal="center" vertical="center"/>
    </xf>
    <xf numFmtId="0" fontId="18" fillId="0" borderId="18" xfId="0" applyFont="1" applyFill="1" applyBorder="1" applyAlignment="1">
      <alignment horizontal="left" vertical="center"/>
    </xf>
    <xf numFmtId="9" fontId="18" fillId="0" borderId="18" xfId="3" applyNumberFormat="1" applyFont="1" applyFill="1" applyBorder="1" applyAlignment="1">
      <alignment horizontal="center" vertical="center"/>
    </xf>
    <xf numFmtId="9" fontId="18" fillId="0" borderId="18" xfId="3" applyNumberFormat="1" applyFont="1" applyFill="1" applyBorder="1" applyAlignment="1">
      <alignment vertical="center"/>
    </xf>
    <xf numFmtId="9" fontId="18" fillId="0" borderId="18" xfId="3" applyFont="1" applyFill="1" applyBorder="1" applyAlignment="1">
      <alignment horizontal="center" vertical="center"/>
    </xf>
    <xf numFmtId="174" fontId="18" fillId="0" borderId="18" xfId="0" applyNumberFormat="1" applyFont="1" applyFill="1" applyBorder="1" applyAlignment="1">
      <alignment vertical="center"/>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16" fillId="0" borderId="0" xfId="0" applyFont="1" applyAlignment="1">
      <alignment vertical="center" wrapText="1"/>
    </xf>
    <xf numFmtId="0" fontId="16" fillId="0" borderId="0" xfId="0" applyFont="1" applyAlignment="1">
      <alignment vertical="center"/>
    </xf>
    <xf numFmtId="3" fontId="10" fillId="0" borderId="9" xfId="0" applyNumberFormat="1" applyFont="1" applyFill="1" applyBorder="1" applyAlignment="1">
      <alignment vertical="top"/>
    </xf>
    <xf numFmtId="0" fontId="20" fillId="4" borderId="18" xfId="0" applyFont="1" applyFill="1" applyBorder="1" applyAlignment="1">
      <alignment horizontal="center" vertical="center" wrapText="1" readingOrder="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FF0000"/>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16"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7.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99</v>
      </c>
      <c r="D1" s="61"/>
      <c r="E1" s="61"/>
      <c r="F1" s="61"/>
    </row>
    <row r="2" spans="1:6" x14ac:dyDescent="0.35">
      <c r="A2" s="63" t="s">
        <v>100</v>
      </c>
      <c r="B2" s="60" t="s">
        <v>250</v>
      </c>
      <c r="C2" s="167"/>
      <c r="D2" s="60"/>
      <c r="E2" s="14"/>
      <c r="F2" s="60"/>
    </row>
    <row r="3" spans="1:6" x14ac:dyDescent="0.35">
      <c r="C3" s="14"/>
      <c r="D3" s="14"/>
    </row>
    <row r="4" spans="1:6" x14ac:dyDescent="0.35">
      <c r="A4" s="14" t="s">
        <v>142</v>
      </c>
      <c r="B4" s="14"/>
      <c r="D4" s="14"/>
    </row>
    <row r="6" spans="1:6" ht="21" x14ac:dyDescent="0.5">
      <c r="A6" s="15" t="s">
        <v>151</v>
      </c>
    </row>
    <row r="7" spans="1:6" ht="241" customHeight="1" x14ac:dyDescent="0.35">
      <c r="A7" s="105">
        <v>1</v>
      </c>
      <c r="B7" s="102" t="s">
        <v>152</v>
      </c>
    </row>
    <row r="8" spans="1:6" ht="408" customHeight="1" x14ac:dyDescent="0.35">
      <c r="A8" s="105">
        <v>2</v>
      </c>
      <c r="B8" s="102" t="s">
        <v>174</v>
      </c>
    </row>
    <row r="9" spans="1:6" ht="195.5" customHeight="1" x14ac:dyDescent="0.35">
      <c r="A9" s="105">
        <f>A8+1</f>
        <v>3</v>
      </c>
      <c r="B9" s="103" t="s">
        <v>157</v>
      </c>
    </row>
    <row r="10" spans="1:6" ht="236" customHeight="1" x14ac:dyDescent="0.35">
      <c r="A10" s="105">
        <v>4</v>
      </c>
      <c r="B10" s="103" t="s">
        <v>158</v>
      </c>
    </row>
    <row r="11" spans="1:6" ht="21" x14ac:dyDescent="0.35">
      <c r="A11" s="105">
        <f>A10+1</f>
        <v>5</v>
      </c>
      <c r="B11" s="63" t="s">
        <v>172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147</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1054185971.3662363</v>
      </c>
      <c r="D5" s="59">
        <f>C5*('Price and Financial ratios'!F4+1)*(1+Assumptions!$C$13)</f>
        <v>1108520980.3485394</v>
      </c>
      <c r="E5" s="59">
        <f>D5*('Price and Financial ratios'!G4+1)*(1+Assumptions!$C$13)</f>
        <v>1154339478.6736581</v>
      </c>
      <c r="F5" s="59">
        <f>E5*('Price and Financial ratios'!H4+1)*(1+Assumptions!$C$13)</f>
        <v>1202051793.0166829</v>
      </c>
      <c r="G5" s="59">
        <f>F5*('Price and Financial ratios'!I4+1)*(1+Assumptions!$C$13)</f>
        <v>1245600238.7091422</v>
      </c>
      <c r="H5" s="59">
        <f>G5*('Price and Financial ratios'!J4+1)*(1+Assumptions!$C$13)</f>
        <v>1284368118.0791767</v>
      </c>
      <c r="I5" s="59">
        <f>H5*('Price and Financial ratios'!K4+1)*(1+Assumptions!$C$13)</f>
        <v>1324342603.24788</v>
      </c>
      <c r="J5" s="59">
        <f>I5*('Price and Financial ratios'!L4+1)*(1+Assumptions!$C$13)</f>
        <v>1365561248.4373822</v>
      </c>
      <c r="K5" s="59">
        <f>J5*('Price and Financial ratios'!M4+1)*(1+Assumptions!$C$13)</f>
        <v>1408062776.7019219</v>
      </c>
      <c r="L5" s="59">
        <f>K5*('Price and Financial ratios'!N4+1)*(1+Assumptions!$C$13)</f>
        <v>1451887116.306406</v>
      </c>
      <c r="M5" s="59">
        <f>L5*('Price and Financial ratios'!O4+1)*(1+Assumptions!$C$13)</f>
        <v>1497075438.2372091</v>
      </c>
      <c r="N5" s="59">
        <f>M5*('Price and Financial ratios'!P4+1)*(1+Assumptions!$C$13)</f>
        <v>1543670194.8804553</v>
      </c>
      <c r="O5" s="59">
        <f>N5*('Price and Financial ratios'!Q4+1)*(1+Assumptions!$C$13)</f>
        <v>1591715159.9041152</v>
      </c>
      <c r="P5" s="59">
        <f>O5*('Price and Financial ratios'!R4+1)*(1+Assumptions!$C$13)</f>
        <v>1641255469.3813899</v>
      </c>
      <c r="Q5" s="59">
        <f>P5*('Price and Financial ratios'!S4+1)*(1+Assumptions!$C$13)</f>
        <v>1692337664.1940103</v>
      </c>
      <c r="R5" s="59">
        <f>Q5*('Price and Financial ratios'!T4+1)*(1+Assumptions!$C$13)</f>
        <v>1745009733.7552938</v>
      </c>
      <c r="S5" s="59">
        <f>R5*('Price and Financial ratios'!U4+1)*(1+Assumptions!$C$13)</f>
        <v>1799321161.094028</v>
      </c>
      <c r="T5" s="59">
        <f>S5*('Price and Financial ratios'!V4+1)*(1+Assumptions!$C$13)</f>
        <v>1855322969.3415391</v>
      </c>
      <c r="U5" s="59">
        <f>T5*('Price and Financial ratios'!W4+1)*(1+Assumptions!$C$13)</f>
        <v>1913067769.6656201</v>
      </c>
      <c r="V5" s="59">
        <f>U5*('Price and Financial ratios'!X4+1)*(1+Assumptions!$C$13)</f>
        <v>1972609810.6963427</v>
      </c>
      <c r="W5" s="59">
        <f>V5*('Price and Financial ratios'!Y4+1)*(1+Assumptions!$C$13)</f>
        <v>2034005029.490195</v>
      </c>
      <c r="X5" s="59">
        <f>W5*('Price and Financial ratios'!Z4+1)*(1+Assumptions!$C$13)</f>
        <v>2097311104.0804172</v>
      </c>
      <c r="Y5" s="59">
        <f>X5*('Price and Financial ratios'!AA4+1)*(1+Assumptions!$C$13)</f>
        <v>2162587507.6629066</v>
      </c>
      <c r="Z5" s="59">
        <f>Y5*('Price and Financial ratios'!AB4+1)*(1+Assumptions!$C$13)</f>
        <v>2229895564.4685993</v>
      </c>
      <c r="AA5" s="59">
        <f>Z5*('Price and Financial ratios'!AC4+1)*(1+Assumptions!$C$13)</f>
        <v>2299298507.3748107</v>
      </c>
      <c r="AB5" s="59">
        <f>AA5*('Price and Financial ratios'!AD4+1)*(1+Assumptions!$C$13)</f>
        <v>2370861537.3096676</v>
      </c>
      <c r="AC5" s="59">
        <f>AB5*('Price and Financial ratios'!AE4+1)*(1+Assumptions!$C$13)</f>
        <v>2444651884.5054326</v>
      </c>
      <c r="AD5" s="59">
        <f>AC5*('Price and Financial ratios'!AF4+1)*(1+Assumptions!$C$13)</f>
        <v>2520738871.6582704</v>
      </c>
      <c r="AE5" s="59">
        <f>AD5*('Price and Financial ratios'!AG4+1)*(1+Assumptions!$C$13)</f>
        <v>2599193979.0537853</v>
      </c>
      <c r="AF5" s="59">
        <f>AE5*('Price and Financial ratios'!AH4+1)*(1+Assumptions!$C$13)</f>
        <v>2680090911.7195206</v>
      </c>
    </row>
    <row r="6" spans="1:32" s="11" customFormat="1" x14ac:dyDescent="0.35">
      <c r="A6" s="11" t="s">
        <v>20</v>
      </c>
      <c r="C6" s="59">
        <f>C27</f>
        <v>435996382.36116982</v>
      </c>
      <c r="D6" s="59">
        <f t="shared" ref="D6:AF6" si="1">D27</f>
        <v>451343897.99042553</v>
      </c>
      <c r="E6" s="59">
        <f>E27</f>
        <v>467261510.645679</v>
      </c>
      <c r="F6" s="59">
        <f t="shared" si="1"/>
        <v>483770990.00812072</v>
      </c>
      <c r="G6" s="59">
        <f t="shared" si="1"/>
        <v>469570870.89700019</v>
      </c>
      <c r="H6" s="59">
        <f t="shared" si="1"/>
        <v>367369747.44609183</v>
      </c>
      <c r="I6" s="59">
        <f t="shared" si="1"/>
        <v>352253586.59923422</v>
      </c>
      <c r="J6" s="59">
        <f t="shared" si="1"/>
        <v>337403439.86455309</v>
      </c>
      <c r="K6" s="59">
        <f t="shared" si="1"/>
        <v>322794336.62803084</v>
      </c>
      <c r="L6" s="59">
        <f t="shared" si="1"/>
        <v>320260031.59302515</v>
      </c>
      <c r="M6" s="59">
        <f t="shared" si="1"/>
        <v>317523791.06723416</v>
      </c>
      <c r="N6" s="59">
        <f t="shared" si="1"/>
        <v>314573718.76296484</v>
      </c>
      <c r="O6" s="59">
        <f t="shared" si="1"/>
        <v>311397279.95661557</v>
      </c>
      <c r="P6" s="59">
        <f t="shared" si="1"/>
        <v>307981269.00366741</v>
      </c>
      <c r="Q6" s="59">
        <f t="shared" si="1"/>
        <v>307103932.98299402</v>
      </c>
      <c r="R6" s="59">
        <f t="shared" si="1"/>
        <v>305985919.71780223</v>
      </c>
      <c r="S6" s="59">
        <f t="shared" si="1"/>
        <v>304612048.51502657</v>
      </c>
      <c r="T6" s="59">
        <f t="shared" si="1"/>
        <v>302966323.31131548</v>
      </c>
      <c r="U6" s="59">
        <f t="shared" si="1"/>
        <v>301031891.42187256</v>
      </c>
      <c r="V6" s="59">
        <f t="shared" si="1"/>
        <v>311093441.37818336</v>
      </c>
      <c r="W6" s="59">
        <f t="shared" si="1"/>
        <v>321474131.88619536</v>
      </c>
      <c r="X6" s="59">
        <f t="shared" si="1"/>
        <v>332183214.29853058</v>
      </c>
      <c r="Y6" s="59">
        <f t="shared" si="1"/>
        <v>343230161.4975422</v>
      </c>
      <c r="Z6" s="59">
        <f t="shared" si="1"/>
        <v>354624670.4672178</v>
      </c>
      <c r="AA6" s="59">
        <f t="shared" si="1"/>
        <v>366376664.70115131</v>
      </c>
      <c r="AB6" s="59">
        <f t="shared" si="1"/>
        <v>378496296.42868531</v>
      </c>
      <c r="AC6" s="59">
        <f t="shared" si="1"/>
        <v>390993948.64013076</v>
      </c>
      <c r="AD6" s="59">
        <f t="shared" si="1"/>
        <v>403880236.89070058</v>
      </c>
      <c r="AE6" s="59">
        <f t="shared" si="1"/>
        <v>417166010.861462</v>
      </c>
      <c r="AF6" s="59">
        <f t="shared" si="1"/>
        <v>430862355.6541853</v>
      </c>
    </row>
    <row r="7" spans="1:32" x14ac:dyDescent="0.35">
      <c r="A7" t="s">
        <v>21</v>
      </c>
      <c r="C7" s="4">
        <f>Depreciation!C8+Depreciation!C9</f>
        <v>522950329.60083759</v>
      </c>
      <c r="D7" s="4">
        <f>Depreciation!D8+Depreciation!D9</f>
        <v>538602984.04328537</v>
      </c>
      <c r="E7" s="4">
        <f>Depreciation!E8+Depreciation!E9</f>
        <v>554674079.38127482</v>
      </c>
      <c r="F7" s="4">
        <f>Depreciation!F8+Depreciation!F9</f>
        <v>571174144.49459314</v>
      </c>
      <c r="G7" s="4">
        <f>Depreciation!G8+Depreciation!G9</f>
        <v>587806641.02014232</v>
      </c>
      <c r="H7" s="4">
        <f>Depreciation!H8+Depreciation!H9</f>
        <v>604583955.8100456</v>
      </c>
      <c r="I7" s="4">
        <f>Depreciation!I8+Depreciation!I9</f>
        <v>621518232.09270179</v>
      </c>
      <c r="J7" s="4">
        <f>Depreciation!J8+Depreciation!J9</f>
        <v>638621387.42496073</v>
      </c>
      <c r="K7" s="4">
        <f>Depreciation!K8+Depreciation!K9</f>
        <v>655905130.86873853</v>
      </c>
      <c r="L7" s="4">
        <f>Depreciation!L8+Depreciation!L9</f>
        <v>673492242.71070302</v>
      </c>
      <c r="M7" s="4">
        <f>Depreciation!M8+Depreciation!M9</f>
        <v>706790923.96206415</v>
      </c>
      <c r="N7" s="4">
        <f>Depreciation!N8+Depreciation!N9</f>
        <v>740360506.10081148</v>
      </c>
      <c r="O7" s="4">
        <f>Depreciation!O8+Depreciation!O9</f>
        <v>774206387.86952376</v>
      </c>
      <c r="P7" s="4">
        <f>Depreciation!P8+Depreciation!P9</f>
        <v>808333851.09453654</v>
      </c>
      <c r="Q7" s="4">
        <f>Depreciation!Q8+Depreciation!Q9</f>
        <v>842896049.41406441</v>
      </c>
      <c r="R7" s="4">
        <f>Depreciation!R8+Depreciation!R9</f>
        <v>877897774.91307485</v>
      </c>
      <c r="S7" s="4">
        <f>Depreciation!S8+Depreciation!S9</f>
        <v>913343744.30920577</v>
      </c>
      <c r="T7" s="4">
        <f>Depreciation!T8+Depreciation!T9</f>
        <v>949238592.86891794</v>
      </c>
      <c r="U7" s="4">
        <f>Depreciation!U8+Depreciation!U9</f>
        <v>985586868.07728362</v>
      </c>
      <c r="V7" s="4">
        <f>Depreciation!V8+Depreciation!V9</f>
        <v>1022935857.2122514</v>
      </c>
      <c r="W7" s="4">
        <f>Depreciation!W8+Depreciation!W9</f>
        <v>1066599202.3290048</v>
      </c>
      <c r="X7" s="4">
        <f>Depreciation!X8+Depreciation!X9</f>
        <v>1111496373.9199057</v>
      </c>
      <c r="Y7" s="4">
        <f>Depreciation!Y8+Depreciation!Y9</f>
        <v>1157657093.3585031</v>
      </c>
      <c r="Z7" s="4">
        <f>Depreciation!Z8+Depreciation!Z9</f>
        <v>1205111731.2536469</v>
      </c>
      <c r="AA7" s="4">
        <f>Depreciation!AA8+Depreciation!AA9</f>
        <v>1253891320.5352321</v>
      </c>
      <c r="AB7" s="4">
        <f>Depreciation!AB8+Depreciation!AB9</f>
        <v>1304027569.78192</v>
      </c>
      <c r="AC7" s="4">
        <f>Depreciation!AC8+Depreciation!AC9</f>
        <v>1355552876.7947991</v>
      </c>
      <c r="AD7" s="4">
        <f>Depreciation!AD8+Depreciation!AD9</f>
        <v>1408500342.4210029</v>
      </c>
      <c r="AE7" s="4">
        <f>Depreciation!AE8+Depreciation!AE9</f>
        <v>1462903784.6313493</v>
      </c>
      <c r="AF7" s="4">
        <f>Depreciation!AF8+Depreciation!AF9</f>
        <v>1518797752.8561201</v>
      </c>
    </row>
    <row r="8" spans="1:32" x14ac:dyDescent="0.35">
      <c r="A8" t="s">
        <v>6</v>
      </c>
      <c r="C8" s="4">
        <f ca="1">'Debt worksheet'!C11</f>
        <v>155382995.40512472</v>
      </c>
      <c r="D8" s="4">
        <f ca="1">'Debt worksheet'!D11</f>
        <v>166402058.37204346</v>
      </c>
      <c r="E8" s="4">
        <f ca="1">'Debt worksheet'!E11</f>
        <v>177421890.25074875</v>
      </c>
      <c r="F8" s="4">
        <f ca="1">'Debt worksheet'!F11</f>
        <v>188409895.71735919</v>
      </c>
      <c r="G8" s="4">
        <f ca="1">'Debt worksheet'!G11</f>
        <v>197899848.76836115</v>
      </c>
      <c r="H8" s="4">
        <f ca="1">'Debt worksheet'!H11</f>
        <v>199553685.51659358</v>
      </c>
      <c r="I8" s="4">
        <f ca="1">'Debt worksheet'!I11</f>
        <v>199430270.79241785</v>
      </c>
      <c r="J8" s="4">
        <f ca="1">'Debt worksheet'!J11</f>
        <v>197445055.92781082</v>
      </c>
      <c r="K8" s="4">
        <f ca="1">'Debt worksheet'!K11</f>
        <v>193507705.61137357</v>
      </c>
      <c r="L8" s="4">
        <f ca="1">'Debt worksheet'!L11</f>
        <v>188139131.08846837</v>
      </c>
      <c r="M8" s="4">
        <f ca="1">'Debt worksheet'!M11</f>
        <v>207141515.29701659</v>
      </c>
      <c r="N8" s="4">
        <f ca="1">'Debt worksheet'!N11</f>
        <v>225336034.76881608</v>
      </c>
      <c r="O8" s="4">
        <f ca="1">'Debt worksheet'!O11</f>
        <v>242632171.02776086</v>
      </c>
      <c r="P8" s="4">
        <f ca="1">'Debt worksheet'!P11</f>
        <v>258933739.20378411</v>
      </c>
      <c r="Q8" s="4">
        <f ca="1">'Debt worksheet'!Q11</f>
        <v>274488702.05756009</v>
      </c>
      <c r="R8" s="4">
        <f ca="1">'Debt worksheet'!R11</f>
        <v>289201566.04440439</v>
      </c>
      <c r="S8" s="4">
        <f ca="1">'Debt worksheet'!S11</f>
        <v>302970765.34964669</v>
      </c>
      <c r="T8" s="4">
        <f ca="1">'Debt worksheet'!T11</f>
        <v>315688344.76032352</v>
      </c>
      <c r="U8" s="4">
        <f ca="1">'Debt worksheet'!U11</f>
        <v>327239627.4756375</v>
      </c>
      <c r="V8" s="4">
        <f ca="1">'Debt worksheet'!V11</f>
        <v>338861418.56401521</v>
      </c>
      <c r="W8" s="4">
        <f ca="1">'Debt worksheet'!W11</f>
        <v>359418118.69191235</v>
      </c>
      <c r="X8" s="4">
        <f ca="1">'Debt worksheet'!X11</f>
        <v>380608260.9172619</v>
      </c>
      <c r="Y8" s="4">
        <f ca="1">'Debt worksheet'!Y11</f>
        <v>402430120.04586142</v>
      </c>
      <c r="Z8" s="4">
        <f ca="1">'Debt worksheet'!Z11</f>
        <v>424880591.21788675</v>
      </c>
      <c r="AA8" s="4">
        <f ca="1">'Debt worksheet'!AA11</f>
        <v>447955086.12340021</v>
      </c>
      <c r="AB8" s="4">
        <f ca="1">'Debt worksheet'!AB11</f>
        <v>471647423.43781817</v>
      </c>
      <c r="AC8" s="4">
        <f ca="1">'Debt worksheet'!AC11</f>
        <v>495949713.1927098</v>
      </c>
      <c r="AD8" s="4">
        <f ca="1">'Debt worksheet'!AD11</f>
        <v>520852234.78410083</v>
      </c>
      <c r="AE8" s="4">
        <f ca="1">'Debt worksheet'!AE11</f>
        <v>546343308.30666697</v>
      </c>
      <c r="AF8" s="4">
        <f ca="1">'Debt worksheet'!AF11</f>
        <v>572409158.88778782</v>
      </c>
    </row>
    <row r="9" spans="1:32" x14ac:dyDescent="0.35">
      <c r="A9" t="s">
        <v>22</v>
      </c>
      <c r="C9" s="4">
        <f ca="1">C5-C6-C7-C8</f>
        <v>-60143736.000895798</v>
      </c>
      <c r="D9" s="4">
        <f t="shared" ref="D9:AF9" ca="1" si="2">D5-D6-D7-D8</f>
        <v>-47827960.057215065</v>
      </c>
      <c r="E9" s="4">
        <f t="shared" ca="1" si="2"/>
        <v>-45018001.604044437</v>
      </c>
      <c r="F9" s="4">
        <f t="shared" ca="1" si="2"/>
        <v>-41303237.203390241</v>
      </c>
      <c r="G9" s="4">
        <f t="shared" ca="1" si="2"/>
        <v>-9677121.9763614535</v>
      </c>
      <c r="H9" s="4">
        <f t="shared" ca="1" si="2"/>
        <v>112860729.3064456</v>
      </c>
      <c r="I9" s="4">
        <f t="shared" ca="1" si="2"/>
        <v>151140513.76352611</v>
      </c>
      <c r="J9" s="4">
        <f t="shared" ca="1" si="2"/>
        <v>192091365.22005758</v>
      </c>
      <c r="K9" s="4">
        <f t="shared" ca="1" si="2"/>
        <v>235855603.59377906</v>
      </c>
      <c r="L9" s="4">
        <f t="shared" ca="1" si="2"/>
        <v>269995710.91420943</v>
      </c>
      <c r="M9" s="4">
        <f t="shared" ca="1" si="2"/>
        <v>265619207.91089407</v>
      </c>
      <c r="N9" s="4">
        <f t="shared" ca="1" si="2"/>
        <v>263399935.24786273</v>
      </c>
      <c r="O9" s="4">
        <f t="shared" ca="1" si="2"/>
        <v>263479321.05021513</v>
      </c>
      <c r="P9" s="4">
        <f t="shared" ca="1" si="2"/>
        <v>266006610.07940185</v>
      </c>
      <c r="Q9" s="4">
        <f t="shared" ca="1" si="2"/>
        <v>267848979.73939168</v>
      </c>
      <c r="R9" s="4">
        <f t="shared" ca="1" si="2"/>
        <v>271924473.08001232</v>
      </c>
      <c r="S9" s="4">
        <f t="shared" ca="1" si="2"/>
        <v>278394602.92014897</v>
      </c>
      <c r="T9" s="4">
        <f t="shared" ca="1" si="2"/>
        <v>287429708.40098214</v>
      </c>
      <c r="U9" s="4">
        <f t="shared" ca="1" si="2"/>
        <v>299209382.69082636</v>
      </c>
      <c r="V9" s="4">
        <f t="shared" ca="1" si="2"/>
        <v>299719093.54189271</v>
      </c>
      <c r="W9" s="4">
        <f t="shared" ca="1" si="2"/>
        <v>286513576.5830825</v>
      </c>
      <c r="X9" s="4">
        <f t="shared" ca="1" si="2"/>
        <v>273023254.94471902</v>
      </c>
      <c r="Y9" s="4">
        <f t="shared" ca="1" si="2"/>
        <v>259270132.76099998</v>
      </c>
      <c r="Z9" s="4">
        <f t="shared" ca="1" si="2"/>
        <v>245278571.5298478</v>
      </c>
      <c r="AA9" s="4">
        <f t="shared" ca="1" si="2"/>
        <v>231075436.01502705</v>
      </c>
      <c r="AB9" s="4">
        <f t="shared" ca="1" si="2"/>
        <v>216690247.66124427</v>
      </c>
      <c r="AC9" s="4">
        <f t="shared" ca="1" si="2"/>
        <v>202155345.87779295</v>
      </c>
      <c r="AD9" s="4">
        <f t="shared" ca="1" si="2"/>
        <v>187506057.56246608</v>
      </c>
      <c r="AE9" s="4">
        <f t="shared" ca="1" si="2"/>
        <v>172780875.25430691</v>
      </c>
      <c r="AF9" s="4">
        <f t="shared" ca="1" si="2"/>
        <v>158021644.32142735</v>
      </c>
    </row>
    <row r="12" spans="1:32" x14ac:dyDescent="0.35">
      <c r="A12" t="s">
        <v>82</v>
      </c>
      <c r="C12" s="2">
        <f>Assumptions!$C$25*Assumptions!D9*Assumptions!D13</f>
        <v>356580133.27744699</v>
      </c>
      <c r="D12" s="2">
        <f>Assumptions!$C$25*Assumptions!E9*Assumptions!E13</f>
        <v>372046735.93766356</v>
      </c>
      <c r="E12" s="2">
        <f>Assumptions!$C$25*Assumptions!F9*Assumptions!F13</f>
        <v>388184199.85885483</v>
      </c>
      <c r="F12" s="2">
        <f>Assumptions!$C$25*Assumptions!G9*Assumptions!G13</f>
        <v>405021623.5341652</v>
      </c>
      <c r="G12" s="2">
        <f>Assumptions!$C$25*Assumptions!H9*Assumptions!H13</f>
        <v>422589367.59893245</v>
      </c>
      <c r="H12" s="2">
        <f>Assumptions!$C$25*Assumptions!I9*Assumptions!I13</f>
        <v>440919109.57589036</v>
      </c>
      <c r="I12" s="2">
        <f>Assumptions!$C$25*Assumptions!J9*Assumptions!J13</f>
        <v>460043900.99493647</v>
      </c>
      <c r="J12" s="2">
        <f>Assumptions!$C$25*Assumptions!K9*Assumptions!K13</f>
        <v>479998226.99045807</v>
      </c>
      <c r="K12" s="2">
        <f>Assumptions!$C$25*Assumptions!L9*Assumptions!L13</f>
        <v>500818068.48368406</v>
      </c>
      <c r="L12" s="2">
        <f>Assumptions!$C$25*Assumptions!M9*Assumptions!M13</f>
        <v>522540967.06218493</v>
      </c>
      <c r="M12" s="2">
        <f>Assumptions!$C$25*Assumptions!N9*Assumptions!N13</f>
        <v>545206092.67350936</v>
      </c>
      <c r="N12" s="2">
        <f>Assumptions!$C$25*Assumptions!O9*Assumptions!O13</f>
        <v>568854314.25502217</v>
      </c>
      <c r="O12" s="2">
        <f>Assumptions!$C$25*Assumptions!P9*Assumptions!P13</f>
        <v>593528273.42729795</v>
      </c>
      <c r="P12" s="2">
        <f>Assumptions!$C$25*Assumptions!Q9*Assumptions!Q13</f>
        <v>619272461.383955</v>
      </c>
      <c r="Q12" s="2">
        <f>Assumptions!$C$25*Assumptions!R9*Assumptions!R13</f>
        <v>646133299.11657071</v>
      </c>
      <c r="R12" s="2">
        <f>Assumptions!$C$25*Assumptions!S9*Assumptions!S13</f>
        <v>674159221.11934006</v>
      </c>
      <c r="S12" s="2">
        <f>Assumptions!$C$25*Assumptions!T9*Assumptions!T13</f>
        <v>703400762.7244103</v>
      </c>
      <c r="T12" s="2">
        <f>Assumptions!$C$25*Assumptions!U9*Assumptions!U13</f>
        <v>733910651.22536862</v>
      </c>
      <c r="U12" s="2">
        <f>Assumptions!$C$25*Assumptions!V9*Assumptions!V13</f>
        <v>765743900.95319784</v>
      </c>
      <c r="V12" s="2">
        <f>Assumptions!$C$25*Assumptions!W9*Assumptions!W13</f>
        <v>798957912.4761343</v>
      </c>
      <c r="W12" s="2">
        <f>Assumptions!$C$25*Assumptions!X9*Assumptions!X13</f>
        <v>833612576.1023035</v>
      </c>
      <c r="X12" s="2">
        <f>Assumptions!$C$25*Assumptions!Y9*Assumptions!Y13</f>
        <v>869770379.87176359</v>
      </c>
      <c r="Y12" s="2">
        <f>Assumptions!$C$25*Assumptions!Z9*Assumptions!Z13</f>
        <v>907496522.23268771</v>
      </c>
      <c r="Z12" s="2">
        <f>Assumptions!$C$25*Assumptions!AA9*Assumptions!AA13</f>
        <v>946859029.60485363</v>
      </c>
      <c r="AA12" s="2">
        <f>Assumptions!$C$25*Assumptions!AB9*Assumptions!AB13</f>
        <v>987928879.04243243</v>
      </c>
      <c r="AB12" s="2">
        <f>Assumptions!$C$25*Assumptions!AC9*Assumptions!AC13</f>
        <v>1030780126.2172533</v>
      </c>
      <c r="AC12" s="2">
        <f>Assumptions!$C$25*Assumptions!AD9*Assumptions!AD13</f>
        <v>1075490038.9533217</v>
      </c>
      <c r="AD12" s="2">
        <f>Assumptions!$C$25*Assumptions!AE9*Assumptions!AE13</f>
        <v>1122139236.5533719</v>
      </c>
      <c r="AE12" s="2">
        <f>Assumptions!$C$25*Assumptions!AF9*Assumptions!AF13</f>
        <v>1170811835.16869</v>
      </c>
      <c r="AF12" s="2">
        <f>Assumptions!$C$25*Assumptions!AG9*Assumptions!AG13</f>
        <v>1221595599.474323</v>
      </c>
    </row>
    <row r="13" spans="1:32" x14ac:dyDescent="0.35">
      <c r="A13" t="s">
        <v>202</v>
      </c>
      <c r="C13" s="5">
        <f>Assumptions!D47*Assumptions!D9</f>
        <v>81189214.944019735</v>
      </c>
      <c r="D13" s="5">
        <f>Assumptions!E47*Assumptions!E9</f>
        <v>82975377.672788173</v>
      </c>
      <c r="E13" s="5">
        <f>Assumptions!F47*Assumptions!F9</f>
        <v>84800835.981589511</v>
      </c>
      <c r="F13" s="5">
        <f>Assumptions!G47*Assumptions!G9</f>
        <v>86666454.373184487</v>
      </c>
      <c r="G13" s="5">
        <f>Assumptions!H47*Assumptions!H9</f>
        <v>88573116.369394541</v>
      </c>
      <c r="H13" s="5">
        <f>Assumptions!I47*Assumptions!I9</f>
        <v>0</v>
      </c>
      <c r="I13" s="5">
        <f>Assumptions!J47*Assumptions!J9</f>
        <v>0</v>
      </c>
      <c r="J13" s="5">
        <f>Assumptions!K47*Assumptions!K9</f>
        <v>0</v>
      </c>
      <c r="K13" s="5">
        <f>Assumptions!L47*Assumptions!L9</f>
        <v>0</v>
      </c>
      <c r="L13" s="5">
        <f>Assumptions!M47*Assumptions!M9</f>
        <v>0</v>
      </c>
      <c r="M13" s="5">
        <f>Assumptions!N47*Assumptions!N9</f>
        <v>0</v>
      </c>
      <c r="N13" s="5">
        <f>Assumptions!O47*Assumptions!O9</f>
        <v>0</v>
      </c>
      <c r="O13" s="5">
        <f>Assumptions!P47*Assumptions!P9</f>
        <v>0</v>
      </c>
      <c r="P13" s="5">
        <f>Assumptions!Q47*Assumptions!Q9</f>
        <v>0</v>
      </c>
      <c r="Q13" s="5">
        <f>Assumptions!R47*Assumptions!R9</f>
        <v>0</v>
      </c>
      <c r="R13" s="5">
        <f>Assumptions!S47*Assumptions!S9</f>
        <v>0</v>
      </c>
      <c r="S13" s="5">
        <f>Assumptions!T47*Assumptions!T9</f>
        <v>0</v>
      </c>
      <c r="T13" s="5">
        <f>Assumptions!U47*Assumptions!U9</f>
        <v>0</v>
      </c>
      <c r="U13" s="5">
        <f>Assumptions!V47*Assumptions!V9</f>
        <v>0</v>
      </c>
      <c r="V13" s="5">
        <f>Assumptions!W47*Assumptions!W9</f>
        <v>0</v>
      </c>
      <c r="W13" s="5">
        <f>Assumptions!X47*Assumptions!X9</f>
        <v>0</v>
      </c>
      <c r="X13" s="5">
        <f>Assumptions!Y47*Assumptions!Y9</f>
        <v>0</v>
      </c>
      <c r="Y13" s="5">
        <f>Assumptions!Z47*Assumptions!Z9</f>
        <v>0</v>
      </c>
      <c r="Z13" s="5">
        <f>Assumptions!AA47*Assumptions!AA9</f>
        <v>0</v>
      </c>
      <c r="AA13" s="5">
        <f>Assumptions!AB47*Assumptions!AB9</f>
        <v>0</v>
      </c>
      <c r="AB13" s="5">
        <f>Assumptions!AC47*Assumptions!AC9</f>
        <v>0</v>
      </c>
      <c r="AC13" s="5">
        <f>Assumptions!AD47*Assumptions!AD9</f>
        <v>0</v>
      </c>
      <c r="AD13" s="5">
        <f>Assumptions!AE47*Assumptions!AE9</f>
        <v>0</v>
      </c>
      <c r="AE13" s="5">
        <f>Assumptions!AF47*Assumptions!AF9</f>
        <v>0</v>
      </c>
      <c r="AF13" s="5">
        <f>Assumptions!AG47*Assumptions!AG9</f>
        <v>0</v>
      </c>
    </row>
    <row r="14" spans="1:32" x14ac:dyDescent="0.35">
      <c r="A14" t="s">
        <v>83</v>
      </c>
      <c r="C14" s="5">
        <f>Assumptions!D129*Assumptions!D9</f>
        <v>0</v>
      </c>
      <c r="D14" s="5">
        <f>Assumptions!E129*Assumptions!E9</f>
        <v>0</v>
      </c>
      <c r="E14" s="5">
        <f>Assumptions!F129*Assumptions!F9</f>
        <v>0</v>
      </c>
      <c r="F14" s="5">
        <f>Assumptions!G129*Assumptions!G9</f>
        <v>0</v>
      </c>
      <c r="G14" s="5">
        <f>Assumptions!H129*Assumptions!H9</f>
        <v>0</v>
      </c>
      <c r="H14" s="5">
        <f>Assumptions!I129*Assumptions!I9</f>
        <v>0</v>
      </c>
      <c r="I14" s="5">
        <f>Assumptions!J129*Assumptions!J9</f>
        <v>0</v>
      </c>
      <c r="J14" s="5">
        <f>Assumptions!K129*Assumptions!K9</f>
        <v>0</v>
      </c>
      <c r="K14" s="5">
        <f>Assumptions!L129*Assumptions!L9</f>
        <v>0</v>
      </c>
      <c r="L14" s="5">
        <f>Assumptions!M129*Assumptions!M9</f>
        <v>0</v>
      </c>
      <c r="M14" s="5">
        <f>Assumptions!N129*Assumptions!N9</f>
        <v>0</v>
      </c>
      <c r="N14" s="5">
        <f>Assumptions!O129*Assumptions!O9</f>
        <v>0</v>
      </c>
      <c r="O14" s="5">
        <f>Assumptions!P129*Assumptions!P9</f>
        <v>0</v>
      </c>
      <c r="P14" s="5">
        <f>Assumptions!Q129*Assumptions!Q9</f>
        <v>0</v>
      </c>
      <c r="Q14" s="5">
        <f>Assumptions!R129*Assumptions!R9</f>
        <v>0</v>
      </c>
      <c r="R14" s="5">
        <f>Assumptions!S129*Assumptions!S9</f>
        <v>0</v>
      </c>
      <c r="S14" s="5">
        <f>Assumptions!T129*Assumptions!T9</f>
        <v>0</v>
      </c>
      <c r="T14" s="5">
        <f>Assumptions!U129*Assumptions!U9</f>
        <v>0</v>
      </c>
      <c r="U14" s="5">
        <f>Assumptions!V129*Assumptions!V9</f>
        <v>0</v>
      </c>
      <c r="V14" s="5">
        <f>Assumptions!W129*Assumptions!W9</f>
        <v>0</v>
      </c>
      <c r="W14" s="5">
        <f>Assumptions!X129*Assumptions!X9</f>
        <v>0</v>
      </c>
      <c r="X14" s="5">
        <f>Assumptions!Y129*Assumptions!Y9</f>
        <v>0</v>
      </c>
      <c r="Y14" s="5">
        <f>Assumptions!Z129*Assumptions!Z9</f>
        <v>0</v>
      </c>
      <c r="Z14" s="5">
        <f>Assumptions!AA129*Assumptions!AA9</f>
        <v>0</v>
      </c>
      <c r="AA14" s="5">
        <f>Assumptions!AB129*Assumptions!AB9</f>
        <v>0</v>
      </c>
      <c r="AB14" s="5">
        <f>Assumptions!AC129*Assumptions!AC9</f>
        <v>0</v>
      </c>
      <c r="AC14" s="5">
        <f>Assumptions!AD129*Assumptions!AD9</f>
        <v>0</v>
      </c>
      <c r="AD14" s="5">
        <f>Assumptions!AE129*Assumptions!AE9</f>
        <v>0</v>
      </c>
      <c r="AE14" s="5">
        <f>Assumptions!AF129*Assumptions!AF9</f>
        <v>0</v>
      </c>
      <c r="AF14" s="5">
        <f>Assumptions!AG129*Assumptions!AG9</f>
        <v>0</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179</v>
      </c>
      <c r="C16" s="37">
        <f>Assumptions!D63</f>
        <v>1</v>
      </c>
      <c r="D16" s="37">
        <f>Assumptions!E63</f>
        <v>1</v>
      </c>
      <c r="E16" s="37">
        <f>Assumptions!F63</f>
        <v>1</v>
      </c>
      <c r="F16" s="37">
        <f>Assumptions!G63</f>
        <v>1</v>
      </c>
      <c r="G16" s="37">
        <f>Assumptions!H63</f>
        <v>0.92587585083703128</v>
      </c>
      <c r="H16" s="37">
        <f>Assumptions!I63</f>
        <v>0.85724609116319661</v>
      </c>
      <c r="I16" s="37">
        <f>Assumptions!J63</f>
        <v>0.79370345403244391</v>
      </c>
      <c r="J16" s="37">
        <f>Assumptions!K63</f>
        <v>0.73487086081457953</v>
      </c>
      <c r="K16" s="37">
        <f>Assumptions!L63</f>
        <v>0.68039918351204043</v>
      </c>
      <c r="L16" s="37">
        <f>Assumptions!M63</f>
        <v>0.65265960824535352</v>
      </c>
      <c r="M16" s="37">
        <f>Assumptions!N63</f>
        <v>0.62605096325404452</v>
      </c>
      <c r="N16" s="37">
        <f>Assumptions!O63</f>
        <v>0.60052714100851101</v>
      </c>
      <c r="O16" s="37">
        <f>Assumptions!P63</f>
        <v>0.57604391376284059</v>
      </c>
      <c r="P16" s="37">
        <f>Assumptions!Q63</f>
        <v>0.5525588569168568</v>
      </c>
      <c r="Q16" s="37">
        <f>Assumptions!R63</f>
        <v>0.53435260939739637</v>
      </c>
      <c r="R16" s="37">
        <f>Assumptions!S63</f>
        <v>0.51674623905769801</v>
      </c>
      <c r="S16" s="37">
        <f>Assumptions!T63</f>
        <v>0.4997199805600438</v>
      </c>
      <c r="T16" s="37">
        <f>Assumptions!U63</f>
        <v>0.48325471981431822</v>
      </c>
      <c r="U16" s="37">
        <f>Assumptions!V63</f>
        <v>0.46733197252006781</v>
      </c>
      <c r="V16" s="37">
        <f>Assumptions!W63</f>
        <v>0.46733197252006781</v>
      </c>
      <c r="W16" s="37">
        <f>Assumptions!X63</f>
        <v>0.46733197252006781</v>
      </c>
      <c r="X16" s="37">
        <f>Assumptions!Y63</f>
        <v>0.46733197252006781</v>
      </c>
      <c r="Y16" s="37">
        <f>Assumptions!Z63</f>
        <v>0.46733197252006781</v>
      </c>
      <c r="Z16" s="37">
        <f>Assumptions!AA63</f>
        <v>0.46733197252006781</v>
      </c>
      <c r="AA16" s="37">
        <f>Assumptions!AB63</f>
        <v>0.46733197252006781</v>
      </c>
      <c r="AB16" s="37">
        <f>Assumptions!AC63</f>
        <v>0.46733197252006781</v>
      </c>
      <c r="AC16" s="37">
        <f>Assumptions!AD63</f>
        <v>0.46733197252006781</v>
      </c>
      <c r="AD16" s="37">
        <f>Assumptions!AE63</f>
        <v>0.46733197252006781</v>
      </c>
      <c r="AE16" s="37">
        <f>Assumptions!AF63</f>
        <v>0.46733197252006781</v>
      </c>
      <c r="AF16" s="37">
        <f>Assumptions!AG63</f>
        <v>0.46733197252006781</v>
      </c>
    </row>
    <row r="17" spans="1:32" x14ac:dyDescent="0.35">
      <c r="A17" t="s">
        <v>64</v>
      </c>
      <c r="C17" s="37">
        <f>Assumptions!D65</f>
        <v>0.99595</v>
      </c>
      <c r="D17" s="37">
        <f>Assumptions!E65</f>
        <v>0.99191640250000002</v>
      </c>
      <c r="E17" s="37">
        <f>Assumptions!F65</f>
        <v>0.98789914106987498</v>
      </c>
      <c r="F17" s="37">
        <f>Assumptions!G65</f>
        <v>0.98389814954854193</v>
      </c>
      <c r="G17" s="37">
        <f>Assumptions!H65</f>
        <v>0.97991336204287038</v>
      </c>
      <c r="H17" s="37">
        <f>Assumptions!I65</f>
        <v>0.97594471292659679</v>
      </c>
      <c r="I17" s="37">
        <f>Assumptions!J65</f>
        <v>0.97199213683924413</v>
      </c>
      <c r="J17" s="37">
        <f>Assumptions!K65</f>
        <v>0.96805556868504516</v>
      </c>
      <c r="K17" s="37">
        <f>Assumptions!L65</f>
        <v>0.96413494363187069</v>
      </c>
      <c r="L17" s="37">
        <f>Assumptions!M65</f>
        <v>0.96023019711016167</v>
      </c>
      <c r="M17" s="37">
        <f>Assumptions!N65</f>
        <v>0.95634126481186554</v>
      </c>
      <c r="N17" s="37">
        <f>Assumptions!O65</f>
        <v>0.95246808268937744</v>
      </c>
      <c r="O17" s="37">
        <f>Assumptions!P65</f>
        <v>0.94861058695448541</v>
      </c>
      <c r="P17" s="37">
        <f>Assumptions!Q65</f>
        <v>0.94476871407731977</v>
      </c>
      <c r="Q17" s="37">
        <f>Assumptions!R65</f>
        <v>0.94094240078530667</v>
      </c>
      <c r="R17" s="37">
        <f>Assumptions!S65</f>
        <v>0.93713158406212616</v>
      </c>
      <c r="S17" s="37">
        <f>Assumptions!T65</f>
        <v>0.93333620114667459</v>
      </c>
      <c r="T17" s="37">
        <f>Assumptions!U65</f>
        <v>0.92955618953203056</v>
      </c>
      <c r="U17" s="37">
        <f>Assumptions!V65</f>
        <v>0.92579148696442581</v>
      </c>
      <c r="V17" s="37">
        <f>Assumptions!W65</f>
        <v>0.92204203144221986</v>
      </c>
      <c r="W17" s="37">
        <f>Assumptions!X65</f>
        <v>0.91830776121487889</v>
      </c>
      <c r="X17" s="37">
        <f>Assumptions!Y65</f>
        <v>0.91458861478195863</v>
      </c>
      <c r="Y17" s="37">
        <f>Assumptions!Z65</f>
        <v>0.91088453089209165</v>
      </c>
      <c r="Z17" s="37">
        <f>Assumptions!AA65</f>
        <v>0.90719544854197864</v>
      </c>
      <c r="AA17" s="37">
        <f>Assumptions!AB65</f>
        <v>0.90352130697538369</v>
      </c>
      <c r="AB17" s="37">
        <f>Assumptions!AC65</f>
        <v>0.89986204568213335</v>
      </c>
      <c r="AC17" s="37">
        <f>Assumptions!AD65</f>
        <v>0.89621760439712073</v>
      </c>
      <c r="AD17" s="37">
        <f>Assumptions!AE65</f>
        <v>0.89258792309931234</v>
      </c>
      <c r="AE17" s="37">
        <f>Assumptions!AF65</f>
        <v>0.88897294201076016</v>
      </c>
      <c r="AF17" s="37">
        <f>Assumptions!AG65</f>
        <v>0.88537260159561659</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85</v>
      </c>
      <c r="C19" s="44">
        <f>(C12*C16)-C12</f>
        <v>0</v>
      </c>
      <c r="D19" s="44">
        <f t="shared" ref="D19:AF19" si="3">(D12*D16)-D12</f>
        <v>0</v>
      </c>
      <c r="E19" s="44">
        <f t="shared" si="3"/>
        <v>0</v>
      </c>
      <c r="F19" s="44">
        <f t="shared" si="3"/>
        <v>0</v>
      </c>
      <c r="G19" s="44">
        <f t="shared" si="3"/>
        <v>-31324077.318587899</v>
      </c>
      <c r="H19" s="44">
        <f t="shared" si="3"/>
        <v>-62942926.372801185</v>
      </c>
      <c r="I19" s="44">
        <f t="shared" si="3"/>
        <v>-94905467.768695712</v>
      </c>
      <c r="J19" s="44">
        <f t="shared" si="3"/>
        <v>-127261516.73250818</v>
      </c>
      <c r="K19" s="44">
        <f t="shared" si="3"/>
        <v>-160061863.59930825</v>
      </c>
      <c r="L19" s="44">
        <f t="shared" si="3"/>
        <v>-181499584.20723116</v>
      </c>
      <c r="M19" s="44">
        <f t="shared" si="3"/>
        <v>-203879293.18328494</v>
      </c>
      <c r="N19" s="44">
        <f t="shared" si="3"/>
        <v>-227241859.26509666</v>
      </c>
      <c r="O19" s="44">
        <f t="shared" si="3"/>
        <v>-251629923.87333584</v>
      </c>
      <c r="P19" s="44">
        <f t="shared" si="3"/>
        <v>-277087978.00154847</v>
      </c>
      <c r="Q19" s="44">
        <f t="shared" si="3"/>
        <v>-300870284.71508271</v>
      </c>
      <c r="R19" s="44">
        <f t="shared" si="3"/>
        <v>-325789979.07985407</v>
      </c>
      <c r="S19" s="44">
        <f t="shared" si="3"/>
        <v>-351897347.24984801</v>
      </c>
      <c r="T19" s="44">
        <f t="shared" si="3"/>
        <v>-379244865.09870929</v>
      </c>
      <c r="U19" s="44">
        <f t="shared" si="3"/>
        <v>-407887293.27552849</v>
      </c>
      <c r="V19" s="44">
        <f t="shared" si="3"/>
        <v>-425579335.27814674</v>
      </c>
      <c r="W19" s="44">
        <f t="shared" si="3"/>
        <v>-444038766.59487885</v>
      </c>
      <c r="X19" s="44">
        <f t="shared" si="3"/>
        <v>-463298872.6067636</v>
      </c>
      <c r="Y19" s="44">
        <f t="shared" si="3"/>
        <v>-483394382.44258422</v>
      </c>
      <c r="Z19" s="44">
        <f t="shared" si="3"/>
        <v>-504361531.60118008</v>
      </c>
      <c r="AA19" s="44">
        <f t="shared" si="3"/>
        <v>-526238127.28999299</v>
      </c>
      <c r="AB19" s="44">
        <f t="shared" si="3"/>
        <v>-549063616.59765983</v>
      </c>
      <c r="AC19" s="44">
        <f t="shared" si="3"/>
        <v>-572879157.62358129</v>
      </c>
      <c r="AD19" s="44">
        <f t="shared" si="3"/>
        <v>-597727693.69272161</v>
      </c>
      <c r="AE19" s="44">
        <f t="shared" si="3"/>
        <v>-623654030.78946555</v>
      </c>
      <c r="AF19" s="44">
        <f t="shared" si="3"/>
        <v>-650704918.35015297</v>
      </c>
    </row>
    <row r="20" spans="1:32" x14ac:dyDescent="0.35">
      <c r="A20" t="s">
        <v>86</v>
      </c>
      <c r="C20" s="44">
        <f>(C12*C17)-C12</f>
        <v>-1444149.539773643</v>
      </c>
      <c r="D20" s="44">
        <f t="shared" ref="D20:AF20" si="4">(D12*D17)-D12</f>
        <v>-3007476.0645088553</v>
      </c>
      <c r="E20" s="44">
        <f t="shared" si="4"/>
        <v>-4697362.2413954735</v>
      </c>
      <c r="F20" s="44">
        <f t="shared" si="4"/>
        <v>-6521597.611753881</v>
      </c>
      <c r="G20" s="44">
        <f t="shared" si="4"/>
        <v>-8488399.6314921379</v>
      </c>
      <c r="H20" s="44">
        <f t="shared" si="4"/>
        <v>-10606435.756997347</v>
      </c>
      <c r="I20" s="44">
        <f t="shared" si="4"/>
        <v>-12884846.627006531</v>
      </c>
      <c r="J20" s="44">
        <f t="shared" si="4"/>
        <v>-15333270.393396795</v>
      </c>
      <c r="K20" s="44">
        <f t="shared" si="4"/>
        <v>-17961868.256344974</v>
      </c>
      <c r="L20" s="44">
        <f t="shared" si="4"/>
        <v>-20781351.261928618</v>
      </c>
      <c r="M20" s="44">
        <f t="shared" si="4"/>
        <v>-23803008.422990263</v>
      </c>
      <c r="N20" s="44">
        <f t="shared" si="4"/>
        <v>-27038736.226960659</v>
      </c>
      <c r="O20" s="44">
        <f t="shared" si="4"/>
        <v>-30501069.597346544</v>
      </c>
      <c r="P20" s="44">
        <f t="shared" si="4"/>
        <v>-34203214.378739119</v>
      </c>
      <c r="Q20" s="44">
        <f t="shared" si="4"/>
        <v>-38159081.418493986</v>
      </c>
      <c r="R20" s="44">
        <f t="shared" si="4"/>
        <v>-42383322.321683764</v>
      </c>
      <c r="S20" s="44">
        <f t="shared" si="4"/>
        <v>-46891366.959535718</v>
      </c>
      <c r="T20" s="44">
        <f t="shared" si="4"/>
        <v>-51699462.815343857</v>
      </c>
      <c r="U20" s="44">
        <f t="shared" si="4"/>
        <v>-56824716.25579679</v>
      </c>
      <c r="V20" s="44">
        <f t="shared" si="4"/>
        <v>-62285135.819804192</v>
      </c>
      <c r="W20" s="44">
        <f t="shared" si="4"/>
        <v>-68099677.621229291</v>
      </c>
      <c r="X20" s="44">
        <f t="shared" si="4"/>
        <v>-74288292.966469407</v>
      </c>
      <c r="Y20" s="44">
        <f t="shared" si="4"/>
        <v>-80871978.292561293</v>
      </c>
      <c r="Z20" s="44">
        <f t="shared" si="4"/>
        <v>-87872827.53645575</v>
      </c>
      <c r="AA20" s="44">
        <f t="shared" si="4"/>
        <v>-95314087.051288128</v>
      </c>
      <c r="AB20" s="44">
        <f t="shared" si="4"/>
        <v>-103220213.19090819</v>
      </c>
      <c r="AC20" s="44">
        <f t="shared" si="4"/>
        <v>-111616932.68960965</v>
      </c>
      <c r="AD20" s="44">
        <f t="shared" si="4"/>
        <v>-120531305.96994972</v>
      </c>
      <c r="AE20" s="44">
        <f t="shared" si="4"/>
        <v>-129991793.51776242</v>
      </c>
      <c r="AF20" s="44">
        <f t="shared" si="4"/>
        <v>-140028325.46998477</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98</v>
      </c>
      <c r="C22" s="44">
        <f>(C13*C17)-C13</f>
        <v>-328816.32052327693</v>
      </c>
      <c r="D22" s="44">
        <f t="shared" ref="D22:AF22" si="5">(D13*D17)-D13</f>
        <v>-670739.55551730096</v>
      </c>
      <c r="E22" s="44">
        <f t="shared" si="5"/>
        <v>-1026162.9533698857</v>
      </c>
      <c r="F22" s="44">
        <f t="shared" si="5"/>
        <v>-1395490.287475124</v>
      </c>
      <c r="G22" s="44">
        <f t="shared" si="5"/>
        <v>-1779136.1212467402</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87</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88</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435996382.36116982</v>
      </c>
      <c r="D27" s="2">
        <f t="shared" ref="D27:AF27" si="8">D12+D13+D14+D19+D20+D22+D24+D25</f>
        <v>451343897.99042553</v>
      </c>
      <c r="E27" s="2">
        <f t="shared" si="8"/>
        <v>467261510.645679</v>
      </c>
      <c r="F27" s="2">
        <f t="shared" si="8"/>
        <v>483770990.00812072</v>
      </c>
      <c r="G27" s="2">
        <f t="shared" si="8"/>
        <v>469570870.89700019</v>
      </c>
      <c r="H27" s="2">
        <f t="shared" si="8"/>
        <v>367369747.44609183</v>
      </c>
      <c r="I27" s="2">
        <f t="shared" si="8"/>
        <v>352253586.59923422</v>
      </c>
      <c r="J27" s="2">
        <f t="shared" si="8"/>
        <v>337403439.86455309</v>
      </c>
      <c r="K27" s="2">
        <f t="shared" si="8"/>
        <v>322794336.62803084</v>
      </c>
      <c r="L27" s="2">
        <f t="shared" si="8"/>
        <v>320260031.59302515</v>
      </c>
      <c r="M27" s="2">
        <f t="shared" si="8"/>
        <v>317523791.06723416</v>
      </c>
      <c r="N27" s="2">
        <f t="shared" si="8"/>
        <v>314573718.76296484</v>
      </c>
      <c r="O27" s="2">
        <f t="shared" si="8"/>
        <v>311397279.95661557</v>
      </c>
      <c r="P27" s="2">
        <f t="shared" si="8"/>
        <v>307981269.00366741</v>
      </c>
      <c r="Q27" s="2">
        <f t="shared" si="8"/>
        <v>307103932.98299402</v>
      </c>
      <c r="R27" s="2">
        <f t="shared" si="8"/>
        <v>305985919.71780223</v>
      </c>
      <c r="S27" s="2">
        <f t="shared" si="8"/>
        <v>304612048.51502657</v>
      </c>
      <c r="T27" s="2">
        <f t="shared" si="8"/>
        <v>302966323.31131548</v>
      </c>
      <c r="U27" s="2">
        <f t="shared" si="8"/>
        <v>301031891.42187256</v>
      </c>
      <c r="V27" s="2">
        <f t="shared" si="8"/>
        <v>311093441.37818336</v>
      </c>
      <c r="W27" s="2">
        <f t="shared" si="8"/>
        <v>321474131.88619536</v>
      </c>
      <c r="X27" s="2">
        <f t="shared" si="8"/>
        <v>332183214.29853058</v>
      </c>
      <c r="Y27" s="2">
        <f t="shared" si="8"/>
        <v>343230161.4975422</v>
      </c>
      <c r="Z27" s="2">
        <f t="shared" si="8"/>
        <v>354624670.4672178</v>
      </c>
      <c r="AA27" s="2">
        <f t="shared" si="8"/>
        <v>366376664.70115131</v>
      </c>
      <c r="AB27" s="2">
        <f t="shared" si="8"/>
        <v>378496296.42868531</v>
      </c>
      <c r="AC27" s="2">
        <f t="shared" si="8"/>
        <v>390993948.64013076</v>
      </c>
      <c r="AD27" s="2">
        <f t="shared" si="8"/>
        <v>403880236.89070058</v>
      </c>
      <c r="AE27" s="2">
        <f t="shared" si="8"/>
        <v>417166010.861462</v>
      </c>
      <c r="AF27" s="2">
        <f t="shared" si="8"/>
        <v>430862355.6541853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B2LN1AD7+5uHnnO8IeElqiJVwax/oe9vinyfoivldjl7LX2Eu8xRkQcnTG0WgLTuo2MjFYYj/HZr326EvTRHlA==" saltValue="hYGDLr++fu7qKErPhe/tq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148</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175</v>
      </c>
      <c r="B6" s="1">
        <f>Assumptions!C17</f>
        <v>25492720392.456287</v>
      </c>
      <c r="C6" s="12">
        <f ca="1">B6+Depreciation!C18+'Cash Flow'!C13</f>
        <v>25915806235.105145</v>
      </c>
      <c r="D6" s="1">
        <f ca="1">C6+Depreciation!D18</f>
        <v>26638436251.901817</v>
      </c>
      <c r="E6" s="1">
        <f ca="1">D6+Depreciation!E18</f>
        <v>27378143833.089039</v>
      </c>
      <c r="F6" s="1">
        <f ca="1">E6+Depreciation!F18</f>
        <v>28135291299.338783</v>
      </c>
      <c r="G6" s="1">
        <f ca="1">F6+Depreciation!G18</f>
        <v>28895989217.756084</v>
      </c>
      <c r="H6" s="1">
        <f ca="1">G6+Depreciation!H18</f>
        <v>29660686381.393501</v>
      </c>
      <c r="I6" s="1">
        <f ca="1">H6+Depreciation!I18</f>
        <v>30429818992.273281</v>
      </c>
      <c r="J6" s="1">
        <f ca="1">I6+Depreciation!J18</f>
        <v>31203811320.21524</v>
      </c>
      <c r="K6" s="1">
        <f ca="1">J6+Depreciation!K18</f>
        <v>31983076331.350979</v>
      </c>
      <c r="L6" s="1">
        <f ca="1">K6+Depreciation!L18</f>
        <v>32773176441.464314</v>
      </c>
      <c r="M6" s="1">
        <f ca="1">L6+Depreciation!M18</f>
        <v>34288511836.438648</v>
      </c>
      <c r="N6" s="1">
        <f ca="1">M6+Depreciation!N18</f>
        <v>35812115691.267311</v>
      </c>
      <c r="O6" s="1">
        <f ca="1">N6+Depreciation!O18</f>
        <v>37343976721.871185</v>
      </c>
      <c r="P6" s="1">
        <f ca="1">O6+Depreciation!P18</f>
        <v>38884076273.788643</v>
      </c>
      <c r="Q6" s="1">
        <f ca="1">P6+Depreciation!Q18</f>
        <v>40439248813.049988</v>
      </c>
      <c r="R6" s="1">
        <f ca="1">Q6+Depreciation!R18</f>
        <v>42009438603.524338</v>
      </c>
      <c r="S6" s="1">
        <f ca="1">R6+Depreciation!S18</f>
        <v>43594582645.189186</v>
      </c>
      <c r="T6" s="1">
        <f ca="1">S6+Depreciation!T18</f>
        <v>45194610358.192711</v>
      </c>
      <c r="U6" s="1">
        <f ca="1">T6+Depreciation!U18</f>
        <v>46809443257.969788</v>
      </c>
      <c r="V6" s="1">
        <f ca="1">U6+Depreciation!V18</f>
        <v>48464149382.677582</v>
      </c>
      <c r="W6" s="1">
        <f ca="1">V6+Depreciation!W18</f>
        <v>50404596450.95816</v>
      </c>
      <c r="X6" s="1">
        <f ca="1">W6+Depreciation!X18</f>
        <v>52394548714.832771</v>
      </c>
      <c r="Y6" s="1">
        <f ca="1">X6+Depreciation!Y18</f>
        <v>54434957630.340828</v>
      </c>
      <c r="Z6" s="1">
        <f ca="1">Y6+Depreciation!Z18</f>
        <v>56526789966.610764</v>
      </c>
      <c r="AA6" s="1">
        <f ca="1">Z6+Depreciation!AA18</f>
        <v>58671028006.17569</v>
      </c>
      <c r="AB6" s="1">
        <f ca="1">AA6+Depreciation!AB18</f>
        <v>60868669746.887939</v>
      </c>
      <c r="AC6" s="1">
        <f ca="1">AB6+Depreciation!AC18</f>
        <v>63120729105.414581</v>
      </c>
      <c r="AD6" s="1">
        <f ca="1">AC6+Depreciation!AD18</f>
        <v>65428236122.294937</v>
      </c>
      <c r="AE6" s="1">
        <f ca="1">AD6+Depreciation!AE18</f>
        <v>67792237168.539627</v>
      </c>
      <c r="AF6" s="1"/>
      <c r="AG6" s="1"/>
      <c r="AH6" s="1"/>
      <c r="AI6" s="1"/>
      <c r="AJ6" s="1"/>
      <c r="AK6" s="1"/>
      <c r="AL6" s="1"/>
      <c r="AM6" s="1"/>
      <c r="AN6" s="1"/>
      <c r="AO6" s="1"/>
      <c r="AP6" s="1"/>
    </row>
    <row r="7" spans="1:42" x14ac:dyDescent="0.35">
      <c r="A7" t="s">
        <v>12</v>
      </c>
      <c r="B7" s="1">
        <f>Depreciation!C12</f>
        <v>13269310525.828979</v>
      </c>
      <c r="C7" s="1">
        <f>Depreciation!D12</f>
        <v>13807913509.872265</v>
      </c>
      <c r="D7" s="1">
        <f>Depreciation!E12</f>
        <v>14362587589.25354</v>
      </c>
      <c r="E7" s="1">
        <f>Depreciation!F12</f>
        <v>14933761733.748133</v>
      </c>
      <c r="F7" s="1">
        <f>Depreciation!G12</f>
        <v>15521568374.768274</v>
      </c>
      <c r="G7" s="1">
        <f>Depreciation!H12</f>
        <v>16126152330.57832</v>
      </c>
      <c r="H7" s="1">
        <f>Depreciation!I12</f>
        <v>16747670562.671022</v>
      </c>
      <c r="I7" s="1">
        <f>Depreciation!J12</f>
        <v>17386291950.095985</v>
      </c>
      <c r="J7" s="1">
        <f>Depreciation!K12</f>
        <v>18042197080.964725</v>
      </c>
      <c r="K7" s="1">
        <f>Depreciation!L12</f>
        <v>18715689323.675426</v>
      </c>
      <c r="L7" s="1">
        <f>Depreciation!M12</f>
        <v>19422480247.637489</v>
      </c>
      <c r="M7" s="1">
        <f>Depreciation!N12</f>
        <v>20162840753.7383</v>
      </c>
      <c r="N7" s="1">
        <f>Depreciation!O12</f>
        <v>20937047141.607822</v>
      </c>
      <c r="O7" s="1">
        <f>Depreciation!P12</f>
        <v>21745380992.702358</v>
      </c>
      <c r="P7" s="1">
        <f>Depreciation!Q12</f>
        <v>22588277042.116425</v>
      </c>
      <c r="Q7" s="1">
        <f>Depreciation!R12</f>
        <v>23466174817.029499</v>
      </c>
      <c r="R7" s="1">
        <f>Depreciation!S12</f>
        <v>24379518561.338703</v>
      </c>
      <c r="S7" s="1">
        <f>Depreciation!T12</f>
        <v>25328757154.207623</v>
      </c>
      <c r="T7" s="1">
        <f>Depreciation!U12</f>
        <v>26314344022.284904</v>
      </c>
      <c r="U7" s="1">
        <f>Depreciation!V12</f>
        <v>27337279879.497158</v>
      </c>
      <c r="V7" s="1">
        <f>Depreciation!W12</f>
        <v>28403879081.826164</v>
      </c>
      <c r="W7" s="1">
        <f>Depreciation!X12</f>
        <v>29515375455.746071</v>
      </c>
      <c r="X7" s="1">
        <f>Depreciation!Y12</f>
        <v>30673032549.104572</v>
      </c>
      <c r="Y7" s="1">
        <f>Depreciation!Z12</f>
        <v>31878144280.358219</v>
      </c>
      <c r="Z7" s="1">
        <f>Depreciation!AA12</f>
        <v>33132035600.893452</v>
      </c>
      <c r="AA7" s="1">
        <f>Depreciation!AB12</f>
        <v>34436063170.675369</v>
      </c>
      <c r="AB7" s="1">
        <f>Depreciation!AC12</f>
        <v>35791616047.470161</v>
      </c>
      <c r="AC7" s="1">
        <f>Depreciation!AD12</f>
        <v>37200116389.891159</v>
      </c>
      <c r="AD7" s="1">
        <f>Depreciation!AE12</f>
        <v>38663020174.522507</v>
      </c>
      <c r="AE7" s="1">
        <f>Depreciation!AF12</f>
        <v>40181817927.378624</v>
      </c>
      <c r="AF7" s="1"/>
      <c r="AG7" s="1"/>
      <c r="AH7" s="1"/>
      <c r="AI7" s="1"/>
      <c r="AJ7" s="1"/>
      <c r="AK7" s="1"/>
      <c r="AL7" s="1"/>
      <c r="AM7" s="1"/>
      <c r="AN7" s="1"/>
      <c r="AO7" s="1"/>
      <c r="AP7" s="1"/>
    </row>
    <row r="8" spans="1:42" x14ac:dyDescent="0.35">
      <c r="A8" t="s">
        <v>176</v>
      </c>
      <c r="B8" s="1">
        <f t="shared" ref="B8:AE8" si="1">B6-B7</f>
        <v>12223409866.627308</v>
      </c>
      <c r="C8" s="1">
        <f t="shared" ca="1" si="1"/>
        <v>12107892725.23288</v>
      </c>
      <c r="D8" s="1">
        <f ca="1">D6-D7</f>
        <v>12275848662.648277</v>
      </c>
      <c r="E8" s="1">
        <f t="shared" ca="1" si="1"/>
        <v>12444382099.340906</v>
      </c>
      <c r="F8" s="1">
        <f t="shared" ca="1" si="1"/>
        <v>12613722924.570509</v>
      </c>
      <c r="G8" s="1">
        <f t="shared" ca="1" si="1"/>
        <v>12769836887.177765</v>
      </c>
      <c r="H8" s="1">
        <f t="shared" ca="1" si="1"/>
        <v>12913015818.722479</v>
      </c>
      <c r="I8" s="1">
        <f t="shared" ca="1" si="1"/>
        <v>13043527042.177296</v>
      </c>
      <c r="J8" s="1">
        <f t="shared" ca="1" si="1"/>
        <v>13161614239.250515</v>
      </c>
      <c r="K8" s="1">
        <f t="shared" ca="1" si="1"/>
        <v>13267387007.675552</v>
      </c>
      <c r="L8" s="1">
        <f t="shared" ca="1" si="1"/>
        <v>13350696193.826824</v>
      </c>
      <c r="M8" s="1">
        <f t="shared" ca="1" si="1"/>
        <v>14125671082.700348</v>
      </c>
      <c r="N8" s="1">
        <f t="shared" ca="1" si="1"/>
        <v>14875068549.659489</v>
      </c>
      <c r="O8" s="1">
        <f t="shared" ca="1" si="1"/>
        <v>15598595729.168827</v>
      </c>
      <c r="P8" s="1">
        <f t="shared" ca="1" si="1"/>
        <v>16295799231.672218</v>
      </c>
      <c r="Q8" s="1">
        <f t="shared" ca="1" si="1"/>
        <v>16973073996.020489</v>
      </c>
      <c r="R8" s="1">
        <f t="shared" ca="1" si="1"/>
        <v>17629920042.185635</v>
      </c>
      <c r="S8" s="1">
        <f t="shared" ca="1" si="1"/>
        <v>18265825490.981564</v>
      </c>
      <c r="T8" s="1">
        <f t="shared" ca="1" si="1"/>
        <v>18880266335.907806</v>
      </c>
      <c r="U8" s="1">
        <f t="shared" ca="1" si="1"/>
        <v>19472163378.47263</v>
      </c>
      <c r="V8" s="1">
        <f t="shared" ca="1" si="1"/>
        <v>20060270300.851418</v>
      </c>
      <c r="W8" s="1">
        <f t="shared" ca="1" si="1"/>
        <v>20889220995.21209</v>
      </c>
      <c r="X8" s="1">
        <f t="shared" ca="1" si="1"/>
        <v>21721516165.728199</v>
      </c>
      <c r="Y8" s="1">
        <f t="shared" ca="1" si="1"/>
        <v>22556813349.982609</v>
      </c>
      <c r="Z8" s="1">
        <f t="shared" ca="1" si="1"/>
        <v>23394754365.717312</v>
      </c>
      <c r="AA8" s="1">
        <f t="shared" ca="1" si="1"/>
        <v>24234964835.50032</v>
      </c>
      <c r="AB8" s="1">
        <f t="shared" ca="1" si="1"/>
        <v>25077053699.417778</v>
      </c>
      <c r="AC8" s="1">
        <f t="shared" ca="1" si="1"/>
        <v>25920612715.523422</v>
      </c>
      <c r="AD8" s="1">
        <f t="shared" ca="1" si="1"/>
        <v>26765215947.77243</v>
      </c>
      <c r="AE8" s="1">
        <f t="shared" ca="1" si="1"/>
        <v>27610419241.161003</v>
      </c>
      <c r="AF8" s="1"/>
      <c r="AG8" s="1"/>
      <c r="AH8" s="1"/>
      <c r="AI8" s="1"/>
      <c r="AJ8" s="1"/>
      <c r="AK8" s="1"/>
      <c r="AL8" s="1"/>
      <c r="AM8" s="1"/>
      <c r="AN8" s="1"/>
      <c r="AO8" s="1"/>
      <c r="AP8" s="1"/>
    </row>
    <row r="10" spans="1:42" x14ac:dyDescent="0.35">
      <c r="A10" t="s">
        <v>17</v>
      </c>
      <c r="B10" s="1">
        <f>B8-B11</f>
        <v>9299808514.4084816</v>
      </c>
      <c r="C10" s="1">
        <f ca="1">C8-C11</f>
        <v>7668378570.800745</v>
      </c>
      <c r="D10" s="1">
        <f ca="1">D8-D11</f>
        <v>7521504137.7327499</v>
      </c>
      <c r="E10" s="1">
        <f t="shared" ref="E10:AE10" ca="1" si="2">E8-E11</f>
        <v>7375185235.0337992</v>
      </c>
      <c r="F10" s="1">
        <f t="shared" ca="1" si="2"/>
        <v>7230583046.9316759</v>
      </c>
      <c r="G10" s="1">
        <f ca="1">G8-G11</f>
        <v>7115555493.7960186</v>
      </c>
      <c r="H10" s="1">
        <f t="shared" ca="1" si="2"/>
        <v>7211481946.8198061</v>
      </c>
      <c r="I10" s="1">
        <f t="shared" ca="1" si="2"/>
        <v>7345519305.2510719</v>
      </c>
      <c r="J10" s="1">
        <f t="shared" ca="1" si="2"/>
        <v>7520326927.0273495</v>
      </c>
      <c r="K10" s="1">
        <f t="shared" ca="1" si="2"/>
        <v>7738595418.7791653</v>
      </c>
      <c r="L10" s="1">
        <f t="shared" ca="1" si="2"/>
        <v>7975292448.4420137</v>
      </c>
      <c r="M10" s="1">
        <f t="shared" ca="1" si="2"/>
        <v>8207342074.21416</v>
      </c>
      <c r="N10" s="1">
        <f t="shared" ca="1" si="2"/>
        <v>8436896127.6933155</v>
      </c>
      <c r="O10" s="1">
        <f t="shared" ca="1" si="2"/>
        <v>8666247985.5185165</v>
      </c>
      <c r="P10" s="1">
        <f t="shared" ca="1" si="2"/>
        <v>8897692397.2783871</v>
      </c>
      <c r="Q10" s="1">
        <f t="shared" ca="1" si="2"/>
        <v>9130539651.5187721</v>
      </c>
      <c r="R10" s="1">
        <f t="shared" ca="1" si="2"/>
        <v>9367018155.202652</v>
      </c>
      <c r="S10" s="1">
        <f t="shared" ca="1" si="2"/>
        <v>9609517909.5630875</v>
      </c>
      <c r="T10" s="1">
        <f t="shared" ca="1" si="2"/>
        <v>9860599342.7557068</v>
      </c>
      <c r="U10" s="1">
        <f t="shared" ca="1" si="2"/>
        <v>10122459736.31156</v>
      </c>
      <c r="V10" s="1">
        <f t="shared" ca="1" si="2"/>
        <v>10378515484.736698</v>
      </c>
      <c r="W10" s="1">
        <f t="shared" ca="1" si="2"/>
        <v>10620131889.72888</v>
      </c>
      <c r="X10" s="1">
        <f t="shared" ca="1" si="2"/>
        <v>10846994425.235003</v>
      </c>
      <c r="Y10" s="1">
        <f t="shared" ca="1" si="2"/>
        <v>11058809920.100855</v>
      </c>
      <c r="Z10" s="1">
        <f t="shared" ca="1" si="2"/>
        <v>11255308902.349121</v>
      </c>
      <c r="AA10" s="1">
        <f t="shared" ca="1" si="2"/>
        <v>11436248089.117458</v>
      </c>
      <c r="AB10" s="1">
        <f t="shared" ca="1" si="2"/>
        <v>11601413029.765831</v>
      </c>
      <c r="AC10" s="1">
        <f t="shared" ca="1" si="2"/>
        <v>11750620910.017429</v>
      </c>
      <c r="AD10" s="1">
        <f t="shared" ca="1" si="2"/>
        <v>11883723525.369551</v>
      </c>
      <c r="AE10" s="1">
        <f t="shared" ca="1" si="2"/>
        <v>12000610432.39909</v>
      </c>
      <c r="AF10" s="1"/>
      <c r="AG10" s="1"/>
      <c r="AH10" s="1"/>
      <c r="AI10" s="1"/>
      <c r="AJ10" s="1"/>
      <c r="AK10" s="1"/>
      <c r="AL10" s="1"/>
      <c r="AM10" s="1"/>
      <c r="AN10" s="1"/>
      <c r="AO10" s="1"/>
    </row>
    <row r="11" spans="1:42" x14ac:dyDescent="0.35">
      <c r="A11" t="s">
        <v>9</v>
      </c>
      <c r="B11" s="1">
        <f>Assumptions!$C$20</f>
        <v>2923601352.2188272</v>
      </c>
      <c r="C11" s="1">
        <f ca="1">'Debt worksheet'!D5</f>
        <v>4439514154.4321346</v>
      </c>
      <c r="D11" s="1">
        <f ca="1">'Debt worksheet'!E5</f>
        <v>4754344524.9155273</v>
      </c>
      <c r="E11" s="1">
        <f ca="1">'Debt worksheet'!F5</f>
        <v>5069196864.307107</v>
      </c>
      <c r="F11" s="1">
        <f ca="1">'Debt worksheet'!G5</f>
        <v>5383139877.638833</v>
      </c>
      <c r="G11" s="1">
        <f ca="1">'Debt worksheet'!H5</f>
        <v>5654281393.3817463</v>
      </c>
      <c r="H11" s="1">
        <f ca="1">'Debt worksheet'!I5</f>
        <v>5701533871.9026728</v>
      </c>
      <c r="I11" s="1">
        <f ca="1">'Debt worksheet'!J5</f>
        <v>5698007736.9262238</v>
      </c>
      <c r="J11" s="1">
        <f ca="1">'Debt worksheet'!K5</f>
        <v>5641287312.2231655</v>
      </c>
      <c r="K11" s="1">
        <f ca="1">'Debt worksheet'!L5</f>
        <v>5528791588.8963871</v>
      </c>
      <c r="L11" s="1">
        <f ca="1">'Debt worksheet'!M5</f>
        <v>5375403745.3848104</v>
      </c>
      <c r="M11" s="1">
        <f ca="1">'Debt worksheet'!N5</f>
        <v>5918329008.4861879</v>
      </c>
      <c r="N11" s="1">
        <f ca="1">'Debt worksheet'!O5</f>
        <v>6438172421.9661732</v>
      </c>
      <c r="O11" s="1">
        <f ca="1">'Debt worksheet'!P5</f>
        <v>6932347743.6503096</v>
      </c>
      <c r="P11" s="1">
        <f ca="1">'Debt worksheet'!Q5</f>
        <v>7398106834.3938313</v>
      </c>
      <c r="Q11" s="1">
        <f ca="1">'Debt worksheet'!R5</f>
        <v>7842534344.5017166</v>
      </c>
      <c r="R11" s="1">
        <f ca="1">'Debt worksheet'!S5</f>
        <v>8262901886.9829817</v>
      </c>
      <c r="S11" s="1">
        <f ca="1">'Debt worksheet'!T5</f>
        <v>8656307581.4184761</v>
      </c>
      <c r="T11" s="1">
        <f ca="1">'Debt worksheet'!U5</f>
        <v>9019666993.1520996</v>
      </c>
      <c r="U11" s="1">
        <f ca="1">'Debt worksheet'!V5</f>
        <v>9349703642.1610699</v>
      </c>
      <c r="V11" s="1">
        <f ca="1">'Debt worksheet'!W5</f>
        <v>9681754816.1147194</v>
      </c>
      <c r="W11" s="1">
        <f ca="1">'Debt worksheet'!X5</f>
        <v>10269089105.48321</v>
      </c>
      <c r="X11" s="1">
        <f ca="1">'Debt worksheet'!Y5</f>
        <v>10874521740.493196</v>
      </c>
      <c r="Y11" s="1">
        <f ca="1">'Debt worksheet'!Z5</f>
        <v>11498003429.881754</v>
      </c>
      <c r="Z11" s="1">
        <f ca="1">'Debt worksheet'!AA5</f>
        <v>12139445463.368191</v>
      </c>
      <c r="AA11" s="1">
        <f ca="1">'Debt worksheet'!AB5</f>
        <v>12798716746.382862</v>
      </c>
      <c r="AB11" s="1">
        <f ca="1">'Debt worksheet'!AC5</f>
        <v>13475640669.651947</v>
      </c>
      <c r="AC11" s="1">
        <f ca="1">'Debt worksheet'!AD5</f>
        <v>14169991805.505993</v>
      </c>
      <c r="AD11" s="1">
        <f ca="1">'Debt worksheet'!AE5</f>
        <v>14881492422.40288</v>
      </c>
      <c r="AE11" s="1">
        <f ca="1">'Debt worksheet'!AF5</f>
        <v>15609808808.761913</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15" zoomScaleNormal="115"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149</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-60143736.000895798</v>
      </c>
      <c r="D5" s="4">
        <f ca="1">'Profit and Loss'!D9</f>
        <v>-47827960.057215065</v>
      </c>
      <c r="E5" s="4">
        <f ca="1">'Profit and Loss'!E9</f>
        <v>-45018001.604044437</v>
      </c>
      <c r="F5" s="4">
        <f ca="1">'Profit and Loss'!F9</f>
        <v>-41303237.203390241</v>
      </c>
      <c r="G5" s="4">
        <f ca="1">'Profit and Loss'!G9</f>
        <v>-9677121.9763614535</v>
      </c>
      <c r="H5" s="4">
        <f ca="1">'Profit and Loss'!H9</f>
        <v>112860729.3064456</v>
      </c>
      <c r="I5" s="4">
        <f ca="1">'Profit and Loss'!I9</f>
        <v>151140513.76352611</v>
      </c>
      <c r="J5" s="4">
        <f ca="1">'Profit and Loss'!J9</f>
        <v>192091365.22005758</v>
      </c>
      <c r="K5" s="4">
        <f ca="1">'Profit and Loss'!K9</f>
        <v>235855603.59377906</v>
      </c>
      <c r="L5" s="4">
        <f ca="1">'Profit and Loss'!L9</f>
        <v>269995710.91420943</v>
      </c>
      <c r="M5" s="4">
        <f ca="1">'Profit and Loss'!M9</f>
        <v>265619207.91089407</v>
      </c>
      <c r="N5" s="4">
        <f ca="1">'Profit and Loss'!N9</f>
        <v>263399935.24786273</v>
      </c>
      <c r="O5" s="4">
        <f ca="1">'Profit and Loss'!O9</f>
        <v>263479321.05021513</v>
      </c>
      <c r="P5" s="4">
        <f ca="1">'Profit and Loss'!P9</f>
        <v>266006610.07940185</v>
      </c>
      <c r="Q5" s="4">
        <f ca="1">'Profit and Loss'!Q9</f>
        <v>267848979.73939168</v>
      </c>
      <c r="R5" s="4">
        <f ca="1">'Profit and Loss'!R9</f>
        <v>271924473.08001232</v>
      </c>
      <c r="S5" s="4">
        <f ca="1">'Profit and Loss'!S9</f>
        <v>278394602.92014897</v>
      </c>
      <c r="T5" s="4">
        <f ca="1">'Profit and Loss'!T9</f>
        <v>287429708.40098214</v>
      </c>
      <c r="U5" s="4">
        <f ca="1">'Profit and Loss'!U9</f>
        <v>299209382.69082636</v>
      </c>
      <c r="V5" s="4">
        <f ca="1">'Profit and Loss'!V9</f>
        <v>299719093.54189271</v>
      </c>
      <c r="W5" s="4">
        <f ca="1">'Profit and Loss'!W9</f>
        <v>286513576.5830825</v>
      </c>
      <c r="X5" s="4">
        <f ca="1">'Profit and Loss'!X9</f>
        <v>273023254.94471902</v>
      </c>
      <c r="Y5" s="4">
        <f ca="1">'Profit and Loss'!Y9</f>
        <v>259270132.76099998</v>
      </c>
      <c r="Z5" s="4">
        <f ca="1">'Profit and Loss'!Z9</f>
        <v>245278571.5298478</v>
      </c>
      <c r="AA5" s="4">
        <f ca="1">'Profit and Loss'!AA9</f>
        <v>231075436.01502705</v>
      </c>
      <c r="AB5" s="4">
        <f ca="1">'Profit and Loss'!AB9</f>
        <v>216690247.66124427</v>
      </c>
      <c r="AC5" s="4">
        <f ca="1">'Profit and Loss'!AC9</f>
        <v>202155345.87779295</v>
      </c>
      <c r="AD5" s="4">
        <f ca="1">'Profit and Loss'!AD9</f>
        <v>187506057.56246608</v>
      </c>
      <c r="AE5" s="4">
        <f ca="1">'Profit and Loss'!AE9</f>
        <v>172780875.25430691</v>
      </c>
      <c r="AF5" s="4">
        <f ca="1">'Profit and Loss'!AF9</f>
        <v>158021644.32142735</v>
      </c>
      <c r="AG5" s="4"/>
      <c r="AH5" s="4"/>
      <c r="AI5" s="4"/>
      <c r="AJ5" s="4"/>
      <c r="AK5" s="4"/>
      <c r="AL5" s="4"/>
      <c r="AM5" s="4"/>
      <c r="AN5" s="4"/>
      <c r="AO5" s="4"/>
      <c r="AP5" s="4"/>
    </row>
    <row r="6" spans="1:42" x14ac:dyDescent="0.35">
      <c r="A6" t="s">
        <v>21</v>
      </c>
      <c r="C6" s="4">
        <f>Depreciation!C8+Depreciation!C9</f>
        <v>522950329.60083759</v>
      </c>
      <c r="D6" s="4">
        <f>Depreciation!D8+Depreciation!D9</f>
        <v>538602984.04328537</v>
      </c>
      <c r="E6" s="4">
        <f>Depreciation!E8+Depreciation!E9</f>
        <v>554674079.38127482</v>
      </c>
      <c r="F6" s="4">
        <f>Depreciation!F8+Depreciation!F9</f>
        <v>571174144.49459314</v>
      </c>
      <c r="G6" s="4">
        <f>Depreciation!G8+Depreciation!G9</f>
        <v>587806641.02014232</v>
      </c>
      <c r="H6" s="4">
        <f>Depreciation!H8+Depreciation!H9</f>
        <v>604583955.8100456</v>
      </c>
      <c r="I6" s="4">
        <f>Depreciation!I8+Depreciation!I9</f>
        <v>621518232.09270179</v>
      </c>
      <c r="J6" s="4">
        <f>Depreciation!J8+Depreciation!J9</f>
        <v>638621387.42496073</v>
      </c>
      <c r="K6" s="4">
        <f>Depreciation!K8+Depreciation!K9</f>
        <v>655905130.86873853</v>
      </c>
      <c r="L6" s="4">
        <f>Depreciation!L8+Depreciation!L9</f>
        <v>673492242.71070302</v>
      </c>
      <c r="M6" s="4">
        <f>Depreciation!M8+Depreciation!M9</f>
        <v>706790923.96206415</v>
      </c>
      <c r="N6" s="4">
        <f>Depreciation!N8+Depreciation!N9</f>
        <v>740360506.10081148</v>
      </c>
      <c r="O6" s="4">
        <f>Depreciation!O8+Depreciation!O9</f>
        <v>774206387.86952376</v>
      </c>
      <c r="P6" s="4">
        <f>Depreciation!P8+Depreciation!P9</f>
        <v>808333851.09453654</v>
      </c>
      <c r="Q6" s="4">
        <f>Depreciation!Q8+Depreciation!Q9</f>
        <v>842896049.41406441</v>
      </c>
      <c r="R6" s="4">
        <f>Depreciation!R8+Depreciation!R9</f>
        <v>877897774.91307485</v>
      </c>
      <c r="S6" s="4">
        <f>Depreciation!S8+Depreciation!S9</f>
        <v>913343744.30920577</v>
      </c>
      <c r="T6" s="4">
        <f>Depreciation!T8+Depreciation!T9</f>
        <v>949238592.86891794</v>
      </c>
      <c r="U6" s="4">
        <f>Depreciation!U8+Depreciation!U9</f>
        <v>985586868.07728362</v>
      </c>
      <c r="V6" s="4">
        <f>Depreciation!V8+Depreciation!V9</f>
        <v>1022935857.2122514</v>
      </c>
      <c r="W6" s="4">
        <f>Depreciation!W8+Depreciation!W9</f>
        <v>1066599202.3290048</v>
      </c>
      <c r="X6" s="4">
        <f>Depreciation!X8+Depreciation!X9</f>
        <v>1111496373.9199057</v>
      </c>
      <c r="Y6" s="4">
        <f>Depreciation!Y8+Depreciation!Y9</f>
        <v>1157657093.3585031</v>
      </c>
      <c r="Z6" s="4">
        <f>Depreciation!Z8+Depreciation!Z9</f>
        <v>1205111731.2536469</v>
      </c>
      <c r="AA6" s="4">
        <f>Depreciation!AA8+Depreciation!AA9</f>
        <v>1253891320.5352321</v>
      </c>
      <c r="AB6" s="4">
        <f>Depreciation!AB8+Depreciation!AB9</f>
        <v>1304027569.78192</v>
      </c>
      <c r="AC6" s="4">
        <f>Depreciation!AC8+Depreciation!AC9</f>
        <v>1355552876.7947991</v>
      </c>
      <c r="AD6" s="4">
        <f>Depreciation!AD8+Depreciation!AD9</f>
        <v>1408500342.4210029</v>
      </c>
      <c r="AE6" s="4">
        <f>Depreciation!AE8+Depreciation!AE9</f>
        <v>1462903784.6313493</v>
      </c>
      <c r="AF6" s="4">
        <f>Depreciation!AF8+Depreciation!AF9</f>
        <v>1518797752.8561201</v>
      </c>
      <c r="AG6" s="4"/>
      <c r="AH6" s="4"/>
      <c r="AI6" s="4"/>
      <c r="AJ6" s="4"/>
      <c r="AK6" s="4"/>
      <c r="AL6" s="4"/>
      <c r="AM6" s="4"/>
      <c r="AN6" s="4"/>
      <c r="AO6" s="4"/>
      <c r="AP6" s="4"/>
    </row>
    <row r="7" spans="1:42" x14ac:dyDescent="0.35">
      <c r="A7" t="s">
        <v>23</v>
      </c>
      <c r="C7" s="4">
        <f ca="1">C6+C5</f>
        <v>462806593.59994179</v>
      </c>
      <c r="D7" s="4">
        <f ca="1">D6+D5</f>
        <v>490775023.98607028</v>
      </c>
      <c r="E7" s="4">
        <f t="shared" ref="E7:AF7" ca="1" si="1">E6+E5</f>
        <v>509656077.77723038</v>
      </c>
      <c r="F7" s="4">
        <f t="shared" ca="1" si="1"/>
        <v>529870907.2912029</v>
      </c>
      <c r="G7" s="4">
        <f ca="1">G6+G5</f>
        <v>578129519.0437808</v>
      </c>
      <c r="H7" s="4">
        <f t="shared" ca="1" si="1"/>
        <v>717444685.1164912</v>
      </c>
      <c r="I7" s="4">
        <f t="shared" ca="1" si="1"/>
        <v>772658745.85622787</v>
      </c>
      <c r="J7" s="4">
        <f t="shared" ca="1" si="1"/>
        <v>830712752.64501834</v>
      </c>
      <c r="K7" s="4">
        <f t="shared" ca="1" si="1"/>
        <v>891760734.46251762</v>
      </c>
      <c r="L7" s="4">
        <f t="shared" ca="1" si="1"/>
        <v>943487953.6249125</v>
      </c>
      <c r="M7" s="4">
        <f t="shared" ca="1" si="1"/>
        <v>972410131.87295818</v>
      </c>
      <c r="N7" s="4">
        <f t="shared" ca="1" si="1"/>
        <v>1003760441.3486742</v>
      </c>
      <c r="O7" s="4">
        <f t="shared" ca="1" si="1"/>
        <v>1037685708.9197389</v>
      </c>
      <c r="P7" s="4">
        <f t="shared" ca="1" si="1"/>
        <v>1074340461.1739383</v>
      </c>
      <c r="Q7" s="4">
        <f t="shared" ca="1" si="1"/>
        <v>1110745029.1534562</v>
      </c>
      <c r="R7" s="4">
        <f t="shared" ca="1" si="1"/>
        <v>1149822247.9930873</v>
      </c>
      <c r="S7" s="4">
        <f t="shared" ca="1" si="1"/>
        <v>1191738347.2293549</v>
      </c>
      <c r="T7" s="4">
        <f t="shared" ca="1" si="1"/>
        <v>1236668301.2699001</v>
      </c>
      <c r="U7" s="4">
        <f t="shared" ca="1" si="1"/>
        <v>1284796250.76811</v>
      </c>
      <c r="V7" s="4">
        <f t="shared" ca="1" si="1"/>
        <v>1322654950.7541442</v>
      </c>
      <c r="W7" s="4">
        <f t="shared" ca="1" si="1"/>
        <v>1353112778.9120872</v>
      </c>
      <c r="X7" s="4">
        <f t="shared" ca="1" si="1"/>
        <v>1384519628.8646247</v>
      </c>
      <c r="Y7" s="4">
        <f t="shared" ca="1" si="1"/>
        <v>1416927226.119503</v>
      </c>
      <c r="Z7" s="4">
        <f t="shared" ca="1" si="1"/>
        <v>1450390302.7834947</v>
      </c>
      <c r="AA7" s="4">
        <f t="shared" ca="1" si="1"/>
        <v>1484966756.5502591</v>
      </c>
      <c r="AB7" s="4">
        <f t="shared" ca="1" si="1"/>
        <v>1520717817.4431643</v>
      </c>
      <c r="AC7" s="4">
        <f t="shared" ca="1" si="1"/>
        <v>1557708222.6725922</v>
      </c>
      <c r="AD7" s="4">
        <f t="shared" ca="1" si="1"/>
        <v>1596006399.983469</v>
      </c>
      <c r="AE7" s="4">
        <f t="shared" ca="1" si="1"/>
        <v>1635684659.8856564</v>
      </c>
      <c r="AF7" s="4">
        <f t="shared" ca="1" si="1"/>
        <v>1676819397.1775475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A9" t="s">
        <v>200</v>
      </c>
      <c r="C9" s="4">
        <f>Assumptions!$C$37/Assumptions!$C$39</f>
        <v>39720750.951085977</v>
      </c>
      <c r="D9" s="4">
        <f>Assumptions!$C$37/Assumptions!$C$39</f>
        <v>39720750.951085977</v>
      </c>
      <c r="E9" s="4">
        <f>Assumptions!$C$37/Assumptions!$C$39</f>
        <v>39720750.951085977</v>
      </c>
      <c r="F9" s="4">
        <f>Assumptions!$C$37/Assumptions!$C$39</f>
        <v>39720750.951085977</v>
      </c>
      <c r="G9" s="4">
        <f>Assumptions!$C$37/Assumptions!$C$39</f>
        <v>39720750.951085977</v>
      </c>
      <c r="H9" s="4">
        <f>Assumptions!$C$37/Assumptions!$C$39</f>
        <v>39720750.951085977</v>
      </c>
      <c r="I9" s="4">
        <f>Assumptions!$C$37/Assumptions!$C$39</f>
        <v>39720750.951085977</v>
      </c>
      <c r="J9" s="4">
        <f>Assumptions!$C$37/Assumptions!$C$39</f>
        <v>39720750.951085977</v>
      </c>
      <c r="K9" s="4">
        <f>Assumptions!$C$37/Assumptions!$C$39</f>
        <v>39720750.951085977</v>
      </c>
      <c r="L9" s="4">
        <f>Assumptions!$C$37/Assumptions!$C$39</f>
        <v>39720750.951085977</v>
      </c>
      <c r="M9" s="4">
        <f>Assumptions!$C$37/Assumptions!$C$39</f>
        <v>39720750.951085977</v>
      </c>
      <c r="N9" s="4">
        <f>Assumptions!$C$37/Assumptions!$C$39</f>
        <v>39720750.951085977</v>
      </c>
      <c r="O9" s="4">
        <f>Assumptions!$C$37/Assumptions!$C$39</f>
        <v>39720750.951085977</v>
      </c>
      <c r="P9" s="4">
        <f>Assumptions!$C$37/Assumptions!$C$39</f>
        <v>39720750.951085977</v>
      </c>
      <c r="Q9" s="4">
        <f>Assumptions!$C$37/Assumptions!$C$39</f>
        <v>39720750.951085977</v>
      </c>
      <c r="R9" s="4">
        <f>Assumptions!$C$37/Assumptions!$C$39</f>
        <v>39720750.951085977</v>
      </c>
      <c r="S9" s="4">
        <f>Assumptions!$C$37/Assumptions!$C$39</f>
        <v>39720750.951085977</v>
      </c>
      <c r="T9" s="4">
        <f>Assumptions!$C$37/Assumptions!$C$39</f>
        <v>39720750.951085977</v>
      </c>
      <c r="U9" s="4">
        <f>Assumptions!$C$37/Assumptions!$C$39</f>
        <v>39720750.951085977</v>
      </c>
      <c r="V9" s="4">
        <f>Assumptions!$C$37/Assumptions!$C$39</f>
        <v>39720750.951085977</v>
      </c>
      <c r="W9" s="4">
        <f>Assumptions!$C$37/Assumptions!$C$39</f>
        <v>39720750.951085977</v>
      </c>
      <c r="X9" s="4">
        <f>Assumptions!$C$37/Assumptions!$C$39</f>
        <v>39720750.951085977</v>
      </c>
      <c r="Y9" s="4">
        <f>Assumptions!$C$37/Assumptions!$C$39</f>
        <v>39720750.951085977</v>
      </c>
      <c r="Z9" s="4">
        <f>Assumptions!$C$37/Assumptions!$C$39</f>
        <v>39720750.951085977</v>
      </c>
      <c r="AA9" s="4">
        <f>Assumptions!$C$37/Assumptions!$C$39</f>
        <v>39720750.951085977</v>
      </c>
      <c r="AB9" s="4">
        <f>Assumptions!$C$37/Assumptions!$C$39</f>
        <v>39720750.951085977</v>
      </c>
      <c r="AC9" s="4">
        <f>Assumptions!$C$37/Assumptions!$C$39</f>
        <v>39720750.951085977</v>
      </c>
      <c r="AD9" s="4">
        <f>Assumptions!$C$37/Assumptions!$C$39</f>
        <v>39720750.951085977</v>
      </c>
      <c r="AE9" s="4">
        <f>Assumptions!$C$37/Assumptions!$C$39</f>
        <v>39720750.951085977</v>
      </c>
      <c r="AF9" s="4">
        <f>Assumptions!$C$37/Assumptions!$C$39</f>
        <v>39720750.951085977</v>
      </c>
      <c r="AG9" s="4"/>
      <c r="AH9" s="4"/>
      <c r="AI9" s="4"/>
      <c r="AJ9" s="4"/>
      <c r="AK9" s="4"/>
      <c r="AL9" s="4"/>
      <c r="AM9" s="4"/>
      <c r="AN9" s="4"/>
      <c r="AO9" s="4"/>
      <c r="AP9" s="4"/>
    </row>
    <row r="10" spans="1:42" x14ac:dyDescent="0.35">
      <c r="A10" t="s">
        <v>11</v>
      </c>
      <c r="C10" s="9">
        <f>Investment!C25</f>
        <v>705907652.33665049</v>
      </c>
      <c r="D10" s="9">
        <f>Investment!D25</f>
        <v>722630016.79667401</v>
      </c>
      <c r="E10" s="9">
        <f>Investment!E25</f>
        <v>739707581.18722105</v>
      </c>
      <c r="F10" s="9">
        <f>Investment!F25</f>
        <v>757147466.24974477</v>
      </c>
      <c r="G10" s="9">
        <f>Investment!G25</f>
        <v>760697918.41729999</v>
      </c>
      <c r="H10" s="9">
        <f>Investment!H25</f>
        <v>764697163.63741767</v>
      </c>
      <c r="I10" s="9">
        <f>Investment!I25</f>
        <v>769132610.8797785</v>
      </c>
      <c r="J10" s="9">
        <f>Investment!J25</f>
        <v>773992327.9419601</v>
      </c>
      <c r="K10" s="9">
        <f>Investment!K25</f>
        <v>779265011.13573885</v>
      </c>
      <c r="L10" s="9">
        <f>Investment!L25</f>
        <v>790100110.11333561</v>
      </c>
      <c r="M10" s="9">
        <f>Investment!M25</f>
        <v>1515335394.9743357</v>
      </c>
      <c r="N10" s="9">
        <f>Investment!N25</f>
        <v>1523603854.8286595</v>
      </c>
      <c r="O10" s="9">
        <f>Investment!O25</f>
        <v>1531861030.6038756</v>
      </c>
      <c r="P10" s="9">
        <f>Investment!P25</f>
        <v>1540099551.9174604</v>
      </c>
      <c r="Q10" s="9">
        <f>Investment!Q25</f>
        <v>1555172539.261342</v>
      </c>
      <c r="R10" s="9">
        <f>Investment!R25</f>
        <v>1570189790.4743521</v>
      </c>
      <c r="S10" s="9">
        <f>Investment!S25</f>
        <v>1585144041.6648486</v>
      </c>
      <c r="T10" s="9">
        <f>Investment!T25</f>
        <v>1600027713.0035231</v>
      </c>
      <c r="U10" s="9">
        <f>Investment!U25</f>
        <v>1614832899.7770796</v>
      </c>
      <c r="V10" s="9">
        <f>Investment!V25</f>
        <v>1654706124.7077935</v>
      </c>
      <c r="W10" s="9">
        <f>Investment!W25</f>
        <v>1940447068.2805774</v>
      </c>
      <c r="X10" s="9">
        <f>Investment!X25</f>
        <v>1989952263.8746119</v>
      </c>
      <c r="Y10" s="9">
        <f>Investment!Y25</f>
        <v>2040408915.50806</v>
      </c>
      <c r="Z10" s="9">
        <f>Investment!Z25</f>
        <v>2091832336.2699323</v>
      </c>
      <c r="AA10" s="9">
        <f>Investment!AA25</f>
        <v>2144238039.56493</v>
      </c>
      <c r="AB10" s="9">
        <f>Investment!AB25</f>
        <v>2197641740.7122502</v>
      </c>
      <c r="AC10" s="9">
        <f>Investment!AC25</f>
        <v>2252059358.526639</v>
      </c>
      <c r="AD10" s="9">
        <f>Investment!AD25</f>
        <v>2307507016.8803554</v>
      </c>
      <c r="AE10" s="9">
        <f>Investment!AE25</f>
        <v>2364001046.2446899</v>
      </c>
      <c r="AF10" s="9">
        <f>Investment!AF25</f>
        <v>2421557985.2095714</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-282821809.68779469</v>
      </c>
      <c r="D12" s="1">
        <f t="shared" ref="D12:AF12" ca="1" si="2">D7-D9-D10</f>
        <v>-271575743.76168972</v>
      </c>
      <c r="E12" s="1">
        <f ca="1">E7-E9-E10</f>
        <v>-269772254.36107665</v>
      </c>
      <c r="F12" s="1">
        <f t="shared" ca="1" si="2"/>
        <v>-266997309.90962785</v>
      </c>
      <c r="G12" s="1">
        <f ca="1">G7-G9-G10</f>
        <v>-222289150.32460511</v>
      </c>
      <c r="H12" s="1">
        <f t="shared" ca="1" si="2"/>
        <v>-86973229.472012401</v>
      </c>
      <c r="I12" s="1">
        <f t="shared" ca="1" si="2"/>
        <v>-36194615.974636555</v>
      </c>
      <c r="J12" s="1">
        <f t="shared" ca="1" si="2"/>
        <v>16999673.751972318</v>
      </c>
      <c r="K12" s="1">
        <f t="shared" ca="1" si="2"/>
        <v>72774972.375692844</v>
      </c>
      <c r="L12" s="1">
        <f t="shared" ca="1" si="2"/>
        <v>113667092.56049097</v>
      </c>
      <c r="M12" s="1">
        <f t="shared" ca="1" si="2"/>
        <v>-582646014.05246341</v>
      </c>
      <c r="N12" s="1">
        <f t="shared" ca="1" si="2"/>
        <v>-559564164.43107128</v>
      </c>
      <c r="O12" s="1">
        <f t="shared" ca="1" si="2"/>
        <v>-533896072.63522267</v>
      </c>
      <c r="P12" s="1">
        <f t="shared" ca="1" si="2"/>
        <v>-505479841.69460809</v>
      </c>
      <c r="Q12" s="1">
        <f t="shared" ca="1" si="2"/>
        <v>-484148261.05897176</v>
      </c>
      <c r="R12" s="1">
        <f t="shared" ca="1" si="2"/>
        <v>-460088293.43235087</v>
      </c>
      <c r="S12" s="1">
        <f t="shared" ca="1" si="2"/>
        <v>-433126445.38657975</v>
      </c>
      <c r="T12" s="1">
        <f t="shared" ca="1" si="2"/>
        <v>-403080162.68470907</v>
      </c>
      <c r="U12" s="1">
        <f t="shared" ca="1" si="2"/>
        <v>-369757399.96005559</v>
      </c>
      <c r="V12" s="1">
        <f t="shared" ca="1" si="2"/>
        <v>-371771924.90473533</v>
      </c>
      <c r="W12" s="1">
        <f t="shared" ca="1" si="2"/>
        <v>-627055040.31957626</v>
      </c>
      <c r="X12" s="1">
        <f t="shared" ca="1" si="2"/>
        <v>-645153385.96107316</v>
      </c>
      <c r="Y12" s="1">
        <f t="shared" ca="1" si="2"/>
        <v>-663202440.339643</v>
      </c>
      <c r="Z12" s="1">
        <f t="shared" ca="1" si="2"/>
        <v>-681162784.4375236</v>
      </c>
      <c r="AA12" s="1">
        <f t="shared" ca="1" si="2"/>
        <v>-698992033.96575689</v>
      </c>
      <c r="AB12" s="1">
        <f t="shared" ca="1" si="2"/>
        <v>-716644674.22017193</v>
      </c>
      <c r="AC12" s="1">
        <f t="shared" ca="1" si="2"/>
        <v>-734071886.80513287</v>
      </c>
      <c r="AD12" s="1">
        <f t="shared" ca="1" si="2"/>
        <v>-751221367.84797239</v>
      </c>
      <c r="AE12" s="1">
        <f t="shared" ca="1" si="2"/>
        <v>-768037137.31011963</v>
      </c>
      <c r="AF12" s="1">
        <f t="shared" ca="1" si="2"/>
        <v>-784459338.98310995</v>
      </c>
      <c r="AG12" s="1"/>
      <c r="AH12" s="1"/>
      <c r="AI12" s="1"/>
      <c r="AJ12" s="1"/>
      <c r="AK12" s="1"/>
      <c r="AL12" s="1"/>
      <c r="AM12" s="1"/>
      <c r="AN12" s="1"/>
      <c r="AO12" s="1"/>
      <c r="AP12" s="1"/>
    </row>
    <row r="13" spans="1:42" x14ac:dyDescent="0.35">
      <c r="A13" t="s">
        <v>19</v>
      </c>
      <c r="C13" s="1">
        <f ca="1">C12</f>
        <v>-282821809.68779469</v>
      </c>
      <c r="D13" s="1">
        <f ca="1">D12</f>
        <v>-271575743.76168972</v>
      </c>
      <c r="E13" s="1">
        <f ca="1">E12</f>
        <v>-269772254.36107665</v>
      </c>
      <c r="F13" s="1">
        <f t="shared" ref="F13:AF13" ca="1" si="3">F12</f>
        <v>-266997309.90962785</v>
      </c>
      <c r="G13" s="1">
        <f ca="1">G12</f>
        <v>-222289150.32460511</v>
      </c>
      <c r="H13" s="1">
        <f t="shared" ca="1" si="3"/>
        <v>-86973229.472012401</v>
      </c>
      <c r="I13" s="1">
        <f t="shared" ca="1" si="3"/>
        <v>-36194615.974636555</v>
      </c>
      <c r="J13" s="1">
        <f t="shared" ca="1" si="3"/>
        <v>16999673.751972318</v>
      </c>
      <c r="K13" s="1">
        <f t="shared" ca="1" si="3"/>
        <v>72774972.375692844</v>
      </c>
      <c r="L13" s="1">
        <f t="shared" ca="1" si="3"/>
        <v>113667092.56049097</v>
      </c>
      <c r="M13" s="1">
        <f t="shared" ca="1" si="3"/>
        <v>-582646014.05246341</v>
      </c>
      <c r="N13" s="1">
        <f t="shared" ca="1" si="3"/>
        <v>-559564164.43107128</v>
      </c>
      <c r="O13" s="1">
        <f t="shared" ca="1" si="3"/>
        <v>-533896072.63522267</v>
      </c>
      <c r="P13" s="1">
        <f t="shared" ca="1" si="3"/>
        <v>-505479841.69460809</v>
      </c>
      <c r="Q13" s="1">
        <f t="shared" ca="1" si="3"/>
        <v>-484148261.05897176</v>
      </c>
      <c r="R13" s="1">
        <f t="shared" ca="1" si="3"/>
        <v>-460088293.43235087</v>
      </c>
      <c r="S13" s="1">
        <f t="shared" ca="1" si="3"/>
        <v>-433126445.38657975</v>
      </c>
      <c r="T13" s="1">
        <f t="shared" ca="1" si="3"/>
        <v>-403080162.68470907</v>
      </c>
      <c r="U13" s="1">
        <f t="shared" ca="1" si="3"/>
        <v>-369757399.96005559</v>
      </c>
      <c r="V13" s="1">
        <f t="shared" ca="1" si="3"/>
        <v>-371771924.90473533</v>
      </c>
      <c r="W13" s="1">
        <f t="shared" ca="1" si="3"/>
        <v>-627055040.31957626</v>
      </c>
      <c r="X13" s="1">
        <f t="shared" ca="1" si="3"/>
        <v>-645153385.96107316</v>
      </c>
      <c r="Y13" s="1">
        <f t="shared" ca="1" si="3"/>
        <v>-663202440.339643</v>
      </c>
      <c r="Z13" s="1">
        <f t="shared" ca="1" si="3"/>
        <v>-681162784.4375236</v>
      </c>
      <c r="AA13" s="1">
        <f t="shared" ca="1" si="3"/>
        <v>-698992033.96575689</v>
      </c>
      <c r="AB13" s="1">
        <f t="shared" ca="1" si="3"/>
        <v>-716644674.22017193</v>
      </c>
      <c r="AC13" s="1">
        <f t="shared" ca="1" si="3"/>
        <v>-734071886.80513287</v>
      </c>
      <c r="AD13" s="1">
        <f t="shared" ca="1" si="3"/>
        <v>-751221367.84797239</v>
      </c>
      <c r="AE13" s="1">
        <f t="shared" ca="1" si="3"/>
        <v>-768037137.31011963</v>
      </c>
      <c r="AF13" s="1">
        <f t="shared" ca="1" si="3"/>
        <v>-784459338.98310995</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jmPeTe2vA8R0NK3RDNFm3BbvlOyKv2E8geMBE0+dyRnk2eO+q1hzd+/JYfSSOlfBFXTdeIO/bdtSNBT5pULUwA==" saltValue="gxLPqPR5AeNQV1JJglSJ7g=="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134</v>
      </c>
      <c r="C6" s="9">
        <f>Assumptions!C17</f>
        <v>25492720392.456287</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12746360196.228144</v>
      </c>
      <c r="D7" s="9">
        <f>C12</f>
        <v>13269310525.828979</v>
      </c>
      <c r="E7" s="9">
        <f>D12</f>
        <v>13807913509.872265</v>
      </c>
      <c r="F7" s="9">
        <f t="shared" ref="F7:H7" si="1">E12</f>
        <v>14362587589.25354</v>
      </c>
      <c r="G7" s="9">
        <f t="shared" si="1"/>
        <v>14933761733.748133</v>
      </c>
      <c r="H7" s="9">
        <f t="shared" si="1"/>
        <v>15521568374.768274</v>
      </c>
      <c r="I7" s="9">
        <f t="shared" ref="I7" si="2">H12</f>
        <v>16126152330.57832</v>
      </c>
      <c r="J7" s="9">
        <f t="shared" ref="J7" si="3">I12</f>
        <v>16747670562.671022</v>
      </c>
      <c r="K7" s="9">
        <f t="shared" ref="K7" si="4">J12</f>
        <v>17386291950.095985</v>
      </c>
      <c r="L7" s="9">
        <f t="shared" ref="L7" si="5">K12</f>
        <v>18042197080.964725</v>
      </c>
      <c r="M7" s="9">
        <f t="shared" ref="M7" si="6">L12</f>
        <v>18715689323.675426</v>
      </c>
      <c r="N7" s="9">
        <f t="shared" ref="N7" si="7">M12</f>
        <v>19422480247.637489</v>
      </c>
      <c r="O7" s="9">
        <f t="shared" ref="O7" si="8">N12</f>
        <v>20162840753.7383</v>
      </c>
      <c r="P7" s="9">
        <f t="shared" ref="P7" si="9">O12</f>
        <v>20937047141.607822</v>
      </c>
      <c r="Q7" s="9">
        <f t="shared" ref="Q7" si="10">P12</f>
        <v>21745380992.702358</v>
      </c>
      <c r="R7" s="9">
        <f t="shared" ref="R7" si="11">Q12</f>
        <v>22588277042.116425</v>
      </c>
      <c r="S7" s="9">
        <f t="shared" ref="S7" si="12">R12</f>
        <v>23466174817.029499</v>
      </c>
      <c r="T7" s="9">
        <f t="shared" ref="T7" si="13">S12</f>
        <v>24379518561.338703</v>
      </c>
      <c r="U7" s="9">
        <f t="shared" ref="U7" si="14">T12</f>
        <v>25328757154.207623</v>
      </c>
      <c r="V7" s="9">
        <f t="shared" ref="V7" si="15">U12</f>
        <v>26314344022.284904</v>
      </c>
      <c r="W7" s="9">
        <f t="shared" ref="W7" si="16">V12</f>
        <v>27337279879.497158</v>
      </c>
      <c r="X7" s="9">
        <f t="shared" ref="X7" si="17">W12</f>
        <v>28403879081.826164</v>
      </c>
      <c r="Y7" s="9">
        <f t="shared" ref="Y7" si="18">X12</f>
        <v>29515375455.746071</v>
      </c>
      <c r="Z7" s="9">
        <f t="shared" ref="Z7" si="19">Y12</f>
        <v>30673032549.104572</v>
      </c>
      <c r="AA7" s="9">
        <f t="shared" ref="AA7" si="20">Z12</f>
        <v>31878144280.358219</v>
      </c>
      <c r="AB7" s="9">
        <f t="shared" ref="AB7" si="21">AA12</f>
        <v>33132035600.893452</v>
      </c>
      <c r="AC7" s="9">
        <f t="shared" ref="AC7" si="22">AB12</f>
        <v>34436063170.675369</v>
      </c>
      <c r="AD7" s="9">
        <f t="shared" ref="AD7" si="23">AC12</f>
        <v>35791616047.470161</v>
      </c>
      <c r="AE7" s="9">
        <f t="shared" ref="AE7" si="24">AD12</f>
        <v>37200116389.891159</v>
      </c>
      <c r="AF7" s="9">
        <f t="shared" ref="AF7" si="25">AE12</f>
        <v>38663020174.522507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135</v>
      </c>
      <c r="C8" s="9">
        <f>Assumptions!D118*Assumptions!D11</f>
        <v>518875364.94581509</v>
      </c>
      <c r="D8" s="9">
        <f>Assumptions!E118*Assumptions!E11</f>
        <v>530290622.97462296</v>
      </c>
      <c r="E8" s="9">
        <f>Assumptions!F118*Assumptions!F11</f>
        <v>541957016.68006468</v>
      </c>
      <c r="F8" s="9">
        <f>Assumptions!G118*Assumptions!G11</f>
        <v>553880071.04702616</v>
      </c>
      <c r="G8" s="9">
        <f>Assumptions!H118*Assumptions!H11</f>
        <v>566065432.61006069</v>
      </c>
      <c r="H8" s="9">
        <f>Assumptions!I118*Assumptions!I11</f>
        <v>578518872.12748206</v>
      </c>
      <c r="I8" s="9">
        <f>Assumptions!J118*Assumptions!J11</f>
        <v>591246287.31428659</v>
      </c>
      <c r="J8" s="9">
        <f>Assumptions!K118*Assumptions!K11</f>
        <v>604253705.63520098</v>
      </c>
      <c r="K8" s="9">
        <f>Assumptions!L118*Assumptions!L11</f>
        <v>617547287.1591754</v>
      </c>
      <c r="L8" s="9">
        <f>Assumptions!M118*Assumptions!M11</f>
        <v>631133327.4766773</v>
      </c>
      <c r="M8" s="9">
        <f>Assumptions!N118*Assumptions!N11</f>
        <v>645018260.68116426</v>
      </c>
      <c r="N8" s="9">
        <f>Assumptions!O118*Assumptions!O11</f>
        <v>659208662.41614985</v>
      </c>
      <c r="O8" s="9">
        <f>Assumptions!P118*Assumptions!P11</f>
        <v>673711252.98930514</v>
      </c>
      <c r="P8" s="9">
        <f>Assumptions!Q118*Assumptions!Q11</f>
        <v>688532900.5550698</v>
      </c>
      <c r="Q8" s="9">
        <f>Assumptions!R118*Assumptions!R11</f>
        <v>703680624.36728144</v>
      </c>
      <c r="R8" s="9">
        <f>Assumptions!S118*Assumptions!S11</f>
        <v>719161598.10336161</v>
      </c>
      <c r="S8" s="9">
        <f>Assumptions!T118*Assumptions!T11</f>
        <v>734983153.26163554</v>
      </c>
      <c r="T8" s="9">
        <f>Assumptions!U118*Assumptions!U11</f>
        <v>751152782.6333915</v>
      </c>
      <c r="U8" s="9">
        <f>Assumptions!V118*Assumptions!V11</f>
        <v>767678143.85132623</v>
      </c>
      <c r="V8" s="9">
        <f>Assumptions!W118*Assumptions!W11</f>
        <v>784567063.01605535</v>
      </c>
      <c r="W8" s="9">
        <f>Assumptions!X118*Assumptions!X11</f>
        <v>801827538.4024086</v>
      </c>
      <c r="X8" s="9">
        <f>Assumptions!Y118*Assumptions!Y11</f>
        <v>819467744.24726152</v>
      </c>
      <c r="Y8" s="9">
        <f>Assumptions!Z118*Assumptions!Z11</f>
        <v>837496034.62070119</v>
      </c>
      <c r="Z8" s="9">
        <f>Assumptions!AA118*Assumptions!AA11</f>
        <v>855920947.38235676</v>
      </c>
      <c r="AA8" s="9">
        <f>Assumptions!AB118*Assumptions!AB11</f>
        <v>874751208.22476864</v>
      </c>
      <c r="AB8" s="9">
        <f>Assumptions!AC118*Assumptions!AC11</f>
        <v>893995734.80571365</v>
      </c>
      <c r="AC8" s="9">
        <f>Assumptions!AD118*Assumptions!AD11</f>
        <v>913663640.97143924</v>
      </c>
      <c r="AD8" s="9">
        <f>Assumptions!AE118*Assumptions!AE11</f>
        <v>933764241.07281089</v>
      </c>
      <c r="AE8" s="9">
        <f>Assumptions!AF118*Assumptions!AF11</f>
        <v>954307054.37641287</v>
      </c>
      <c r="AF8" s="9">
        <f>Assumptions!AG118*Assumptions!AG11</f>
        <v>975301809.57269382</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Assumptions!D127*Assumptions!D11</f>
        <v>4074964.6550224968</v>
      </c>
      <c r="D9" s="9">
        <f>Assumptions!E127*Assumptions!E11</f>
        <v>8312361.0686623799</v>
      </c>
      <c r="E9" s="9">
        <f>Assumptions!F127*Assumptions!F11</f>
        <v>12717062.701210169</v>
      </c>
      <c r="F9" s="9">
        <f>Assumptions!G127*Assumptions!G11</f>
        <v>17294073.447566934</v>
      </c>
      <c r="G9" s="9">
        <f>Assumptions!H127*Assumptions!H11</f>
        <v>21741208.410081621</v>
      </c>
      <c r="H9" s="9">
        <f>Assumptions!I127*Assumptions!I11</f>
        <v>26065083.682563506</v>
      </c>
      <c r="I9" s="9">
        <f>Assumptions!J127*Assumptions!J11</f>
        <v>30271944.778415225</v>
      </c>
      <c r="J9" s="9">
        <f>Assumptions!K127*Assumptions!K11</f>
        <v>34367681.789759748</v>
      </c>
      <c r="K9" s="9">
        <f>Assumptions!L127*Assumptions!L11</f>
        <v>38357843.709563106</v>
      </c>
      <c r="L9" s="9">
        <f>Assumptions!M127*Assumptions!M11</f>
        <v>42358915.234025672</v>
      </c>
      <c r="M9" s="9">
        <f>Assumptions!N127*Assumptions!N11</f>
        <v>61772663.280899853</v>
      </c>
      <c r="N9" s="9">
        <f>Assumptions!O127*Assumptions!O11</f>
        <v>81151843.684661627</v>
      </c>
      <c r="O9" s="9">
        <f>Assumptions!P127*Assumptions!P11</f>
        <v>100495134.88021867</v>
      </c>
      <c r="P9" s="9">
        <f>Assumptions!Q127*Assumptions!Q11</f>
        <v>119800950.53946675</v>
      </c>
      <c r="Q9" s="9">
        <f>Assumptions!R127*Assumptions!R11</f>
        <v>139215425.046783</v>
      </c>
      <c r="R9" s="9">
        <f>Assumptions!S127*Assumptions!S11</f>
        <v>158736176.80971327</v>
      </c>
      <c r="S9" s="9">
        <f>Assumptions!T127*Assumptions!T11</f>
        <v>178360591.04757017</v>
      </c>
      <c r="T9" s="9">
        <f>Assumptions!U127*Assumptions!U11</f>
        <v>198085810.23552644</v>
      </c>
      <c r="U9" s="9">
        <f>Assumptions!V127*Assumptions!V11</f>
        <v>217908724.22595739</v>
      </c>
      <c r="V9" s="9">
        <f>Assumptions!W127*Assumptions!W11</f>
        <v>238368794.19619608</v>
      </c>
      <c r="W9" s="9">
        <f>Assumptions!X127*Assumptions!X11</f>
        <v>264771663.92659611</v>
      </c>
      <c r="X9" s="9">
        <f>Assumptions!Y127*Assumptions!Y11</f>
        <v>292028629.6726442</v>
      </c>
      <c r="Y9" s="9">
        <f>Assumptions!Z127*Assumptions!Z11</f>
        <v>320161058.73780191</v>
      </c>
      <c r="Z9" s="9">
        <f>Assumptions!AA127*Assumptions!AA11</f>
        <v>349190783.87129015</v>
      </c>
      <c r="AA9" s="9">
        <f>Assumptions!AB127*Assumptions!AB11</f>
        <v>379140112.31046337</v>
      </c>
      <c r="AB9" s="9">
        <f>Assumptions!AC127*Assumptions!AC11</f>
        <v>410031834.9762063</v>
      </c>
      <c r="AC9" s="9">
        <f>Assumptions!AD127*Assumptions!AD11</f>
        <v>441889235.82335979</v>
      </c>
      <c r="AD9" s="9">
        <f>Assumptions!AE127*Assumptions!AE11</f>
        <v>474736101.34819198</v>
      </c>
      <c r="AE9" s="9">
        <f>Assumptions!AF127*Assumptions!AF11</f>
        <v>508596730.25493646</v>
      </c>
      <c r="AF9" s="9">
        <f>Assumptions!AG127*Assumptions!AG11</f>
        <v>543495943.28342628</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522950329.60083759</v>
      </c>
      <c r="D10" s="9">
        <f>SUM($C$8:D9)</f>
        <v>1061553313.644123</v>
      </c>
      <c r="E10" s="9">
        <f>SUM($C$8:E9)</f>
        <v>1616227393.0253978</v>
      </c>
      <c r="F10" s="9">
        <f>SUM($C$8:F9)</f>
        <v>2187401537.5199904</v>
      </c>
      <c r="G10" s="9">
        <f>SUM($C$8:G9)</f>
        <v>2775208178.5401325</v>
      </c>
      <c r="H10" s="9">
        <f>SUM($C$8:H9)</f>
        <v>3379792134.3501778</v>
      </c>
      <c r="I10" s="9">
        <f>SUM($C$8:I9)</f>
        <v>4001310366.4428797</v>
      </c>
      <c r="J10" s="9">
        <f>SUM($C$8:J9)</f>
        <v>4639931753.8678417</v>
      </c>
      <c r="K10" s="9">
        <f>SUM($C$8:K9)</f>
        <v>5295836884.7365808</v>
      </c>
      <c r="L10" s="9">
        <f>SUM($C$8:L9)</f>
        <v>5969329127.4472837</v>
      </c>
      <c r="M10" s="9">
        <f>SUM($C$8:M9)</f>
        <v>6676120051.4093475</v>
      </c>
      <c r="N10" s="9">
        <f>SUM($C$8:N9)</f>
        <v>7416480557.5101595</v>
      </c>
      <c r="O10" s="9">
        <f>SUM($C$8:O9)</f>
        <v>8190686945.3796835</v>
      </c>
      <c r="P10" s="9">
        <f>SUM($C$8:P9)</f>
        <v>8999020796.4742184</v>
      </c>
      <c r="Q10" s="9">
        <f>SUM($C$8:Q9)</f>
        <v>9841916845.8882828</v>
      </c>
      <c r="R10" s="9">
        <f>SUM($C$8:R9)</f>
        <v>10719814620.801357</v>
      </c>
      <c r="S10" s="9">
        <f>SUM($C$8:S9)</f>
        <v>11633158365.110561</v>
      </c>
      <c r="T10" s="9">
        <f>SUM($C$8:T9)</f>
        <v>12582396957.979481</v>
      </c>
      <c r="U10" s="9">
        <f>SUM($C$8:U9)</f>
        <v>13567983826.056765</v>
      </c>
      <c r="V10" s="9">
        <f>SUM($C$8:V9)</f>
        <v>14590919683.269016</v>
      </c>
      <c r="W10" s="9">
        <f>SUM($C$8:W9)</f>
        <v>15657518885.598021</v>
      </c>
      <c r="X10" s="9">
        <f>SUM($C$8:X9)</f>
        <v>16769015259.517925</v>
      </c>
      <c r="Y10" s="9">
        <f>SUM($C$8:Y9)</f>
        <v>17926672352.876431</v>
      </c>
      <c r="Z10" s="9">
        <f>SUM($C$8:Z9)</f>
        <v>19131784084.130077</v>
      </c>
      <c r="AA10" s="9">
        <f>SUM($C$8:AA9)</f>
        <v>20385675404.665306</v>
      </c>
      <c r="AB10" s="9">
        <f>SUM($C$8:AB9)</f>
        <v>21689702974.447224</v>
      </c>
      <c r="AC10" s="9">
        <f>SUM($C$8:AC9)</f>
        <v>23045255851.242023</v>
      </c>
      <c r="AD10" s="9">
        <f>SUM($C$8:AD9)</f>
        <v>24453756193.663025</v>
      </c>
      <c r="AE10" s="9">
        <f>SUM($C$8:AE9)</f>
        <v>25916659978.294373</v>
      </c>
      <c r="AF10" s="9">
        <f>SUM($C$8:AF9)</f>
        <v>27435457731.15049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13269310525.828979</v>
      </c>
      <c r="D12" s="9">
        <f>D7+D8+D9</f>
        <v>13807913509.872265</v>
      </c>
      <c r="E12" s="9">
        <f>E7+E8+E9</f>
        <v>14362587589.25354</v>
      </c>
      <c r="F12" s="9">
        <f t="shared" ref="F12:H12" si="26">F7+F8+F9</f>
        <v>14933761733.748133</v>
      </c>
      <c r="G12" s="9">
        <f t="shared" si="26"/>
        <v>15521568374.768274</v>
      </c>
      <c r="H12" s="9">
        <f t="shared" si="26"/>
        <v>16126152330.57832</v>
      </c>
      <c r="I12" s="9">
        <f t="shared" ref="I12:AF12" si="27">I7+I8+I9</f>
        <v>16747670562.671022</v>
      </c>
      <c r="J12" s="9">
        <f t="shared" si="27"/>
        <v>17386291950.095985</v>
      </c>
      <c r="K12" s="9">
        <f t="shared" si="27"/>
        <v>18042197080.964725</v>
      </c>
      <c r="L12" s="9">
        <f t="shared" si="27"/>
        <v>18715689323.675426</v>
      </c>
      <c r="M12" s="9">
        <f t="shared" si="27"/>
        <v>19422480247.637489</v>
      </c>
      <c r="N12" s="9">
        <f t="shared" si="27"/>
        <v>20162840753.7383</v>
      </c>
      <c r="O12" s="9">
        <f t="shared" si="27"/>
        <v>20937047141.607822</v>
      </c>
      <c r="P12" s="9">
        <f t="shared" si="27"/>
        <v>21745380992.702358</v>
      </c>
      <c r="Q12" s="9">
        <f t="shared" si="27"/>
        <v>22588277042.116425</v>
      </c>
      <c r="R12" s="9">
        <f t="shared" si="27"/>
        <v>23466174817.029499</v>
      </c>
      <c r="S12" s="9">
        <f t="shared" si="27"/>
        <v>24379518561.338703</v>
      </c>
      <c r="T12" s="9">
        <f t="shared" si="27"/>
        <v>25328757154.207623</v>
      </c>
      <c r="U12" s="9">
        <f t="shared" si="27"/>
        <v>26314344022.284904</v>
      </c>
      <c r="V12" s="9">
        <f t="shared" si="27"/>
        <v>27337279879.497158</v>
      </c>
      <c r="W12" s="9">
        <f t="shared" si="27"/>
        <v>28403879081.826164</v>
      </c>
      <c r="X12" s="9">
        <f t="shared" si="27"/>
        <v>29515375455.746071</v>
      </c>
      <c r="Y12" s="9">
        <f t="shared" si="27"/>
        <v>30673032549.104572</v>
      </c>
      <c r="Z12" s="9">
        <f t="shared" si="27"/>
        <v>31878144280.358219</v>
      </c>
      <c r="AA12" s="9">
        <f t="shared" si="27"/>
        <v>33132035600.893452</v>
      </c>
      <c r="AB12" s="9">
        <f t="shared" si="27"/>
        <v>34436063170.675369</v>
      </c>
      <c r="AC12" s="9">
        <f t="shared" si="27"/>
        <v>35791616047.470161</v>
      </c>
      <c r="AD12" s="9">
        <f t="shared" si="27"/>
        <v>37200116389.891159</v>
      </c>
      <c r="AE12" s="9">
        <f t="shared" si="27"/>
        <v>38663020174.522507</v>
      </c>
      <c r="AF12" s="9">
        <f t="shared" si="27"/>
        <v>40181817927.378624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705907652.33665049</v>
      </c>
      <c r="D18" s="9">
        <f>Investment!D25</f>
        <v>722630016.79667401</v>
      </c>
      <c r="E18" s="9">
        <f>Investment!E25</f>
        <v>739707581.18722105</v>
      </c>
      <c r="F18" s="9">
        <f>Investment!F25</f>
        <v>757147466.24974477</v>
      </c>
      <c r="G18" s="9">
        <f>Investment!G25</f>
        <v>760697918.41729999</v>
      </c>
      <c r="H18" s="9">
        <f>Investment!H25</f>
        <v>764697163.63741767</v>
      </c>
      <c r="I18" s="9">
        <f>Investment!I25</f>
        <v>769132610.8797785</v>
      </c>
      <c r="J18" s="9">
        <f>Investment!J25</f>
        <v>773992327.9419601</v>
      </c>
      <c r="K18" s="9">
        <f>Investment!K25</f>
        <v>779265011.13573885</v>
      </c>
      <c r="L18" s="9">
        <f>Investment!L25</f>
        <v>790100110.11333561</v>
      </c>
      <c r="M18" s="9">
        <f>Investment!M25</f>
        <v>1515335394.9743357</v>
      </c>
      <c r="N18" s="9">
        <f>Investment!N25</f>
        <v>1523603854.8286595</v>
      </c>
      <c r="O18" s="9">
        <f>Investment!O25</f>
        <v>1531861030.6038756</v>
      </c>
      <c r="P18" s="9">
        <f>Investment!P25</f>
        <v>1540099551.9174604</v>
      </c>
      <c r="Q18" s="9">
        <f>Investment!Q25</f>
        <v>1555172539.261342</v>
      </c>
      <c r="R18" s="9">
        <f>Investment!R25</f>
        <v>1570189790.4743521</v>
      </c>
      <c r="S18" s="9">
        <f>Investment!S25</f>
        <v>1585144041.6648486</v>
      </c>
      <c r="T18" s="9">
        <f>Investment!T25</f>
        <v>1600027713.0035231</v>
      </c>
      <c r="U18" s="9">
        <f>Investment!U25</f>
        <v>1614832899.7770796</v>
      </c>
      <c r="V18" s="9">
        <f>Investment!V25</f>
        <v>1654706124.7077935</v>
      </c>
      <c r="W18" s="9">
        <f>Investment!W25</f>
        <v>1940447068.2805774</v>
      </c>
      <c r="X18" s="9">
        <f>Investment!X25</f>
        <v>1989952263.8746119</v>
      </c>
      <c r="Y18" s="9">
        <f>Investment!Y25</f>
        <v>2040408915.50806</v>
      </c>
      <c r="Z18" s="9">
        <f>Investment!Z25</f>
        <v>2091832336.2699323</v>
      </c>
      <c r="AA18" s="9">
        <f>Investment!AA25</f>
        <v>2144238039.56493</v>
      </c>
      <c r="AB18" s="9">
        <f>Investment!AB25</f>
        <v>2197641740.7122502</v>
      </c>
      <c r="AC18" s="9">
        <f>Investment!AC25</f>
        <v>2252059358.526639</v>
      </c>
      <c r="AD18" s="9">
        <f>Investment!AD25</f>
        <v>2307507016.8803554</v>
      </c>
      <c r="AE18" s="9">
        <f>Investment!AE25</f>
        <v>2364001046.2446899</v>
      </c>
      <c r="AF18" s="9">
        <f>Investment!AF25</f>
        <v>2421557985.2095714</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13452267848.564795</v>
      </c>
      <c r="D19" s="9">
        <f>D18+C20</f>
        <v>13651947535.760633</v>
      </c>
      <c r="E19" s="9">
        <f>E18+D20</f>
        <v>13853052132.90457</v>
      </c>
      <c r="F19" s="9">
        <f t="shared" ref="F19:AF19" si="28">F18+E20</f>
        <v>14055525519.773039</v>
      </c>
      <c r="G19" s="9">
        <f t="shared" si="28"/>
        <v>14245049293.695745</v>
      </c>
      <c r="H19" s="9">
        <f t="shared" si="28"/>
        <v>14421939816.313021</v>
      </c>
      <c r="I19" s="9">
        <f t="shared" si="28"/>
        <v>14586488471.382753</v>
      </c>
      <c r="J19" s="9">
        <f t="shared" si="28"/>
        <v>14738962567.23201</v>
      </c>
      <c r="K19" s="9">
        <f t="shared" si="28"/>
        <v>14879606190.942787</v>
      </c>
      <c r="L19" s="9">
        <f t="shared" si="28"/>
        <v>15013801170.187386</v>
      </c>
      <c r="M19" s="9">
        <f t="shared" si="28"/>
        <v>15855644322.451019</v>
      </c>
      <c r="N19" s="9">
        <f t="shared" si="28"/>
        <v>16672457253.317616</v>
      </c>
      <c r="O19" s="9">
        <f t="shared" si="28"/>
        <v>17463957777.820679</v>
      </c>
      <c r="P19" s="9">
        <f t="shared" si="28"/>
        <v>18229850941.868614</v>
      </c>
      <c r="Q19" s="9">
        <f t="shared" si="28"/>
        <v>18976689630.035419</v>
      </c>
      <c r="R19" s="9">
        <f t="shared" si="28"/>
        <v>19703983371.095707</v>
      </c>
      <c r="S19" s="9">
        <f t="shared" si="28"/>
        <v>20411229637.847481</v>
      </c>
      <c r="T19" s="9">
        <f t="shared" si="28"/>
        <v>21097913606.541801</v>
      </c>
      <c r="U19" s="9">
        <f t="shared" si="28"/>
        <v>21763507913.449963</v>
      </c>
      <c r="V19" s="9">
        <f t="shared" si="28"/>
        <v>22432627170.080475</v>
      </c>
      <c r="W19" s="9">
        <f t="shared" si="28"/>
        <v>23350138381.1488</v>
      </c>
      <c r="X19" s="9">
        <f t="shared" si="28"/>
        <v>24273491442.694405</v>
      </c>
      <c r="Y19" s="9">
        <f t="shared" si="28"/>
        <v>25202403984.282558</v>
      </c>
      <c r="Z19" s="9">
        <f t="shared" si="28"/>
        <v>26136579227.193989</v>
      </c>
      <c r="AA19" s="9">
        <f t="shared" si="28"/>
        <v>27075705535.505272</v>
      </c>
      <c r="AB19" s="9">
        <f t="shared" si="28"/>
        <v>28019455955.682289</v>
      </c>
      <c r="AC19" s="9">
        <f t="shared" si="28"/>
        <v>28967487744.427006</v>
      </c>
      <c r="AD19" s="9">
        <f t="shared" si="28"/>
        <v>29919441884.512562</v>
      </c>
      <c r="AE19" s="9">
        <f t="shared" si="28"/>
        <v>30874942588.33625</v>
      </c>
      <c r="AF19" s="9">
        <f t="shared" si="28"/>
        <v>31833596788.914474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12929317518.963959</v>
      </c>
      <c r="D20" s="9">
        <f>D19-D8-D9</f>
        <v>13113344551.717348</v>
      </c>
      <c r="E20" s="9">
        <f t="shared" ref="E20:AF20" si="29">E19-E8-E9</f>
        <v>13298378053.523294</v>
      </c>
      <c r="F20" s="9">
        <f t="shared" si="29"/>
        <v>13484351375.278446</v>
      </c>
      <c r="G20" s="9">
        <f t="shared" si="29"/>
        <v>13657242652.675604</v>
      </c>
      <c r="H20" s="9">
        <f t="shared" si="29"/>
        <v>13817355860.502975</v>
      </c>
      <c r="I20" s="9">
        <f t="shared" si="29"/>
        <v>13964970239.290051</v>
      </c>
      <c r="J20" s="9">
        <f t="shared" si="29"/>
        <v>14100341179.807049</v>
      </c>
      <c r="K20" s="9">
        <f t="shared" si="29"/>
        <v>14223701060.074049</v>
      </c>
      <c r="L20" s="9">
        <f t="shared" si="29"/>
        <v>14340308927.476683</v>
      </c>
      <c r="M20" s="9">
        <f t="shared" si="29"/>
        <v>15148853398.488956</v>
      </c>
      <c r="N20" s="9">
        <f t="shared" si="29"/>
        <v>15932096747.216805</v>
      </c>
      <c r="O20" s="9">
        <f t="shared" si="29"/>
        <v>16689751389.951155</v>
      </c>
      <c r="P20" s="9">
        <f t="shared" si="29"/>
        <v>17421517090.774078</v>
      </c>
      <c r="Q20" s="9">
        <f t="shared" si="29"/>
        <v>18133793580.621353</v>
      </c>
      <c r="R20" s="9">
        <f t="shared" si="29"/>
        <v>18826085596.182632</v>
      </c>
      <c r="S20" s="9">
        <f t="shared" si="29"/>
        <v>19497885893.538277</v>
      </c>
      <c r="T20" s="9">
        <f t="shared" si="29"/>
        <v>20148675013.672882</v>
      </c>
      <c r="U20" s="9">
        <f t="shared" si="29"/>
        <v>20777921045.372681</v>
      </c>
      <c r="V20" s="9">
        <f t="shared" si="29"/>
        <v>21409691312.868221</v>
      </c>
      <c r="W20" s="9">
        <f t="shared" si="29"/>
        <v>22283539178.819794</v>
      </c>
      <c r="X20" s="9">
        <f t="shared" si="29"/>
        <v>23161995068.774498</v>
      </c>
      <c r="Y20" s="9">
        <f t="shared" si="29"/>
        <v>24044746890.924057</v>
      </c>
      <c r="Z20" s="9">
        <f t="shared" si="29"/>
        <v>24931467495.940342</v>
      </c>
      <c r="AA20" s="9">
        <f t="shared" si="29"/>
        <v>25821814214.970039</v>
      </c>
      <c r="AB20" s="9">
        <f t="shared" si="29"/>
        <v>26715428385.900368</v>
      </c>
      <c r="AC20" s="9">
        <f t="shared" si="29"/>
        <v>27611934867.632206</v>
      </c>
      <c r="AD20" s="9">
        <f t="shared" si="29"/>
        <v>28510941542.09156</v>
      </c>
      <c r="AE20" s="9">
        <f t="shared" si="29"/>
        <v>29412038803.704903</v>
      </c>
      <c r="AF20" s="9">
        <f t="shared" si="29"/>
        <v>30314799036.058357</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2923601352.2188272</v>
      </c>
      <c r="D22" s="9">
        <f ca="1">'Balance Sheet'!C11</f>
        <v>4439514154.4321346</v>
      </c>
      <c r="E22" s="9">
        <f ca="1">'Balance Sheet'!D11</f>
        <v>4754344524.9155273</v>
      </c>
      <c r="F22" s="9">
        <f ca="1">'Balance Sheet'!E11</f>
        <v>5069196864.307107</v>
      </c>
      <c r="G22" s="9">
        <f ca="1">'Balance Sheet'!F11</f>
        <v>5383139877.638833</v>
      </c>
      <c r="H22" s="9">
        <f ca="1">'Balance Sheet'!G11</f>
        <v>5654281393.3817463</v>
      </c>
      <c r="I22" s="9">
        <f ca="1">'Balance Sheet'!H11</f>
        <v>5701533871.9026728</v>
      </c>
      <c r="J22" s="9">
        <f ca="1">'Balance Sheet'!I11</f>
        <v>5698007736.9262238</v>
      </c>
      <c r="K22" s="9">
        <f ca="1">'Balance Sheet'!J11</f>
        <v>5641287312.2231655</v>
      </c>
      <c r="L22" s="9">
        <f ca="1">'Balance Sheet'!K11</f>
        <v>5528791588.8963871</v>
      </c>
      <c r="M22" s="9">
        <f ca="1">'Balance Sheet'!L11</f>
        <v>5375403745.3848104</v>
      </c>
      <c r="N22" s="9">
        <f ca="1">'Balance Sheet'!M11</f>
        <v>5918329008.4861879</v>
      </c>
      <c r="O22" s="9">
        <f ca="1">'Balance Sheet'!N11</f>
        <v>6438172421.9661732</v>
      </c>
      <c r="P22" s="9">
        <f ca="1">'Balance Sheet'!O11</f>
        <v>6932347743.6503096</v>
      </c>
      <c r="Q22" s="9">
        <f ca="1">'Balance Sheet'!P11</f>
        <v>7398106834.3938313</v>
      </c>
      <c r="R22" s="9">
        <f ca="1">'Balance Sheet'!Q11</f>
        <v>7842534344.5017166</v>
      </c>
      <c r="S22" s="9">
        <f ca="1">'Balance Sheet'!R11</f>
        <v>8262901886.9829817</v>
      </c>
      <c r="T22" s="9">
        <f ca="1">'Balance Sheet'!S11</f>
        <v>8656307581.4184761</v>
      </c>
      <c r="U22" s="9">
        <f ca="1">'Balance Sheet'!T11</f>
        <v>9019666993.1520996</v>
      </c>
      <c r="V22" s="9">
        <f ca="1">'Balance Sheet'!U11</f>
        <v>9349703642.1610699</v>
      </c>
      <c r="W22" s="9">
        <f ca="1">'Balance Sheet'!V11</f>
        <v>9681754816.1147194</v>
      </c>
      <c r="X22" s="9">
        <f ca="1">'Balance Sheet'!W11</f>
        <v>10269089105.48321</v>
      </c>
      <c r="Y22" s="9">
        <f ca="1">'Balance Sheet'!X11</f>
        <v>10874521740.493196</v>
      </c>
      <c r="Z22" s="9">
        <f ca="1">'Balance Sheet'!Y11</f>
        <v>11498003429.881754</v>
      </c>
      <c r="AA22" s="9">
        <f ca="1">'Balance Sheet'!Z11</f>
        <v>12139445463.368191</v>
      </c>
      <c r="AB22" s="9">
        <f ca="1">'Balance Sheet'!AA11</f>
        <v>12798716746.382862</v>
      </c>
      <c r="AC22" s="9">
        <f ca="1">'Balance Sheet'!AB11</f>
        <v>13475640669.651947</v>
      </c>
      <c r="AD22" s="9">
        <f ca="1">'Balance Sheet'!AC11</f>
        <v>14169991805.505993</v>
      </c>
      <c r="AE22" s="9">
        <f ca="1">'Balance Sheet'!AD11</f>
        <v>14881492422.40288</v>
      </c>
      <c r="AF22" s="9">
        <f ca="1">'Balance Sheet'!AE11</f>
        <v>15609808808.761913</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10005716166.745132</v>
      </c>
      <c r="D23" s="9">
        <f t="shared" ref="D23:AF23" ca="1" si="30">D20-D22</f>
        <v>8673830397.2852135</v>
      </c>
      <c r="E23" s="9">
        <f t="shared" ca="1" si="30"/>
        <v>8544033528.6077671</v>
      </c>
      <c r="F23" s="9">
        <f t="shared" ca="1" si="30"/>
        <v>8415154510.9713392</v>
      </c>
      <c r="G23" s="9">
        <f t="shared" ca="1" si="30"/>
        <v>8274102775.0367708</v>
      </c>
      <c r="H23" s="9">
        <f t="shared" ca="1" si="30"/>
        <v>8163074467.1212292</v>
      </c>
      <c r="I23" s="9">
        <f t="shared" ca="1" si="30"/>
        <v>8263436367.3873777</v>
      </c>
      <c r="J23" s="9">
        <f ca="1">J20-J22</f>
        <v>8402333442.880825</v>
      </c>
      <c r="K23" s="9">
        <f t="shared" ca="1" si="30"/>
        <v>8582413747.8508835</v>
      </c>
      <c r="L23" s="9">
        <f t="shared" ca="1" si="30"/>
        <v>8811517338.5802956</v>
      </c>
      <c r="M23" s="9">
        <f t="shared" ca="1" si="30"/>
        <v>9773449653.1041451</v>
      </c>
      <c r="N23" s="9">
        <f t="shared" ca="1" si="30"/>
        <v>10013767738.730618</v>
      </c>
      <c r="O23" s="9">
        <f t="shared" ca="1" si="30"/>
        <v>10251578967.984982</v>
      </c>
      <c r="P23" s="9">
        <f t="shared" ca="1" si="30"/>
        <v>10489169347.123768</v>
      </c>
      <c r="Q23" s="9">
        <f t="shared" ca="1" si="30"/>
        <v>10735686746.227522</v>
      </c>
      <c r="R23" s="9">
        <f t="shared" ca="1" si="30"/>
        <v>10983551251.680916</v>
      </c>
      <c r="S23" s="9">
        <f t="shared" ca="1" si="30"/>
        <v>11234984006.555294</v>
      </c>
      <c r="T23" s="9">
        <f t="shared" ca="1" si="30"/>
        <v>11492367432.254406</v>
      </c>
      <c r="U23" s="9">
        <f t="shared" ca="1" si="30"/>
        <v>11758254052.220581</v>
      </c>
      <c r="V23" s="9">
        <f t="shared" ca="1" si="30"/>
        <v>12059987670.707151</v>
      </c>
      <c r="W23" s="9">
        <f t="shared" ca="1" si="30"/>
        <v>12601784362.705074</v>
      </c>
      <c r="X23" s="9">
        <f t="shared" ca="1" si="30"/>
        <v>12892905963.291288</v>
      </c>
      <c r="Y23" s="9">
        <f t="shared" ca="1" si="30"/>
        <v>13170225150.430861</v>
      </c>
      <c r="Z23" s="9">
        <f t="shared" ca="1" si="30"/>
        <v>13433464066.058588</v>
      </c>
      <c r="AA23" s="9">
        <f t="shared" ca="1" si="30"/>
        <v>13682368751.601849</v>
      </c>
      <c r="AB23" s="9">
        <f t="shared" ca="1" si="30"/>
        <v>13916711639.517506</v>
      </c>
      <c r="AC23" s="9">
        <f t="shared" ca="1" si="30"/>
        <v>14136294197.980259</v>
      </c>
      <c r="AD23" s="9">
        <f t="shared" ca="1" si="30"/>
        <v>14340949736.585567</v>
      </c>
      <c r="AE23" s="9">
        <f t="shared" ca="1" si="30"/>
        <v>14530546381.302023</v>
      </c>
      <c r="AF23" s="9">
        <f t="shared" ca="1" si="30"/>
        <v>14704990227.296444</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14"/>
  <sheetViews>
    <sheetView zoomScale="145" zoomScaleNormal="14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150</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2923601352.2188272</v>
      </c>
      <c r="D5" s="1">
        <f ca="1">C5+C6+C7+C8+C9</f>
        <v>4439514154.4321346</v>
      </c>
      <c r="E5" s="1">
        <f ca="1">D5+D6+D7+D8+D9</f>
        <v>4754344524.9155273</v>
      </c>
      <c r="F5" s="1">
        <f t="shared" ref="F5:AF5" ca="1" si="1">E5+E6+E7+E8+E9</f>
        <v>5069196864.307107</v>
      </c>
      <c r="G5" s="1">
        <f t="shared" ca="1" si="1"/>
        <v>5383139877.638833</v>
      </c>
      <c r="H5" s="1">
        <f t="shared" ca="1" si="1"/>
        <v>5654281393.3817463</v>
      </c>
      <c r="I5" s="1">
        <f t="shared" ca="1" si="1"/>
        <v>5701533871.9026728</v>
      </c>
      <c r="J5" s="1">
        <f ca="1">I5+I6+I7+I8+I9</f>
        <v>5698007736.9262238</v>
      </c>
      <c r="K5" s="1">
        <f t="shared" ca="1" si="1"/>
        <v>5641287312.2231655</v>
      </c>
      <c r="L5" s="1">
        <f t="shared" ca="1" si="1"/>
        <v>5528791588.8963871</v>
      </c>
      <c r="M5" s="1">
        <f t="shared" ca="1" si="1"/>
        <v>5375403745.3848104</v>
      </c>
      <c r="N5" s="1">
        <f t="shared" ca="1" si="1"/>
        <v>5918329008.4861879</v>
      </c>
      <c r="O5" s="1">
        <f t="shared" ca="1" si="1"/>
        <v>6438172421.9661732</v>
      </c>
      <c r="P5" s="1">
        <f t="shared" ca="1" si="1"/>
        <v>6932347743.6503096</v>
      </c>
      <c r="Q5" s="1">
        <f t="shared" ca="1" si="1"/>
        <v>7398106834.3938313</v>
      </c>
      <c r="R5" s="1">
        <f t="shared" ca="1" si="1"/>
        <v>7842534344.5017166</v>
      </c>
      <c r="S5" s="1">
        <f t="shared" ca="1" si="1"/>
        <v>8262901886.9829817</v>
      </c>
      <c r="T5" s="1">
        <f t="shared" ca="1" si="1"/>
        <v>8656307581.4184761</v>
      </c>
      <c r="U5" s="1">
        <f t="shared" ca="1" si="1"/>
        <v>9019666993.1520996</v>
      </c>
      <c r="V5" s="1">
        <f t="shared" ca="1" si="1"/>
        <v>9349703642.1610699</v>
      </c>
      <c r="W5" s="1">
        <f t="shared" ca="1" si="1"/>
        <v>9681754816.1147194</v>
      </c>
      <c r="X5" s="1">
        <f t="shared" ca="1" si="1"/>
        <v>10269089105.48321</v>
      </c>
      <c r="Y5" s="1">
        <f t="shared" ca="1" si="1"/>
        <v>10874521740.493196</v>
      </c>
      <c r="Z5" s="1">
        <f t="shared" ca="1" si="1"/>
        <v>11498003429.881754</v>
      </c>
      <c r="AA5" s="1">
        <f t="shared" ca="1" si="1"/>
        <v>12139445463.368191</v>
      </c>
      <c r="AB5" s="1">
        <f t="shared" ca="1" si="1"/>
        <v>12798716746.382862</v>
      </c>
      <c r="AC5" s="1">
        <f t="shared" ca="1" si="1"/>
        <v>13475640669.651947</v>
      </c>
      <c r="AD5" s="1">
        <f t="shared" ca="1" si="1"/>
        <v>14169991805.505993</v>
      </c>
      <c r="AE5" s="1">
        <f t="shared" ca="1" si="1"/>
        <v>14881492422.40288</v>
      </c>
      <c r="AF5" s="1">
        <f t="shared" ca="1" si="1"/>
        <v>15609808808.761913</v>
      </c>
      <c r="AG5" s="1"/>
      <c r="AH5" s="1"/>
      <c r="AI5" s="1"/>
      <c r="AJ5" s="1"/>
      <c r="AK5" s="1"/>
      <c r="AL5" s="1"/>
      <c r="AM5" s="1"/>
      <c r="AN5" s="1"/>
      <c r="AO5" s="1"/>
      <c r="AP5" s="1"/>
    </row>
    <row r="6" spans="1:42" x14ac:dyDescent="0.35">
      <c r="A6" s="63" t="s">
        <v>203</v>
      </c>
      <c r="C6" s="1">
        <f>Assumptions!C37</f>
        <v>1191622528.5325794</v>
      </c>
      <c r="D6" s="1">
        <f>Assumptions!D37</f>
        <v>0</v>
      </c>
      <c r="E6" s="1">
        <f>Assumptions!E37</f>
        <v>0</v>
      </c>
      <c r="F6" s="1">
        <f>Assumptions!F37</f>
        <v>0</v>
      </c>
      <c r="G6" s="1">
        <f>Assumptions!G37</f>
        <v>0</v>
      </c>
      <c r="H6" s="1">
        <f>Assumptions!H37</f>
        <v>0</v>
      </c>
      <c r="I6" s="1">
        <f>Assumptions!I37</f>
        <v>0</v>
      </c>
      <c r="J6" s="1">
        <f>Assumptions!J37</f>
        <v>0</v>
      </c>
      <c r="K6" s="1">
        <f>Assumptions!K37</f>
        <v>0</v>
      </c>
      <c r="L6" s="1">
        <f>Assumptions!L37</f>
        <v>0</v>
      </c>
      <c r="M6" s="1">
        <f>Assumptions!M37</f>
        <v>0</v>
      </c>
      <c r="N6" s="1">
        <f>Assumptions!N37</f>
        <v>0</v>
      </c>
      <c r="O6" s="1">
        <f>Assumptions!O37</f>
        <v>0</v>
      </c>
      <c r="P6" s="1">
        <f>Assumptions!P37</f>
        <v>0</v>
      </c>
      <c r="Q6" s="1">
        <f>Assumptions!Q37</f>
        <v>0</v>
      </c>
      <c r="R6" s="1">
        <f>Assumptions!R37</f>
        <v>0</v>
      </c>
      <c r="S6" s="1">
        <f>Assumptions!S37</f>
        <v>0</v>
      </c>
      <c r="T6" s="1">
        <f>Assumptions!T37</f>
        <v>0</v>
      </c>
      <c r="U6" s="1">
        <f>Assumptions!U37</f>
        <v>0</v>
      </c>
      <c r="V6" s="1">
        <f>Assumptions!V37</f>
        <v>0</v>
      </c>
      <c r="W6" s="1">
        <f>Assumptions!W37</f>
        <v>0</v>
      </c>
      <c r="X6" s="1">
        <f>Assumptions!X37</f>
        <v>0</v>
      </c>
      <c r="Y6" s="1">
        <f>Assumptions!Y37</f>
        <v>0</v>
      </c>
      <c r="Z6" s="1">
        <f>Assumptions!Z37</f>
        <v>0</v>
      </c>
      <c r="AA6" s="1">
        <f>Assumptions!AA37</f>
        <v>0</v>
      </c>
      <c r="AB6" s="1">
        <f>Assumptions!AB37</f>
        <v>0</v>
      </c>
      <c r="AC6" s="1">
        <f>Assumptions!AC37</f>
        <v>0</v>
      </c>
      <c r="AD6" s="1">
        <f>Assumptions!AD37</f>
        <v>0</v>
      </c>
      <c r="AE6" s="1">
        <f>Assumptions!AE37</f>
        <v>0</v>
      </c>
      <c r="AF6" s="1">
        <f>Assumptions!AF37</f>
        <v>0</v>
      </c>
      <c r="AG6" s="1"/>
      <c r="AH6" s="1"/>
      <c r="AI6" s="1"/>
      <c r="AJ6" s="1"/>
      <c r="AK6" s="1"/>
      <c r="AL6" s="1"/>
      <c r="AM6" s="1"/>
      <c r="AN6" s="1"/>
      <c r="AO6" s="1"/>
      <c r="AP6" s="1"/>
    </row>
    <row r="7" spans="1:42" x14ac:dyDescent="0.35">
      <c r="A7" s="63" t="s">
        <v>204</v>
      </c>
      <c r="C7" s="1">
        <f>Assumptions!D47*Assumptions!D9</f>
        <v>81189214.944019735</v>
      </c>
      <c r="D7" s="1">
        <f>Assumptions!E47*Assumptions!E9</f>
        <v>82975377.672788173</v>
      </c>
      <c r="E7" s="1">
        <f>Assumptions!F47*Assumptions!F9</f>
        <v>84800835.981589511</v>
      </c>
      <c r="F7" s="1">
        <f>Assumptions!G47*Assumptions!G9</f>
        <v>86666454.373184487</v>
      </c>
      <c r="G7" s="1">
        <f>Assumptions!H47*Assumptions!H9</f>
        <v>88573116.369394541</v>
      </c>
      <c r="H7" s="1">
        <f>Assumptions!I47*Assumptions!I9</f>
        <v>0</v>
      </c>
      <c r="I7" s="1">
        <f>Assumptions!J47*Assumptions!J9</f>
        <v>0</v>
      </c>
      <c r="J7" s="1">
        <f>Assumptions!K47*Assumptions!K9</f>
        <v>0</v>
      </c>
      <c r="K7" s="1">
        <f>Assumptions!L47*Assumptions!L9</f>
        <v>0</v>
      </c>
      <c r="L7" s="1">
        <f>Assumptions!M47*Assumptions!M9</f>
        <v>0</v>
      </c>
      <c r="M7" s="1">
        <f>Assumptions!N47*Assumptions!N9</f>
        <v>0</v>
      </c>
      <c r="N7" s="1">
        <f>Assumptions!O47*Assumptions!O9</f>
        <v>0</v>
      </c>
      <c r="O7" s="1">
        <f>Assumptions!P47*Assumptions!P9</f>
        <v>0</v>
      </c>
      <c r="P7" s="1">
        <f>Assumptions!Q47*Assumptions!Q9</f>
        <v>0</v>
      </c>
      <c r="Q7" s="1">
        <f>Assumptions!R47*Assumptions!R9</f>
        <v>0</v>
      </c>
      <c r="R7" s="1">
        <f>Assumptions!S47*Assumptions!S9</f>
        <v>0</v>
      </c>
      <c r="S7" s="1">
        <f>Assumptions!T47*Assumptions!T9</f>
        <v>0</v>
      </c>
      <c r="T7" s="1">
        <f>Assumptions!U47*Assumptions!U9</f>
        <v>0</v>
      </c>
      <c r="U7" s="1">
        <f>Assumptions!V47*Assumptions!V9</f>
        <v>0</v>
      </c>
      <c r="V7" s="1">
        <f>Assumptions!W47*Assumptions!W9</f>
        <v>0</v>
      </c>
      <c r="W7" s="1">
        <f>Assumptions!X47*Assumptions!X9</f>
        <v>0</v>
      </c>
      <c r="X7" s="1">
        <f>Assumptions!Y47*Assumptions!Y9</f>
        <v>0</v>
      </c>
      <c r="Y7" s="1">
        <f>Assumptions!Z47*Assumptions!Z9</f>
        <v>0</v>
      </c>
      <c r="Z7" s="1">
        <f>Assumptions!AA47*Assumptions!AA9</f>
        <v>0</v>
      </c>
      <c r="AA7" s="1">
        <f>Assumptions!AB47*Assumptions!AB9</f>
        <v>0</v>
      </c>
      <c r="AB7" s="1">
        <f>Assumptions!AC47*Assumptions!AC9</f>
        <v>0</v>
      </c>
      <c r="AC7" s="1">
        <f>Assumptions!AD47*Assumptions!AD9</f>
        <v>0</v>
      </c>
      <c r="AD7" s="1">
        <f>Assumptions!AE47*Assumptions!AE9</f>
        <v>0</v>
      </c>
      <c r="AE7" s="1">
        <f>Assumptions!AF47*Assumptions!AF9</f>
        <v>0</v>
      </c>
      <c r="AF7" s="1">
        <f>Assumptions!AG47*Assumptions!AG9</f>
        <v>0</v>
      </c>
      <c r="AG7" s="1"/>
      <c r="AH7" s="1"/>
      <c r="AI7" s="1"/>
      <c r="AJ7" s="1"/>
      <c r="AK7" s="1"/>
      <c r="AL7" s="1"/>
      <c r="AM7" s="1"/>
      <c r="AN7" s="1"/>
      <c r="AO7" s="1"/>
      <c r="AP7" s="1"/>
    </row>
    <row r="8" spans="1:42" x14ac:dyDescent="0.35">
      <c r="A8" s="63" t="s">
        <v>200</v>
      </c>
      <c r="C8" s="1">
        <f>-'Cash Flow'!C9</f>
        <v>-39720750.951085977</v>
      </c>
      <c r="D8" s="1">
        <f>-'Cash Flow'!D9</f>
        <v>-39720750.951085977</v>
      </c>
      <c r="E8" s="1">
        <f>-'Cash Flow'!E9</f>
        <v>-39720750.951085977</v>
      </c>
      <c r="F8" s="1">
        <f>-'Cash Flow'!F9</f>
        <v>-39720750.951085977</v>
      </c>
      <c r="G8" s="1">
        <f>-'Cash Flow'!G9</f>
        <v>-39720750.951085977</v>
      </c>
      <c r="H8" s="1">
        <f>-'Cash Flow'!H9</f>
        <v>-39720750.951085977</v>
      </c>
      <c r="I8" s="1">
        <f>-'Cash Flow'!I9</f>
        <v>-39720750.951085977</v>
      </c>
      <c r="J8" s="1">
        <f>-'Cash Flow'!J9</f>
        <v>-39720750.951085977</v>
      </c>
      <c r="K8" s="1">
        <f>-'Cash Flow'!K9</f>
        <v>-39720750.951085977</v>
      </c>
      <c r="L8" s="1">
        <f>-'Cash Flow'!L9</f>
        <v>-39720750.951085977</v>
      </c>
      <c r="M8" s="1">
        <f>-'Cash Flow'!M9</f>
        <v>-39720750.951085977</v>
      </c>
      <c r="N8" s="1">
        <f>-'Cash Flow'!N9</f>
        <v>-39720750.951085977</v>
      </c>
      <c r="O8" s="1">
        <f>-'Cash Flow'!O9</f>
        <v>-39720750.951085977</v>
      </c>
      <c r="P8" s="1">
        <f>-'Cash Flow'!P9</f>
        <v>-39720750.951085977</v>
      </c>
      <c r="Q8" s="1">
        <f>-'Cash Flow'!Q9</f>
        <v>-39720750.951085977</v>
      </c>
      <c r="R8" s="1">
        <f>-'Cash Flow'!R9</f>
        <v>-39720750.951085977</v>
      </c>
      <c r="S8" s="1">
        <f>-'Cash Flow'!S9</f>
        <v>-39720750.951085977</v>
      </c>
      <c r="T8" s="1">
        <f>-'Cash Flow'!T9</f>
        <v>-39720750.951085977</v>
      </c>
      <c r="U8" s="1">
        <f>-'Cash Flow'!U9</f>
        <v>-39720750.951085977</v>
      </c>
      <c r="V8" s="1">
        <f>-'Cash Flow'!V9</f>
        <v>-39720750.951085977</v>
      </c>
      <c r="W8" s="1">
        <f>-'Cash Flow'!W9</f>
        <v>-39720750.951085977</v>
      </c>
      <c r="X8" s="1">
        <f>-'Cash Flow'!X9</f>
        <v>-39720750.951085977</v>
      </c>
      <c r="Y8" s="1">
        <f>-'Cash Flow'!Y9</f>
        <v>-39720750.951085977</v>
      </c>
      <c r="Z8" s="1">
        <f>-'Cash Flow'!Z9</f>
        <v>-39720750.951085977</v>
      </c>
      <c r="AA8" s="1">
        <f>-'Cash Flow'!AA9</f>
        <v>-39720750.951085977</v>
      </c>
      <c r="AB8" s="1">
        <f>-'Cash Flow'!AB9</f>
        <v>-39720750.951085977</v>
      </c>
      <c r="AC8" s="1">
        <f>-'Cash Flow'!AC9</f>
        <v>-39720750.951085977</v>
      </c>
      <c r="AD8" s="1">
        <f>-'Cash Flow'!AD9</f>
        <v>-39720750.951085977</v>
      </c>
      <c r="AE8" s="1">
        <f>-'Cash Flow'!AE9</f>
        <v>-39720750.951085977</v>
      </c>
      <c r="AF8" s="1">
        <f>-'Cash Flow'!AF9</f>
        <v>-39720750.951085977</v>
      </c>
      <c r="AG8" s="1"/>
      <c r="AH8" s="1"/>
      <c r="AI8" s="1"/>
      <c r="AJ8" s="1"/>
      <c r="AK8" s="1"/>
      <c r="AL8" s="1"/>
      <c r="AM8" s="1"/>
      <c r="AN8" s="1"/>
      <c r="AO8" s="1"/>
      <c r="AP8" s="1"/>
    </row>
    <row r="9" spans="1:42" x14ac:dyDescent="0.35">
      <c r="A9" s="63" t="s">
        <v>3</v>
      </c>
      <c r="C9" s="1">
        <f ca="1">-'Cash Flow'!C13</f>
        <v>282821809.68779469</v>
      </c>
      <c r="D9" s="1">
        <f ca="1">-'Cash Flow'!D13</f>
        <v>271575743.76168972</v>
      </c>
      <c r="E9" s="1">
        <f ca="1">-'Cash Flow'!E13</f>
        <v>269772254.36107665</v>
      </c>
      <c r="F9" s="1">
        <f ca="1">-'Cash Flow'!F13</f>
        <v>266997309.90962785</v>
      </c>
      <c r="G9" s="1">
        <f ca="1">-'Cash Flow'!G13</f>
        <v>222289150.32460511</v>
      </c>
      <c r="H9" s="1">
        <f ca="1">-'Cash Flow'!H13</f>
        <v>86973229.472012401</v>
      </c>
      <c r="I9" s="1">
        <f ca="1">-'Cash Flow'!I13</f>
        <v>36194615.974636555</v>
      </c>
      <c r="J9" s="1">
        <f ca="1">-'Cash Flow'!J13</f>
        <v>-16999673.751972318</v>
      </c>
      <c r="K9" s="1">
        <f ca="1">-'Cash Flow'!K13</f>
        <v>-72774972.375692844</v>
      </c>
      <c r="L9" s="1">
        <f ca="1">-'Cash Flow'!L13</f>
        <v>-113667092.56049097</v>
      </c>
      <c r="M9" s="1">
        <f ca="1">-'Cash Flow'!M13</f>
        <v>582646014.05246341</v>
      </c>
      <c r="N9" s="1">
        <f ca="1">-'Cash Flow'!N13</f>
        <v>559564164.43107128</v>
      </c>
      <c r="O9" s="1">
        <f ca="1">-'Cash Flow'!O13</f>
        <v>533896072.63522267</v>
      </c>
      <c r="P9" s="1">
        <f ca="1">-'Cash Flow'!P13</f>
        <v>505479841.69460809</v>
      </c>
      <c r="Q9" s="1">
        <f ca="1">-'Cash Flow'!Q13</f>
        <v>484148261.05897176</v>
      </c>
      <c r="R9" s="1">
        <f ca="1">-'Cash Flow'!R13</f>
        <v>460088293.43235087</v>
      </c>
      <c r="S9" s="1">
        <f ca="1">-'Cash Flow'!S13</f>
        <v>433126445.38657975</v>
      </c>
      <c r="T9" s="1">
        <f ca="1">-'Cash Flow'!T13</f>
        <v>403080162.68470907</v>
      </c>
      <c r="U9" s="1">
        <f ca="1">-'Cash Flow'!U13</f>
        <v>369757399.96005559</v>
      </c>
      <c r="V9" s="1">
        <f ca="1">-'Cash Flow'!V13</f>
        <v>371771924.90473533</v>
      </c>
      <c r="W9" s="1">
        <f ca="1">-'Cash Flow'!W13</f>
        <v>627055040.31957626</v>
      </c>
      <c r="X9" s="1">
        <f ca="1">-'Cash Flow'!X13</f>
        <v>645153385.96107316</v>
      </c>
      <c r="Y9" s="1">
        <f ca="1">-'Cash Flow'!Y13</f>
        <v>663202440.339643</v>
      </c>
      <c r="Z9" s="1">
        <f ca="1">-'Cash Flow'!Z13</f>
        <v>681162784.4375236</v>
      </c>
      <c r="AA9" s="1">
        <f ca="1">-'Cash Flow'!AA13</f>
        <v>698992033.96575689</v>
      </c>
      <c r="AB9" s="1">
        <f ca="1">-'Cash Flow'!AB13</f>
        <v>716644674.22017193</v>
      </c>
      <c r="AC9" s="1">
        <f ca="1">-'Cash Flow'!AC13</f>
        <v>734071886.80513287</v>
      </c>
      <c r="AD9" s="1">
        <f ca="1">-'Cash Flow'!AD13</f>
        <v>751221367.84797239</v>
      </c>
      <c r="AE9" s="1">
        <f ca="1">-'Cash Flow'!AE13</f>
        <v>768037137.31011963</v>
      </c>
      <c r="AF9" s="1">
        <f ca="1">-'Cash Flow'!AF13</f>
        <v>784459338.98310995</v>
      </c>
      <c r="AG9" s="1"/>
      <c r="AH9" s="1"/>
      <c r="AI9" s="1"/>
      <c r="AJ9" s="1"/>
      <c r="AK9" s="1"/>
      <c r="AL9" s="1"/>
      <c r="AM9" s="1"/>
      <c r="AN9" s="1"/>
      <c r="AO9" s="1"/>
      <c r="AP9" s="1"/>
    </row>
    <row r="10" spans="1:42" x14ac:dyDescent="0.3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42" x14ac:dyDescent="0.35">
      <c r="A11" s="63" t="s">
        <v>5</v>
      </c>
      <c r="C11" s="1">
        <f ca="1">IF(SUM(C5:C9)&gt;0,Assumptions!$C$26*SUM(C5:C9),Assumptions!$C$27*(SUM(C5:C9)))</f>
        <v>155382995.40512472</v>
      </c>
      <c r="D11" s="1">
        <f ca="1">IF(SUM(D5:D9)&gt;0,Assumptions!$C$26*SUM(D5:D9),Assumptions!$C$27*(SUM(D5:D9)))</f>
        <v>166402058.37204346</v>
      </c>
      <c r="E11" s="1">
        <f ca="1">IF(SUM(E5:E9)&gt;0,Assumptions!$C$26*SUM(E5:E9),Assumptions!$C$27*(SUM(E5:E9)))</f>
        <v>177421890.25074875</v>
      </c>
      <c r="F11" s="1">
        <f ca="1">IF(SUM(F5:F9)&gt;0,Assumptions!$C$26*SUM(F5:F9),Assumptions!$C$27*(SUM(F5:F9)))</f>
        <v>188409895.71735919</v>
      </c>
      <c r="G11" s="1">
        <f ca="1">IF(SUM(G5:G9)&gt;0,Assumptions!$C$26*SUM(G5:G9),Assumptions!$C$27*(SUM(G5:G9)))</f>
        <v>197899848.76836115</v>
      </c>
      <c r="H11" s="1">
        <f ca="1">IF(SUM(H5:H9)&gt;0,Assumptions!$C$26*SUM(H5:H9),Assumptions!$C$27*(SUM(H5:H9)))</f>
        <v>199553685.51659358</v>
      </c>
      <c r="I11" s="1">
        <f ca="1">IF(SUM(I5:I9)&gt;0,Assumptions!$C$26*SUM(I5:I9),Assumptions!$C$27*(SUM(I5:I9)))</f>
        <v>199430270.79241785</v>
      </c>
      <c r="J11" s="1">
        <f ca="1">IF(SUM(J5:J9)&gt;0,Assumptions!$C$26*SUM(J5:J9),Assumptions!$C$27*(SUM(J5:J9)))</f>
        <v>197445055.92781082</v>
      </c>
      <c r="K11" s="1">
        <f ca="1">IF(SUM(K5:K9)&gt;0,Assumptions!$C$26*SUM(K5:K9),Assumptions!$C$27*(SUM(K5:K9)))</f>
        <v>193507705.61137357</v>
      </c>
      <c r="L11" s="1">
        <f ca="1">IF(SUM(L5:L9)&gt;0,Assumptions!$C$26*SUM(L5:L9),Assumptions!$C$27*(SUM(L5:L9)))</f>
        <v>188139131.08846837</v>
      </c>
      <c r="M11" s="1">
        <f ca="1">IF(SUM(M5:M9)&gt;0,Assumptions!$C$26*SUM(M5:M9),Assumptions!$C$27*(SUM(M5:M9)))</f>
        <v>207141515.29701659</v>
      </c>
      <c r="N11" s="1">
        <f ca="1">IF(SUM(N5:N9)&gt;0,Assumptions!$C$26*SUM(N5:N9),Assumptions!$C$27*(SUM(N5:N9)))</f>
        <v>225336034.76881608</v>
      </c>
      <c r="O11" s="1">
        <f ca="1">IF(SUM(O5:O9)&gt;0,Assumptions!$C$26*SUM(O5:O9),Assumptions!$C$27*(SUM(O5:O9)))</f>
        <v>242632171.02776086</v>
      </c>
      <c r="P11" s="1">
        <f ca="1">IF(SUM(P5:P9)&gt;0,Assumptions!$C$26*SUM(P5:P9),Assumptions!$C$27*(SUM(P5:P9)))</f>
        <v>258933739.20378411</v>
      </c>
      <c r="Q11" s="1">
        <f ca="1">IF(SUM(Q5:Q9)&gt;0,Assumptions!$C$26*SUM(Q5:Q9),Assumptions!$C$27*(SUM(Q5:Q9)))</f>
        <v>274488702.05756009</v>
      </c>
      <c r="R11" s="1">
        <f ca="1">IF(SUM(R5:R9)&gt;0,Assumptions!$C$26*SUM(R5:R9),Assumptions!$C$27*(SUM(R5:R9)))</f>
        <v>289201566.04440439</v>
      </c>
      <c r="S11" s="1">
        <f ca="1">IF(SUM(S5:S9)&gt;0,Assumptions!$C$26*SUM(S5:S9),Assumptions!$C$27*(SUM(S5:S9)))</f>
        <v>302970765.34964669</v>
      </c>
      <c r="T11" s="1">
        <f ca="1">IF(SUM(T5:T9)&gt;0,Assumptions!$C$26*SUM(T5:T9),Assumptions!$C$27*(SUM(T5:T9)))</f>
        <v>315688344.76032352</v>
      </c>
      <c r="U11" s="1">
        <f ca="1">IF(SUM(U5:U9)&gt;0,Assumptions!$C$26*SUM(U5:U9),Assumptions!$C$27*(SUM(U5:U9)))</f>
        <v>327239627.4756375</v>
      </c>
      <c r="V11" s="1">
        <f ca="1">IF(SUM(V5:V9)&gt;0,Assumptions!$C$26*SUM(V5:V9),Assumptions!$C$27*(SUM(V5:V9)))</f>
        <v>338861418.56401521</v>
      </c>
      <c r="W11" s="1">
        <f ca="1">IF(SUM(W5:W9)&gt;0,Assumptions!$C$26*SUM(W5:W9),Assumptions!$C$27*(SUM(W5:W9)))</f>
        <v>359418118.69191235</v>
      </c>
      <c r="X11" s="1">
        <f ca="1">IF(SUM(X5:X9)&gt;0,Assumptions!$C$26*SUM(X5:X9),Assumptions!$C$27*(SUM(X5:X9)))</f>
        <v>380608260.9172619</v>
      </c>
      <c r="Y11" s="1">
        <f ca="1">IF(SUM(Y5:Y9)&gt;0,Assumptions!$C$26*SUM(Y5:Y9),Assumptions!$C$27*(SUM(Y5:Y9)))</f>
        <v>402430120.04586142</v>
      </c>
      <c r="Z11" s="1">
        <f ca="1">IF(SUM(Z5:Z9)&gt;0,Assumptions!$C$26*SUM(Z5:Z9),Assumptions!$C$27*(SUM(Z5:Z9)))</f>
        <v>424880591.21788675</v>
      </c>
      <c r="AA11" s="1">
        <f ca="1">IF(SUM(AA5:AA9)&gt;0,Assumptions!$C$26*SUM(AA5:AA9),Assumptions!$C$27*(SUM(AA5:AA9)))</f>
        <v>447955086.12340021</v>
      </c>
      <c r="AB11" s="1">
        <f ca="1">IF(SUM(AB5:AB9)&gt;0,Assumptions!$C$26*SUM(AB5:AB9),Assumptions!$C$27*(SUM(AB5:AB9)))</f>
        <v>471647423.43781817</v>
      </c>
      <c r="AC11" s="1">
        <f ca="1">IF(SUM(AC5:AC9)&gt;0,Assumptions!$C$26*SUM(AC5:AC9),Assumptions!$C$27*(SUM(AC5:AC9)))</f>
        <v>495949713.1927098</v>
      </c>
      <c r="AD11" s="1">
        <f ca="1">IF(SUM(AD5:AD9)&gt;0,Assumptions!$C$26*SUM(AD5:AD9),Assumptions!$C$27*(SUM(AD5:AD9)))</f>
        <v>520852234.78410083</v>
      </c>
      <c r="AE11" s="1">
        <f ca="1">IF(SUM(AE5:AE9)&gt;0,Assumptions!$C$26*SUM(AE5:AE9),Assumptions!$C$27*(SUM(AE5:AE9)))</f>
        <v>546343308.30666697</v>
      </c>
      <c r="AF11" s="1">
        <f ca="1">IF(SUM(AF5:AF9)&gt;0,Assumptions!$C$26*SUM(AF5:AF9),Assumptions!$C$27*(SUM(AF5:AF9)))</f>
        <v>572409158.88778782</v>
      </c>
      <c r="AG11" s="1"/>
      <c r="AH11" s="1"/>
      <c r="AI11" s="1"/>
      <c r="AJ11" s="1"/>
      <c r="AK11" s="1"/>
      <c r="AL11" s="1"/>
      <c r="AM11" s="1"/>
      <c r="AN11" s="1"/>
      <c r="AO11" s="1"/>
      <c r="AP11" s="1"/>
    </row>
    <row r="12" spans="1:42" x14ac:dyDescent="0.3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row>
    <row r="14" spans="1:42" x14ac:dyDescent="0.35">
      <c r="K14" s="5"/>
      <c r="L14" s="5"/>
      <c r="M14" s="5"/>
      <c r="N14" s="5"/>
      <c r="O14" s="5"/>
      <c r="P14" s="5"/>
      <c r="Q14" s="5"/>
      <c r="R14" s="5"/>
      <c r="S14" s="5"/>
      <c r="T14" s="5"/>
      <c r="U14" s="5"/>
      <c r="V14" s="5"/>
      <c r="W14" s="5"/>
      <c r="X14" s="5"/>
      <c r="Y14" s="5"/>
      <c r="Z14" s="5"/>
      <c r="AA14" s="5"/>
      <c r="AB14" s="5"/>
      <c r="AC14" s="5"/>
      <c r="AD14" s="5"/>
      <c r="AE14" s="5"/>
      <c r="AF14" s="5"/>
    </row>
  </sheetData>
  <sheetProtection algorithmName="SHA-512" hashValue="2wHHxm73AyZ7usG24ihLUweJQ7d7LdlRwyrUPvtwULlZeASMsJGPzD3Zsl9nA2zyjccvpAXiZERb3u3AXxa4sQ==" saltValue="WMF1QHStaLsnAEwvY4HeM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69"/>
  </cols>
  <sheetData>
    <row r="1" spans="1:1" x14ac:dyDescent="0.35">
      <c r="A1" s="170"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workbookViewId="0">
      <selection sqref="A1:XFD1048576"/>
    </sheetView>
  </sheetViews>
  <sheetFormatPr defaultRowHeight="15.5" x14ac:dyDescent="0.35"/>
  <cols>
    <col min="1" max="1" width="107.9140625" style="63" customWidth="1"/>
    <col min="2" max="2" width="18.1640625" style="63" bestFit="1" customWidth="1"/>
    <col min="3" max="3" width="78.08203125" style="63" customWidth="1"/>
    <col min="4" max="16384" width="8.6640625" style="63"/>
  </cols>
  <sheetData>
    <row r="1" spans="1:3" ht="26" x14ac:dyDescent="0.6">
      <c r="A1" s="13" t="s">
        <v>170</v>
      </c>
    </row>
    <row r="2" spans="1:3" ht="26" x14ac:dyDescent="0.6">
      <c r="A2" s="13"/>
    </row>
    <row r="3" spans="1:3" ht="186" x14ac:dyDescent="0.35">
      <c r="A3" s="168" t="s">
        <v>173</v>
      </c>
    </row>
    <row r="4" spans="1:3" ht="26" x14ac:dyDescent="0.6">
      <c r="A4" s="13"/>
    </row>
    <row r="5" spans="1:3" ht="18.5" x14ac:dyDescent="0.45">
      <c r="A5" s="87" t="s">
        <v>162</v>
      </c>
      <c r="B5" s="88"/>
    </row>
    <row r="6" spans="1:3" ht="18.5" x14ac:dyDescent="0.45">
      <c r="A6" s="88"/>
      <c r="B6" s="88"/>
    </row>
    <row r="7" spans="1:3" ht="18.5" x14ac:dyDescent="0.45">
      <c r="A7" s="88" t="s">
        <v>101</v>
      </c>
      <c r="B7" s="221">
        <f>Assumptions!C24</f>
        <v>1002514234.6660497</v>
      </c>
      <c r="C7" s="230" t="s">
        <v>247</v>
      </c>
    </row>
    <row r="8" spans="1:3" ht="18.5" x14ac:dyDescent="0.45">
      <c r="A8" s="88" t="s">
        <v>159</v>
      </c>
      <c r="B8" s="222">
        <f>Assumptions!$C$140</f>
        <v>0.7</v>
      </c>
      <c r="C8" s="230" t="s">
        <v>248</v>
      </c>
    </row>
    <row r="9" spans="1:3" ht="18.5" x14ac:dyDescent="0.45">
      <c r="A9" s="88"/>
      <c r="B9" s="223"/>
      <c r="C9" s="230"/>
    </row>
    <row r="10" spans="1:3" ht="18.5" x14ac:dyDescent="0.45">
      <c r="A10" s="92" t="s">
        <v>106</v>
      </c>
      <c r="B10" s="224">
        <f>Assumptions!C142</f>
        <v>639204.83888888883</v>
      </c>
      <c r="C10" s="230" t="s">
        <v>247</v>
      </c>
    </row>
    <row r="11" spans="1:3" ht="18.5" x14ac:dyDescent="0.45">
      <c r="A11" s="92"/>
      <c r="B11" s="225"/>
      <c r="C11" s="230"/>
    </row>
    <row r="12" spans="1:3" ht="18.5" x14ac:dyDescent="0.45">
      <c r="A12" s="92" t="s">
        <v>169</v>
      </c>
      <c r="B12" s="221">
        <f>(B7*B8)/B10</f>
        <v>1097.8639734425096</v>
      </c>
      <c r="C12" s="230"/>
    </row>
    <row r="13" spans="1:3" ht="18.5" x14ac:dyDescent="0.45">
      <c r="A13" s="94"/>
      <c r="B13" s="226"/>
      <c r="C13" s="230"/>
    </row>
    <row r="14" spans="1:3" ht="18.5" x14ac:dyDescent="0.45">
      <c r="A14" s="92" t="s">
        <v>107</v>
      </c>
      <c r="B14" s="101">
        <v>1</v>
      </c>
      <c r="C14" s="230"/>
    </row>
    <row r="15" spans="1:3" ht="18.5" x14ac:dyDescent="0.45">
      <c r="A15" s="94"/>
      <c r="B15" s="97"/>
      <c r="C15" s="230"/>
    </row>
    <row r="16" spans="1:3" ht="18.5" x14ac:dyDescent="0.45">
      <c r="A16" s="94" t="s">
        <v>164</v>
      </c>
      <c r="B16" s="227">
        <f>B12/B14</f>
        <v>1097.8639734425096</v>
      </c>
      <c r="C16" s="230"/>
    </row>
    <row r="17" spans="1:3" ht="18.5" x14ac:dyDescent="0.45">
      <c r="A17" s="92"/>
      <c r="B17" s="228"/>
      <c r="C17" s="230"/>
    </row>
    <row r="18" spans="1:3" ht="18.5" x14ac:dyDescent="0.45">
      <c r="A18" s="100" t="s">
        <v>163</v>
      </c>
      <c r="B18" s="228"/>
      <c r="C18" s="230"/>
    </row>
    <row r="19" spans="1:3" ht="18.5" x14ac:dyDescent="0.45">
      <c r="A19" s="92"/>
      <c r="B19" s="228"/>
      <c r="C19" s="230"/>
    </row>
    <row r="20" spans="1:3" ht="18.5" x14ac:dyDescent="0.45">
      <c r="A20" s="92" t="s">
        <v>68</v>
      </c>
      <c r="B20" s="221">
        <f>'Profit and Loss'!L5</f>
        <v>1451887116.306406</v>
      </c>
      <c r="C20" s="230" t="s">
        <v>247</v>
      </c>
    </row>
    <row r="21" spans="1:3" ht="18.5" x14ac:dyDescent="0.45">
      <c r="A21" s="92" t="str">
        <f>A8</f>
        <v>Assumed revenue from households</v>
      </c>
      <c r="B21" s="222">
        <f>B8</f>
        <v>0.7</v>
      </c>
      <c r="C21" s="230" t="s">
        <v>248</v>
      </c>
    </row>
    <row r="22" spans="1:3" ht="18.5" x14ac:dyDescent="0.45">
      <c r="A22" s="92"/>
      <c r="B22" s="225"/>
      <c r="C22" s="230"/>
    </row>
    <row r="23" spans="1:3" ht="18.5" x14ac:dyDescent="0.45">
      <c r="A23" s="92" t="s">
        <v>105</v>
      </c>
      <c r="B23" s="224">
        <f>Assumptions!M142</f>
        <v>786202.92180071096</v>
      </c>
      <c r="C23" s="230" t="s">
        <v>247</v>
      </c>
    </row>
    <row r="24" spans="1:3" ht="18.5" x14ac:dyDescent="0.45">
      <c r="A24" s="92"/>
      <c r="B24" s="225"/>
      <c r="C24" s="230"/>
    </row>
    <row r="25" spans="1:3" ht="18.5" x14ac:dyDescent="0.45">
      <c r="A25" s="92" t="s">
        <v>168</v>
      </c>
      <c r="B25" s="221">
        <f>(B20*B21)/B23</f>
        <v>1292.6955029456176</v>
      </c>
      <c r="C25" s="230"/>
    </row>
    <row r="26" spans="1:3" ht="18.5" x14ac:dyDescent="0.45">
      <c r="A26" s="92"/>
      <c r="B26" s="221"/>
      <c r="C26" s="230"/>
    </row>
    <row r="27" spans="1:3" ht="37" x14ac:dyDescent="0.45">
      <c r="A27" s="92" t="s">
        <v>107</v>
      </c>
      <c r="B27" s="101">
        <f>1.022^11</f>
        <v>1.2704566586717592</v>
      </c>
      <c r="C27" s="230" t="s">
        <v>249</v>
      </c>
    </row>
    <row r="28" spans="1:3" ht="18.5" x14ac:dyDescent="0.45">
      <c r="A28" s="94"/>
      <c r="B28" s="226"/>
      <c r="C28" s="230"/>
    </row>
    <row r="29" spans="1:3" ht="18.5" x14ac:dyDescent="0.45">
      <c r="A29" s="94" t="s">
        <v>165</v>
      </c>
      <c r="B29" s="221">
        <f>B25/B27</f>
        <v>1017.5046068057991</v>
      </c>
      <c r="C29" s="230"/>
    </row>
    <row r="30" spans="1:3" ht="18.5" x14ac:dyDescent="0.45">
      <c r="A30" s="94"/>
      <c r="B30" s="226"/>
      <c r="C30" s="230"/>
    </row>
    <row r="31" spans="1:3" ht="18.5" x14ac:dyDescent="0.45">
      <c r="A31" s="100" t="s">
        <v>171</v>
      </c>
      <c r="B31" s="229"/>
      <c r="C31" s="230"/>
    </row>
    <row r="32" spans="1:3" ht="18.5" x14ac:dyDescent="0.45">
      <c r="A32" s="92"/>
      <c r="B32" s="221"/>
      <c r="C32" s="230"/>
    </row>
    <row r="33" spans="1:3" ht="18.5" x14ac:dyDescent="0.45">
      <c r="A33" s="92" t="s">
        <v>69</v>
      </c>
      <c r="B33" s="221">
        <f>'Profit and Loss'!AF5</f>
        <v>2680090911.7195206</v>
      </c>
      <c r="C33" s="230" t="s">
        <v>247</v>
      </c>
    </row>
    <row r="34" spans="1:3" ht="18.5" x14ac:dyDescent="0.45">
      <c r="A34" s="92" t="str">
        <f>A21</f>
        <v>Assumed revenue from households</v>
      </c>
      <c r="B34" s="222">
        <f>B21</f>
        <v>0.7</v>
      </c>
      <c r="C34" s="230" t="s">
        <v>248</v>
      </c>
    </row>
    <row r="35" spans="1:3" ht="18.5" x14ac:dyDescent="0.45">
      <c r="A35" s="92"/>
      <c r="B35" s="225"/>
      <c r="C35" s="230"/>
    </row>
    <row r="36" spans="1:3" ht="18.5" x14ac:dyDescent="0.45">
      <c r="A36" s="92" t="s">
        <v>104</v>
      </c>
      <c r="B36" s="224">
        <f>Assumptions!AG142</f>
        <v>1189388.8214101433</v>
      </c>
      <c r="C36" s="230" t="s">
        <v>247</v>
      </c>
    </row>
    <row r="37" spans="1:3" ht="18.5" x14ac:dyDescent="0.45">
      <c r="A37" s="92"/>
      <c r="B37" s="225"/>
      <c r="C37" s="230"/>
    </row>
    <row r="38" spans="1:3" ht="18.5" x14ac:dyDescent="0.45">
      <c r="A38" s="92" t="s">
        <v>167</v>
      </c>
      <c r="B38" s="221">
        <f>(B33*B34)/B36</f>
        <v>1577.3341773797715</v>
      </c>
      <c r="C38" s="230"/>
    </row>
    <row r="39" spans="1:3" ht="18.5" x14ac:dyDescent="0.45">
      <c r="A39" s="92"/>
      <c r="B39" s="225"/>
      <c r="C39" s="230"/>
    </row>
    <row r="40" spans="1:3" ht="37" x14ac:dyDescent="0.45">
      <c r="A40" s="92" t="s">
        <v>107</v>
      </c>
      <c r="B40" s="101">
        <f>1.022^31</f>
        <v>1.9632597808456462</v>
      </c>
      <c r="C40" s="230" t="s">
        <v>249</v>
      </c>
    </row>
    <row r="41" spans="1:3" ht="18.5" x14ac:dyDescent="0.45">
      <c r="A41" s="94"/>
      <c r="B41" s="226"/>
      <c r="C41" s="231"/>
    </row>
    <row r="42" spans="1:3" ht="18.5" x14ac:dyDescent="0.45">
      <c r="A42" s="94" t="s">
        <v>166</v>
      </c>
      <c r="B42" s="221">
        <f>B38/B40</f>
        <v>803.4261144494883</v>
      </c>
      <c r="C42" s="2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69"/>
  </cols>
  <sheetData>
    <row r="1" spans="1:1" x14ac:dyDescent="0.35">
      <c r="A1" s="170"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BF43-D3FD-481F-AEAC-4042EC153BC7}">
  <dimension ref="A1:BD27"/>
  <sheetViews>
    <sheetView zoomScale="70" zoomScaleNormal="70" workbookViewId="0">
      <selection sqref="A1:XFD1048576"/>
    </sheetView>
  </sheetViews>
  <sheetFormatPr defaultColWidth="21.4140625" defaultRowHeight="15.5" x14ac:dyDescent="0.35"/>
  <cols>
    <col min="1" max="1" width="25.6640625" style="181" customWidth="1"/>
    <col min="2" max="2" width="28.33203125" style="179" bestFit="1" customWidth="1"/>
    <col min="3" max="3" width="24.25" style="179" bestFit="1" customWidth="1"/>
    <col min="4" max="4" width="53.4140625" style="179" customWidth="1"/>
    <col min="5" max="5" width="21.4140625" style="179"/>
    <col min="6" max="6" width="28.33203125" style="179" bestFit="1" customWidth="1"/>
    <col min="7" max="7" width="24.25" style="179" bestFit="1" customWidth="1"/>
    <col min="8" max="8" width="39.83203125" style="179" bestFit="1" customWidth="1"/>
    <col min="9" max="11" width="21.4140625" style="181"/>
    <col min="12" max="12" width="61.08203125" style="181" customWidth="1"/>
    <col min="13" max="13" width="21.4140625" style="179"/>
    <col min="14" max="14" width="36.25" style="179" bestFit="1" customWidth="1"/>
    <col min="15" max="15" width="12.5" style="179" bestFit="1" customWidth="1"/>
    <col min="16" max="16" width="39.83203125" style="179" bestFit="1" customWidth="1"/>
    <col min="17" max="17" width="21.4140625" style="179"/>
    <col min="18" max="18" width="36.25" style="179" bestFit="1" customWidth="1"/>
    <col min="19" max="19" width="21.4140625" style="179"/>
    <col min="20" max="20" width="39.83203125" style="179" bestFit="1" customWidth="1"/>
    <col min="21" max="21" width="21.4140625" style="179"/>
    <col min="22" max="22" width="26.1640625" style="179" bestFit="1" customWidth="1"/>
    <col min="23" max="23" width="12" style="179" bestFit="1" customWidth="1"/>
    <col min="24" max="24" width="170" style="179" bestFit="1" customWidth="1"/>
    <col min="25" max="25" width="11.5" style="179" customWidth="1"/>
    <col min="26" max="26" width="28" style="179" bestFit="1" customWidth="1"/>
    <col min="27" max="27" width="30.08203125" style="179" customWidth="1"/>
    <col min="28" max="28" width="25.4140625" style="179" customWidth="1"/>
    <col min="29" max="29" width="26.5" style="179" customWidth="1"/>
    <col min="30" max="30" width="23.25" style="179" customWidth="1"/>
    <col min="31" max="31" width="26.83203125" style="179" customWidth="1"/>
    <col min="32" max="32" width="31.6640625" style="179" customWidth="1"/>
    <col min="33" max="41" width="31.6640625" style="181" customWidth="1"/>
    <col min="42" max="42" width="49" style="181" bestFit="1" customWidth="1"/>
    <col min="43" max="43" width="49.5" style="181" bestFit="1" customWidth="1"/>
    <col min="44" max="44" width="49.5" style="181" customWidth="1"/>
    <col min="45" max="50" width="31.6640625" style="181" customWidth="1"/>
    <col min="51" max="51" width="40.5" style="181" customWidth="1"/>
    <col min="52" max="56" width="31.6640625" style="181" customWidth="1"/>
    <col min="57" max="16384" width="21.4140625" style="179"/>
  </cols>
  <sheetData>
    <row r="1" spans="1:56" ht="23.5" customHeight="1" x14ac:dyDescent="0.35"/>
    <row r="3" spans="1:56" s="181" customFormat="1" x14ac:dyDescent="0.35">
      <c r="A3" s="185"/>
      <c r="Z3" s="182"/>
      <c r="AD3" s="182"/>
    </row>
    <row r="4" spans="1:56" s="191" customFormat="1" ht="57" x14ac:dyDescent="0.35">
      <c r="A4" s="208"/>
      <c r="B4" s="200" t="s">
        <v>0</v>
      </c>
      <c r="D4" s="182"/>
      <c r="E4" s="182"/>
      <c r="F4" s="201" t="s">
        <v>89</v>
      </c>
      <c r="G4" s="182"/>
      <c r="H4" s="182"/>
      <c r="I4" s="182"/>
      <c r="J4" s="201" t="s">
        <v>90</v>
      </c>
      <c r="K4" s="182"/>
      <c r="L4" s="182"/>
      <c r="M4" s="182"/>
      <c r="N4" s="201" t="s">
        <v>48</v>
      </c>
      <c r="O4" s="182"/>
      <c r="P4" s="182"/>
      <c r="Q4" s="182"/>
      <c r="R4" s="201" t="s">
        <v>49</v>
      </c>
      <c r="S4" s="182"/>
      <c r="T4" s="182"/>
      <c r="U4" s="182"/>
      <c r="V4" s="201" t="s">
        <v>31</v>
      </c>
      <c r="W4" s="182"/>
      <c r="X4" s="182"/>
      <c r="Y4" s="182"/>
      <c r="Z4" s="201" t="s">
        <v>244</v>
      </c>
      <c r="AA4" s="182"/>
      <c r="AB4" s="182"/>
      <c r="AE4" s="182"/>
      <c r="AF4" s="182"/>
      <c r="AG4" s="182"/>
      <c r="AH4" s="214" t="s">
        <v>218</v>
      </c>
      <c r="AI4" s="182"/>
      <c r="AJ4" s="182"/>
      <c r="AK4" s="182"/>
      <c r="AL4" s="182"/>
      <c r="AM4" s="214" t="s">
        <v>219</v>
      </c>
      <c r="AN4" s="182"/>
      <c r="AO4" s="182"/>
      <c r="AP4" s="182"/>
      <c r="AQ4" s="182"/>
      <c r="AR4" s="182"/>
      <c r="AS4" s="201" t="s">
        <v>245</v>
      </c>
      <c r="AT4" s="182"/>
      <c r="AU4" s="182"/>
      <c r="AV4" s="182"/>
      <c r="AW4" s="182"/>
      <c r="AX4" s="182"/>
      <c r="AY4" s="201" t="s">
        <v>246</v>
      </c>
      <c r="AZ4" s="182"/>
      <c r="BA4" s="182"/>
      <c r="BB4" s="182"/>
      <c r="BC4" s="182"/>
      <c r="BD4" s="182"/>
    </row>
    <row r="5" spans="1:56" ht="31" x14ac:dyDescent="0.35">
      <c r="A5" s="193"/>
      <c r="B5" s="194" t="s">
        <v>209</v>
      </c>
      <c r="C5" s="194" t="s">
        <v>26</v>
      </c>
      <c r="D5" s="194" t="s">
        <v>118</v>
      </c>
      <c r="E5" s="180"/>
      <c r="F5" s="194" t="s">
        <v>209</v>
      </c>
      <c r="G5" s="194" t="s">
        <v>26</v>
      </c>
      <c r="H5" s="194" t="s">
        <v>118</v>
      </c>
      <c r="I5" s="183"/>
      <c r="J5" s="194" t="s">
        <v>209</v>
      </c>
      <c r="K5" s="194" t="s">
        <v>26</v>
      </c>
      <c r="L5" s="194" t="s">
        <v>118</v>
      </c>
      <c r="M5" s="180"/>
      <c r="N5" s="194" t="s">
        <v>209</v>
      </c>
      <c r="O5" s="194" t="s">
        <v>26</v>
      </c>
      <c r="P5" s="194" t="s">
        <v>118</v>
      </c>
      <c r="Q5" s="180"/>
      <c r="R5" s="194" t="s">
        <v>209</v>
      </c>
      <c r="S5" s="194" t="s">
        <v>26</v>
      </c>
      <c r="T5" s="194" t="s">
        <v>118</v>
      </c>
      <c r="U5" s="180"/>
      <c r="V5" s="194" t="s">
        <v>209</v>
      </c>
      <c r="W5" s="194" t="s">
        <v>26</v>
      </c>
      <c r="X5" s="194" t="s">
        <v>118</v>
      </c>
      <c r="Y5" s="180"/>
      <c r="Z5" s="194" t="s">
        <v>209</v>
      </c>
      <c r="AA5" s="194" t="s">
        <v>212</v>
      </c>
      <c r="AB5" s="194" t="s">
        <v>213</v>
      </c>
      <c r="AC5" s="194" t="s">
        <v>214</v>
      </c>
      <c r="AD5" s="194" t="s">
        <v>215</v>
      </c>
      <c r="AE5" s="194" t="s">
        <v>216</v>
      </c>
      <c r="AF5" s="194" t="s">
        <v>217</v>
      </c>
      <c r="AG5" s="183"/>
      <c r="AH5" s="194" t="s">
        <v>209</v>
      </c>
      <c r="AI5" s="194" t="s">
        <v>112</v>
      </c>
      <c r="AJ5" s="194" t="s">
        <v>113</v>
      </c>
      <c r="AK5" s="194" t="s">
        <v>211</v>
      </c>
      <c r="AL5" s="183"/>
      <c r="AM5" s="194" t="s">
        <v>209</v>
      </c>
      <c r="AN5" s="194" t="s">
        <v>153</v>
      </c>
      <c r="AO5" s="194" t="s">
        <v>113</v>
      </c>
      <c r="AP5" s="233" t="s">
        <v>211</v>
      </c>
      <c r="AQ5" s="233"/>
      <c r="AR5" s="180"/>
      <c r="AS5" s="194" t="s">
        <v>209</v>
      </c>
      <c r="AT5" s="194" t="s">
        <v>224</v>
      </c>
      <c r="AU5" s="194" t="s">
        <v>220</v>
      </c>
      <c r="AV5" s="194" t="s">
        <v>221</v>
      </c>
      <c r="AW5" s="194" t="s">
        <v>222</v>
      </c>
      <c r="AX5" s="180"/>
      <c r="AY5" s="194" t="s">
        <v>209</v>
      </c>
      <c r="AZ5" s="194" t="s">
        <v>223</v>
      </c>
      <c r="BA5" s="194" t="s">
        <v>220</v>
      </c>
      <c r="BB5" s="194" t="s">
        <v>221</v>
      </c>
      <c r="BC5" s="194" t="s">
        <v>222</v>
      </c>
      <c r="BD5" s="180"/>
    </row>
    <row r="6" spans="1:56" ht="62" x14ac:dyDescent="0.35">
      <c r="A6" s="180"/>
      <c r="B6" s="195" t="s">
        <v>205</v>
      </c>
      <c r="C6" s="199">
        <v>915292686.88999999</v>
      </c>
      <c r="D6" s="196" t="s">
        <v>251</v>
      </c>
      <c r="E6" s="186"/>
      <c r="F6" s="195" t="s">
        <v>205</v>
      </c>
      <c r="G6" s="199">
        <v>2819907000</v>
      </c>
      <c r="H6" s="196" t="s">
        <v>229</v>
      </c>
      <c r="I6" s="186"/>
      <c r="J6" s="195" t="s">
        <v>205</v>
      </c>
      <c r="K6" s="199">
        <v>295409308.83789998</v>
      </c>
      <c r="L6" s="202" t="s">
        <v>252</v>
      </c>
      <c r="M6" s="186"/>
      <c r="N6" s="195" t="s">
        <v>205</v>
      </c>
      <c r="O6" s="204">
        <v>1629000</v>
      </c>
      <c r="P6" s="205" t="s">
        <v>235</v>
      </c>
      <c r="Q6" s="180"/>
      <c r="R6" s="195" t="s">
        <v>205</v>
      </c>
      <c r="S6" s="204">
        <v>1629000</v>
      </c>
      <c r="T6" s="207" t="s">
        <v>133</v>
      </c>
      <c r="U6" s="181"/>
      <c r="V6" s="195" t="s">
        <v>205</v>
      </c>
      <c r="W6" s="209">
        <v>2.1211402024470472E-2</v>
      </c>
      <c r="X6" s="205" t="s">
        <v>232</v>
      </c>
      <c r="Y6" s="188"/>
      <c r="Z6" s="195" t="s">
        <v>205</v>
      </c>
      <c r="AA6" s="204">
        <v>1629000</v>
      </c>
      <c r="AB6" s="207">
        <v>2.7</v>
      </c>
      <c r="AC6" s="204">
        <v>603333.33333333326</v>
      </c>
      <c r="AD6" s="210">
        <v>2.1211402024470472E-2</v>
      </c>
      <c r="AE6" s="204">
        <v>1132470.6997854263</v>
      </c>
      <c r="AF6" s="211"/>
      <c r="AG6" s="189"/>
      <c r="AH6" s="195" t="s">
        <v>205</v>
      </c>
      <c r="AI6" s="215">
        <v>19708581442.533981</v>
      </c>
      <c r="AJ6" s="215">
        <v>26629167009.958961</v>
      </c>
      <c r="AK6" s="205" t="s">
        <v>225</v>
      </c>
      <c r="AL6" s="189"/>
      <c r="AM6" s="195" t="s">
        <v>205</v>
      </c>
      <c r="AN6" s="215">
        <v>22208046470.130539</v>
      </c>
      <c r="AO6" s="215">
        <v>24218427334.308327</v>
      </c>
      <c r="AP6" s="211" t="s">
        <v>231</v>
      </c>
      <c r="AQ6" s="211" t="s">
        <v>233</v>
      </c>
      <c r="AR6" s="189"/>
      <c r="AS6" s="216" t="s">
        <v>205</v>
      </c>
      <c r="AT6" s="215">
        <v>24218427334.308327</v>
      </c>
      <c r="AU6" s="217">
        <v>0.3</v>
      </c>
      <c r="AV6" s="215">
        <v>7265528200.2924976</v>
      </c>
      <c r="AW6" s="211"/>
      <c r="AX6" s="189"/>
      <c r="AY6" s="216" t="s">
        <v>205</v>
      </c>
      <c r="AZ6" s="215">
        <v>23168874226.246471</v>
      </c>
      <c r="BA6" s="219">
        <v>0.5</v>
      </c>
      <c r="BB6" s="215">
        <v>11584437113.123236</v>
      </c>
      <c r="BC6" s="211"/>
      <c r="BD6" s="189"/>
    </row>
    <row r="7" spans="1:56" x14ac:dyDescent="0.35">
      <c r="A7" s="180"/>
      <c r="B7" s="195" t="s">
        <v>206</v>
      </c>
      <c r="C7" s="199">
        <v>15382983</v>
      </c>
      <c r="D7" s="196" t="s">
        <v>234</v>
      </c>
      <c r="E7" s="181"/>
      <c r="F7" s="195" t="s">
        <v>206</v>
      </c>
      <c r="G7" s="199">
        <v>33220000</v>
      </c>
      <c r="H7" s="196" t="s">
        <v>229</v>
      </c>
      <c r="J7" s="195" t="s">
        <v>206</v>
      </c>
      <c r="K7" s="199">
        <v>20879034</v>
      </c>
      <c r="L7" s="202" t="s">
        <v>253</v>
      </c>
      <c r="M7" s="181"/>
      <c r="N7" s="195" t="s">
        <v>206</v>
      </c>
      <c r="O7" s="204">
        <v>22360</v>
      </c>
      <c r="P7" s="205" t="s">
        <v>132</v>
      </c>
      <c r="Q7" s="181"/>
      <c r="R7" s="195" t="s">
        <v>206</v>
      </c>
      <c r="S7" s="204">
        <v>29640.55</v>
      </c>
      <c r="T7" s="207" t="s">
        <v>133</v>
      </c>
      <c r="U7" s="181"/>
      <c r="V7" s="195" t="s">
        <v>206</v>
      </c>
      <c r="W7" s="209">
        <v>1.0375570496765185E-2</v>
      </c>
      <c r="X7" s="205" t="s">
        <v>232</v>
      </c>
      <c r="Y7" s="188"/>
      <c r="Z7" s="195" t="s">
        <v>206</v>
      </c>
      <c r="AA7" s="204">
        <v>26000.275000000001</v>
      </c>
      <c r="AB7" s="207">
        <v>2.7</v>
      </c>
      <c r="AC7" s="204">
        <v>9629.7314814814818</v>
      </c>
      <c r="AD7" s="210">
        <v>1.0375570496765185E-2</v>
      </c>
      <c r="AE7" s="204">
        <v>13124.999274334419</v>
      </c>
      <c r="AF7" s="211"/>
      <c r="AG7" s="189"/>
      <c r="AH7" s="195" t="s">
        <v>206</v>
      </c>
      <c r="AI7" s="215">
        <v>1695630935.6725638</v>
      </c>
      <c r="AJ7" s="215">
        <v>1736176208.2848778</v>
      </c>
      <c r="AK7" s="205" t="s">
        <v>161</v>
      </c>
      <c r="AL7" s="189"/>
      <c r="AM7" s="195" t="s">
        <v>206</v>
      </c>
      <c r="AN7" s="215">
        <v>499643000</v>
      </c>
      <c r="AO7" s="215">
        <v>1157757999.9999998</v>
      </c>
      <c r="AP7" s="211" t="s">
        <v>231</v>
      </c>
      <c r="AQ7" s="211" t="s">
        <v>233</v>
      </c>
      <c r="AR7" s="189"/>
      <c r="AS7" s="216" t="s">
        <v>206</v>
      </c>
      <c r="AT7" s="215">
        <v>1157757999.9999998</v>
      </c>
      <c r="AU7" s="217">
        <v>0.1</v>
      </c>
      <c r="AV7" s="215">
        <v>115775799.99999999</v>
      </c>
      <c r="AW7" s="211"/>
      <c r="AX7" s="189"/>
      <c r="AY7" s="216" t="s">
        <v>206</v>
      </c>
      <c r="AZ7" s="215">
        <v>1715903571.9787207</v>
      </c>
      <c r="BA7" s="219">
        <v>0.6</v>
      </c>
      <c r="BB7" s="215">
        <v>1029542143.1872324</v>
      </c>
      <c r="BC7" s="211"/>
      <c r="BD7" s="189"/>
    </row>
    <row r="8" spans="1:56" x14ac:dyDescent="0.35">
      <c r="A8" s="180"/>
      <c r="B8" s="195" t="s">
        <v>227</v>
      </c>
      <c r="C8" s="199">
        <v>14002000</v>
      </c>
      <c r="D8" s="196" t="s">
        <v>226</v>
      </c>
      <c r="E8" s="181"/>
      <c r="F8" s="195" t="s">
        <v>227</v>
      </c>
      <c r="G8" s="199">
        <v>60231000</v>
      </c>
      <c r="H8" s="196" t="s">
        <v>229</v>
      </c>
      <c r="J8" s="195" t="s">
        <v>227</v>
      </c>
      <c r="K8" s="199">
        <v>6180000</v>
      </c>
      <c r="L8" s="202" t="s">
        <v>230</v>
      </c>
      <c r="M8" s="181"/>
      <c r="N8" s="195" t="s">
        <v>227</v>
      </c>
      <c r="O8" s="204">
        <v>8630</v>
      </c>
      <c r="P8" s="205" t="s">
        <v>235</v>
      </c>
      <c r="Q8" s="181"/>
      <c r="R8" s="195" t="s">
        <v>227</v>
      </c>
      <c r="S8" s="204">
        <v>13826.58</v>
      </c>
      <c r="T8" s="207" t="s">
        <v>133</v>
      </c>
      <c r="U8" s="181"/>
      <c r="V8" s="195" t="s">
        <v>208</v>
      </c>
      <c r="W8" s="209">
        <v>1.6335680277609121E-2</v>
      </c>
      <c r="X8" s="205" t="s">
        <v>232</v>
      </c>
      <c r="Y8" s="188"/>
      <c r="Z8" s="195" t="s">
        <v>227</v>
      </c>
      <c r="AA8" s="204">
        <v>11228.29</v>
      </c>
      <c r="AB8" s="207">
        <v>2.7</v>
      </c>
      <c r="AC8" s="204">
        <v>4158.6259259259259</v>
      </c>
      <c r="AD8" s="210">
        <v>1.6335680277609121E-2</v>
      </c>
      <c r="AE8" s="204">
        <v>6761.8422174943753</v>
      </c>
      <c r="AF8" s="211"/>
      <c r="AG8" s="189"/>
      <c r="AH8" s="195" t="s">
        <v>227</v>
      </c>
      <c r="AI8" s="215">
        <v>785980300.00000012</v>
      </c>
      <c r="AJ8" s="215">
        <v>785980300.00000012</v>
      </c>
      <c r="AK8" s="205" t="s">
        <v>225</v>
      </c>
      <c r="AL8" s="189"/>
      <c r="AM8" s="195" t="s">
        <v>227</v>
      </c>
      <c r="AN8" s="215">
        <v>165584501</v>
      </c>
      <c r="AO8" s="215">
        <v>259981208.99999997</v>
      </c>
      <c r="AP8" s="211" t="s">
        <v>231</v>
      </c>
      <c r="AQ8" s="211" t="s">
        <v>233</v>
      </c>
      <c r="AR8" s="189"/>
      <c r="AS8" s="216" t="s">
        <v>227</v>
      </c>
      <c r="AT8" s="215">
        <v>259981208.99999997</v>
      </c>
      <c r="AU8" s="217">
        <v>0.1</v>
      </c>
      <c r="AV8" s="215">
        <v>25998120.899999999</v>
      </c>
      <c r="AW8" s="211"/>
      <c r="AX8" s="189"/>
      <c r="AY8" s="216" t="s">
        <v>227</v>
      </c>
      <c r="AZ8" s="215">
        <v>785980300.00000012</v>
      </c>
      <c r="BA8" s="219">
        <v>0.6</v>
      </c>
      <c r="BB8" s="215">
        <v>471588180.00000006</v>
      </c>
      <c r="BC8" s="211"/>
      <c r="BD8" s="189"/>
    </row>
    <row r="9" spans="1:56" x14ac:dyDescent="0.35">
      <c r="A9" s="180"/>
      <c r="B9" s="195" t="s">
        <v>228</v>
      </c>
      <c r="C9" s="199">
        <v>57836564.776049681</v>
      </c>
      <c r="D9" s="196" t="s">
        <v>234</v>
      </c>
      <c r="E9" s="181"/>
      <c r="F9" s="195" t="s">
        <v>228</v>
      </c>
      <c r="G9" s="199">
        <v>10243352.218827441</v>
      </c>
      <c r="H9" s="196" t="s">
        <v>229</v>
      </c>
      <c r="J9" s="195" t="s">
        <v>228</v>
      </c>
      <c r="K9" s="199">
        <v>19288160.220000003</v>
      </c>
      <c r="L9" s="202" t="s">
        <v>230</v>
      </c>
      <c r="M9" s="181"/>
      <c r="N9" s="195" t="s">
        <v>228</v>
      </c>
      <c r="O9" s="204">
        <v>60049</v>
      </c>
      <c r="P9" s="205" t="s">
        <v>132</v>
      </c>
      <c r="Q9" s="181"/>
      <c r="R9" s="195" t="s">
        <v>228</v>
      </c>
      <c r="S9" s="204">
        <v>59200</v>
      </c>
      <c r="T9" s="207" t="s">
        <v>133</v>
      </c>
      <c r="U9" s="181"/>
      <c r="V9" s="195" t="s">
        <v>207</v>
      </c>
      <c r="W9" s="209">
        <v>1.7380926366131311E-2</v>
      </c>
      <c r="X9" s="205" t="s">
        <v>232</v>
      </c>
      <c r="Y9" s="188"/>
      <c r="Z9" s="195" t="s">
        <v>228</v>
      </c>
      <c r="AA9" s="204">
        <v>59624.5</v>
      </c>
      <c r="AB9" s="207">
        <v>2.7</v>
      </c>
      <c r="AC9" s="204">
        <v>22083.148148148146</v>
      </c>
      <c r="AD9" s="210">
        <v>1.7380926366131311E-2</v>
      </c>
      <c r="AE9" s="204">
        <v>37031.280132887245</v>
      </c>
      <c r="AF9" s="211"/>
      <c r="AG9" s="189"/>
      <c r="AH9" s="195" t="s">
        <v>228</v>
      </c>
      <c r="AI9" s="215">
        <v>1324193078.1116612</v>
      </c>
      <c r="AJ9" s="215">
        <v>1882590469.7438192</v>
      </c>
      <c r="AK9" s="205" t="s">
        <v>225</v>
      </c>
      <c r="AL9" s="189"/>
      <c r="AM9" s="195" t="s">
        <v>228</v>
      </c>
      <c r="AN9" s="215">
        <v>1089828971.6896524</v>
      </c>
      <c r="AO9" s="215">
        <v>1386171298.7840576</v>
      </c>
      <c r="AP9" s="211" t="s">
        <v>231</v>
      </c>
      <c r="AQ9" s="211" t="s">
        <v>233</v>
      </c>
      <c r="AR9" s="189"/>
      <c r="AS9" s="216" t="s">
        <v>228</v>
      </c>
      <c r="AT9" s="215">
        <v>1386171298.7840576</v>
      </c>
      <c r="AU9" s="217">
        <v>0.1</v>
      </c>
      <c r="AV9" s="215">
        <v>138617129.87840578</v>
      </c>
      <c r="AW9" s="211"/>
      <c r="AX9" s="189"/>
      <c r="AY9" s="216" t="s">
        <v>228</v>
      </c>
      <c r="AZ9" s="215">
        <v>1603391773.9277401</v>
      </c>
      <c r="BA9" s="219">
        <v>0.6</v>
      </c>
      <c r="BB9" s="215">
        <v>962035064.35664403</v>
      </c>
      <c r="BC9" s="211"/>
      <c r="BD9" s="189"/>
    </row>
    <row r="10" spans="1:56" x14ac:dyDescent="0.35">
      <c r="A10" s="180"/>
      <c r="B10" s="195"/>
      <c r="C10" s="199"/>
      <c r="D10" s="196"/>
      <c r="E10" s="181"/>
      <c r="F10" s="195"/>
      <c r="G10" s="199"/>
      <c r="H10" s="196"/>
      <c r="J10" s="195"/>
      <c r="K10" s="203"/>
      <c r="L10" s="202"/>
      <c r="M10" s="181"/>
      <c r="N10" s="195"/>
      <c r="O10" s="204"/>
      <c r="P10" s="205"/>
      <c r="Q10" s="181"/>
      <c r="R10" s="195"/>
      <c r="S10" s="204"/>
      <c r="T10" s="207"/>
      <c r="U10" s="181"/>
      <c r="V10" s="184"/>
      <c r="W10" s="178"/>
      <c r="X10" s="187"/>
      <c r="Y10" s="188"/>
      <c r="Z10" s="195"/>
      <c r="AA10" s="204"/>
      <c r="AB10" s="207"/>
      <c r="AC10" s="204"/>
      <c r="AD10" s="210"/>
      <c r="AE10" s="204"/>
      <c r="AF10" s="211"/>
      <c r="AG10" s="189"/>
      <c r="AH10" s="195"/>
      <c r="AI10" s="215"/>
      <c r="AJ10" s="215"/>
      <c r="AK10" s="205"/>
      <c r="AL10" s="189"/>
      <c r="AM10" s="195"/>
      <c r="AN10" s="215"/>
      <c r="AO10" s="215"/>
      <c r="AP10" s="211"/>
      <c r="AQ10" s="211"/>
      <c r="AR10" s="189"/>
      <c r="AS10" s="216"/>
      <c r="AT10" s="215"/>
      <c r="AU10" s="217"/>
      <c r="AV10" s="215"/>
      <c r="AW10" s="211"/>
      <c r="AX10" s="189"/>
      <c r="AY10" s="216"/>
      <c r="AZ10" s="215"/>
      <c r="BA10" s="219"/>
      <c r="BB10" s="220"/>
      <c r="BC10" s="211"/>
      <c r="BD10" s="189"/>
    </row>
    <row r="11" spans="1:56" x14ac:dyDescent="0.35">
      <c r="B11" s="197" t="s">
        <v>210</v>
      </c>
      <c r="C11" s="199">
        <v>1002514234.6660497</v>
      </c>
      <c r="D11" s="198" t="s">
        <v>236</v>
      </c>
      <c r="F11" s="197" t="s">
        <v>210</v>
      </c>
      <c r="G11" s="199">
        <v>2923601352.2188272</v>
      </c>
      <c r="H11" s="198" t="s">
        <v>236</v>
      </c>
      <c r="J11" s="197" t="s">
        <v>210</v>
      </c>
      <c r="K11" s="199">
        <v>341756503.05790001</v>
      </c>
      <c r="L11" s="198" t="s">
        <v>236</v>
      </c>
      <c r="N11" s="197" t="s">
        <v>210</v>
      </c>
      <c r="O11" s="206">
        <v>1720039</v>
      </c>
      <c r="P11" s="198" t="s">
        <v>236</v>
      </c>
      <c r="R11" s="197" t="s">
        <v>210</v>
      </c>
      <c r="S11" s="206">
        <v>1731667.1300000001</v>
      </c>
      <c r="T11" s="198" t="s">
        <v>236</v>
      </c>
      <c r="V11" s="190"/>
      <c r="W11" s="190"/>
      <c r="X11" s="190"/>
      <c r="Y11" s="190"/>
      <c r="Z11" s="197" t="s">
        <v>210</v>
      </c>
      <c r="AA11" s="206">
        <v>1725853.0649999999</v>
      </c>
      <c r="AB11" s="207">
        <v>2.7</v>
      </c>
      <c r="AC11" s="206">
        <v>639204.83888888871</v>
      </c>
      <c r="AD11" s="212"/>
      <c r="AE11" s="206">
        <v>1189388.8214101421</v>
      </c>
      <c r="AF11" s="213">
        <v>2.0914706452245468E-2</v>
      </c>
      <c r="AG11" s="192"/>
      <c r="AH11" s="197" t="s">
        <v>210</v>
      </c>
      <c r="AI11" s="199">
        <v>23514385756.318207</v>
      </c>
      <c r="AJ11" s="199">
        <v>31033913987.987659</v>
      </c>
      <c r="AK11" s="198" t="s">
        <v>236</v>
      </c>
      <c r="AL11" s="192"/>
      <c r="AM11" s="197" t="s">
        <v>210</v>
      </c>
      <c r="AN11" s="215">
        <v>23963102942.82019</v>
      </c>
      <c r="AO11" s="215">
        <v>27022337842.092384</v>
      </c>
      <c r="AP11" s="198"/>
      <c r="AQ11" s="207"/>
      <c r="AR11" s="192"/>
      <c r="AS11" s="216" t="s">
        <v>45</v>
      </c>
      <c r="AT11" s="215">
        <v>27022337842.092384</v>
      </c>
      <c r="AU11" s="198"/>
      <c r="AV11" s="215">
        <v>7545919251.0709028</v>
      </c>
      <c r="AW11" s="218">
        <v>0.27924746168026632</v>
      </c>
      <c r="AX11" s="192"/>
      <c r="AY11" s="216" t="s">
        <v>45</v>
      </c>
      <c r="AZ11" s="215">
        <v>27274149872.152931</v>
      </c>
      <c r="BA11" s="198"/>
      <c r="BB11" s="215">
        <v>14047602500.667112</v>
      </c>
      <c r="BC11" s="218">
        <v>0.51505189223183812</v>
      </c>
      <c r="BD11" s="192"/>
    </row>
    <row r="16" spans="1:56" x14ac:dyDescent="0.35">
      <c r="AJ16" s="189"/>
    </row>
    <row r="22" spans="17:21" x14ac:dyDescent="0.35">
      <c r="Q22" s="181"/>
      <c r="R22" s="181"/>
      <c r="S22" s="181"/>
      <c r="T22" s="181"/>
      <c r="U22" s="181"/>
    </row>
    <row r="23" spans="17:21" x14ac:dyDescent="0.35">
      <c r="Q23" s="181"/>
      <c r="R23" s="181"/>
      <c r="S23" s="181"/>
      <c r="T23" s="181"/>
      <c r="U23" s="181"/>
    </row>
    <row r="24" spans="17:21" x14ac:dyDescent="0.35">
      <c r="Q24" s="181"/>
      <c r="R24" s="181"/>
      <c r="S24" s="181"/>
      <c r="T24" s="181"/>
      <c r="U24" s="181"/>
    </row>
    <row r="25" spans="17:21" x14ac:dyDescent="0.35">
      <c r="Q25" s="181"/>
      <c r="R25" s="181"/>
      <c r="S25" s="181"/>
      <c r="T25" s="181"/>
      <c r="U25" s="181"/>
    </row>
    <row r="26" spans="17:21" x14ac:dyDescent="0.35">
      <c r="Q26" s="181"/>
      <c r="R26" s="181"/>
      <c r="S26" s="181"/>
      <c r="T26" s="181"/>
      <c r="U26" s="181"/>
    </row>
    <row r="27" spans="17:21" x14ac:dyDescent="0.35">
      <c r="Q27" s="181"/>
      <c r="R27" s="181"/>
      <c r="S27" s="181"/>
      <c r="T27" s="181"/>
      <c r="U27" s="181"/>
    </row>
  </sheetData>
  <autoFilter ref="A5:BD9" xr:uid="{22BC79C2-BEDF-4D83-B9CC-C94441EF55F3}"/>
  <mergeCells count="1">
    <mergeCell ref="AP5:AQ5"/>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88"/>
  <sheetViews>
    <sheetView zoomScale="55" zoomScaleNormal="55" workbookViewId="0">
      <pane ySplit="4" topLeftCell="A65" activePane="bottomLeft" state="frozen"/>
      <selection pane="bottomLeft" sqref="A1:XFD1048576"/>
    </sheetView>
  </sheetViews>
  <sheetFormatPr defaultColWidth="10.83203125" defaultRowHeight="15.5" x14ac:dyDescent="0.35"/>
  <cols>
    <col min="1" max="1" width="62.5" style="76" customWidth="1"/>
    <col min="2" max="2" width="93.08203125" style="76" customWidth="1"/>
    <col min="3" max="3" width="21.58203125" style="107" bestFit="1" customWidth="1"/>
    <col min="4" max="4" width="29.58203125" style="108"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6" t="s">
        <v>145</v>
      </c>
    </row>
    <row r="2" spans="1:33" ht="26.5" thickBot="1" x14ac:dyDescent="0.4">
      <c r="A2" s="109"/>
      <c r="B2" s="109"/>
      <c r="D2" s="110"/>
    </row>
    <row r="3" spans="1:33" s="112" customFormat="1" ht="21.5" thickBot="1" x14ac:dyDescent="0.4">
      <c r="A3" s="84"/>
      <c r="B3" s="84"/>
      <c r="C3" s="111"/>
      <c r="D3" s="234" t="s">
        <v>27</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row>
    <row r="4" spans="1:33" s="118" customFormat="1" ht="16" thickBot="1" x14ac:dyDescent="0.4">
      <c r="A4" s="113" t="s">
        <v>25</v>
      </c>
      <c r="B4" s="113" t="s">
        <v>180</v>
      </c>
      <c r="C4" s="114" t="s">
        <v>26</v>
      </c>
      <c r="D4" s="115">
        <v>2022</v>
      </c>
      <c r="E4" s="116">
        <f t="shared" ref="E4:AG4" si="0">D4+1</f>
        <v>2023</v>
      </c>
      <c r="F4" s="117">
        <f t="shared" si="0"/>
        <v>2024</v>
      </c>
      <c r="G4" s="116">
        <f t="shared" si="0"/>
        <v>2025</v>
      </c>
      <c r="H4" s="117">
        <f t="shared" si="0"/>
        <v>2026</v>
      </c>
      <c r="I4" s="116">
        <f t="shared" si="0"/>
        <v>2027</v>
      </c>
      <c r="J4" s="117">
        <f t="shared" si="0"/>
        <v>2028</v>
      </c>
      <c r="K4" s="116">
        <f t="shared" si="0"/>
        <v>2029</v>
      </c>
      <c r="L4" s="117">
        <f t="shared" si="0"/>
        <v>2030</v>
      </c>
      <c r="M4" s="116">
        <f t="shared" si="0"/>
        <v>2031</v>
      </c>
      <c r="N4" s="117">
        <f t="shared" si="0"/>
        <v>2032</v>
      </c>
      <c r="O4" s="116">
        <f t="shared" si="0"/>
        <v>2033</v>
      </c>
      <c r="P4" s="117">
        <f t="shared" si="0"/>
        <v>2034</v>
      </c>
      <c r="Q4" s="116">
        <f t="shared" si="0"/>
        <v>2035</v>
      </c>
      <c r="R4" s="117">
        <f t="shared" si="0"/>
        <v>2036</v>
      </c>
      <c r="S4" s="116">
        <f t="shared" si="0"/>
        <v>2037</v>
      </c>
      <c r="T4" s="117">
        <f t="shared" si="0"/>
        <v>2038</v>
      </c>
      <c r="U4" s="116">
        <f t="shared" si="0"/>
        <v>2039</v>
      </c>
      <c r="V4" s="117">
        <f t="shared" si="0"/>
        <v>2040</v>
      </c>
      <c r="W4" s="116">
        <f t="shared" si="0"/>
        <v>2041</v>
      </c>
      <c r="X4" s="117">
        <f t="shared" si="0"/>
        <v>2042</v>
      </c>
      <c r="Y4" s="116">
        <f t="shared" si="0"/>
        <v>2043</v>
      </c>
      <c r="Z4" s="117">
        <f t="shared" si="0"/>
        <v>2044</v>
      </c>
      <c r="AA4" s="116">
        <f t="shared" si="0"/>
        <v>2045</v>
      </c>
      <c r="AB4" s="117">
        <f t="shared" si="0"/>
        <v>2046</v>
      </c>
      <c r="AC4" s="116">
        <f t="shared" si="0"/>
        <v>2047</v>
      </c>
      <c r="AD4" s="117">
        <f t="shared" si="0"/>
        <v>2048</v>
      </c>
      <c r="AE4" s="116">
        <f t="shared" si="0"/>
        <v>2049</v>
      </c>
      <c r="AF4" s="117">
        <f t="shared" si="0"/>
        <v>2050</v>
      </c>
      <c r="AG4" s="116">
        <f t="shared" si="0"/>
        <v>2051</v>
      </c>
    </row>
    <row r="5" spans="1:33" s="118" customFormat="1" x14ac:dyDescent="0.35">
      <c r="A5" s="119"/>
      <c r="B5" s="119"/>
      <c r="C5" s="120"/>
      <c r="D5" s="121"/>
      <c r="E5" s="122"/>
      <c r="F5" s="121"/>
      <c r="G5" s="122"/>
      <c r="H5" s="121"/>
      <c r="I5" s="122"/>
      <c r="J5" s="121"/>
      <c r="K5" s="122"/>
      <c r="L5" s="121"/>
      <c r="M5" s="122"/>
      <c r="N5" s="121"/>
      <c r="O5" s="122"/>
      <c r="P5" s="121"/>
      <c r="Q5" s="122"/>
      <c r="R5" s="121"/>
      <c r="S5" s="122"/>
      <c r="T5" s="121"/>
      <c r="U5" s="122"/>
      <c r="V5" s="121"/>
      <c r="W5" s="122"/>
      <c r="X5" s="121"/>
      <c r="Y5" s="122"/>
      <c r="Z5" s="121"/>
      <c r="AA5" s="122"/>
      <c r="AB5" s="121"/>
      <c r="AC5" s="122"/>
      <c r="AD5" s="121"/>
      <c r="AE5" s="122"/>
      <c r="AF5" s="121"/>
      <c r="AG5" s="122"/>
    </row>
    <row r="6" spans="1:33" s="118" customFormat="1" x14ac:dyDescent="0.35">
      <c r="A6" s="123" t="s">
        <v>28</v>
      </c>
      <c r="B6" s="123"/>
      <c r="C6" s="114"/>
      <c r="D6" s="115"/>
      <c r="E6" s="116"/>
      <c r="F6" s="115"/>
      <c r="G6" s="116"/>
      <c r="H6" s="115"/>
      <c r="I6" s="116"/>
      <c r="J6" s="115"/>
      <c r="K6" s="116"/>
      <c r="L6" s="115"/>
      <c r="M6" s="116"/>
      <c r="N6" s="115"/>
      <c r="O6" s="116"/>
      <c r="P6" s="115"/>
      <c r="Q6" s="116"/>
      <c r="R6" s="115"/>
      <c r="S6" s="116"/>
      <c r="T6" s="115"/>
      <c r="U6" s="116"/>
      <c r="V6" s="115"/>
      <c r="W6" s="116"/>
      <c r="X6" s="115"/>
      <c r="Y6" s="116"/>
      <c r="Z6" s="115"/>
      <c r="AA6" s="116"/>
      <c r="AB6" s="115"/>
      <c r="AC6" s="116"/>
      <c r="AD6" s="115"/>
      <c r="AE6" s="116"/>
      <c r="AF6" s="115"/>
      <c r="AG6" s="116"/>
    </row>
    <row r="7" spans="1:33" s="118" customFormat="1" x14ac:dyDescent="0.35">
      <c r="A7" s="123"/>
      <c r="B7" s="123"/>
      <c r="C7" s="114"/>
      <c r="D7" s="115"/>
      <c r="E7" s="116"/>
      <c r="F7" s="115"/>
      <c r="G7" s="116"/>
      <c r="H7" s="115"/>
      <c r="I7" s="116"/>
      <c r="J7" s="115"/>
      <c r="K7" s="116"/>
      <c r="L7" s="115"/>
      <c r="M7" s="116"/>
      <c r="N7" s="115"/>
      <c r="O7" s="116"/>
      <c r="P7" s="115"/>
      <c r="Q7" s="116"/>
      <c r="R7" s="115"/>
      <c r="S7" s="116"/>
      <c r="T7" s="115"/>
      <c r="U7" s="116"/>
      <c r="V7" s="115"/>
      <c r="W7" s="116"/>
      <c r="X7" s="115"/>
      <c r="Y7" s="116"/>
      <c r="Z7" s="115"/>
      <c r="AA7" s="116"/>
      <c r="AB7" s="115"/>
      <c r="AC7" s="116"/>
      <c r="AD7" s="115"/>
      <c r="AE7" s="116"/>
      <c r="AF7" s="115"/>
      <c r="AG7" s="116"/>
    </row>
    <row r="8" spans="1:33" x14ac:dyDescent="0.35">
      <c r="A8" s="77" t="s">
        <v>29</v>
      </c>
      <c r="B8" s="77"/>
      <c r="C8" s="124"/>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18" customFormat="1" x14ac:dyDescent="0.35">
      <c r="A9" s="78" t="s">
        <v>65</v>
      </c>
      <c r="B9" s="78" t="s">
        <v>130</v>
      </c>
      <c r="C9" s="125">
        <v>2.1999999999999999E-2</v>
      </c>
      <c r="D9" s="126">
        <f t="shared" ref="D9:AG9" si="1">(1+$C$9)^D8</f>
        <v>1.022</v>
      </c>
      <c r="E9" s="126">
        <f t="shared" si="1"/>
        <v>1.044484</v>
      </c>
      <c r="F9" s="126">
        <f t="shared" si="1"/>
        <v>1.067462648</v>
      </c>
      <c r="G9" s="126">
        <f t="shared" si="1"/>
        <v>1.090946826256</v>
      </c>
      <c r="H9" s="126">
        <f t="shared" si="1"/>
        <v>1.114947656433632</v>
      </c>
      <c r="I9" s="126">
        <f t="shared" si="1"/>
        <v>1.1394765048751718</v>
      </c>
      <c r="J9" s="126">
        <f t="shared" si="1"/>
        <v>1.1645449879824257</v>
      </c>
      <c r="K9" s="126">
        <f t="shared" si="1"/>
        <v>1.1901649777180392</v>
      </c>
      <c r="L9" s="126">
        <f t="shared" si="1"/>
        <v>1.216348607227836</v>
      </c>
      <c r="M9" s="126">
        <f t="shared" si="1"/>
        <v>1.2431082765868484</v>
      </c>
      <c r="N9" s="126">
        <f t="shared" si="1"/>
        <v>1.2704566586717592</v>
      </c>
      <c r="O9" s="126">
        <f t="shared" si="1"/>
        <v>1.2984067051625379</v>
      </c>
      <c r="P9" s="126">
        <f t="shared" si="1"/>
        <v>1.3269716526761137</v>
      </c>
      <c r="Q9" s="126">
        <f t="shared" si="1"/>
        <v>1.356165029034988</v>
      </c>
      <c r="R9" s="126">
        <f t="shared" si="1"/>
        <v>1.386000659673758</v>
      </c>
      <c r="S9" s="126">
        <f t="shared" si="1"/>
        <v>1.4164926741865806</v>
      </c>
      <c r="T9" s="126">
        <f t="shared" si="1"/>
        <v>1.4476555130186854</v>
      </c>
      <c r="U9" s="126">
        <f t="shared" si="1"/>
        <v>1.4795039343050964</v>
      </c>
      <c r="V9" s="126">
        <f t="shared" si="1"/>
        <v>1.5120530208598086</v>
      </c>
      <c r="W9" s="126">
        <f t="shared" si="1"/>
        <v>1.5453181873187245</v>
      </c>
      <c r="X9" s="126">
        <f t="shared" si="1"/>
        <v>1.5793151874397364</v>
      </c>
      <c r="Y9" s="126">
        <f t="shared" si="1"/>
        <v>1.6140601215634105</v>
      </c>
      <c r="Z9" s="126">
        <f t="shared" si="1"/>
        <v>1.6495694442378055</v>
      </c>
      <c r="AA9" s="126">
        <f t="shared" si="1"/>
        <v>1.6858599720110374</v>
      </c>
      <c r="AB9" s="126">
        <f t="shared" si="1"/>
        <v>1.7229488913952802</v>
      </c>
      <c r="AC9" s="126">
        <f t="shared" si="1"/>
        <v>1.7608537670059765</v>
      </c>
      <c r="AD9" s="126">
        <f t="shared" si="1"/>
        <v>1.799592549880108</v>
      </c>
      <c r="AE9" s="126">
        <f t="shared" si="1"/>
        <v>1.8391835859774703</v>
      </c>
      <c r="AF9" s="126">
        <f t="shared" si="1"/>
        <v>1.8796456248689748</v>
      </c>
      <c r="AG9" s="126">
        <f t="shared" si="1"/>
        <v>1.920997828616092</v>
      </c>
    </row>
    <row r="10" spans="1:33" s="118" customFormat="1" x14ac:dyDescent="0.35">
      <c r="A10" s="78"/>
      <c r="B10" s="78"/>
      <c r="C10" s="125"/>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row>
    <row r="11" spans="1:33" s="118" customFormat="1" x14ac:dyDescent="0.35">
      <c r="A11" s="77" t="s">
        <v>66</v>
      </c>
      <c r="B11" s="78" t="s">
        <v>237</v>
      </c>
      <c r="C11" s="125">
        <v>0</v>
      </c>
      <c r="D11" s="126">
        <f t="shared" ref="D11:AG11" si="2">(1+$C$9+$C$11)^D8</f>
        <v>1.022</v>
      </c>
      <c r="E11" s="126">
        <f t="shared" si="2"/>
        <v>1.044484</v>
      </c>
      <c r="F11" s="126">
        <f t="shared" si="2"/>
        <v>1.067462648</v>
      </c>
      <c r="G11" s="126">
        <f t="shared" si="2"/>
        <v>1.090946826256</v>
      </c>
      <c r="H11" s="126">
        <f t="shared" si="2"/>
        <v>1.114947656433632</v>
      </c>
      <c r="I11" s="126">
        <f t="shared" si="2"/>
        <v>1.1394765048751718</v>
      </c>
      <c r="J11" s="126">
        <f t="shared" si="2"/>
        <v>1.1645449879824257</v>
      </c>
      <c r="K11" s="126">
        <f t="shared" si="2"/>
        <v>1.1901649777180392</v>
      </c>
      <c r="L11" s="126">
        <f t="shared" si="2"/>
        <v>1.216348607227836</v>
      </c>
      <c r="M11" s="126">
        <f t="shared" si="2"/>
        <v>1.2431082765868484</v>
      </c>
      <c r="N11" s="126">
        <f t="shared" si="2"/>
        <v>1.2704566586717592</v>
      </c>
      <c r="O11" s="126">
        <f t="shared" si="2"/>
        <v>1.2984067051625379</v>
      </c>
      <c r="P11" s="126">
        <f t="shared" si="2"/>
        <v>1.3269716526761137</v>
      </c>
      <c r="Q11" s="126">
        <f t="shared" si="2"/>
        <v>1.356165029034988</v>
      </c>
      <c r="R11" s="126">
        <f t="shared" si="2"/>
        <v>1.386000659673758</v>
      </c>
      <c r="S11" s="126">
        <f t="shared" si="2"/>
        <v>1.4164926741865806</v>
      </c>
      <c r="T11" s="126">
        <f t="shared" si="2"/>
        <v>1.4476555130186854</v>
      </c>
      <c r="U11" s="126">
        <f t="shared" si="2"/>
        <v>1.4795039343050964</v>
      </c>
      <c r="V11" s="126">
        <f t="shared" si="2"/>
        <v>1.5120530208598086</v>
      </c>
      <c r="W11" s="126">
        <f t="shared" si="2"/>
        <v>1.5453181873187245</v>
      </c>
      <c r="X11" s="126">
        <f t="shared" si="2"/>
        <v>1.5793151874397364</v>
      </c>
      <c r="Y11" s="126">
        <f t="shared" si="2"/>
        <v>1.6140601215634105</v>
      </c>
      <c r="Z11" s="126">
        <f t="shared" si="2"/>
        <v>1.6495694442378055</v>
      </c>
      <c r="AA11" s="126">
        <f t="shared" si="2"/>
        <v>1.6858599720110374</v>
      </c>
      <c r="AB11" s="126">
        <f t="shared" si="2"/>
        <v>1.7229488913952802</v>
      </c>
      <c r="AC11" s="126">
        <f t="shared" si="2"/>
        <v>1.7608537670059765</v>
      </c>
      <c r="AD11" s="126">
        <f t="shared" si="2"/>
        <v>1.799592549880108</v>
      </c>
      <c r="AE11" s="126">
        <f t="shared" si="2"/>
        <v>1.8391835859774703</v>
      </c>
      <c r="AF11" s="126">
        <f t="shared" si="2"/>
        <v>1.8796456248689748</v>
      </c>
      <c r="AG11" s="126">
        <f t="shared" si="2"/>
        <v>1.920997828616092</v>
      </c>
    </row>
    <row r="12" spans="1:33" s="118" customFormat="1" x14ac:dyDescent="0.35">
      <c r="A12" s="77"/>
      <c r="B12" s="77"/>
      <c r="C12" s="125"/>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row>
    <row r="13" spans="1:33" s="118" customFormat="1" x14ac:dyDescent="0.35">
      <c r="A13" s="77" t="s">
        <v>31</v>
      </c>
      <c r="B13" s="104" t="s">
        <v>238</v>
      </c>
      <c r="C13" s="125">
        <f>'Data sheet'!AF11</f>
        <v>2.0914706452245468E-2</v>
      </c>
      <c r="D13" s="126">
        <f t="shared" ref="D13:AG13" si="3">(1+$C$13)^D8</f>
        <v>1.0209147064522455</v>
      </c>
      <c r="E13" s="126">
        <f t="shared" si="3"/>
        <v>1.0422668378504745</v>
      </c>
      <c r="F13" s="126">
        <f t="shared" si="3"/>
        <v>1.0640655428090273</v>
      </c>
      <c r="G13" s="126">
        <f t="shared" si="3"/>
        <v>1.0863201612828273</v>
      </c>
      <c r="H13" s="126">
        <f t="shared" si="3"/>
        <v>1.1090402285692136</v>
      </c>
      <c r="I13" s="126">
        <f t="shared" si="3"/>
        <v>1.1322354793934699</v>
      </c>
      <c r="J13" s="126">
        <f t="shared" si="3"/>
        <v>1.1559158520798016</v>
      </c>
      <c r="K13" s="126">
        <f t="shared" si="3"/>
        <v>1.1800914928095478</v>
      </c>
      <c r="L13" s="126">
        <f t="shared" si="3"/>
        <v>1.2047727599684517</v>
      </c>
      <c r="M13" s="126">
        <f t="shared" si="3"/>
        <v>1.2299702285848533</v>
      </c>
      <c r="N13" s="126">
        <f t="shared" si="3"/>
        <v>1.2556946948607068</v>
      </c>
      <c r="O13" s="126">
        <f t="shared" si="3"/>
        <v>1.2819571807973604</v>
      </c>
      <c r="P13" s="126">
        <f t="shared" si="3"/>
        <v>1.3087689389180854</v>
      </c>
      <c r="Q13" s="126">
        <f t="shared" si="3"/>
        <v>1.3361414570893739</v>
      </c>
      <c r="R13" s="126">
        <f t="shared" si="3"/>
        <v>1.3640864634430736</v>
      </c>
      <c r="S13" s="126">
        <f t="shared" si="3"/>
        <v>1.392615931401467</v>
      </c>
      <c r="T13" s="126">
        <f t="shared" si="3"/>
        <v>1.4217420848074491</v>
      </c>
      <c r="U13" s="126">
        <f t="shared" si="3"/>
        <v>1.4514774031620004</v>
      </c>
      <c r="V13" s="126">
        <f t="shared" si="3"/>
        <v>1.4818346269712011</v>
      </c>
      <c r="W13" s="126">
        <f t="shared" si="3"/>
        <v>1.5128267632050763</v>
      </c>
      <c r="X13" s="126">
        <f t="shared" si="3"/>
        <v>1.5444670908706113</v>
      </c>
      <c r="Y13" s="126">
        <f t="shared" si="3"/>
        <v>1.5767691667013235</v>
      </c>
      <c r="Z13" s="126">
        <f t="shared" si="3"/>
        <v>1.6097468309658334</v>
      </c>
      <c r="AA13" s="126">
        <f t="shared" si="3"/>
        <v>1.6434142133979162</v>
      </c>
      <c r="AB13" s="126">
        <f t="shared" si="3"/>
        <v>1.6777857392505813</v>
      </c>
      <c r="AC13" s="126">
        <f t="shared" si="3"/>
        <v>1.7128761354767708</v>
      </c>
      <c r="AD13" s="126">
        <f t="shared" si="3"/>
        <v>1.7487004370393242</v>
      </c>
      <c r="AE13" s="126">
        <f t="shared" si="3"/>
        <v>1.7852739933529149</v>
      </c>
      <c r="AF13" s="126">
        <f t="shared" si="3"/>
        <v>1.8226124748607193</v>
      </c>
      <c r="AG13" s="126">
        <f t="shared" si="3"/>
        <v>1.8607318797486316</v>
      </c>
    </row>
    <row r="14" spans="1:33" ht="16" thickBot="1" x14ac:dyDescent="0.4">
      <c r="A14" s="79"/>
      <c r="B14" s="79"/>
      <c r="C14" s="127"/>
      <c r="D14" s="163"/>
      <c r="E14" s="129"/>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row>
    <row r="15" spans="1:33" x14ac:dyDescent="0.35">
      <c r="A15" s="80" t="s">
        <v>177</v>
      </c>
      <c r="B15" s="173" t="s">
        <v>178</v>
      </c>
      <c r="C15" s="131"/>
      <c r="D15" s="132"/>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row>
    <row r="16" spans="1:33" x14ac:dyDescent="0.35">
      <c r="A16" s="77"/>
      <c r="B16" s="77"/>
      <c r="C16" s="124"/>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131</v>
      </c>
      <c r="B17" s="77" t="s">
        <v>155</v>
      </c>
      <c r="C17" s="134">
        <f>AVERAGE(C69:C70)</f>
        <v>25492720392.456287</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128</v>
      </c>
      <c r="C18" s="134">
        <f>C17/2</f>
        <v>12746360196.228144</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4"/>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67</v>
      </c>
      <c r="B20" s="104" t="s">
        <v>238</v>
      </c>
      <c r="C20" s="135">
        <f>'Data sheet'!G11</f>
        <v>2923601352.2188272</v>
      </c>
      <c r="D20" s="138"/>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5"/>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6" customFormat="1" x14ac:dyDescent="0.35">
      <c r="A22" s="80" t="s">
        <v>143</v>
      </c>
      <c r="B22" s="173" t="s">
        <v>178</v>
      </c>
      <c r="C22" s="131"/>
      <c r="D22" s="132"/>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row>
    <row r="23" spans="1:33" x14ac:dyDescent="0.35">
      <c r="A23" s="77"/>
      <c r="B23" s="77"/>
      <c r="C23" s="124"/>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104" t="s">
        <v>238</v>
      </c>
      <c r="C24" s="134">
        <f>'Data sheet'!C11</f>
        <v>1002514234.6660497</v>
      </c>
      <c r="D24" s="138"/>
      <c r="E24" s="164"/>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104" t="s">
        <v>238</v>
      </c>
      <c r="C25" s="134">
        <f>'Data sheet'!K11</f>
        <v>341756503.05790001</v>
      </c>
      <c r="D25" s="138"/>
      <c r="E25" s="164"/>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130</v>
      </c>
      <c r="C26" s="137">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130</v>
      </c>
      <c r="C27" s="137">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4"/>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6" customFormat="1" x14ac:dyDescent="0.35">
      <c r="A29" s="80" t="s">
        <v>181</v>
      </c>
      <c r="B29" s="80"/>
      <c r="C29" s="131"/>
      <c r="D29" s="132"/>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row>
    <row r="30" spans="1:33" s="73" customFormat="1" x14ac:dyDescent="0.35">
      <c r="A30" s="86"/>
      <c r="B30" s="86"/>
      <c r="C30" s="124"/>
      <c r="D30" s="72"/>
    </row>
    <row r="31" spans="1:33" s="73" customFormat="1" x14ac:dyDescent="0.35">
      <c r="A31" s="174" t="s">
        <v>182</v>
      </c>
      <c r="B31" s="174" t="s">
        <v>155</v>
      </c>
      <c r="C31" s="71">
        <f>C136</f>
        <v>1725853.0649999999</v>
      </c>
      <c r="D31" s="72"/>
    </row>
    <row r="32" spans="1:33" x14ac:dyDescent="0.35">
      <c r="A32" s="77" t="s">
        <v>183</v>
      </c>
      <c r="B32" s="77" t="s">
        <v>191</v>
      </c>
      <c r="C32" s="71">
        <v>4344965.8520436771</v>
      </c>
      <c r="D32" s="72"/>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77" t="s">
        <v>184</v>
      </c>
      <c r="B33" s="77" t="s">
        <v>91</v>
      </c>
      <c r="C33" s="147">
        <f>C31/C32</f>
        <v>0.39720750951085981</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77"/>
      <c r="B34" s="77"/>
      <c r="C34" s="124"/>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s="73" customFormat="1" x14ac:dyDescent="0.35">
      <c r="A35" s="77" t="s">
        <v>185</v>
      </c>
      <c r="B35" s="174" t="s">
        <v>128</v>
      </c>
      <c r="C35" s="134">
        <v>3000000000</v>
      </c>
      <c r="D35" s="72"/>
    </row>
    <row r="36" spans="1:33" x14ac:dyDescent="0.35">
      <c r="A36" s="77"/>
      <c r="B36" s="77"/>
      <c r="C36" s="124"/>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77" t="s">
        <v>186</v>
      </c>
      <c r="B37" s="77" t="s">
        <v>91</v>
      </c>
      <c r="C37" s="134">
        <f>C35*$C$33</f>
        <v>1191622528.5325794</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77"/>
      <c r="B38" s="77"/>
      <c r="C38" s="124"/>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77" t="s">
        <v>201</v>
      </c>
      <c r="B39" s="77"/>
      <c r="C39" s="124">
        <v>30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77"/>
      <c r="B40" s="77"/>
      <c r="C40" s="124"/>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77" t="s">
        <v>188</v>
      </c>
      <c r="B41" s="174" t="s">
        <v>128</v>
      </c>
      <c r="C41" s="134">
        <v>1000000000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77"/>
      <c r="B42" s="77"/>
      <c r="C42" s="124"/>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76" t="s">
        <v>189</v>
      </c>
      <c r="B43" s="77" t="s">
        <v>91</v>
      </c>
      <c r="C43" s="134">
        <f>C41*$C$33</f>
        <v>397207509.51085979</v>
      </c>
    </row>
    <row r="44" spans="1:33" x14ac:dyDescent="0.35">
      <c r="B44" s="77"/>
      <c r="C44" s="124"/>
    </row>
    <row r="45" spans="1:33" x14ac:dyDescent="0.35">
      <c r="A45" s="76" t="s">
        <v>190</v>
      </c>
      <c r="B45" s="77" t="s">
        <v>128</v>
      </c>
      <c r="C45" s="124">
        <v>5</v>
      </c>
    </row>
    <row r="46" spans="1:33" x14ac:dyDescent="0.35">
      <c r="B46" s="77"/>
      <c r="C46" s="124"/>
    </row>
    <row r="47" spans="1:33" x14ac:dyDescent="0.35">
      <c r="A47" s="76" t="s">
        <v>187</v>
      </c>
      <c r="B47" s="77" t="s">
        <v>91</v>
      </c>
      <c r="C47" s="134">
        <f>SUM(D47:H47)</f>
        <v>397207509.51085979</v>
      </c>
      <c r="D47" s="108">
        <f>$C$43/$C$45</f>
        <v>79441501.902171955</v>
      </c>
      <c r="E47" s="108">
        <f t="shared" ref="E47:H47" si="4">$C$43/$C$45</f>
        <v>79441501.902171955</v>
      </c>
      <c r="F47" s="108">
        <f t="shared" si="4"/>
        <v>79441501.902171955</v>
      </c>
      <c r="G47" s="108">
        <f t="shared" si="4"/>
        <v>79441501.902171955</v>
      </c>
      <c r="H47" s="108">
        <f t="shared" si="4"/>
        <v>79441501.902171955</v>
      </c>
    </row>
    <row r="48" spans="1:33" s="73" customFormat="1" ht="16" thickBot="1" x14ac:dyDescent="0.4">
      <c r="A48" s="86"/>
      <c r="B48" s="86"/>
      <c r="C48" s="124"/>
      <c r="D48" s="72"/>
    </row>
    <row r="49" spans="1:33" s="136" customFormat="1" x14ac:dyDescent="0.35">
      <c r="A49" s="80" t="s">
        <v>53</v>
      </c>
      <c r="B49" s="80"/>
      <c r="C49" s="131"/>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row>
    <row r="50" spans="1:33" x14ac:dyDescent="0.35">
      <c r="A50" s="77"/>
      <c r="B50" s="77"/>
      <c r="C50" s="124"/>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t="s">
        <v>54</v>
      </c>
      <c r="B51" s="70" t="s">
        <v>194</v>
      </c>
      <c r="C51" s="125">
        <v>-0.53266802747993225</v>
      </c>
      <c r="D51" s="138"/>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55</v>
      </c>
      <c r="B52" s="70" t="s">
        <v>193</v>
      </c>
      <c r="C52" s="125">
        <v>-0.5</v>
      </c>
      <c r="D52" s="138"/>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ht="31" x14ac:dyDescent="0.35">
      <c r="A53" s="81" t="s">
        <v>108</v>
      </c>
      <c r="B53" s="82" t="s">
        <v>239</v>
      </c>
      <c r="C53" s="125">
        <f>-0.81%/2</f>
        <v>-4.0500000000000006E-3</v>
      </c>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25"/>
      <c r="D54" s="72"/>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69" t="s">
        <v>56</v>
      </c>
      <c r="B55" s="69" t="s">
        <v>192</v>
      </c>
      <c r="C55" s="125">
        <v>-7.4124149162968722E-2</v>
      </c>
      <c r="D55" s="72"/>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57</v>
      </c>
      <c r="B56" s="69" t="s">
        <v>192</v>
      </c>
      <c r="C56" s="125">
        <v>-4.076955989791553E-2</v>
      </c>
      <c r="D56" s="72"/>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58</v>
      </c>
      <c r="B57" s="69" t="s">
        <v>192</v>
      </c>
      <c r="C57" s="125">
        <v>-3.2948974198055314E-2</v>
      </c>
      <c r="D57" s="72"/>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c r="B58" s="69"/>
      <c r="C58" s="125"/>
      <c r="D58" s="72"/>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t="s">
        <v>59</v>
      </c>
      <c r="B59" s="69" t="s">
        <v>192</v>
      </c>
      <c r="C59" s="125">
        <v>-6.8850084905162312E-2</v>
      </c>
      <c r="D59" s="72"/>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69" t="s">
        <v>60</v>
      </c>
      <c r="B60" s="69" t="s">
        <v>192</v>
      </c>
      <c r="C60" s="125">
        <v>-3.6911957664870432E-2</v>
      </c>
      <c r="D60" s="72"/>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61</v>
      </c>
      <c r="B61" s="69" t="s">
        <v>192</v>
      </c>
      <c r="C61" s="125">
        <v>-2.9247758199096863E-2</v>
      </c>
      <c r="D61" s="72"/>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c r="B62" s="69"/>
      <c r="C62" s="125"/>
      <c r="D62" s="72"/>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62</v>
      </c>
      <c r="B63" s="69" t="s">
        <v>91</v>
      </c>
      <c r="C63" s="139">
        <v>1</v>
      </c>
      <c r="D63" s="39">
        <v>1</v>
      </c>
      <c r="E63" s="39">
        <v>1</v>
      </c>
      <c r="F63" s="39">
        <v>1</v>
      </c>
      <c r="G63" s="39">
        <v>1</v>
      </c>
      <c r="H63" s="39">
        <f>G63*(1+$C$55)</f>
        <v>0.92587585083703128</v>
      </c>
      <c r="I63" s="39">
        <f t="shared" ref="I63:L63" si="5">H63*(1+$C$55)</f>
        <v>0.85724609116319661</v>
      </c>
      <c r="J63" s="39">
        <f t="shared" si="5"/>
        <v>0.79370345403244391</v>
      </c>
      <c r="K63" s="39">
        <f t="shared" si="5"/>
        <v>0.73487086081457953</v>
      </c>
      <c r="L63" s="39">
        <f t="shared" si="5"/>
        <v>0.68039918351204043</v>
      </c>
      <c r="M63" s="39">
        <f>L63*(1+$C$56)</f>
        <v>0.65265960824535352</v>
      </c>
      <c r="N63" s="39">
        <f t="shared" ref="N63:Q63" si="6">M63*(1+$C$56)</f>
        <v>0.62605096325404452</v>
      </c>
      <c r="O63" s="39">
        <f t="shared" si="6"/>
        <v>0.60052714100851101</v>
      </c>
      <c r="P63" s="39">
        <f t="shared" si="6"/>
        <v>0.57604391376284059</v>
      </c>
      <c r="Q63" s="39">
        <f t="shared" si="6"/>
        <v>0.5525588569168568</v>
      </c>
      <c r="R63" s="39">
        <f>Q63*(1+$C$57)</f>
        <v>0.53435260939739637</v>
      </c>
      <c r="S63" s="39">
        <f t="shared" ref="S63:V63" si="7">R63*(1+$C$57)</f>
        <v>0.51674623905769801</v>
      </c>
      <c r="T63" s="39">
        <f t="shared" si="7"/>
        <v>0.4997199805600438</v>
      </c>
      <c r="U63" s="39">
        <f t="shared" si="7"/>
        <v>0.48325471981431822</v>
      </c>
      <c r="V63" s="39">
        <f t="shared" si="7"/>
        <v>0.46733197252006781</v>
      </c>
      <c r="W63" s="39">
        <f t="shared" ref="W63:AG64" si="8">V63</f>
        <v>0.46733197252006781</v>
      </c>
      <c r="X63" s="39">
        <f t="shared" si="8"/>
        <v>0.46733197252006781</v>
      </c>
      <c r="Y63" s="39">
        <f t="shared" si="8"/>
        <v>0.46733197252006781</v>
      </c>
      <c r="Z63" s="39">
        <f t="shared" si="8"/>
        <v>0.46733197252006781</v>
      </c>
      <c r="AA63" s="39">
        <f t="shared" si="8"/>
        <v>0.46733197252006781</v>
      </c>
      <c r="AB63" s="39">
        <f t="shared" si="8"/>
        <v>0.46733197252006781</v>
      </c>
      <c r="AC63" s="39">
        <f t="shared" si="8"/>
        <v>0.46733197252006781</v>
      </c>
      <c r="AD63" s="39">
        <f t="shared" si="8"/>
        <v>0.46733197252006781</v>
      </c>
      <c r="AE63" s="39">
        <f t="shared" si="8"/>
        <v>0.46733197252006781</v>
      </c>
      <c r="AF63" s="39">
        <f t="shared" si="8"/>
        <v>0.46733197252006781</v>
      </c>
      <c r="AG63" s="39">
        <f t="shared" si="8"/>
        <v>0.46733197252006781</v>
      </c>
    </row>
    <row r="64" spans="1:33" x14ac:dyDescent="0.35">
      <c r="A64" s="69" t="s">
        <v>63</v>
      </c>
      <c r="B64" s="69" t="s">
        <v>91</v>
      </c>
      <c r="C64" s="139">
        <v>1</v>
      </c>
      <c r="D64" s="39">
        <v>1</v>
      </c>
      <c r="E64" s="39">
        <v>1</v>
      </c>
      <c r="F64" s="39">
        <v>1</v>
      </c>
      <c r="G64" s="39">
        <v>1</v>
      </c>
      <c r="H64" s="39">
        <f>G64*(1+$C$59)</f>
        <v>0.93114991509483769</v>
      </c>
      <c r="I64" s="39">
        <f t="shared" ref="I64:L64" si="9">H64*(1+$C$59)</f>
        <v>0.86704016438112341</v>
      </c>
      <c r="J64" s="39">
        <f t="shared" si="9"/>
        <v>0.8073443754472972</v>
      </c>
      <c r="K64" s="39">
        <f t="shared" si="9"/>
        <v>0.75175864665004555</v>
      </c>
      <c r="L64" s="39">
        <f t="shared" si="9"/>
        <v>0.7</v>
      </c>
      <c r="M64" s="39">
        <f>L64*(1+$C$60)</f>
        <v>0.6741616296345907</v>
      </c>
      <c r="N64" s="39">
        <f t="shared" ref="N64:Q64" si="10">M64*(1+$C$60)</f>
        <v>0.64927700410223865</v>
      </c>
      <c r="O64" s="39">
        <f t="shared" si="10"/>
        <v>0.62531091881404288</v>
      </c>
      <c r="P64" s="39">
        <f t="shared" si="10"/>
        <v>0.6022294686513977</v>
      </c>
      <c r="Q64" s="39">
        <f t="shared" si="10"/>
        <v>0.57999999999999985</v>
      </c>
      <c r="R64" s="39">
        <f>Q64*(1+$C$61)</f>
        <v>0.56303630024452367</v>
      </c>
      <c r="S64" s="39">
        <f t="shared" ref="S64:V64" si="11">R64*(1+$C$61)</f>
        <v>0.54656875067765776</v>
      </c>
      <c r="T64" s="39">
        <f t="shared" si="11"/>
        <v>0.53058284001865519</v>
      </c>
      <c r="U64" s="39">
        <f t="shared" si="11"/>
        <v>0.51506448140919947</v>
      </c>
      <c r="V64" s="39">
        <f t="shared" si="11"/>
        <v>0.5</v>
      </c>
      <c r="W64" s="39">
        <f t="shared" si="8"/>
        <v>0.5</v>
      </c>
      <c r="X64" s="39">
        <f t="shared" si="8"/>
        <v>0.5</v>
      </c>
      <c r="Y64" s="39">
        <f t="shared" si="8"/>
        <v>0.5</v>
      </c>
      <c r="Z64" s="39">
        <f t="shared" si="8"/>
        <v>0.5</v>
      </c>
      <c r="AA64" s="39">
        <f t="shared" si="8"/>
        <v>0.5</v>
      </c>
      <c r="AB64" s="39">
        <f t="shared" si="8"/>
        <v>0.5</v>
      </c>
      <c r="AC64" s="39">
        <f t="shared" si="8"/>
        <v>0.5</v>
      </c>
      <c r="AD64" s="39">
        <f t="shared" si="8"/>
        <v>0.5</v>
      </c>
      <c r="AE64" s="39">
        <f t="shared" si="8"/>
        <v>0.5</v>
      </c>
      <c r="AF64" s="39">
        <f t="shared" si="8"/>
        <v>0.5</v>
      </c>
      <c r="AG64" s="39">
        <f t="shared" si="8"/>
        <v>0.5</v>
      </c>
    </row>
    <row r="65" spans="1:33" x14ac:dyDescent="0.35">
      <c r="A65" s="69" t="s">
        <v>92</v>
      </c>
      <c r="B65" s="69" t="s">
        <v>91</v>
      </c>
      <c r="C65" s="139">
        <v>1</v>
      </c>
      <c r="D65" s="39">
        <f>C65*(1+$C$53)</f>
        <v>0.99595</v>
      </c>
      <c r="E65" s="39">
        <f>D65*(1+$C$53)</f>
        <v>0.99191640250000002</v>
      </c>
      <c r="F65" s="39">
        <f t="shared" ref="F65:AG65" si="12">E65*(1+$C$53)</f>
        <v>0.98789914106987498</v>
      </c>
      <c r="G65" s="39">
        <f t="shared" si="12"/>
        <v>0.98389814954854193</v>
      </c>
      <c r="H65" s="39">
        <f t="shared" si="12"/>
        <v>0.97991336204287038</v>
      </c>
      <c r="I65" s="39">
        <f t="shared" si="12"/>
        <v>0.97594471292659679</v>
      </c>
      <c r="J65" s="39">
        <f t="shared" si="12"/>
        <v>0.97199213683924413</v>
      </c>
      <c r="K65" s="39">
        <f t="shared" si="12"/>
        <v>0.96805556868504516</v>
      </c>
      <c r="L65" s="39">
        <f t="shared" si="12"/>
        <v>0.96413494363187069</v>
      </c>
      <c r="M65" s="39">
        <f t="shared" si="12"/>
        <v>0.96023019711016167</v>
      </c>
      <c r="N65" s="39">
        <f t="shared" si="12"/>
        <v>0.95634126481186554</v>
      </c>
      <c r="O65" s="39">
        <f t="shared" si="12"/>
        <v>0.95246808268937744</v>
      </c>
      <c r="P65" s="39">
        <f t="shared" si="12"/>
        <v>0.94861058695448541</v>
      </c>
      <c r="Q65" s="39">
        <f t="shared" si="12"/>
        <v>0.94476871407731977</v>
      </c>
      <c r="R65" s="39">
        <f t="shared" si="12"/>
        <v>0.94094240078530667</v>
      </c>
      <c r="S65" s="39">
        <f t="shared" si="12"/>
        <v>0.93713158406212616</v>
      </c>
      <c r="T65" s="39">
        <f t="shared" si="12"/>
        <v>0.93333620114667459</v>
      </c>
      <c r="U65" s="39">
        <f t="shared" si="12"/>
        <v>0.92955618953203056</v>
      </c>
      <c r="V65" s="39">
        <f t="shared" si="12"/>
        <v>0.92579148696442581</v>
      </c>
      <c r="W65" s="39">
        <f t="shared" si="12"/>
        <v>0.92204203144221986</v>
      </c>
      <c r="X65" s="39">
        <f t="shared" si="12"/>
        <v>0.91830776121487889</v>
      </c>
      <c r="Y65" s="39">
        <f t="shared" si="12"/>
        <v>0.91458861478195863</v>
      </c>
      <c r="Z65" s="39">
        <f t="shared" si="12"/>
        <v>0.91088453089209165</v>
      </c>
      <c r="AA65" s="39">
        <f t="shared" si="12"/>
        <v>0.90719544854197864</v>
      </c>
      <c r="AB65" s="39">
        <f t="shared" si="12"/>
        <v>0.90352130697538369</v>
      </c>
      <c r="AC65" s="39">
        <f t="shared" si="12"/>
        <v>0.89986204568213335</v>
      </c>
      <c r="AD65" s="39">
        <f t="shared" si="12"/>
        <v>0.89621760439712073</v>
      </c>
      <c r="AE65" s="39">
        <f t="shared" si="12"/>
        <v>0.89258792309931234</v>
      </c>
      <c r="AF65" s="39">
        <f t="shared" si="12"/>
        <v>0.88897294201076016</v>
      </c>
      <c r="AG65" s="39">
        <f t="shared" si="12"/>
        <v>0.88537260159561659</v>
      </c>
    </row>
    <row r="66" spans="1:33" ht="16" thickBot="1" x14ac:dyDescent="0.4">
      <c r="A66" s="83"/>
      <c r="B66" s="83"/>
      <c r="C66" s="140"/>
      <c r="D66" s="128"/>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row>
    <row r="67" spans="1:33" x14ac:dyDescent="0.35">
      <c r="A67" s="84" t="s">
        <v>144</v>
      </c>
      <c r="B67" s="84"/>
      <c r="C67" s="131"/>
      <c r="D67" s="132"/>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row>
    <row r="68" spans="1:33" x14ac:dyDescent="0.35">
      <c r="A68" s="69"/>
      <c r="B68" s="69"/>
      <c r="C68" s="124"/>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t="s">
        <v>110</v>
      </c>
      <c r="B69" s="104" t="s">
        <v>238</v>
      </c>
      <c r="C69" s="71">
        <f>'Data sheet'!AN11</f>
        <v>23963102942.82019</v>
      </c>
      <c r="D69" s="138"/>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69" t="s">
        <v>111</v>
      </c>
      <c r="B70" s="104" t="s">
        <v>238</v>
      </c>
      <c r="C70" s="71">
        <f>'Data sheet'!AO11</f>
        <v>27022337842.092384</v>
      </c>
      <c r="D70" s="138"/>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69"/>
      <c r="B71" s="69"/>
      <c r="C71" s="124"/>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175" t="s">
        <v>124</v>
      </c>
      <c r="B72" s="176" t="s">
        <v>240</v>
      </c>
      <c r="C72" s="141">
        <v>0.27848899999999999</v>
      </c>
      <c r="D72" s="176"/>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175" t="s">
        <v>125</v>
      </c>
      <c r="B73" s="176" t="s">
        <v>240</v>
      </c>
      <c r="C73" s="141">
        <f>1-C72</f>
        <v>0.72151100000000001</v>
      </c>
      <c r="D73" s="176"/>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175"/>
      <c r="B74" s="175"/>
      <c r="C74" s="141"/>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35">
      <c r="A75" s="177" t="s">
        <v>123</v>
      </c>
      <c r="B75" s="177"/>
      <c r="C75" s="141"/>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175" t="s">
        <v>112</v>
      </c>
      <c r="B76" s="176" t="s">
        <v>156</v>
      </c>
      <c r="C76" s="71">
        <v>23.939688236227312</v>
      </c>
      <c r="D76" s="72"/>
      <c r="E76" s="73"/>
      <c r="F76" s="74"/>
      <c r="G76" s="73"/>
      <c r="H76" s="75"/>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175" t="s">
        <v>113</v>
      </c>
      <c r="B77" s="176" t="s">
        <v>156</v>
      </c>
      <c r="C77" s="71">
        <v>33.857631051616707</v>
      </c>
      <c r="D77" s="72"/>
      <c r="E77" s="73"/>
      <c r="F77" s="74"/>
      <c r="G77" s="73"/>
      <c r="H77" s="75"/>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175" t="s">
        <v>114</v>
      </c>
      <c r="B78" s="175" t="s">
        <v>91</v>
      </c>
      <c r="C78" s="71">
        <f>AVERAGE(C76:C77)</f>
        <v>28.898659643922009</v>
      </c>
      <c r="D78" s="72"/>
      <c r="E78" s="73"/>
      <c r="F78" s="74"/>
      <c r="G78" s="73"/>
      <c r="H78" s="75"/>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175"/>
      <c r="B79" s="175"/>
      <c r="C79" s="71"/>
      <c r="D79" s="72"/>
      <c r="E79" s="73"/>
      <c r="F79" s="74"/>
      <c r="G79" s="73"/>
      <c r="H79" s="75"/>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177" t="s">
        <v>121</v>
      </c>
      <c r="B80" s="177"/>
      <c r="C80" s="71"/>
      <c r="D80" s="72"/>
      <c r="E80" s="73"/>
      <c r="F80" s="74"/>
      <c r="G80" s="73"/>
      <c r="H80" s="75"/>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175" t="s">
        <v>112</v>
      </c>
      <c r="B81" s="176" t="s">
        <v>119</v>
      </c>
      <c r="C81" s="71">
        <v>84.01794006534017</v>
      </c>
      <c r="D81" s="72"/>
      <c r="E81" s="73"/>
      <c r="F81" s="74"/>
      <c r="G81" s="73"/>
      <c r="H81" s="75"/>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175" t="s">
        <v>113</v>
      </c>
      <c r="B82" s="176" t="s">
        <v>119</v>
      </c>
      <c r="C82" s="71">
        <v>111.79379467063849</v>
      </c>
      <c r="D82" s="72"/>
      <c r="E82" s="73"/>
      <c r="F82" s="74"/>
      <c r="G82" s="73"/>
      <c r="H82" s="75"/>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175" t="s">
        <v>114</v>
      </c>
      <c r="B83" s="175" t="s">
        <v>91</v>
      </c>
      <c r="C83" s="71">
        <f>AVERAGE(C81:C82)</f>
        <v>97.90586736798933</v>
      </c>
      <c r="D83" s="72"/>
      <c r="E83" s="73"/>
      <c r="F83" s="74"/>
      <c r="G83" s="73"/>
      <c r="H83" s="75"/>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175"/>
      <c r="B84" s="175"/>
      <c r="C84" s="124"/>
      <c r="D84" s="72"/>
      <c r="E84" s="73"/>
      <c r="F84" s="74"/>
      <c r="G84" s="73"/>
      <c r="H84" s="75"/>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177" t="s">
        <v>120</v>
      </c>
      <c r="B85" s="177"/>
      <c r="C85" s="124"/>
      <c r="D85" s="72"/>
      <c r="E85" s="73"/>
      <c r="F85" s="74"/>
      <c r="G85" s="73"/>
      <c r="H85" s="75"/>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175" t="s">
        <v>112</v>
      </c>
      <c r="B86" s="175" t="s">
        <v>91</v>
      </c>
      <c r="C86" s="71">
        <f>C69*C72/C77</f>
        <v>197103588.41317672</v>
      </c>
      <c r="D86" s="72"/>
      <c r="E86" s="73"/>
      <c r="F86" s="74"/>
      <c r="G86" s="73"/>
      <c r="H86" s="75"/>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175" t="s">
        <v>113</v>
      </c>
      <c r="B87" s="175" t="s">
        <v>91</v>
      </c>
      <c r="C87" s="71">
        <f>C70*C72/C76</f>
        <v>314349283.4596917</v>
      </c>
      <c r="D87" s="72"/>
      <c r="E87" s="73"/>
      <c r="F87" s="74"/>
      <c r="G87" s="73"/>
      <c r="H87" s="75"/>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175" t="s">
        <v>114</v>
      </c>
      <c r="B88" s="175" t="s">
        <v>91</v>
      </c>
      <c r="C88" s="142">
        <f>AVERAGE(C86:C87)</f>
        <v>255726435.93643421</v>
      </c>
      <c r="D88" s="72"/>
      <c r="E88" s="73"/>
      <c r="F88" s="74"/>
      <c r="G88" s="73"/>
      <c r="H88" s="75"/>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175"/>
      <c r="B89" s="175"/>
      <c r="C89" s="124"/>
      <c r="D89" s="72"/>
      <c r="E89" s="73"/>
      <c r="F89" s="74"/>
      <c r="G89" s="73"/>
      <c r="H89" s="75"/>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177" t="s">
        <v>122</v>
      </c>
      <c r="B90" s="177"/>
      <c r="C90" s="124"/>
      <c r="D90" s="72"/>
      <c r="E90" s="73"/>
      <c r="F90" s="74"/>
      <c r="G90" s="73"/>
      <c r="H90" s="75"/>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175" t="s">
        <v>112</v>
      </c>
      <c r="B91" s="175" t="s">
        <v>91</v>
      </c>
      <c r="C91" s="71">
        <f>C69*C73/C82</f>
        <v>154656547.96238962</v>
      </c>
      <c r="D91" s="72"/>
      <c r="E91" s="73"/>
      <c r="F91" s="74"/>
      <c r="G91" s="73"/>
      <c r="H91" s="75"/>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175" t="s">
        <v>113</v>
      </c>
      <c r="B92" s="175" t="s">
        <v>91</v>
      </c>
      <c r="C92" s="71">
        <f>C70*C73/C81</f>
        <v>232056558.20201382</v>
      </c>
      <c r="D92" s="72"/>
      <c r="E92" s="73"/>
      <c r="F92" s="74"/>
      <c r="G92" s="73"/>
      <c r="H92" s="75"/>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175" t="s">
        <v>114</v>
      </c>
      <c r="B93" s="175" t="s">
        <v>91</v>
      </c>
      <c r="C93" s="142">
        <f>AVERAGE(C91:C92)</f>
        <v>193356553.08220172</v>
      </c>
      <c r="D93" s="72"/>
      <c r="E93" s="73"/>
      <c r="F93" s="74"/>
      <c r="G93" s="73"/>
      <c r="H93" s="75"/>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175"/>
      <c r="B94" s="175"/>
      <c r="C94" s="142"/>
      <c r="D94" s="72"/>
      <c r="E94" s="73"/>
      <c r="F94" s="74"/>
      <c r="G94" s="73"/>
      <c r="H94" s="75"/>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115</v>
      </c>
      <c r="B95" s="70" t="s">
        <v>191</v>
      </c>
      <c r="C95" s="71">
        <f>C87+C93</f>
        <v>507705836.54189342</v>
      </c>
      <c r="D95" s="72"/>
      <c r="E95" s="73"/>
      <c r="F95" s="74"/>
      <c r="G95" s="73"/>
      <c r="H95" s="75"/>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c r="B96" s="69"/>
      <c r="C96" s="143"/>
      <c r="D96" s="144"/>
      <c r="E96" s="144"/>
      <c r="F96" s="145"/>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t="s">
        <v>136</v>
      </c>
      <c r="B97" s="176" t="s">
        <v>240</v>
      </c>
      <c r="C97" s="85">
        <f>'Data sheet'!AI11</f>
        <v>23514385756.318207</v>
      </c>
      <c r="D97" s="144"/>
      <c r="E97" s="146"/>
      <c r="F97" s="145"/>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137</v>
      </c>
      <c r="B98" s="176" t="s">
        <v>240</v>
      </c>
      <c r="C98" s="85">
        <f>'Data sheet'!AJ11</f>
        <v>31033913987.987659</v>
      </c>
      <c r="D98" s="144"/>
      <c r="E98" s="144"/>
      <c r="F98" s="145"/>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85"/>
      <c r="D99" s="144"/>
      <c r="E99" s="144"/>
      <c r="F99" s="145"/>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195</v>
      </c>
      <c r="B100" s="176" t="s">
        <v>240</v>
      </c>
      <c r="C100" s="71">
        <f>AVERAGE(C97:C98)</f>
        <v>27274149872.152931</v>
      </c>
      <c r="D100" s="165"/>
      <c r="E100" s="166"/>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71"/>
      <c r="D101" s="144"/>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51</v>
      </c>
      <c r="B102" s="69"/>
      <c r="C102" s="124">
        <v>30</v>
      </c>
      <c r="D102" s="144"/>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124"/>
      <c r="D103" s="144"/>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x14ac:dyDescent="0.35">
      <c r="A104" s="69" t="s">
        <v>52</v>
      </c>
      <c r="B104" s="69" t="s">
        <v>91</v>
      </c>
      <c r="C104" s="71">
        <f>C100/C102</f>
        <v>909138329.07176435</v>
      </c>
      <c r="D104" s="144"/>
      <c r="E104" s="73"/>
      <c r="F104" s="74"/>
      <c r="G104" s="73"/>
      <c r="H104" s="75"/>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x14ac:dyDescent="0.35">
      <c r="A105" s="69"/>
      <c r="B105" s="69"/>
      <c r="C105" s="71"/>
      <c r="D105" s="144"/>
      <c r="E105" s="73"/>
      <c r="F105" s="74"/>
      <c r="G105" s="73"/>
      <c r="H105" s="75"/>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196</v>
      </c>
      <c r="B106" s="69"/>
      <c r="C106" s="71"/>
      <c r="D106" s="144"/>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197</v>
      </c>
      <c r="B107" s="69"/>
      <c r="C107" s="147">
        <v>0.2</v>
      </c>
      <c r="D107" s="144"/>
      <c r="E107" s="73"/>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t="s">
        <v>198</v>
      </c>
      <c r="B108" s="69"/>
      <c r="C108" s="147">
        <v>1.2</v>
      </c>
      <c r="D108" s="144"/>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199</v>
      </c>
      <c r="B109" s="69"/>
      <c r="C109" s="147">
        <v>1.6</v>
      </c>
      <c r="D109" s="144"/>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71"/>
      <c r="D110" s="144"/>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ht="31" x14ac:dyDescent="0.35">
      <c r="A111" s="69" t="s">
        <v>40</v>
      </c>
      <c r="B111" s="70" t="s">
        <v>242</v>
      </c>
      <c r="C111" s="147">
        <v>0.51505189223183812</v>
      </c>
      <c r="D111" s="72"/>
      <c r="E111" s="73"/>
      <c r="F111" s="74"/>
      <c r="G111" s="73"/>
      <c r="H111" s="75"/>
      <c r="I111" s="73"/>
      <c r="J111" s="73"/>
      <c r="K111" s="73"/>
      <c r="L111" s="146"/>
      <c r="M111" s="73"/>
      <c r="N111" s="73"/>
      <c r="O111" s="73"/>
      <c r="P111" s="73"/>
      <c r="Q111" s="73"/>
      <c r="R111" s="73"/>
      <c r="S111" s="73"/>
      <c r="T111" s="73"/>
      <c r="U111" s="73"/>
      <c r="V111" s="73"/>
      <c r="W111" s="73"/>
      <c r="X111" s="73"/>
      <c r="Y111" s="73"/>
      <c r="Z111" s="73"/>
      <c r="AA111" s="73"/>
      <c r="AB111" s="73"/>
      <c r="AC111" s="73"/>
      <c r="AD111" s="73"/>
      <c r="AE111" s="73"/>
      <c r="AF111" s="73"/>
      <c r="AG111" s="73"/>
    </row>
    <row r="112" spans="1:33" ht="31" x14ac:dyDescent="0.35">
      <c r="A112" s="69" t="s">
        <v>41</v>
      </c>
      <c r="B112" s="70" t="s">
        <v>241</v>
      </c>
      <c r="C112" s="147">
        <f>1-C111</f>
        <v>0.48494810776816188</v>
      </c>
      <c r="D112" s="72"/>
      <c r="E112" s="73"/>
      <c r="F112" s="74"/>
      <c r="G112" s="73"/>
      <c r="H112" s="75"/>
      <c r="I112" s="73"/>
      <c r="J112" s="73"/>
      <c r="K112" s="73"/>
      <c r="L112" s="148"/>
      <c r="M112" s="73"/>
      <c r="N112" s="73"/>
      <c r="O112" s="73"/>
      <c r="P112" s="73"/>
      <c r="Q112" s="73"/>
      <c r="R112" s="73"/>
      <c r="S112" s="73"/>
      <c r="T112" s="73"/>
      <c r="U112" s="73"/>
      <c r="V112" s="73"/>
      <c r="W112" s="73"/>
      <c r="X112" s="73"/>
      <c r="Y112" s="73"/>
      <c r="Z112" s="73"/>
      <c r="AA112" s="73"/>
      <c r="AB112" s="73"/>
      <c r="AC112" s="73"/>
      <c r="AD112" s="73"/>
      <c r="AE112" s="73"/>
      <c r="AF112" s="73"/>
      <c r="AG112" s="73"/>
    </row>
    <row r="113" spans="1:33" x14ac:dyDescent="0.35">
      <c r="A113" s="69" t="s">
        <v>42</v>
      </c>
      <c r="B113" s="69" t="s">
        <v>154</v>
      </c>
      <c r="C113" s="142">
        <v>30</v>
      </c>
      <c r="D113" s="72"/>
      <c r="E113" s="73"/>
      <c r="F113" s="74"/>
      <c r="G113" s="73"/>
      <c r="H113" s="75"/>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row>
    <row r="114" spans="1:33" x14ac:dyDescent="0.35">
      <c r="A114" s="69" t="s">
        <v>43</v>
      </c>
      <c r="B114" s="69" t="s">
        <v>154</v>
      </c>
      <c r="C114" s="142">
        <v>100</v>
      </c>
      <c r="D114" s="72"/>
      <c r="E114" s="146"/>
      <c r="F114" s="74"/>
      <c r="G114" s="73"/>
      <c r="H114" s="75"/>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row>
    <row r="115" spans="1:33" x14ac:dyDescent="0.35">
      <c r="A115" s="69"/>
      <c r="B115" s="69"/>
      <c r="C115" s="124"/>
      <c r="D115" s="72"/>
      <c r="E115" s="73"/>
      <c r="F115" s="74"/>
      <c r="G115" s="73"/>
      <c r="H115" s="75"/>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row>
    <row r="116" spans="1:33" x14ac:dyDescent="0.35">
      <c r="A116" s="69" t="s">
        <v>116</v>
      </c>
      <c r="B116" s="69" t="s">
        <v>243</v>
      </c>
      <c r="C116" s="137">
        <v>0</v>
      </c>
      <c r="D116" s="72"/>
      <c r="E116" s="73"/>
      <c r="F116" s="74"/>
      <c r="G116" s="73"/>
      <c r="H116" s="75"/>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row>
    <row r="117" spans="1:33" x14ac:dyDescent="0.35">
      <c r="A117" s="69"/>
      <c r="B117" s="69"/>
      <c r="C117" s="147"/>
      <c r="D117" s="72"/>
      <c r="E117" s="73"/>
      <c r="F117" s="74"/>
      <c r="G117" s="73"/>
      <c r="H117" s="75"/>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row>
    <row r="118" spans="1:33" x14ac:dyDescent="0.35">
      <c r="A118" s="69" t="s">
        <v>70</v>
      </c>
      <c r="B118" s="69" t="s">
        <v>129</v>
      </c>
      <c r="C118" s="71"/>
      <c r="D118" s="146">
        <f t="shared" ref="D118:AG118" si="13">$C$95</f>
        <v>507705836.54189342</v>
      </c>
      <c r="E118" s="146">
        <f t="shared" si="13"/>
        <v>507705836.54189342</v>
      </c>
      <c r="F118" s="146">
        <f t="shared" si="13"/>
        <v>507705836.54189342</v>
      </c>
      <c r="G118" s="146">
        <f t="shared" si="13"/>
        <v>507705836.54189342</v>
      </c>
      <c r="H118" s="146">
        <f t="shared" si="13"/>
        <v>507705836.54189342</v>
      </c>
      <c r="I118" s="146">
        <f t="shared" si="13"/>
        <v>507705836.54189342</v>
      </c>
      <c r="J118" s="146">
        <f t="shared" si="13"/>
        <v>507705836.54189342</v>
      </c>
      <c r="K118" s="146">
        <f t="shared" si="13"/>
        <v>507705836.54189342</v>
      </c>
      <c r="L118" s="146">
        <f t="shared" si="13"/>
        <v>507705836.54189342</v>
      </c>
      <c r="M118" s="146">
        <f t="shared" si="13"/>
        <v>507705836.54189342</v>
      </c>
      <c r="N118" s="146">
        <f t="shared" si="13"/>
        <v>507705836.54189342</v>
      </c>
      <c r="O118" s="146">
        <f t="shared" si="13"/>
        <v>507705836.54189342</v>
      </c>
      <c r="P118" s="146">
        <f t="shared" si="13"/>
        <v>507705836.54189342</v>
      </c>
      <c r="Q118" s="146">
        <f t="shared" si="13"/>
        <v>507705836.54189342</v>
      </c>
      <c r="R118" s="146">
        <f t="shared" si="13"/>
        <v>507705836.54189342</v>
      </c>
      <c r="S118" s="146">
        <f t="shared" si="13"/>
        <v>507705836.54189342</v>
      </c>
      <c r="T118" s="146">
        <f t="shared" si="13"/>
        <v>507705836.54189342</v>
      </c>
      <c r="U118" s="146">
        <f t="shared" si="13"/>
        <v>507705836.54189342</v>
      </c>
      <c r="V118" s="146">
        <f t="shared" si="13"/>
        <v>507705836.54189342</v>
      </c>
      <c r="W118" s="146">
        <f t="shared" si="13"/>
        <v>507705836.54189342</v>
      </c>
      <c r="X118" s="146">
        <f t="shared" si="13"/>
        <v>507705836.54189342</v>
      </c>
      <c r="Y118" s="146">
        <f t="shared" si="13"/>
        <v>507705836.54189342</v>
      </c>
      <c r="Z118" s="146">
        <f t="shared" si="13"/>
        <v>507705836.54189342</v>
      </c>
      <c r="AA118" s="146">
        <f t="shared" si="13"/>
        <v>507705836.54189342</v>
      </c>
      <c r="AB118" s="146">
        <f t="shared" si="13"/>
        <v>507705836.54189342</v>
      </c>
      <c r="AC118" s="146">
        <f t="shared" si="13"/>
        <v>507705836.54189342</v>
      </c>
      <c r="AD118" s="146">
        <f t="shared" si="13"/>
        <v>507705836.54189342</v>
      </c>
      <c r="AE118" s="146">
        <f t="shared" si="13"/>
        <v>507705836.54189342</v>
      </c>
      <c r="AF118" s="146">
        <f t="shared" si="13"/>
        <v>507705836.54189342</v>
      </c>
      <c r="AG118" s="146">
        <f t="shared" si="13"/>
        <v>507705836.54189342</v>
      </c>
    </row>
    <row r="119" spans="1:33" x14ac:dyDescent="0.35">
      <c r="A119" s="69"/>
      <c r="B119" s="69"/>
      <c r="C119" s="71"/>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row>
    <row r="120" spans="1:33" s="149" customFormat="1" x14ac:dyDescent="0.35">
      <c r="A120" s="69" t="s">
        <v>71</v>
      </c>
      <c r="B120" s="69" t="s">
        <v>91</v>
      </c>
      <c r="C120" s="71">
        <f>SUM(D120:AG120)</f>
        <v>27274149872.152939</v>
      </c>
      <c r="D120" s="146">
        <f>$C$104*$C$107</f>
        <v>181827665.81435287</v>
      </c>
      <c r="E120" s="146">
        <f t="shared" ref="E120:L120" si="14">$C$104*$C$107</f>
        <v>181827665.81435287</v>
      </c>
      <c r="F120" s="146">
        <f t="shared" si="14"/>
        <v>181827665.81435287</v>
      </c>
      <c r="G120" s="146">
        <f t="shared" si="14"/>
        <v>181827665.81435287</v>
      </c>
      <c r="H120" s="146">
        <f t="shared" si="14"/>
        <v>181827665.81435287</v>
      </c>
      <c r="I120" s="146">
        <f t="shared" si="14"/>
        <v>181827665.81435287</v>
      </c>
      <c r="J120" s="146">
        <f t="shared" si="14"/>
        <v>181827665.81435287</v>
      </c>
      <c r="K120" s="146">
        <f t="shared" si="14"/>
        <v>181827665.81435287</v>
      </c>
      <c r="L120" s="146">
        <f t="shared" si="14"/>
        <v>181827665.81435287</v>
      </c>
      <c r="M120" s="146">
        <f>$C$104*$C$107</f>
        <v>181827665.81435287</v>
      </c>
      <c r="N120" s="146">
        <f t="shared" ref="N120:W120" si="15">$C$104*$C$108</f>
        <v>1090965994.8861172</v>
      </c>
      <c r="O120" s="146">
        <f t="shared" si="15"/>
        <v>1090965994.8861172</v>
      </c>
      <c r="P120" s="146">
        <f t="shared" si="15"/>
        <v>1090965994.8861172</v>
      </c>
      <c r="Q120" s="146">
        <f t="shared" si="15"/>
        <v>1090965994.8861172</v>
      </c>
      <c r="R120" s="146">
        <f t="shared" si="15"/>
        <v>1090965994.8861172</v>
      </c>
      <c r="S120" s="146">
        <f t="shared" si="15"/>
        <v>1090965994.8861172</v>
      </c>
      <c r="T120" s="146">
        <f t="shared" si="15"/>
        <v>1090965994.8861172</v>
      </c>
      <c r="U120" s="146">
        <f t="shared" si="15"/>
        <v>1090965994.8861172</v>
      </c>
      <c r="V120" s="146">
        <f t="shared" si="15"/>
        <v>1090965994.8861172</v>
      </c>
      <c r="W120" s="146">
        <f t="shared" si="15"/>
        <v>1090965994.8861172</v>
      </c>
      <c r="X120" s="146">
        <f>$C$104*$C$109</f>
        <v>1454621326.514823</v>
      </c>
      <c r="Y120" s="146">
        <f t="shared" ref="Y120:AG120" si="16">$C$104*$C$109</f>
        <v>1454621326.514823</v>
      </c>
      <c r="Z120" s="146">
        <f t="shared" si="16"/>
        <v>1454621326.514823</v>
      </c>
      <c r="AA120" s="146">
        <f t="shared" si="16"/>
        <v>1454621326.514823</v>
      </c>
      <c r="AB120" s="146">
        <f t="shared" si="16"/>
        <v>1454621326.514823</v>
      </c>
      <c r="AC120" s="146">
        <f t="shared" si="16"/>
        <v>1454621326.514823</v>
      </c>
      <c r="AD120" s="146">
        <f t="shared" si="16"/>
        <v>1454621326.514823</v>
      </c>
      <c r="AE120" s="146">
        <f t="shared" si="16"/>
        <v>1454621326.514823</v>
      </c>
      <c r="AF120" s="146">
        <f t="shared" si="16"/>
        <v>1454621326.514823</v>
      </c>
      <c r="AG120" s="146">
        <f t="shared" si="16"/>
        <v>1454621326.514823</v>
      </c>
    </row>
    <row r="121" spans="1:33" s="149" customFormat="1" x14ac:dyDescent="0.35">
      <c r="A121" s="69"/>
      <c r="B121" s="69"/>
      <c r="C121" s="150">
        <f>C120-C100</f>
        <v>0</v>
      </c>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row>
    <row r="122" spans="1:33" s="149" customFormat="1" x14ac:dyDescent="0.35">
      <c r="A122" s="69" t="s">
        <v>93</v>
      </c>
      <c r="B122" s="69" t="s">
        <v>91</v>
      </c>
      <c r="C122" s="124"/>
      <c r="D122" s="146">
        <f>(D120*D$64)-D120</f>
        <v>0</v>
      </c>
      <c r="E122" s="146">
        <f t="shared" ref="E122:AG122" si="17">(E120*E$64)-E120</f>
        <v>0</v>
      </c>
      <c r="F122" s="146">
        <f t="shared" si="17"/>
        <v>0</v>
      </c>
      <c r="G122" s="146">
        <f t="shared" si="17"/>
        <v>0</v>
      </c>
      <c r="H122" s="146">
        <f>(H120*H$64)-H120</f>
        <v>-12518850.229425669</v>
      </c>
      <c r="I122" s="146">
        <f t="shared" si="17"/>
        <v>-24175776.557640374</v>
      </c>
      <c r="J122" s="146">
        <f t="shared" si="17"/>
        <v>-35030122.518424273</v>
      </c>
      <c r="K122" s="146">
        <f t="shared" si="17"/>
        <v>-45137145.838218212</v>
      </c>
      <c r="L122" s="146">
        <f t="shared" si="17"/>
        <v>-54548299.744305864</v>
      </c>
      <c r="M122" s="146">
        <f t="shared" si="17"/>
        <v>-59246430.316294983</v>
      </c>
      <c r="N122" s="146">
        <f t="shared" si="17"/>
        <v>-382626862.14904082</v>
      </c>
      <c r="O122" s="146">
        <f t="shared" si="17"/>
        <v>-408773046.22900283</v>
      </c>
      <c r="P122" s="146">
        <f t="shared" si="17"/>
        <v>-433954123.46910739</v>
      </c>
      <c r="Q122" s="146">
        <f t="shared" si="17"/>
        <v>-458205717.85216939</v>
      </c>
      <c r="R122" s="146">
        <f t="shared" si="17"/>
        <v>-476712537.43285191</v>
      </c>
      <c r="S122" s="146">
        <f t="shared" si="17"/>
        <v>-494678074.02940416</v>
      </c>
      <c r="T122" s="146">
        <f t="shared" si="17"/>
        <v>-512118158.95566344</v>
      </c>
      <c r="U122" s="146">
        <f t="shared" si="17"/>
        <v>-529048160.4950279</v>
      </c>
      <c r="V122" s="146">
        <f t="shared" si="17"/>
        <v>-545482997.44305861</v>
      </c>
      <c r="W122" s="146">
        <f t="shared" si="17"/>
        <v>-545482997.44305861</v>
      </c>
      <c r="X122" s="146">
        <f t="shared" si="17"/>
        <v>-727310663.25741148</v>
      </c>
      <c r="Y122" s="146">
        <f t="shared" si="17"/>
        <v>-727310663.25741148</v>
      </c>
      <c r="Z122" s="146">
        <f t="shared" si="17"/>
        <v>-727310663.25741148</v>
      </c>
      <c r="AA122" s="146">
        <f t="shared" si="17"/>
        <v>-727310663.25741148</v>
      </c>
      <c r="AB122" s="146">
        <f t="shared" si="17"/>
        <v>-727310663.25741148</v>
      </c>
      <c r="AC122" s="146">
        <f t="shared" si="17"/>
        <v>-727310663.25741148</v>
      </c>
      <c r="AD122" s="146">
        <f t="shared" si="17"/>
        <v>-727310663.25741148</v>
      </c>
      <c r="AE122" s="146">
        <f t="shared" si="17"/>
        <v>-727310663.25741148</v>
      </c>
      <c r="AF122" s="146">
        <f t="shared" si="17"/>
        <v>-727310663.25741148</v>
      </c>
      <c r="AG122" s="146">
        <f t="shared" si="17"/>
        <v>-727310663.25741148</v>
      </c>
    </row>
    <row r="123" spans="1:33" s="149" customFormat="1" x14ac:dyDescent="0.35">
      <c r="A123" s="69" t="s">
        <v>94</v>
      </c>
      <c r="B123" s="69" t="s">
        <v>91</v>
      </c>
      <c r="C123" s="124"/>
      <c r="D123" s="146">
        <f t="shared" ref="D123:AG123" si="18">(D120*D$65)-D120</f>
        <v>-736402.04654812813</v>
      </c>
      <c r="E123" s="146">
        <f t="shared" si="18"/>
        <v>-1469821.6648077369</v>
      </c>
      <c r="F123" s="146">
        <f t="shared" si="18"/>
        <v>-2200270.9336133897</v>
      </c>
      <c r="G123" s="146">
        <f t="shared" si="18"/>
        <v>-2927761.8828803897</v>
      </c>
      <c r="H123" s="146">
        <f t="shared" si="18"/>
        <v>-3652306.4938028455</v>
      </c>
      <c r="I123" s="146">
        <f t="shared" si="18"/>
        <v>-4373916.6990510821</v>
      </c>
      <c r="J123" s="146">
        <f t="shared" si="18"/>
        <v>-5092604.3829680383</v>
      </c>
      <c r="K123" s="146">
        <f t="shared" si="18"/>
        <v>-5808381.381765157</v>
      </c>
      <c r="L123" s="146">
        <f t="shared" si="18"/>
        <v>-6521259.4837171435</v>
      </c>
      <c r="M123" s="146">
        <f t="shared" si="18"/>
        <v>-7231250.4293562174</v>
      </c>
      <c r="N123" s="146">
        <f t="shared" si="18"/>
        <v>-47630195.469992638</v>
      </c>
      <c r="O123" s="146">
        <f t="shared" si="18"/>
        <v>-51855705.457628012</v>
      </c>
      <c r="P123" s="146">
        <f t="shared" si="18"/>
        <v>-56064102.129813433</v>
      </c>
      <c r="Q123" s="146">
        <f t="shared" si="18"/>
        <v>-60255454.795476437</v>
      </c>
      <c r="R123" s="146">
        <f t="shared" si="18"/>
        <v>-64429832.482843518</v>
      </c>
      <c r="S123" s="146">
        <f t="shared" si="18"/>
        <v>-68587303.940576792</v>
      </c>
      <c r="T123" s="146">
        <f t="shared" si="18"/>
        <v>-72727937.638906121</v>
      </c>
      <c r="U123" s="146">
        <f t="shared" si="18"/>
        <v>-76851801.770757318</v>
      </c>
      <c r="V123" s="146">
        <f t="shared" si="18"/>
        <v>-80958964.252874613</v>
      </c>
      <c r="W123" s="146">
        <f t="shared" si="18"/>
        <v>-85049492.726939201</v>
      </c>
      <c r="X123" s="146">
        <f t="shared" si="18"/>
        <v>-118831272.74757862</v>
      </c>
      <c r="Y123" s="146">
        <f t="shared" si="18"/>
        <v>-124241222.46533585</v>
      </c>
      <c r="Z123" s="146">
        <f t="shared" si="18"/>
        <v>-129629261.88673639</v>
      </c>
      <c r="AA123" s="146">
        <f t="shared" si="18"/>
        <v>-134995479.74848008</v>
      </c>
      <c r="AB123" s="146">
        <f t="shared" si="18"/>
        <v>-140339964.42788386</v>
      </c>
      <c r="AC123" s="146">
        <f t="shared" si="18"/>
        <v>-145662803.94433594</v>
      </c>
      <c r="AD123" s="146">
        <f t="shared" si="18"/>
        <v>-150964085.96074629</v>
      </c>
      <c r="AE123" s="146">
        <f t="shared" si="18"/>
        <v>-156243897.78499055</v>
      </c>
      <c r="AF123" s="146">
        <f t="shared" si="18"/>
        <v>-161502326.37134624</v>
      </c>
      <c r="AG123" s="146">
        <f t="shared" si="18"/>
        <v>-166739458.32192731</v>
      </c>
    </row>
    <row r="124" spans="1:33" s="149" customFormat="1" x14ac:dyDescent="0.35">
      <c r="A124" s="69"/>
      <c r="B124" s="69"/>
      <c r="C124" s="124"/>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row>
    <row r="125" spans="1:33" s="149" customFormat="1" x14ac:dyDescent="0.35">
      <c r="A125" s="69" t="s">
        <v>95</v>
      </c>
      <c r="B125" s="69" t="s">
        <v>91</v>
      </c>
      <c r="C125" s="124"/>
      <c r="D125" s="146">
        <f>D120+D122+D123</f>
        <v>181091263.76780474</v>
      </c>
      <c r="E125" s="146">
        <f t="shared" ref="E125:AG125" si="19">E120+E122+E123</f>
        <v>180357844.14954513</v>
      </c>
      <c r="F125" s="146">
        <f>F120+F122+F123</f>
        <v>179627394.88073948</v>
      </c>
      <c r="G125" s="146">
        <f t="shared" si="19"/>
        <v>178899903.93147248</v>
      </c>
      <c r="H125" s="146">
        <f t="shared" si="19"/>
        <v>165656509.09112436</v>
      </c>
      <c r="I125" s="146">
        <f t="shared" si="19"/>
        <v>153277972.55766141</v>
      </c>
      <c r="J125" s="146">
        <f t="shared" si="19"/>
        <v>141704938.91296056</v>
      </c>
      <c r="K125" s="146">
        <f t="shared" si="19"/>
        <v>130882138.5943695</v>
      </c>
      <c r="L125" s="146">
        <f t="shared" si="19"/>
        <v>120758106.58632986</v>
      </c>
      <c r="M125" s="146">
        <f t="shared" si="19"/>
        <v>115349985.06870167</v>
      </c>
      <c r="N125" s="146">
        <f t="shared" si="19"/>
        <v>660708937.26708376</v>
      </c>
      <c r="O125" s="146">
        <f t="shared" si="19"/>
        <v>630337243.19948637</v>
      </c>
      <c r="P125" s="146">
        <f t="shared" si="19"/>
        <v>600947769.2871964</v>
      </c>
      <c r="Q125" s="146">
        <f t="shared" si="19"/>
        <v>572504822.23847139</v>
      </c>
      <c r="R125" s="146">
        <f t="shared" si="19"/>
        <v>549823624.97042179</v>
      </c>
      <c r="S125" s="146">
        <f t="shared" si="19"/>
        <v>527700616.91613626</v>
      </c>
      <c r="T125" s="146">
        <f t="shared" si="19"/>
        <v>506119898.29154766</v>
      </c>
      <c r="U125" s="146">
        <f t="shared" si="19"/>
        <v>485066032.620332</v>
      </c>
      <c r="V125" s="146">
        <f t="shared" si="19"/>
        <v>464524033.190184</v>
      </c>
      <c r="W125" s="146">
        <f t="shared" si="19"/>
        <v>460433504.71611941</v>
      </c>
      <c r="X125" s="146">
        <f t="shared" si="19"/>
        <v>608479390.50983286</v>
      </c>
      <c r="Y125" s="146">
        <f t="shared" si="19"/>
        <v>603069440.79207563</v>
      </c>
      <c r="Z125" s="146">
        <f t="shared" si="19"/>
        <v>597681401.37067509</v>
      </c>
      <c r="AA125" s="146">
        <f t="shared" si="19"/>
        <v>592315183.5089314</v>
      </c>
      <c r="AB125" s="146">
        <f t="shared" si="19"/>
        <v>586970698.82952762</v>
      </c>
      <c r="AC125" s="146">
        <f t="shared" si="19"/>
        <v>581647859.31307554</v>
      </c>
      <c r="AD125" s="146">
        <f t="shared" si="19"/>
        <v>576346577.29666519</v>
      </c>
      <c r="AE125" s="146">
        <f t="shared" si="19"/>
        <v>571066765.47242093</v>
      </c>
      <c r="AF125" s="146">
        <f t="shared" si="19"/>
        <v>565808336.88606524</v>
      </c>
      <c r="AG125" s="146">
        <f t="shared" si="19"/>
        <v>560571204.93548417</v>
      </c>
    </row>
    <row r="126" spans="1:33" s="149" customFormat="1" x14ac:dyDescent="0.35">
      <c r="A126" s="69"/>
      <c r="B126" s="69"/>
      <c r="C126" s="124"/>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row>
    <row r="127" spans="1:33" s="149" customFormat="1" x14ac:dyDescent="0.35">
      <c r="A127" s="69" t="s">
        <v>72</v>
      </c>
      <c r="B127" s="69" t="s">
        <v>91</v>
      </c>
      <c r="C127" s="124"/>
      <c r="D127" s="146">
        <f>(SUM($D$125:D125)*$C$111/$C$113)+(SUM($D$125:D125)*$C$112/$C$114)</f>
        <v>3987245.2593175117</v>
      </c>
      <c r="E127" s="146">
        <f>(SUM($D$125:E125)*$C$111/$C$113)+(SUM($D$125:E125)*$C$112/$C$114)</f>
        <v>7958342.175334787</v>
      </c>
      <c r="F127" s="146">
        <f>(SUM($D$125:F125)*$C$111/$C$113)+(SUM($D$125:F125)*$C$112/$C$114)</f>
        <v>11913356.148842193</v>
      </c>
      <c r="G127" s="146">
        <f>(SUM($D$125:G125)*$C$111/$C$113)+(SUM($D$125:G125)*$C$112/$C$114)</f>
        <v>15852352.315756891</v>
      </c>
      <c r="H127" s="146">
        <f>(SUM($D$125:H125)*$C$111/$C$113)+(SUM($D$125:H125)*$C$112/$C$114)</f>
        <v>19499757.037585899</v>
      </c>
      <c r="I127" s="146">
        <f>(SUM($D$125:I125)*$C$111/$C$113)+(SUM($D$125:I125)*$C$112/$C$114)</f>
        <v>22874612.658572458</v>
      </c>
      <c r="J127" s="146">
        <f>(SUM($D$125:J125)*$C$111/$C$113)+(SUM($D$125:J125)*$C$112/$C$114)</f>
        <v>25994654.642635468</v>
      </c>
      <c r="K127" s="146">
        <f>(SUM($D$125:K125)*$C$111/$C$113)+(SUM($D$125:K125)*$C$112/$C$114)</f>
        <v>28876401.53523469</v>
      </c>
      <c r="L127" s="146">
        <f>(SUM($D$125:L125)*$C$111/$C$113)+(SUM($D$125:L125)*$C$112/$C$114)</f>
        <v>31535238.731422532</v>
      </c>
      <c r="M127" s="146">
        <f>(SUM($D$125:M125)*$C$111/$C$113)+(SUM($D$125:M125)*$C$112/$C$114)</f>
        <v>34075000.570609033</v>
      </c>
      <c r="N127" s="146">
        <f>(SUM($D$125:N125)*$C$111/$C$113)+(SUM($D$125:N125)*$C$112/$C$114)</f>
        <v>48622409.004870832</v>
      </c>
      <c r="O127" s="146">
        <f>(SUM($D$125:O125)*$C$111/$C$113)+(SUM($D$125:O125)*$C$112/$C$114)</f>
        <v>62501097.200127929</v>
      </c>
      <c r="P127" s="146">
        <f>(SUM($D$125:P125)*$C$111/$C$113)+(SUM($D$125:P125)*$C$112/$C$114)</f>
        <v>75732691.559423581</v>
      </c>
      <c r="Q127" s="146">
        <f>(SUM($D$125:Q125)*$C$111/$C$113)+(SUM($D$125:Q125)*$C$112/$C$114)</f>
        <v>88338032.595276415</v>
      </c>
      <c r="R127" s="146">
        <f>(SUM($D$125:R125)*$C$111/$C$113)+(SUM($D$125:R125)*$C$112/$C$114)</f>
        <v>100443981.80845892</v>
      </c>
      <c r="S127" s="146">
        <f>(SUM($D$125:S125)*$C$111/$C$113)+(SUM($D$125:S125)*$C$112/$C$114)</f>
        <v>112062829.34069344</v>
      </c>
      <c r="T127" s="146">
        <f>(SUM($D$125:T125)*$C$111/$C$113)+(SUM($D$125:T125)*$C$112/$C$114)</f>
        <v>123206515.25420468</v>
      </c>
      <c r="U127" s="146">
        <f>(SUM($D$125:U125)*$C$111/$C$113)+(SUM($D$125:U125)*$C$112/$C$114)</f>
        <v>133886639.73277283</v>
      </c>
      <c r="V127" s="146">
        <f>(SUM($D$125:V125)*$C$111/$C$113)+(SUM($D$125:V125)*$C$112/$C$114)</f>
        <v>144114472.9845826</v>
      </c>
      <c r="W127" s="146">
        <f>(SUM($D$125:W125)*$C$111/$C$113)+(SUM($D$125:W125)*$C$112/$C$114)</f>
        <v>154252241.48159987</v>
      </c>
      <c r="X127" s="146">
        <f>(SUM($D$125:X125)*$C$111/$C$113)+(SUM($D$125:X125)*$C$112/$C$114)</f>
        <v>167649666.1542421</v>
      </c>
      <c r="Y127" s="146">
        <f>(SUM($D$125:Y125)*$C$111/$C$113)+(SUM($D$125:Y125)*$C$112/$C$114)</f>
        <v>180927975.21679646</v>
      </c>
      <c r="Z127" s="146">
        <f>(SUM($D$125:Z125)*$C$111/$C$113)+(SUM($D$125:Z125)*$C$112/$C$114)</f>
        <v>194087651.08748388</v>
      </c>
      <c r="AA127" s="146">
        <f>(SUM($D$125:AA125)*$C$111/$C$113)+(SUM($D$125:AA125)*$C$112/$C$114)</f>
        <v>207129174.2307314</v>
      </c>
      <c r="AB127" s="146">
        <f>(SUM($D$125:AB125)*$C$111/$C$113)+(SUM($D$125:AB125)*$C$112/$C$114)</f>
        <v>220053023.16508517</v>
      </c>
      <c r="AC127" s="146">
        <f>(SUM($D$125:AC125)*$C$111/$C$113)+(SUM($D$125:AC125)*$C$112/$C$114)</f>
        <v>232859674.47109118</v>
      </c>
      <c r="AD127" s="146">
        <f>(SUM($D$125:AD125)*$C$111/$C$113)+(SUM($D$125:AD125)*$C$112/$C$114)</f>
        <v>245549602.7991443</v>
      </c>
      <c r="AE127" s="146">
        <f>(SUM($D$125:AE125)*$C$111/$C$113)+(SUM($D$125:AE125)*$C$112/$C$114)</f>
        <v>258123280.87730521</v>
      </c>
      <c r="AF127" s="146">
        <f>(SUM($D$125:AF125)*$C$111/$C$113)+(SUM($D$125:AF125)*$C$112/$C$114)</f>
        <v>270581179.51908588</v>
      </c>
      <c r="AG127" s="146">
        <f>(SUM($D$125:AG125)*$C$111/$C$113)+(SUM($D$125:AG125)*$C$112/$C$114)</f>
        <v>282923767.63120383</v>
      </c>
    </row>
    <row r="128" spans="1:33" s="149" customFormat="1" x14ac:dyDescent="0.35">
      <c r="A128" s="85"/>
      <c r="B128" s="85"/>
      <c r="C128" s="124"/>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row>
    <row r="129" spans="1:33" x14ac:dyDescent="0.35">
      <c r="A129" s="69" t="s">
        <v>96</v>
      </c>
      <c r="B129" s="69" t="s">
        <v>91</v>
      </c>
      <c r="C129" s="124"/>
      <c r="D129" s="72">
        <f>(SUM($D$125:D125)*$C$116)</f>
        <v>0</v>
      </c>
      <c r="E129" s="72">
        <f>(SUM($D$125:E125)*$C$116)</f>
        <v>0</v>
      </c>
      <c r="F129" s="72">
        <f>(SUM($D$125:F125)*$C$116)</f>
        <v>0</v>
      </c>
      <c r="G129" s="72">
        <f>(SUM($D$125:G125)*$C$116)</f>
        <v>0</v>
      </c>
      <c r="H129" s="72">
        <f>(SUM($D$125:H125)*$C$116)</f>
        <v>0</v>
      </c>
      <c r="I129" s="72">
        <f>(SUM($D$125:I125)*$C$116)</f>
        <v>0</v>
      </c>
      <c r="J129" s="72">
        <f>(SUM($D$125:J125)*$C$116)</f>
        <v>0</v>
      </c>
      <c r="K129" s="72">
        <f>(SUM($D$125:K125)*$C$116)</f>
        <v>0</v>
      </c>
      <c r="L129" s="72">
        <f>(SUM($D$125:L125)*$C$116)</f>
        <v>0</v>
      </c>
      <c r="M129" s="72">
        <f>(SUM($D$125:M125)*$C$116)</f>
        <v>0</v>
      </c>
      <c r="N129" s="72">
        <f>(SUM($D$125:N125)*$C$116)</f>
        <v>0</v>
      </c>
      <c r="O129" s="72">
        <f>(SUM($D$125:O125)*$C$116)</f>
        <v>0</v>
      </c>
      <c r="P129" s="72">
        <f>(SUM($D$125:P125)*$C$116)</f>
        <v>0</v>
      </c>
      <c r="Q129" s="72">
        <f>(SUM($D$125:Q125)*$C$116)</f>
        <v>0</v>
      </c>
      <c r="R129" s="72">
        <f>(SUM($D$125:R125)*$C$116)</f>
        <v>0</v>
      </c>
      <c r="S129" s="72">
        <f>(SUM($D$125:S125)*$C$116)</f>
        <v>0</v>
      </c>
      <c r="T129" s="72">
        <f>(SUM($D$125:T125)*$C$116)</f>
        <v>0</v>
      </c>
      <c r="U129" s="72">
        <f>(SUM($D$125:U125)*$C$116)</f>
        <v>0</v>
      </c>
      <c r="V129" s="72">
        <f>(SUM($D$125:V125)*$C$116)</f>
        <v>0</v>
      </c>
      <c r="W129" s="72">
        <f>(SUM($D$125:W125)*$C$116)</f>
        <v>0</v>
      </c>
      <c r="X129" s="72">
        <f>(SUM($D$125:X125)*$C$116)</f>
        <v>0</v>
      </c>
      <c r="Y129" s="72">
        <f>(SUM($D$125:Y125)*$C$116)</f>
        <v>0</v>
      </c>
      <c r="Z129" s="72">
        <f>(SUM($D$125:Z125)*$C$116)</f>
        <v>0</v>
      </c>
      <c r="AA129" s="72">
        <f>(SUM($D$125:AA125)*$C$116)</f>
        <v>0</v>
      </c>
      <c r="AB129" s="72">
        <f>(SUM($D$125:AB125)*$C$116)</f>
        <v>0</v>
      </c>
      <c r="AC129" s="72">
        <f>(SUM($D$125:AC125)*$C$116)</f>
        <v>0</v>
      </c>
      <c r="AD129" s="72">
        <f>(SUM($D$125:AD125)*$C$116)</f>
        <v>0</v>
      </c>
      <c r="AE129" s="72">
        <f>(SUM($D$125:AE125)*$C$116)</f>
        <v>0</v>
      </c>
      <c r="AF129" s="72">
        <f>(SUM($D$125:AF125)*$C$116)</f>
        <v>0</v>
      </c>
      <c r="AG129" s="72">
        <f>(SUM($D$125:AG125)*$C$116)</f>
        <v>0</v>
      </c>
    </row>
    <row r="130" spans="1:33" ht="16" thickBot="1" x14ac:dyDescent="0.4">
      <c r="A130" s="83"/>
      <c r="B130" s="83"/>
      <c r="C130" s="127"/>
      <c r="D130" s="128"/>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row>
    <row r="131" spans="1:33" s="136" customFormat="1" x14ac:dyDescent="0.35">
      <c r="A131" s="80" t="s">
        <v>50</v>
      </c>
      <c r="B131" s="80"/>
      <c r="C131" s="131"/>
      <c r="D131" s="132"/>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row>
    <row r="132" spans="1:33" s="73" customFormat="1" x14ac:dyDescent="0.35">
      <c r="A132" s="86"/>
      <c r="B132" s="86"/>
      <c r="C132" s="124"/>
      <c r="D132" s="72"/>
    </row>
    <row r="133" spans="1:33" s="73" customFormat="1" x14ac:dyDescent="0.35">
      <c r="A133" s="77" t="s">
        <v>139</v>
      </c>
      <c r="B133" s="77" t="s">
        <v>238</v>
      </c>
      <c r="C133" s="232">
        <f>'Data sheet'!O11</f>
        <v>1720039</v>
      </c>
      <c r="D133" s="138"/>
    </row>
    <row r="134" spans="1:33" x14ac:dyDescent="0.35">
      <c r="A134" s="77" t="s">
        <v>138</v>
      </c>
      <c r="B134" s="77" t="s">
        <v>238</v>
      </c>
      <c r="C134" s="232">
        <f>'Data sheet'!S11</f>
        <v>1731667.1300000001</v>
      </c>
      <c r="D134" s="138"/>
      <c r="E134" s="73"/>
      <c r="F134" s="73"/>
      <c r="G134" s="73"/>
      <c r="H134" s="73"/>
      <c r="I134" s="73"/>
      <c r="J134" s="73"/>
      <c r="K134" s="73"/>
      <c r="L134" s="73"/>
      <c r="M134" s="73"/>
      <c r="N134" s="73"/>
      <c r="O134" s="73"/>
      <c r="P134" s="73"/>
      <c r="Q134" s="151"/>
      <c r="R134" s="73"/>
      <c r="S134" s="73"/>
      <c r="T134" s="73"/>
      <c r="U134" s="73"/>
      <c r="V134" s="73"/>
      <c r="W134" s="73"/>
      <c r="X134" s="73"/>
      <c r="Y134" s="73"/>
      <c r="Z134" s="73"/>
      <c r="AA134" s="73"/>
      <c r="AB134" s="73"/>
      <c r="AC134" s="73"/>
      <c r="AD134" s="73"/>
      <c r="AE134" s="73"/>
      <c r="AF134" s="73"/>
      <c r="AG134" s="73"/>
    </row>
    <row r="135" spans="1:33" x14ac:dyDescent="0.35">
      <c r="A135" s="77"/>
      <c r="B135" s="77"/>
      <c r="C135" s="124"/>
      <c r="D135" s="72"/>
      <c r="E135" s="73"/>
      <c r="F135" s="73"/>
      <c r="G135" s="73"/>
      <c r="H135" s="73"/>
      <c r="I135" s="73"/>
      <c r="J135" s="73"/>
      <c r="K135" s="73"/>
      <c r="L135" s="73"/>
      <c r="M135" s="73"/>
      <c r="N135" s="73"/>
      <c r="O135" s="73"/>
      <c r="P135" s="73"/>
      <c r="Q135" s="151"/>
      <c r="R135" s="73"/>
      <c r="S135" s="73"/>
      <c r="T135" s="73"/>
      <c r="U135" s="73"/>
      <c r="V135" s="73"/>
      <c r="W135" s="73"/>
      <c r="X135" s="73"/>
      <c r="Y135" s="73"/>
      <c r="Z135" s="73"/>
      <c r="AA135" s="73"/>
      <c r="AB135" s="73"/>
      <c r="AC135" s="73"/>
      <c r="AD135" s="73"/>
      <c r="AE135" s="73"/>
      <c r="AF135" s="73"/>
      <c r="AG135" s="73"/>
    </row>
    <row r="136" spans="1:33" x14ac:dyDescent="0.35">
      <c r="A136" s="77" t="s">
        <v>117</v>
      </c>
      <c r="B136" s="77" t="s">
        <v>91</v>
      </c>
      <c r="C136" s="71">
        <f>AVERAGE(C133:C134)</f>
        <v>1725853.0649999999</v>
      </c>
      <c r="D136" s="72"/>
      <c r="E136" s="73"/>
      <c r="F136" s="73"/>
      <c r="G136" s="73"/>
      <c r="H136" s="73"/>
      <c r="I136" s="73"/>
      <c r="J136" s="73"/>
      <c r="K136" s="73"/>
      <c r="L136" s="73"/>
      <c r="M136" s="73"/>
      <c r="N136" s="73"/>
      <c r="O136" s="73"/>
      <c r="P136" s="73"/>
      <c r="Q136" s="151"/>
      <c r="R136" s="73"/>
      <c r="S136" s="73"/>
      <c r="T136" s="73"/>
      <c r="U136" s="73"/>
      <c r="V136" s="73"/>
      <c r="W136" s="73"/>
      <c r="X136" s="73"/>
      <c r="Y136" s="73"/>
      <c r="Z136" s="73"/>
      <c r="AA136" s="73"/>
      <c r="AB136" s="73"/>
      <c r="AC136" s="73"/>
      <c r="AD136" s="73"/>
      <c r="AE136" s="73"/>
      <c r="AF136" s="73"/>
      <c r="AG136" s="73"/>
    </row>
    <row r="137" spans="1:33" x14ac:dyDescent="0.35">
      <c r="A137" s="77"/>
      <c r="B137" s="77"/>
      <c r="C137" s="124"/>
      <c r="D137" s="72"/>
      <c r="E137" s="73"/>
      <c r="F137" s="73"/>
      <c r="G137" s="73"/>
      <c r="H137" s="73"/>
      <c r="I137" s="73"/>
      <c r="J137" s="73"/>
      <c r="K137" s="73"/>
      <c r="L137" s="73"/>
      <c r="M137" s="73"/>
      <c r="N137" s="73"/>
      <c r="O137" s="73"/>
      <c r="P137" s="73"/>
      <c r="Q137" s="151"/>
      <c r="R137" s="73"/>
      <c r="S137" s="73"/>
      <c r="T137" s="73"/>
      <c r="U137" s="73"/>
      <c r="V137" s="73"/>
      <c r="W137" s="73"/>
      <c r="X137" s="73"/>
      <c r="Y137" s="73"/>
      <c r="Z137" s="73"/>
      <c r="AA137" s="73"/>
      <c r="AB137" s="73"/>
      <c r="AC137" s="73"/>
      <c r="AD137" s="73"/>
      <c r="AE137" s="73"/>
      <c r="AF137" s="73"/>
      <c r="AG137" s="73"/>
    </row>
    <row r="138" spans="1:33" x14ac:dyDescent="0.35">
      <c r="A138" s="77" t="s">
        <v>127</v>
      </c>
      <c r="B138" s="77" t="s">
        <v>126</v>
      </c>
      <c r="C138" s="124">
        <v>2.7</v>
      </c>
      <c r="D138" s="72"/>
      <c r="E138" s="73"/>
      <c r="F138" s="73"/>
      <c r="G138" s="73"/>
      <c r="H138" s="73"/>
      <c r="I138" s="73"/>
      <c r="J138" s="73"/>
      <c r="K138" s="73"/>
      <c r="L138" s="73"/>
      <c r="M138" s="73"/>
      <c r="N138" s="73"/>
      <c r="O138" s="73"/>
      <c r="P138" s="73"/>
      <c r="Q138" s="151"/>
      <c r="R138" s="73"/>
      <c r="S138" s="73"/>
      <c r="T138" s="73"/>
      <c r="U138" s="73"/>
      <c r="V138" s="73"/>
      <c r="W138" s="73"/>
      <c r="X138" s="73"/>
      <c r="Y138" s="73"/>
      <c r="Z138" s="73"/>
      <c r="AA138" s="73"/>
      <c r="AB138" s="73"/>
      <c r="AC138" s="73"/>
      <c r="AD138" s="73"/>
      <c r="AE138" s="73"/>
      <c r="AF138" s="73"/>
      <c r="AG138" s="73"/>
    </row>
    <row r="139" spans="1:33" x14ac:dyDescent="0.35">
      <c r="A139" s="77"/>
      <c r="B139" s="77"/>
      <c r="C139" s="124"/>
      <c r="D139" s="72"/>
      <c r="E139" s="73"/>
      <c r="F139" s="73"/>
      <c r="G139" s="73"/>
      <c r="H139" s="73"/>
      <c r="I139" s="73"/>
      <c r="J139" s="73"/>
      <c r="K139" s="73"/>
      <c r="L139" s="73"/>
      <c r="M139" s="73"/>
      <c r="N139" s="73"/>
      <c r="O139" s="73"/>
      <c r="P139" s="73"/>
      <c r="Q139" s="151"/>
      <c r="R139" s="73"/>
      <c r="S139" s="73"/>
      <c r="T139" s="73"/>
      <c r="U139" s="73"/>
      <c r="V139" s="73"/>
      <c r="W139" s="73"/>
      <c r="X139" s="73"/>
      <c r="Y139" s="73"/>
      <c r="Z139" s="73"/>
      <c r="AA139" s="73"/>
      <c r="AB139" s="73"/>
      <c r="AC139" s="73"/>
      <c r="AD139" s="73"/>
      <c r="AE139" s="73"/>
      <c r="AF139" s="73"/>
      <c r="AG139" s="73"/>
    </row>
    <row r="140" spans="1:33" x14ac:dyDescent="0.35">
      <c r="A140" s="77" t="s">
        <v>140</v>
      </c>
      <c r="B140" s="77" t="s">
        <v>141</v>
      </c>
      <c r="C140" s="141">
        <v>0.7</v>
      </c>
      <c r="D140" s="72"/>
      <c r="E140" s="73"/>
      <c r="F140" s="73"/>
      <c r="G140" s="73"/>
      <c r="H140" s="73"/>
      <c r="I140" s="73"/>
      <c r="J140" s="73"/>
      <c r="K140" s="73"/>
      <c r="L140" s="73"/>
      <c r="M140" s="73"/>
      <c r="N140" s="73"/>
      <c r="O140" s="73"/>
      <c r="P140" s="73"/>
      <c r="Q140" s="151"/>
      <c r="R140" s="73"/>
      <c r="S140" s="73"/>
      <c r="T140" s="73"/>
      <c r="U140" s="73"/>
      <c r="V140" s="73"/>
      <c r="W140" s="73"/>
      <c r="X140" s="73"/>
      <c r="Y140" s="73"/>
      <c r="Z140" s="73"/>
      <c r="AA140" s="73"/>
      <c r="AB140" s="73"/>
      <c r="AC140" s="73"/>
      <c r="AD140" s="73"/>
      <c r="AE140" s="73"/>
      <c r="AF140" s="73"/>
      <c r="AG140" s="73"/>
    </row>
    <row r="141" spans="1:33" x14ac:dyDescent="0.35">
      <c r="A141" s="77"/>
      <c r="B141" s="77"/>
      <c r="C141" s="124"/>
      <c r="D141" s="72"/>
      <c r="E141" s="73"/>
      <c r="F141" s="73"/>
      <c r="G141" s="73"/>
      <c r="H141" s="73"/>
      <c r="I141" s="73"/>
      <c r="J141" s="73"/>
      <c r="K141" s="73"/>
      <c r="L141" s="73"/>
      <c r="M141" s="73"/>
      <c r="N141" s="73"/>
      <c r="O141" s="73"/>
      <c r="P141" s="73"/>
      <c r="Q141" s="151"/>
      <c r="R141" s="73"/>
      <c r="S141" s="73"/>
      <c r="T141" s="73"/>
      <c r="U141" s="73"/>
      <c r="V141" s="73"/>
      <c r="W141" s="73"/>
      <c r="X141" s="73"/>
      <c r="Y141" s="73"/>
      <c r="Z141" s="73"/>
      <c r="AA141" s="73"/>
      <c r="AB141" s="73"/>
      <c r="AC141" s="73"/>
      <c r="AD141" s="73"/>
      <c r="AE141" s="73"/>
      <c r="AF141" s="73"/>
      <c r="AG141" s="73"/>
    </row>
    <row r="142" spans="1:33" ht="16" thickBot="1" x14ac:dyDescent="0.4">
      <c r="A142" s="79" t="s">
        <v>103</v>
      </c>
      <c r="B142" s="79" t="s">
        <v>91</v>
      </c>
      <c r="C142" s="152">
        <f>C136/C138</f>
        <v>639204.83888888883</v>
      </c>
      <c r="D142" s="153">
        <f t="shared" ref="D142:AG142" si="20">$C$142*D13</f>
        <v>652573.62045710476</v>
      </c>
      <c r="E142" s="153">
        <f t="shared" si="20"/>
        <v>666222.00616744417</v>
      </c>
      <c r="F142" s="153">
        <f t="shared" si="20"/>
        <v>680155.84385846229</v>
      </c>
      <c r="G142" s="153">
        <f t="shared" si="20"/>
        <v>694381.10367454134</v>
      </c>
      <c r="H142" s="153">
        <f t="shared" si="20"/>
        <v>708903.88062388066</v>
      </c>
      <c r="I142" s="153">
        <f t="shared" si="20"/>
        <v>723730.39718998678</v>
      </c>
      <c r="J142" s="153">
        <f t="shared" si="20"/>
        <v>738867.00599778222</v>
      </c>
      <c r="K142" s="153">
        <f t="shared" si="20"/>
        <v>754320.19253547536</v>
      </c>
      <c r="L142" s="153">
        <f t="shared" si="20"/>
        <v>770096.57793335605</v>
      </c>
      <c r="M142" s="153">
        <f t="shared" si="20"/>
        <v>786202.92180071096</v>
      </c>
      <c r="N142" s="153">
        <f t="shared" si="20"/>
        <v>802646.12512207055</v>
      </c>
      <c r="O142" s="153">
        <f t="shared" si="20"/>
        <v>819433.23321403086</v>
      </c>
      <c r="P142" s="153">
        <f t="shared" si="20"/>
        <v>836571.43874391681</v>
      </c>
      <c r="Q142" s="153">
        <f t="shared" si="20"/>
        <v>854068.08481157839</v>
      </c>
      <c r="R142" s="153">
        <f t="shared" si="20"/>
        <v>871930.66809564398</v>
      </c>
      <c r="S142" s="153">
        <f t="shared" si="20"/>
        <v>890166.8420655746</v>
      </c>
      <c r="T142" s="153">
        <f t="shared" si="20"/>
        <v>908784.42026089842</v>
      </c>
      <c r="U142" s="153">
        <f t="shared" si="20"/>
        <v>927791.37963902915</v>
      </c>
      <c r="V142" s="153">
        <f t="shared" si="20"/>
        <v>947195.86399310327</v>
      </c>
      <c r="W142" s="153">
        <f t="shared" si="20"/>
        <v>967006.1874412999</v>
      </c>
      <c r="X142" s="153">
        <f t="shared" si="20"/>
        <v>987230.83798913995</v>
      </c>
      <c r="Y142" s="153">
        <f t="shared" si="20"/>
        <v>1007878.481166287</v>
      </c>
      <c r="Z142" s="153">
        <f t="shared" si="20"/>
        <v>1028957.9637394149</v>
      </c>
      <c r="AA142" s="153">
        <f t="shared" si="20"/>
        <v>1050478.3175027249</v>
      </c>
      <c r="AB142" s="153">
        <f t="shared" si="20"/>
        <v>1072448.763147743</v>
      </c>
      <c r="AC142" s="153">
        <f t="shared" si="20"/>
        <v>1094878.7142140518</v>
      </c>
      <c r="AD142" s="153">
        <f t="shared" si="20"/>
        <v>1117777.7811226507</v>
      </c>
      <c r="AE142" s="153">
        <f t="shared" si="20"/>
        <v>1141155.7752936732</v>
      </c>
      <c r="AF142" s="153">
        <f t="shared" si="20"/>
        <v>1165022.713350225</v>
      </c>
      <c r="AG142" s="153">
        <f t="shared" si="20"/>
        <v>1189388.8214101433</v>
      </c>
    </row>
    <row r="148" spans="4:33" x14ac:dyDescent="0.35">
      <c r="D148" s="154"/>
    </row>
    <row r="155" spans="4:33" x14ac:dyDescent="0.3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row>
    <row r="158" spans="4:33" x14ac:dyDescent="0.35">
      <c r="D158" s="156"/>
    </row>
    <row r="161" spans="4:33" x14ac:dyDescent="0.35">
      <c r="D161" s="157"/>
    </row>
    <row r="164" spans="4:33" x14ac:dyDescent="0.35">
      <c r="D164" s="154"/>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row>
    <row r="165" spans="4:33" x14ac:dyDescent="0.35">
      <c r="D165" s="154"/>
    </row>
    <row r="168" spans="4:33" x14ac:dyDescent="0.35">
      <c r="M168" s="159"/>
    </row>
    <row r="176" spans="4:33" x14ac:dyDescent="0.35">
      <c r="D176" s="160"/>
    </row>
    <row r="177" spans="4:4" x14ac:dyDescent="0.35">
      <c r="D177" s="160"/>
    </row>
    <row r="178" spans="4:4" x14ac:dyDescent="0.35">
      <c r="D178" s="154"/>
    </row>
    <row r="179" spans="4:4" x14ac:dyDescent="0.35">
      <c r="D179" s="154"/>
    </row>
    <row r="181" spans="4:4" x14ac:dyDescent="0.35">
      <c r="D181" s="161"/>
    </row>
    <row r="182" spans="4:4" x14ac:dyDescent="0.35">
      <c r="D182" s="160"/>
    </row>
    <row r="183" spans="4:4" x14ac:dyDescent="0.35">
      <c r="D183" s="160"/>
    </row>
    <row r="188" spans="4:4" x14ac:dyDescent="0.35">
      <c r="D188" s="162"/>
    </row>
  </sheetData>
  <mergeCells count="1">
    <mergeCell ref="D3:A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90" zoomScaleNormal="9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109</v>
      </c>
      <c r="B4" s="35"/>
      <c r="C4" s="34"/>
      <c r="D4" s="53"/>
      <c r="E4" s="65">
        <v>0.03</v>
      </c>
      <c r="F4" s="65">
        <v>0.03</v>
      </c>
      <c r="G4" s="65">
        <v>0.02</v>
      </c>
      <c r="H4" s="65">
        <v>0.02</v>
      </c>
      <c r="I4" s="65">
        <v>1.4999999999999999E-2</v>
      </c>
      <c r="J4" s="65">
        <v>0.01</v>
      </c>
      <c r="K4" s="65">
        <v>0.01</v>
      </c>
      <c r="L4" s="65">
        <v>0.01</v>
      </c>
      <c r="M4" s="65">
        <v>0.01</v>
      </c>
      <c r="N4" s="65">
        <v>0.01</v>
      </c>
      <c r="O4" s="65">
        <v>0.01</v>
      </c>
      <c r="P4" s="65">
        <v>0.01</v>
      </c>
      <c r="Q4" s="65">
        <v>0.01</v>
      </c>
      <c r="R4" s="65">
        <v>0.01</v>
      </c>
      <c r="S4" s="65">
        <v>0.01</v>
      </c>
      <c r="T4" s="65">
        <v>0.01</v>
      </c>
      <c r="U4" s="65">
        <v>0.01</v>
      </c>
      <c r="V4" s="65">
        <v>0.01</v>
      </c>
      <c r="W4" s="65">
        <v>0.01</v>
      </c>
      <c r="X4" s="65">
        <v>0.01</v>
      </c>
      <c r="Y4" s="65">
        <v>0.01</v>
      </c>
      <c r="Z4" s="65">
        <v>0.01</v>
      </c>
      <c r="AA4" s="65">
        <v>0.01</v>
      </c>
      <c r="AB4" s="65">
        <v>0.01</v>
      </c>
      <c r="AC4" s="65">
        <v>0.01</v>
      </c>
      <c r="AD4" s="65">
        <v>0.01</v>
      </c>
      <c r="AE4" s="65">
        <v>0.01</v>
      </c>
      <c r="AF4" s="65">
        <v>0.01</v>
      </c>
      <c r="AG4" s="65">
        <v>0.01</v>
      </c>
      <c r="AH4" s="65">
        <v>0.01</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5.8243579501364042</v>
      </c>
      <c r="C6" s="25"/>
      <c r="D6" s="25"/>
      <c r="E6" s="27">
        <f>'Debt worksheet'!C5/'Profit and Loss'!C5</f>
        <v>2.7733259895593267</v>
      </c>
      <c r="F6" s="28">
        <f ca="1">'Debt worksheet'!D5/'Profit and Loss'!D5</f>
        <v>4.0048986290149147</v>
      </c>
      <c r="G6" s="28">
        <f ca="1">'Debt worksheet'!E5/'Profit and Loss'!E5</f>
        <v>4.1186709912913084</v>
      </c>
      <c r="H6" s="28">
        <f ca="1">'Debt worksheet'!F5/'Profit and Loss'!F5</f>
        <v>4.2171201721561369</v>
      </c>
      <c r="I6" s="28">
        <f ca="1">'Debt worksheet'!G5/'Profit and Loss'!G5</f>
        <v>4.3217235436768728</v>
      </c>
      <c r="J6" s="28">
        <f ca="1">'Debt worksheet'!H5/'Profit and Loss'!H5</f>
        <v>4.4023837977525853</v>
      </c>
      <c r="K6" s="28">
        <f ca="1">'Debt worksheet'!I5/'Profit and Loss'!I5</f>
        <v>4.3051804404086704</v>
      </c>
      <c r="L6" s="28">
        <f ca="1">'Debt worksheet'!J5/'Profit and Loss'!J5</f>
        <v>4.1726489701186811</v>
      </c>
      <c r="M6" s="28">
        <f ca="1">'Debt worksheet'!K5/'Profit and Loss'!K5</f>
        <v>4.0064174734003286</v>
      </c>
      <c r="N6" s="28">
        <f ca="1">'Debt worksheet'!L5/'Profit and Loss'!L5</f>
        <v>3.8080037537364522</v>
      </c>
      <c r="O6" s="28">
        <f ca="1">'Debt worksheet'!M5/'Profit and Loss'!M5</f>
        <v>3.5906031239910616</v>
      </c>
      <c r="P6" s="28">
        <f ca="1">'Debt worksheet'!N5/'Profit and Loss'!N5</f>
        <v>3.8339335877016882</v>
      </c>
      <c r="Q6" s="28">
        <f ca="1">'Debt worksheet'!O5/'Profit and Loss'!O5</f>
        <v>4.044801849065764</v>
      </c>
      <c r="R6" s="28">
        <f ca="1">'Debt worksheet'!P5/'Profit and Loss'!P5</f>
        <v>4.2238078550094338</v>
      </c>
      <c r="S6" s="28">
        <f ca="1">'Debt worksheet'!Q5/'Profit and Loss'!Q5</f>
        <v>4.371531161257491</v>
      </c>
      <c r="T6" s="28">
        <f ca="1">'Debt worksheet'!R5/'Profit and Loss'!R5</f>
        <v>4.4942639532585495</v>
      </c>
      <c r="U6" s="28">
        <f ca="1">'Debt worksheet'!S5/'Profit and Loss'!S5</f>
        <v>4.5922329296449504</v>
      </c>
      <c r="V6" s="28">
        <f ca="1">'Debt worksheet'!T5/'Profit and Loss'!T5</f>
        <v>4.6656607633605871</v>
      </c>
      <c r="W6" s="28">
        <f ca="1">'Debt worksheet'!U5/'Profit and Loss'!U5</f>
        <v>4.7147660611775519</v>
      </c>
      <c r="X6" s="28">
        <f ca="1">'Debt worksheet'!V5/'Profit and Loss'!V5</f>
        <v>4.7397633284914926</v>
      </c>
      <c r="Y6" s="28">
        <f ca="1">'Debt worksheet'!W5/'Profit and Loss'!W5</f>
        <v>4.7599463500546815</v>
      </c>
      <c r="Z6" s="28">
        <f ca="1">'Debt worksheet'!X5/'Profit and Loss'!X5</f>
        <v>4.8963117991909808</v>
      </c>
      <c r="AA6" s="28">
        <f ca="1">'Debt worksheet'!Y5/'Profit and Loss'!Y5</f>
        <v>5.0284770914288766</v>
      </c>
      <c r="AB6" s="28">
        <f ca="1">'Debt worksheet'!Z5/'Profit and Loss'!Z5</f>
        <v>5.1562968298122129</v>
      </c>
      <c r="AC6" s="28">
        <f ca="1">'Debt worksheet'!AA5/'Profit and Loss'!AA5</f>
        <v>5.2796300369142672</v>
      </c>
      <c r="AD6" s="28">
        <f ca="1">'Debt worksheet'!AB5/'Profit and Loss'!AB5</f>
        <v>5.3983400316604699</v>
      </c>
      <c r="AE6" s="28">
        <f ca="1">'Debt worksheet'!AC5/'Profit and Loss'!AC5</f>
        <v>5.5122943086754246</v>
      </c>
      <c r="AF6" s="28">
        <f ca="1">'Debt worksheet'!AD5/'Profit and Loss'!AD5</f>
        <v>5.6213644201012585</v>
      </c>
      <c r="AG6" s="28">
        <f ca="1">'Debt worksheet'!AE5/'Profit and Loss'!AE5</f>
        <v>5.7254258598353482</v>
      </c>
      <c r="AH6" s="28">
        <f ca="1">'Debt worksheet'!AF5/'Profit and Loss'!AF5</f>
        <v>5.8243579501364042</v>
      </c>
      <c r="AI6" s="31"/>
    </row>
    <row r="7" spans="1:35" ht="21" x14ac:dyDescent="0.5">
      <c r="A7" s="19" t="s">
        <v>38</v>
      </c>
      <c r="B7" s="26">
        <f ca="1">MIN('Price and Financial ratios'!E7:AH7)</f>
        <v>0.10452758523191215</v>
      </c>
      <c r="C7" s="26"/>
      <c r="D7" s="26"/>
      <c r="E7" s="56">
        <f ca="1">'Cash Flow'!C7/'Debt worksheet'!C5</f>
        <v>0.15830017086587439</v>
      </c>
      <c r="F7" s="32">
        <f ca="1">'Cash Flow'!D7/'Debt worksheet'!D5</f>
        <v>0.11054701188329606</v>
      </c>
      <c r="G7" s="32">
        <f ca="1">'Cash Flow'!E7/'Debt worksheet'!E5</f>
        <v>0.10719796916406382</v>
      </c>
      <c r="H7" s="32">
        <f ca="1">'Cash Flow'!F7/'Debt worksheet'!F5</f>
        <v>0.10452758523191215</v>
      </c>
      <c r="I7" s="32">
        <f ca="1">'Cash Flow'!G7/'Debt worksheet'!G5</f>
        <v>0.10739633971713948</v>
      </c>
      <c r="J7" s="32">
        <f ca="1">'Cash Flow'!H7/'Debt worksheet'!H5</f>
        <v>0.12688521055146809</v>
      </c>
      <c r="K7" s="32">
        <f ca="1">'Cash Flow'!I7/'Debt worksheet'!I5</f>
        <v>0.13551769808189915</v>
      </c>
      <c r="L7" s="32">
        <f ca="1">'Cash Flow'!J7/'Debt worksheet'!J5</f>
        <v>0.14579003592107165</v>
      </c>
      <c r="M7" s="17">
        <f ca="1">'Cash Flow'!K7/'Debt worksheet'!K5</f>
        <v>0.15807752470438971</v>
      </c>
      <c r="N7" s="17">
        <f ca="1">'Cash Flow'!L7/'Debt worksheet'!L5</f>
        <v>0.17064994012791934</v>
      </c>
      <c r="O7" s="17">
        <f ca="1">'Cash Flow'!M7/'Debt worksheet'!M5</f>
        <v>0.18089992453270987</v>
      </c>
      <c r="P7" s="17">
        <f ca="1">'Cash Flow'!N7/'Debt worksheet'!N5</f>
        <v>0.16960200081972457</v>
      </c>
      <c r="Q7" s="17">
        <f ca="1">'Cash Flow'!O7/'Debt worksheet'!O5</f>
        <v>0.16117706095899134</v>
      </c>
      <c r="R7" s="17">
        <f ca="1">'Cash Flow'!P7/'Debt worksheet'!P5</f>
        <v>0.15497498118988354</v>
      </c>
      <c r="S7" s="17">
        <f ca="1">'Cash Flow'!Q7/'Debt worksheet'!Q5</f>
        <v>0.1501390901777192</v>
      </c>
      <c r="T7" s="17">
        <f ca="1">'Cash Flow'!R7/'Debt worksheet'!R5</f>
        <v>0.14661360696484682</v>
      </c>
      <c r="U7" s="17">
        <f ca="1">'Cash Flow'!S7/'Debt worksheet'!S5</f>
        <v>0.1442275805194744</v>
      </c>
      <c r="V7" s="17">
        <f ca="1">'Cash Flow'!T7/'Debt worksheet'!T5</f>
        <v>0.14286325776183337</v>
      </c>
      <c r="W7" s="17">
        <f ca="1">'Cash Flow'!U7/'Debt worksheet'!U5</f>
        <v>0.14244386757776661</v>
      </c>
      <c r="X7" s="17">
        <f ca="1">'Cash Flow'!V7/'Debt worksheet'!V5</f>
        <v>0.14146490641583895</v>
      </c>
      <c r="Y7" s="17">
        <f ca="1">'Cash Flow'!W7/'Debt worksheet'!W5</f>
        <v>0.13975904209636764</v>
      </c>
      <c r="Z7" s="17">
        <f ca="1">'Cash Flow'!X7/'Debt worksheet'!X5</f>
        <v>0.13482399603732687</v>
      </c>
      <c r="AA7" s="17">
        <f ca="1">'Cash Flow'!Y7/'Debt worksheet'!Y5</f>
        <v>0.13029788894929742</v>
      </c>
      <c r="AB7" s="17">
        <f ca="1">'Cash Flow'!Z7/'Debt worksheet'!Z5</f>
        <v>0.12614279614964513</v>
      </c>
      <c r="AC7" s="17">
        <f ca="1">'Cash Flow'!AA7/'Debt worksheet'!AA5</f>
        <v>0.1223257488186979</v>
      </c>
      <c r="AD7" s="17">
        <f ca="1">'Cash Flow'!AB7/'Debt worksheet'!AB5</f>
        <v>0.11881799148910342</v>
      </c>
      <c r="AE7" s="17">
        <f ca="1">'Cash Flow'!AC7/'Debt worksheet'!AC5</f>
        <v>0.11559437216077276</v>
      </c>
      <c r="AF7" s="17">
        <f ca="1">'Cash Flow'!AD7/'Debt worksheet'!AD5</f>
        <v>0.11263283859933591</v>
      </c>
      <c r="AG7" s="17">
        <f ca="1">'Cash Flow'!AE7/'Debt worksheet'!AE5</f>
        <v>0.10991402027818566</v>
      </c>
      <c r="AH7" s="17">
        <f ca="1">'Cash Flow'!AF7/'Debt worksheet'!AF5</f>
        <v>0.10742087989164448</v>
      </c>
      <c r="AI7" s="29"/>
    </row>
    <row r="8" spans="1:35" ht="21" x14ac:dyDescent="0.5">
      <c r="A8" s="19" t="s">
        <v>33</v>
      </c>
      <c r="B8" s="26">
        <f ca="1">MAX('Price and Financial ratios'!E8:AH8)</f>
        <v>0.56535935482975774</v>
      </c>
      <c r="C8" s="26"/>
      <c r="D8" s="171"/>
      <c r="E8" s="17">
        <f>'Balance Sheet'!B11/'Balance Sheet'!B8</f>
        <v>0.23918050561332518</v>
      </c>
      <c r="F8" s="17">
        <f ca="1">'Balance Sheet'!C11/'Balance Sheet'!C8</f>
        <v>0.36666282524787946</v>
      </c>
      <c r="G8" s="17">
        <f ca="1">'Balance Sheet'!D11/'Balance Sheet'!D8</f>
        <v>0.3872925331330917</v>
      </c>
      <c r="H8" s="17">
        <f ca="1">'Balance Sheet'!E11/'Balance Sheet'!E8</f>
        <v>0.40734821735950938</v>
      </c>
      <c r="I8" s="17">
        <f ca="1">'Balance Sheet'!F11/'Balance Sheet'!F8</f>
        <v>0.42676852106469798</v>
      </c>
      <c r="J8" s="17">
        <f ca="1">'Balance Sheet'!G11/'Balance Sheet'!G8</f>
        <v>0.44278415169572205</v>
      </c>
      <c r="K8" s="17">
        <f ca="1">'Balance Sheet'!H11/'Balance Sheet'!H8</f>
        <v>0.44153387186563064</v>
      </c>
      <c r="L8" s="17">
        <f ca="1">'Balance Sheet'!I11/'Balance Sheet'!I8</f>
        <v>0.43684562607194027</v>
      </c>
      <c r="M8" s="17">
        <f ca="1">'Balance Sheet'!J11/'Balance Sheet'!J8</f>
        <v>0.42861667343202786</v>
      </c>
      <c r="N8" s="17">
        <f ca="1">'Balance Sheet'!K11/'Balance Sheet'!K8</f>
        <v>0.4167204578940697</v>
      </c>
      <c r="O8" s="17">
        <f ca="1">'Balance Sheet'!L11/'Balance Sheet'!L8</f>
        <v>0.40263096900297396</v>
      </c>
      <c r="P8" s="17">
        <f ca="1">'Balance Sheet'!M11/'Balance Sheet'!M8</f>
        <v>0.41897683825686283</v>
      </c>
      <c r="Q8" s="17">
        <f ca="1">'Balance Sheet'!N11/'Balance Sheet'!N8</f>
        <v>0.43281631949948574</v>
      </c>
      <c r="R8" s="17">
        <f ca="1">'Balance Sheet'!O11/'Balance Sheet'!O8</f>
        <v>0.44442127124860747</v>
      </c>
      <c r="S8" s="17">
        <f ca="1">'Balance Sheet'!P11/'Balance Sheet'!P8</f>
        <v>0.45398858498544864</v>
      </c>
      <c r="T8" s="17">
        <f ca="1">'Balance Sheet'!Q11/'Balance Sheet'!Q8</f>
        <v>0.46205739433767151</v>
      </c>
      <c r="U8" s="17">
        <f ca="1">'Balance Sheet'!R11/'Balance Sheet'!R8</f>
        <v>0.46868629393730393</v>
      </c>
      <c r="V8" s="17">
        <f ca="1">'Balance Sheet'!S11/'Balance Sheet'!S8</f>
        <v>0.47390727485556999</v>
      </c>
      <c r="W8" s="17">
        <f ca="1">'Balance Sheet'!T11/'Balance Sheet'!T8</f>
        <v>0.47772985998602513</v>
      </c>
      <c r="X8" s="17">
        <f ca="1">'Balance Sheet'!U11/'Balance Sheet'!U8</f>
        <v>0.48015741550821189</v>
      </c>
      <c r="Y8" s="17">
        <f ca="1">'Balance Sheet'!V11/'Balance Sheet'!V8</f>
        <v>0.48263331804177118</v>
      </c>
      <c r="Z8" s="17">
        <f ca="1">'Balance Sheet'!W11/'Balance Sheet'!W8</f>
        <v>0.49159751375299893</v>
      </c>
      <c r="AA8" s="17">
        <f ca="1">'Balance Sheet'!X11/'Balance Sheet'!X8</f>
        <v>0.5006336416631364</v>
      </c>
      <c r="AB8" s="17">
        <f ca="1">'Balance Sheet'!Y11/'Balance Sheet'!Y8</f>
        <v>0.50973527383869666</v>
      </c>
      <c r="AC8" s="17">
        <f ca="1">'Balance Sheet'!Z11/'Balance Sheet'!Z8</f>
        <v>0.51889604283075275</v>
      </c>
      <c r="AD8" s="17">
        <f ca="1">'Balance Sheet'!AA11/'Balance Sheet'!AA8</f>
        <v>0.52810956538442355</v>
      </c>
      <c r="AE8" s="17">
        <f ca="1">'Balance Sheet'!AB11/'Balance Sheet'!AB8</f>
        <v>0.53736937485462322</v>
      </c>
      <c r="AF8" s="17">
        <f ca="1">'Balance Sheet'!AC11/'Balance Sheet'!AC8</f>
        <v>0.54666886006980153</v>
      </c>
      <c r="AG8" s="17">
        <f ca="1">'Balance Sheet'!AD11/'Balance Sheet'!AD8</f>
        <v>0.55600120886158633</v>
      </c>
      <c r="AH8" s="17">
        <f ca="1">'Balance Sheet'!AE11/'Balance Sheet'!AE8</f>
        <v>0.56535935482975774</v>
      </c>
      <c r="AI8" s="29"/>
    </row>
    <row r="9" spans="1:35" ht="21.5" thickBot="1" x14ac:dyDescent="0.55000000000000004">
      <c r="A9" s="20" t="s">
        <v>32</v>
      </c>
      <c r="B9" s="21">
        <f ca="1">MIN('Price and Financial ratios'!E9:AH9)</f>
        <v>3.8123305587201339</v>
      </c>
      <c r="C9" s="21"/>
      <c r="D9" s="172"/>
      <c r="E9" s="21">
        <f ca="1">('Cash Flow'!C7+'Profit and Loss'!C8)/('Profit and Loss'!C8)</f>
        <v>3.9784893282130529</v>
      </c>
      <c r="F9" s="21">
        <f ca="1">('Cash Flow'!D7+'Profit and Loss'!D8)/('Profit and Loss'!D8)</f>
        <v>3.9493326512151095</v>
      </c>
      <c r="G9" s="21">
        <f ca="1">('Cash Flow'!E7+'Profit and Loss'!E8)/('Profit and Loss'!E8)</f>
        <v>3.872565933419704</v>
      </c>
      <c r="H9" s="21">
        <f ca="1">('Cash Flow'!F7+'Profit and Loss'!F8)/('Profit and Loss'!F8)</f>
        <v>3.8123305587201339</v>
      </c>
      <c r="I9" s="21">
        <f ca="1">('Cash Flow'!G7+'Profit and Loss'!G8)/('Profit and Loss'!G8)</f>
        <v>3.9213237030841435</v>
      </c>
      <c r="J9" s="21">
        <f ca="1">('Cash Flow'!H7+'Profit and Loss'!H8)/('Profit and Loss'!H8)</f>
        <v>4.595246478456211</v>
      </c>
      <c r="K9" s="21">
        <f ca="1">('Cash Flow'!I7+'Profit and Loss'!I8)/('Profit and Loss'!I8)</f>
        <v>4.8743303250110399</v>
      </c>
      <c r="L9" s="21">
        <f ca="1">('Cash Flow'!J7+'Profit and Loss'!J8)/('Profit and Loss'!J8)</f>
        <v>5.2073109845239207</v>
      </c>
      <c r="M9" s="21">
        <f ca="1">('Cash Flow'!K7+'Profit and Loss'!K8)/('Profit and Loss'!K8)</f>
        <v>5.6083990900779073</v>
      </c>
      <c r="N9" s="21">
        <f ca="1">('Cash Flow'!L7+'Profit and Loss'!L8)/('Profit and Loss'!L8)</f>
        <v>6.0148416661989232</v>
      </c>
      <c r="O9" s="21">
        <f ca="1">('Cash Flow'!M7+'Profit and Loss'!M8)/('Profit and Loss'!M8)</f>
        <v>5.6944241499760988</v>
      </c>
      <c r="P9" s="21">
        <f ca="1">('Cash Flow'!N7+'Profit and Loss'!N8)/('Profit and Loss'!N8)</f>
        <v>5.4545047683051848</v>
      </c>
      <c r="Q9" s="21">
        <f ca="1">('Cash Flow'!O7+'Profit and Loss'!O8)/('Profit and Loss'!O8)</f>
        <v>5.2767853270414484</v>
      </c>
      <c r="R9" s="21">
        <f ca="1">('Cash Flow'!P7+'Profit and Loss'!P8)/('Profit and Loss'!P8)</f>
        <v>5.1490941446159653</v>
      </c>
      <c r="S9" s="21">
        <f ca="1">('Cash Flow'!Q7+'Profit and Loss'!Q8)/('Profit and Loss'!Q8)</f>
        <v>5.0465965295742254</v>
      </c>
      <c r="T9" s="21">
        <f ca="1">('Cash Flow'!R7+'Profit and Loss'!R8)/('Profit and Loss'!R8)</f>
        <v>4.9758506972142129</v>
      </c>
      <c r="U9" s="21">
        <f ca="1">('Cash Flow'!S7+'Profit and Loss'!S8)/('Profit and Loss'!S8)</f>
        <v>4.9335093795403537</v>
      </c>
      <c r="V9" s="21">
        <f ca="1">('Cash Flow'!T7+'Profit and Loss'!T8)/('Profit and Loss'!T8)</f>
        <v>4.9173707924149106</v>
      </c>
      <c r="W9" s="21">
        <f ca="1">('Cash Flow'!U7+'Profit and Loss'!U8)/('Profit and Loss'!U8)</f>
        <v>4.926163407161809</v>
      </c>
      <c r="X9" s="21">
        <f ca="1">('Cash Flow'!V7+'Profit and Loss'!V8)/('Profit and Loss'!V8)</f>
        <v>4.9032326440676748</v>
      </c>
      <c r="Y9" s="21">
        <f ca="1">('Cash Flow'!W7+'Profit and Loss'!W8)/('Profit and Loss'!W8)</f>
        <v>4.7647316830789901</v>
      </c>
      <c r="Z9" s="21">
        <f ca="1">('Cash Flow'!X7+'Profit and Loss'!X8)/('Profit and Loss'!X8)</f>
        <v>4.6376499698875344</v>
      </c>
      <c r="AA9" s="21">
        <f ca="1">('Cash Flow'!Y7+'Profit and Loss'!Y8)/('Profit and Loss'!Y8)</f>
        <v>4.5209273748148577</v>
      </c>
      <c r="AB9" s="21">
        <f ca="1">('Cash Flow'!Z7+'Profit and Loss'!Z8)/('Profit and Loss'!Z8)</f>
        <v>4.413642168558618</v>
      </c>
      <c r="AC9" s="21">
        <f ca="1">('Cash Flow'!AA7+'Profit and Loss'!AA8)/('Profit and Loss'!AA8)</f>
        <v>4.3149902803898259</v>
      </c>
      <c r="AD9" s="21">
        <f ca="1">('Cash Flow'!AB7+'Profit and Loss'!AB8)/('Profit and Loss'!AB8)</f>
        <v>4.2242682603007058</v>
      </c>
      <c r="AE9" s="21">
        <f ca="1">('Cash Flow'!AC7+'Profit and Loss'!AC8)/('Profit and Loss'!AC8)</f>
        <v>4.1408592065609646</v>
      </c>
      <c r="AF9" s="21">
        <f ca="1">('Cash Flow'!AD7+'Profit and Loss'!AD8)/('Profit and Loss'!AD8)</f>
        <v>4.0642210849782217</v>
      </c>
      <c r="AG9" s="21">
        <f ca="1">('Cash Flow'!AE7+'Profit and Loss'!AE8)/('Profit and Loss'!AE8)</f>
        <v>3.9938769909258833</v>
      </c>
      <c r="AH9" s="21">
        <f ca="1">('Cash Flow'!AF7+'Profit and Loss'!AF8)/('Profit and Loss'!AF8)</f>
        <v>3.9294070004674095</v>
      </c>
      <c r="AI9" s="30"/>
    </row>
    <row r="11" spans="1:35" ht="26" x14ac:dyDescent="0.6">
      <c r="A11" s="13"/>
      <c r="E11" s="39"/>
    </row>
    <row r="12" spans="1:35" x14ac:dyDescent="0.35">
      <c r="A12" s="14"/>
      <c r="E12" s="39"/>
    </row>
    <row r="13" spans="1:35" ht="18.5" x14ac:dyDescent="0.45">
      <c r="A13" s="87"/>
      <c r="B13" s="88"/>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88"/>
      <c r="B14" s="8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88"/>
      <c r="B15" s="89"/>
      <c r="E15" s="39"/>
    </row>
    <row r="16" spans="1:35" ht="18.5" x14ac:dyDescent="0.45">
      <c r="A16" s="88"/>
      <c r="B16" s="90"/>
      <c r="E16" s="39"/>
    </row>
    <row r="17" spans="1:5" ht="18.5" x14ac:dyDescent="0.45">
      <c r="A17" s="88"/>
      <c r="B17" s="91"/>
      <c r="E17" s="39"/>
    </row>
    <row r="18" spans="1:5" ht="18.5" x14ac:dyDescent="0.45">
      <c r="A18" s="92"/>
      <c r="B18" s="93"/>
      <c r="E18" s="39"/>
    </row>
    <row r="19" spans="1:5" ht="18.5" x14ac:dyDescent="0.45">
      <c r="A19" s="92"/>
      <c r="B19" s="92"/>
    </row>
    <row r="20" spans="1:5" ht="18.5" x14ac:dyDescent="0.45">
      <c r="A20" s="92"/>
      <c r="B20" s="89"/>
    </row>
    <row r="21" spans="1:5" ht="18.5" x14ac:dyDescent="0.45">
      <c r="A21" s="94"/>
      <c r="B21" s="95"/>
    </row>
    <row r="22" spans="1:5" ht="18.5" x14ac:dyDescent="0.45">
      <c r="A22" s="92"/>
      <c r="B22" s="96"/>
    </row>
    <row r="23" spans="1:5" ht="18.5" x14ac:dyDescent="0.45">
      <c r="A23" s="94"/>
      <c r="B23" s="97"/>
    </row>
    <row r="24" spans="1:5" ht="18.5" x14ac:dyDescent="0.45">
      <c r="A24" s="94"/>
      <c r="B24" s="98"/>
    </row>
    <row r="25" spans="1:5" ht="18.5" x14ac:dyDescent="0.45">
      <c r="A25" s="92"/>
      <c r="B25" s="99"/>
    </row>
    <row r="26" spans="1:5" ht="18.5" x14ac:dyDescent="0.45">
      <c r="A26" s="100"/>
      <c r="B26" s="99"/>
    </row>
    <row r="27" spans="1:5" ht="18.5" x14ac:dyDescent="0.45">
      <c r="A27" s="92"/>
      <c r="B27" s="99"/>
    </row>
    <row r="28" spans="1:5" ht="18.5" x14ac:dyDescent="0.45">
      <c r="A28" s="92"/>
      <c r="B28" s="89"/>
    </row>
    <row r="29" spans="1:5" ht="18.5" x14ac:dyDescent="0.45">
      <c r="A29" s="92"/>
      <c r="B29" s="90"/>
    </row>
    <row r="30" spans="1:5" ht="18.5" x14ac:dyDescent="0.45">
      <c r="A30" s="92"/>
      <c r="B30" s="92"/>
    </row>
    <row r="31" spans="1:5" ht="18.5" x14ac:dyDescent="0.45">
      <c r="A31" s="92"/>
      <c r="B31" s="93"/>
    </row>
    <row r="32" spans="1:5" ht="18.5" x14ac:dyDescent="0.45">
      <c r="A32" s="92"/>
      <c r="B32" s="92"/>
    </row>
    <row r="33" spans="1:5" ht="18.5" x14ac:dyDescent="0.45">
      <c r="A33" s="92"/>
      <c r="B33" s="89"/>
    </row>
    <row r="34" spans="1:5" ht="18.5" x14ac:dyDescent="0.45">
      <c r="A34" s="92"/>
      <c r="B34" s="89"/>
    </row>
    <row r="35" spans="1:5" ht="18.5" x14ac:dyDescent="0.45">
      <c r="A35" s="92"/>
      <c r="B35" s="101"/>
    </row>
    <row r="36" spans="1:5" ht="18.5" x14ac:dyDescent="0.45">
      <c r="A36" s="94"/>
      <c r="B36" s="95"/>
    </row>
    <row r="37" spans="1:5" ht="18.5" x14ac:dyDescent="0.45">
      <c r="A37" s="94"/>
      <c r="B37" s="89"/>
    </row>
    <row r="38" spans="1:5" ht="18.5" x14ac:dyDescent="0.45">
      <c r="A38" s="94"/>
      <c r="B38" s="95"/>
    </row>
    <row r="39" spans="1:5" ht="18.5" x14ac:dyDescent="0.45">
      <c r="A39" s="100"/>
      <c r="B39" s="94"/>
    </row>
    <row r="40" spans="1:5" ht="18.5" x14ac:dyDescent="0.45">
      <c r="A40" s="92"/>
      <c r="B40" s="89"/>
      <c r="D40" s="67"/>
    </row>
    <row r="41" spans="1:5" ht="18.5" x14ac:dyDescent="0.45">
      <c r="A41" s="92"/>
      <c r="B41" s="89"/>
      <c r="D41" s="5"/>
    </row>
    <row r="42" spans="1:5" ht="18.5" x14ac:dyDescent="0.45">
      <c r="A42" s="92"/>
      <c r="B42" s="90"/>
      <c r="D42" s="3"/>
    </row>
    <row r="43" spans="1:5" ht="18.5" x14ac:dyDescent="0.45">
      <c r="A43" s="92"/>
      <c r="B43" s="92"/>
    </row>
    <row r="44" spans="1:5" ht="18.5" x14ac:dyDescent="0.45">
      <c r="A44" s="92"/>
      <c r="B44" s="93"/>
      <c r="D44" s="5"/>
    </row>
    <row r="45" spans="1:5" ht="18.5" x14ac:dyDescent="0.45">
      <c r="A45" s="92"/>
      <c r="B45" s="92"/>
      <c r="E45" s="1"/>
    </row>
    <row r="46" spans="1:5" ht="18.5" x14ac:dyDescent="0.45">
      <c r="A46" s="92"/>
      <c r="B46" s="89"/>
      <c r="D46" s="41"/>
      <c r="E46" s="1"/>
    </row>
    <row r="47" spans="1:5" ht="18.5" x14ac:dyDescent="0.45">
      <c r="A47" s="92"/>
      <c r="B47" s="92"/>
    </row>
    <row r="48" spans="1:5" ht="18.5" x14ac:dyDescent="0.45">
      <c r="A48" s="92"/>
      <c r="B48" s="101"/>
      <c r="D48" s="8"/>
    </row>
    <row r="49" spans="1:3" ht="18.5" x14ac:dyDescent="0.45">
      <c r="A49" s="94"/>
      <c r="B49" s="95"/>
    </row>
    <row r="50" spans="1:3" ht="18.5" x14ac:dyDescent="0.45">
      <c r="A50" s="94"/>
      <c r="B50" s="89"/>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69"/>
  </cols>
  <sheetData>
    <row r="1" spans="1:1" x14ac:dyDescent="0.35">
      <c r="A1" s="170"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146</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75</v>
      </c>
      <c r="C5" s="1">
        <f>Assumptions!D118</f>
        <v>507705836.54189342</v>
      </c>
      <c r="D5" s="1">
        <f>Assumptions!E118</f>
        <v>507705836.54189342</v>
      </c>
      <c r="E5" s="1">
        <f>Assumptions!F118</f>
        <v>507705836.54189342</v>
      </c>
      <c r="F5" s="1">
        <f>Assumptions!G118</f>
        <v>507705836.54189342</v>
      </c>
      <c r="G5" s="1">
        <f>Assumptions!H118</f>
        <v>507705836.54189342</v>
      </c>
      <c r="H5" s="1">
        <f>Assumptions!I118</f>
        <v>507705836.54189342</v>
      </c>
      <c r="I5" s="1">
        <f>Assumptions!J118</f>
        <v>507705836.54189342</v>
      </c>
      <c r="J5" s="1">
        <f>Assumptions!K118</f>
        <v>507705836.54189342</v>
      </c>
      <c r="K5" s="1">
        <f>Assumptions!L118</f>
        <v>507705836.54189342</v>
      </c>
      <c r="L5" s="1">
        <f>Assumptions!M118</f>
        <v>507705836.54189342</v>
      </c>
      <c r="M5" s="1">
        <f>Assumptions!N118</f>
        <v>507705836.54189342</v>
      </c>
      <c r="N5" s="1">
        <f>Assumptions!O118</f>
        <v>507705836.54189342</v>
      </c>
      <c r="O5" s="1">
        <f>Assumptions!P118</f>
        <v>507705836.54189342</v>
      </c>
      <c r="P5" s="1">
        <f>Assumptions!Q118</f>
        <v>507705836.54189342</v>
      </c>
      <c r="Q5" s="1">
        <f>Assumptions!R118</f>
        <v>507705836.54189342</v>
      </c>
      <c r="R5" s="1">
        <f>Assumptions!S118</f>
        <v>507705836.54189342</v>
      </c>
      <c r="S5" s="1">
        <f>Assumptions!T118</f>
        <v>507705836.54189342</v>
      </c>
      <c r="T5" s="1">
        <f>Assumptions!U118</f>
        <v>507705836.54189342</v>
      </c>
      <c r="U5" s="1">
        <f>Assumptions!V118</f>
        <v>507705836.54189342</v>
      </c>
      <c r="V5" s="1">
        <f>Assumptions!W118</f>
        <v>507705836.54189342</v>
      </c>
      <c r="W5" s="1">
        <f>Assumptions!X118</f>
        <v>507705836.54189342</v>
      </c>
      <c r="X5" s="1">
        <f>Assumptions!Y118</f>
        <v>507705836.54189342</v>
      </c>
      <c r="Y5" s="1">
        <f>Assumptions!Z118</f>
        <v>507705836.54189342</v>
      </c>
      <c r="Z5" s="1">
        <f>Assumptions!AA118</f>
        <v>507705836.54189342</v>
      </c>
      <c r="AA5" s="1">
        <f>Assumptions!AB118</f>
        <v>507705836.54189342</v>
      </c>
      <c r="AB5" s="1">
        <f>Assumptions!AC118</f>
        <v>507705836.54189342</v>
      </c>
      <c r="AC5" s="1">
        <f>Assumptions!AD118</f>
        <v>507705836.54189342</v>
      </c>
      <c r="AD5" s="1">
        <f>Assumptions!AE118</f>
        <v>507705836.54189342</v>
      </c>
      <c r="AE5" s="1">
        <f>Assumptions!AF118</f>
        <v>507705836.54189342</v>
      </c>
      <c r="AF5" s="1">
        <f>Assumptions!AG118</f>
        <v>507705836.54189342</v>
      </c>
    </row>
    <row r="6" spans="1:32" x14ac:dyDescent="0.35">
      <c r="A6" t="s">
        <v>71</v>
      </c>
      <c r="C6" s="1">
        <f>Assumptions!D120</f>
        <v>181827665.81435287</v>
      </c>
      <c r="D6" s="1">
        <f>Assumptions!E120</f>
        <v>181827665.81435287</v>
      </c>
      <c r="E6" s="1">
        <f>Assumptions!F120</f>
        <v>181827665.81435287</v>
      </c>
      <c r="F6" s="1">
        <f>Assumptions!G120</f>
        <v>181827665.81435287</v>
      </c>
      <c r="G6" s="1">
        <f>Assumptions!H120</f>
        <v>181827665.81435287</v>
      </c>
      <c r="H6" s="1">
        <f>Assumptions!I120</f>
        <v>181827665.81435287</v>
      </c>
      <c r="I6" s="1">
        <f>Assumptions!J120</f>
        <v>181827665.81435287</v>
      </c>
      <c r="J6" s="1">
        <f>Assumptions!K120</f>
        <v>181827665.81435287</v>
      </c>
      <c r="K6" s="1">
        <f>Assumptions!L120</f>
        <v>181827665.81435287</v>
      </c>
      <c r="L6" s="1">
        <f>Assumptions!M120</f>
        <v>181827665.81435287</v>
      </c>
      <c r="M6" s="1">
        <f>Assumptions!N120</f>
        <v>1090965994.8861172</v>
      </c>
      <c r="N6" s="1">
        <f>Assumptions!O120</f>
        <v>1090965994.8861172</v>
      </c>
      <c r="O6" s="1">
        <f>Assumptions!P120</f>
        <v>1090965994.8861172</v>
      </c>
      <c r="P6" s="1">
        <f>Assumptions!Q120</f>
        <v>1090965994.8861172</v>
      </c>
      <c r="Q6" s="1">
        <f>Assumptions!R120</f>
        <v>1090965994.8861172</v>
      </c>
      <c r="R6" s="1">
        <f>Assumptions!S120</f>
        <v>1090965994.8861172</v>
      </c>
      <c r="S6" s="1">
        <f>Assumptions!T120</f>
        <v>1090965994.8861172</v>
      </c>
      <c r="T6" s="1">
        <f>Assumptions!U120</f>
        <v>1090965994.8861172</v>
      </c>
      <c r="U6" s="1">
        <f>Assumptions!V120</f>
        <v>1090965994.8861172</v>
      </c>
      <c r="V6" s="1">
        <f>Assumptions!W120</f>
        <v>1090965994.8861172</v>
      </c>
      <c r="W6" s="1">
        <f>Assumptions!X120</f>
        <v>1454621326.514823</v>
      </c>
      <c r="X6" s="1">
        <f>Assumptions!Y120</f>
        <v>1454621326.514823</v>
      </c>
      <c r="Y6" s="1">
        <f>Assumptions!Z120</f>
        <v>1454621326.514823</v>
      </c>
      <c r="Z6" s="1">
        <f>Assumptions!AA120</f>
        <v>1454621326.514823</v>
      </c>
      <c r="AA6" s="1">
        <f>Assumptions!AB120</f>
        <v>1454621326.514823</v>
      </c>
      <c r="AB6" s="1">
        <f>Assumptions!AC120</f>
        <v>1454621326.514823</v>
      </c>
      <c r="AC6" s="1">
        <f>Assumptions!AD120</f>
        <v>1454621326.514823</v>
      </c>
      <c r="AD6" s="1">
        <f>Assumptions!AE120</f>
        <v>1454621326.514823</v>
      </c>
      <c r="AE6" s="1">
        <f>Assumptions!AF120</f>
        <v>1454621326.514823</v>
      </c>
      <c r="AF6" s="1">
        <f>Assumptions!AG120</f>
        <v>1454621326.514823</v>
      </c>
    </row>
    <row r="7" spans="1:32" x14ac:dyDescent="0.35">
      <c r="A7" t="s">
        <v>76</v>
      </c>
      <c r="C7" s="1">
        <f>Assumptions!D127</f>
        <v>3987245.2593175117</v>
      </c>
      <c r="D7" s="1">
        <f>Assumptions!E127</f>
        <v>7958342.175334787</v>
      </c>
      <c r="E7" s="1">
        <f>Assumptions!F127</f>
        <v>11913356.148842193</v>
      </c>
      <c r="F7" s="1">
        <f>Assumptions!G127</f>
        <v>15852352.315756891</v>
      </c>
      <c r="G7" s="1">
        <f>Assumptions!H127</f>
        <v>19499757.037585899</v>
      </c>
      <c r="H7" s="1">
        <f>Assumptions!I127</f>
        <v>22874612.658572458</v>
      </c>
      <c r="I7" s="1">
        <f>Assumptions!J127</f>
        <v>25994654.642635468</v>
      </c>
      <c r="J7" s="1">
        <f>Assumptions!K127</f>
        <v>28876401.53523469</v>
      </c>
      <c r="K7" s="1">
        <f>Assumptions!L127</f>
        <v>31535238.731422532</v>
      </c>
      <c r="L7" s="1">
        <f>Assumptions!M127</f>
        <v>34075000.570609033</v>
      </c>
      <c r="M7" s="1">
        <f>Assumptions!N127</f>
        <v>48622409.004870832</v>
      </c>
      <c r="N7" s="1">
        <f>Assumptions!O127</f>
        <v>62501097.200127929</v>
      </c>
      <c r="O7" s="1">
        <f>Assumptions!P127</f>
        <v>75732691.559423581</v>
      </c>
      <c r="P7" s="1">
        <f>Assumptions!Q127</f>
        <v>88338032.595276415</v>
      </c>
      <c r="Q7" s="1">
        <f>Assumptions!R127</f>
        <v>100443981.80845892</v>
      </c>
      <c r="R7" s="1">
        <f>Assumptions!S127</f>
        <v>112062829.34069344</v>
      </c>
      <c r="S7" s="1">
        <f>Assumptions!T127</f>
        <v>123206515.25420468</v>
      </c>
      <c r="T7" s="1">
        <f>Assumptions!U127</f>
        <v>133886639.73277283</v>
      </c>
      <c r="U7" s="1">
        <f>Assumptions!V127</f>
        <v>144114472.9845826</v>
      </c>
      <c r="V7" s="1">
        <f>Assumptions!W127</f>
        <v>154252241.48159987</v>
      </c>
      <c r="W7" s="1">
        <f>Assumptions!X127</f>
        <v>167649666.1542421</v>
      </c>
      <c r="X7" s="1">
        <f>Assumptions!Y127</f>
        <v>180927975.21679646</v>
      </c>
      <c r="Y7" s="1">
        <f>Assumptions!Z127</f>
        <v>194087651.08748388</v>
      </c>
      <c r="Z7" s="1">
        <f>Assumptions!AA127</f>
        <v>207129174.2307314</v>
      </c>
      <c r="AA7" s="1">
        <f>Assumptions!AB127</f>
        <v>220053023.16508517</v>
      </c>
      <c r="AB7" s="1">
        <f>Assumptions!AC127</f>
        <v>232859674.47109118</v>
      </c>
      <c r="AC7" s="1">
        <f>Assumptions!AD127</f>
        <v>245549602.7991443</v>
      </c>
      <c r="AD7" s="1">
        <f>Assumptions!AE127</f>
        <v>258123280.87730521</v>
      </c>
      <c r="AE7" s="1">
        <f>Assumptions!AF127</f>
        <v>270581179.51908588</v>
      </c>
      <c r="AF7" s="1">
        <f>Assumptions!AG127</f>
        <v>282923767.63120383</v>
      </c>
    </row>
    <row r="9" spans="1:32" x14ac:dyDescent="0.35">
      <c r="A9" t="s">
        <v>97</v>
      </c>
      <c r="C9" s="42">
        <f>Assumptions!D11</f>
        <v>1.022</v>
      </c>
      <c r="D9" s="42">
        <f>Assumptions!E11</f>
        <v>1.044484</v>
      </c>
      <c r="E9" s="42">
        <f>Assumptions!F11</f>
        <v>1.067462648</v>
      </c>
      <c r="F9" s="42">
        <f>Assumptions!G11</f>
        <v>1.090946826256</v>
      </c>
      <c r="G9" s="42">
        <f>Assumptions!H11</f>
        <v>1.114947656433632</v>
      </c>
      <c r="H9" s="42">
        <f>Assumptions!I11</f>
        <v>1.1394765048751718</v>
      </c>
      <c r="I9" s="42">
        <f>Assumptions!J11</f>
        <v>1.1645449879824257</v>
      </c>
      <c r="J9" s="42">
        <f>Assumptions!K11</f>
        <v>1.1901649777180392</v>
      </c>
      <c r="K9" s="42">
        <f>Assumptions!L11</f>
        <v>1.216348607227836</v>
      </c>
      <c r="L9" s="42">
        <f>Assumptions!M11</f>
        <v>1.2431082765868484</v>
      </c>
      <c r="M9" s="42">
        <f>Assumptions!N11</f>
        <v>1.2704566586717592</v>
      </c>
      <c r="N9" s="42">
        <f>Assumptions!O11</f>
        <v>1.2984067051625379</v>
      </c>
      <c r="O9" s="42">
        <f>Assumptions!P11</f>
        <v>1.3269716526761137</v>
      </c>
      <c r="P9" s="42">
        <f>Assumptions!Q11</f>
        <v>1.356165029034988</v>
      </c>
      <c r="Q9" s="42">
        <f>Assumptions!R11</f>
        <v>1.386000659673758</v>
      </c>
      <c r="R9" s="42">
        <f>Assumptions!S11</f>
        <v>1.4164926741865806</v>
      </c>
      <c r="S9" s="42">
        <f>Assumptions!T11</f>
        <v>1.4476555130186854</v>
      </c>
      <c r="T9" s="42">
        <f>Assumptions!U11</f>
        <v>1.4795039343050964</v>
      </c>
      <c r="U9" s="42">
        <f>Assumptions!V11</f>
        <v>1.5120530208598086</v>
      </c>
      <c r="V9" s="42">
        <f>Assumptions!W11</f>
        <v>1.5453181873187245</v>
      </c>
      <c r="W9" s="42">
        <f>Assumptions!X11</f>
        <v>1.5793151874397364</v>
      </c>
      <c r="X9" s="42">
        <f>Assumptions!Y11</f>
        <v>1.6140601215634105</v>
      </c>
      <c r="Y9" s="42">
        <f>Assumptions!Z11</f>
        <v>1.6495694442378055</v>
      </c>
      <c r="Z9" s="42">
        <f>Assumptions!AA11</f>
        <v>1.6858599720110374</v>
      </c>
      <c r="AA9" s="42">
        <f>Assumptions!AB11</f>
        <v>1.7229488913952802</v>
      </c>
      <c r="AB9" s="42">
        <f>Assumptions!AC11</f>
        <v>1.7608537670059765</v>
      </c>
      <c r="AC9" s="42">
        <f>Assumptions!AD11</f>
        <v>1.799592549880108</v>
      </c>
      <c r="AD9" s="42">
        <f>Assumptions!AE11</f>
        <v>1.8391835859774703</v>
      </c>
      <c r="AE9" s="42">
        <f>Assumptions!AF11</f>
        <v>1.8796456248689748</v>
      </c>
      <c r="AF9" s="42">
        <f>Assumptions!AG11</f>
        <v>1.920997828616092</v>
      </c>
    </row>
    <row r="11" spans="1:32" x14ac:dyDescent="0.35">
      <c r="A11" t="s">
        <v>73</v>
      </c>
      <c r="C11" s="1">
        <f>C5*C$9</f>
        <v>518875364.94581509</v>
      </c>
      <c r="D11" s="1">
        <f>D5*D$9</f>
        <v>530290622.97462296</v>
      </c>
      <c r="E11" s="1">
        <f t="shared" ref="D11:AF13" si="1">E5*E$9</f>
        <v>541957016.68006468</v>
      </c>
      <c r="F11" s="1">
        <f t="shared" si="1"/>
        <v>553880071.04702616</v>
      </c>
      <c r="G11" s="1">
        <f t="shared" si="1"/>
        <v>566065432.61006069</v>
      </c>
      <c r="H11" s="1">
        <f t="shared" si="1"/>
        <v>578518872.12748206</v>
      </c>
      <c r="I11" s="1">
        <f t="shared" si="1"/>
        <v>591246287.31428659</v>
      </c>
      <c r="J11" s="1">
        <f t="shared" si="1"/>
        <v>604253705.63520098</v>
      </c>
      <c r="K11" s="1">
        <f t="shared" si="1"/>
        <v>617547287.1591754</v>
      </c>
      <c r="L11" s="1">
        <f t="shared" si="1"/>
        <v>631133327.4766773</v>
      </c>
      <c r="M11" s="1">
        <f t="shared" si="1"/>
        <v>645018260.68116426</v>
      </c>
      <c r="N11" s="1">
        <f t="shared" si="1"/>
        <v>659208662.41614985</v>
      </c>
      <c r="O11" s="1">
        <f t="shared" si="1"/>
        <v>673711252.98930514</v>
      </c>
      <c r="P11" s="1">
        <f t="shared" si="1"/>
        <v>688532900.5550698</v>
      </c>
      <c r="Q11" s="1">
        <f t="shared" si="1"/>
        <v>703680624.36728144</v>
      </c>
      <c r="R11" s="1">
        <f t="shared" si="1"/>
        <v>719161598.10336161</v>
      </c>
      <c r="S11" s="1">
        <f t="shared" si="1"/>
        <v>734983153.26163554</v>
      </c>
      <c r="T11" s="1">
        <f t="shared" si="1"/>
        <v>751152782.6333915</v>
      </c>
      <c r="U11" s="1">
        <f t="shared" si="1"/>
        <v>767678143.85132623</v>
      </c>
      <c r="V11" s="1">
        <f t="shared" si="1"/>
        <v>784567063.01605535</v>
      </c>
      <c r="W11" s="1">
        <f t="shared" si="1"/>
        <v>801827538.4024086</v>
      </c>
      <c r="X11" s="1">
        <f t="shared" si="1"/>
        <v>819467744.24726152</v>
      </c>
      <c r="Y11" s="1">
        <f t="shared" si="1"/>
        <v>837496034.62070119</v>
      </c>
      <c r="Z11" s="1">
        <f t="shared" si="1"/>
        <v>855920947.38235676</v>
      </c>
      <c r="AA11" s="1">
        <f t="shared" si="1"/>
        <v>874751208.22476864</v>
      </c>
      <c r="AB11" s="1">
        <f t="shared" si="1"/>
        <v>893995734.80571365</v>
      </c>
      <c r="AC11" s="1">
        <f t="shared" si="1"/>
        <v>913663640.97143924</v>
      </c>
      <c r="AD11" s="1">
        <f t="shared" si="1"/>
        <v>933764241.07281089</v>
      </c>
      <c r="AE11" s="1">
        <f t="shared" si="1"/>
        <v>954307054.37641287</v>
      </c>
      <c r="AF11" s="1">
        <f t="shared" si="1"/>
        <v>975301809.57269382</v>
      </c>
    </row>
    <row r="12" spans="1:32" x14ac:dyDescent="0.35">
      <c r="A12" t="s">
        <v>74</v>
      </c>
      <c r="C12" s="1">
        <f t="shared" ref="C12:R12" si="2">C6*C$9</f>
        <v>185827874.46226865</v>
      </c>
      <c r="D12" s="1">
        <f t="shared" si="2"/>
        <v>189916087.70043853</v>
      </c>
      <c r="E12" s="1">
        <f t="shared" si="2"/>
        <v>194094241.62984818</v>
      </c>
      <c r="F12" s="1">
        <f t="shared" si="2"/>
        <v>198364314.94570485</v>
      </c>
      <c r="G12" s="1">
        <f t="shared" si="2"/>
        <v>202728329.87451038</v>
      </c>
      <c r="H12" s="1">
        <f t="shared" si="2"/>
        <v>207188353.13174957</v>
      </c>
      <c r="I12" s="1">
        <f t="shared" si="2"/>
        <v>211746496.90064809</v>
      </c>
      <c r="J12" s="1">
        <f t="shared" si="2"/>
        <v>216404919.83246237</v>
      </c>
      <c r="K12" s="1">
        <f t="shared" si="2"/>
        <v>221165828.06877652</v>
      </c>
      <c r="L12" s="1">
        <f t="shared" si="2"/>
        <v>226031476.2862896</v>
      </c>
      <c r="M12" s="1">
        <f t="shared" si="2"/>
        <v>1386025012.587528</v>
      </c>
      <c r="N12" s="1">
        <f t="shared" si="2"/>
        <v>1416517562.8644536</v>
      </c>
      <c r="O12" s="1">
        <f t="shared" si="2"/>
        <v>1447680949.2474716</v>
      </c>
      <c r="P12" s="1">
        <f t="shared" si="2"/>
        <v>1479529930.1309159</v>
      </c>
      <c r="Q12" s="1">
        <f t="shared" si="2"/>
        <v>1512079588.593796</v>
      </c>
      <c r="R12" s="1">
        <f t="shared" si="2"/>
        <v>1545345339.5428596</v>
      </c>
      <c r="S12" s="1">
        <f t="shared" si="1"/>
        <v>1579342937.0128026</v>
      </c>
      <c r="T12" s="1">
        <f t="shared" si="1"/>
        <v>1614088481.627084</v>
      </c>
      <c r="U12" s="1">
        <f t="shared" si="1"/>
        <v>1649598428.2228801</v>
      </c>
      <c r="V12" s="1">
        <f t="shared" si="1"/>
        <v>1685889593.6437836</v>
      </c>
      <c r="W12" s="1">
        <f t="shared" si="1"/>
        <v>2297305552.9385958</v>
      </c>
      <c r="X12" s="1">
        <f t="shared" si="1"/>
        <v>2347846275.1032448</v>
      </c>
      <c r="Y12" s="1">
        <f t="shared" si="1"/>
        <v>2399498893.1555161</v>
      </c>
      <c r="Z12" s="1">
        <f t="shared" si="1"/>
        <v>2452287868.8049374</v>
      </c>
      <c r="AA12" s="1">
        <f t="shared" si="1"/>
        <v>2506238201.9186459</v>
      </c>
      <c r="AB12" s="1">
        <f t="shared" si="1"/>
        <v>2561375442.3608565</v>
      </c>
      <c r="AC12" s="1">
        <f t="shared" si="1"/>
        <v>2617725702.0927954</v>
      </c>
      <c r="AD12" s="1">
        <f t="shared" si="1"/>
        <v>2675315667.538837</v>
      </c>
      <c r="AE12" s="1">
        <f t="shared" si="1"/>
        <v>2734172612.2246914</v>
      </c>
      <c r="AF12" s="1">
        <f t="shared" si="1"/>
        <v>2794324409.6936345</v>
      </c>
    </row>
    <row r="13" spans="1:32" x14ac:dyDescent="0.35">
      <c r="A13" t="s">
        <v>77</v>
      </c>
      <c r="C13" s="1">
        <f>C7*C$9</f>
        <v>4074964.6550224968</v>
      </c>
      <c r="D13" s="1">
        <f t="shared" si="1"/>
        <v>8312361.0686623799</v>
      </c>
      <c r="E13" s="1">
        <f t="shared" si="1"/>
        <v>12717062.701210169</v>
      </c>
      <c r="F13" s="1">
        <f t="shared" si="1"/>
        <v>17294073.447566934</v>
      </c>
      <c r="G13" s="1">
        <f t="shared" si="1"/>
        <v>21741208.410081621</v>
      </c>
      <c r="H13" s="1">
        <f t="shared" si="1"/>
        <v>26065083.682563506</v>
      </c>
      <c r="I13" s="1">
        <f t="shared" si="1"/>
        <v>30271944.778415225</v>
      </c>
      <c r="J13" s="1">
        <f t="shared" si="1"/>
        <v>34367681.789759748</v>
      </c>
      <c r="K13" s="1">
        <f t="shared" si="1"/>
        <v>38357843.709563106</v>
      </c>
      <c r="L13" s="1">
        <f t="shared" si="1"/>
        <v>42358915.234025672</v>
      </c>
      <c r="M13" s="1">
        <f t="shared" si="1"/>
        <v>61772663.280899853</v>
      </c>
      <c r="N13" s="1">
        <f t="shared" si="1"/>
        <v>81151843.684661627</v>
      </c>
      <c r="O13" s="1">
        <f t="shared" si="1"/>
        <v>100495134.88021867</v>
      </c>
      <c r="P13" s="1">
        <f t="shared" si="1"/>
        <v>119800950.53946675</v>
      </c>
      <c r="Q13" s="1">
        <f t="shared" si="1"/>
        <v>139215425.046783</v>
      </c>
      <c r="R13" s="1">
        <f t="shared" si="1"/>
        <v>158736176.80971327</v>
      </c>
      <c r="S13" s="1">
        <f t="shared" si="1"/>
        <v>178360591.04757017</v>
      </c>
      <c r="T13" s="1">
        <f t="shared" si="1"/>
        <v>198085810.23552644</v>
      </c>
      <c r="U13" s="1">
        <f t="shared" si="1"/>
        <v>217908724.22595739</v>
      </c>
      <c r="V13" s="1">
        <f t="shared" si="1"/>
        <v>238368794.19619608</v>
      </c>
      <c r="W13" s="1">
        <f t="shared" si="1"/>
        <v>264771663.92659611</v>
      </c>
      <c r="X13" s="1">
        <f t="shared" si="1"/>
        <v>292028629.6726442</v>
      </c>
      <c r="Y13" s="1">
        <f t="shared" si="1"/>
        <v>320161058.73780191</v>
      </c>
      <c r="Z13" s="1">
        <f t="shared" si="1"/>
        <v>349190783.87129015</v>
      </c>
      <c r="AA13" s="1">
        <f t="shared" si="1"/>
        <v>379140112.31046337</v>
      </c>
      <c r="AB13" s="1">
        <f t="shared" si="1"/>
        <v>410031834.9762063</v>
      </c>
      <c r="AC13" s="1">
        <f t="shared" si="1"/>
        <v>441889235.82335979</v>
      </c>
      <c r="AD13" s="1">
        <f t="shared" si="1"/>
        <v>474736101.34819198</v>
      </c>
      <c r="AE13" s="1">
        <f t="shared" si="1"/>
        <v>508596730.25493646</v>
      </c>
      <c r="AF13" s="1">
        <f t="shared" si="1"/>
        <v>543495943.28342628</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84</v>
      </c>
      <c r="C15" s="38">
        <f>Assumptions!D64</f>
        <v>1</v>
      </c>
      <c r="D15" s="38">
        <f>Assumptions!E64</f>
        <v>1</v>
      </c>
      <c r="E15" s="38">
        <f>Assumptions!F64</f>
        <v>1</v>
      </c>
      <c r="F15" s="38">
        <f>Assumptions!G64</f>
        <v>1</v>
      </c>
      <c r="G15" s="38">
        <f>Assumptions!H64</f>
        <v>0.93114991509483769</v>
      </c>
      <c r="H15" s="38">
        <f>Assumptions!I64</f>
        <v>0.86704016438112341</v>
      </c>
      <c r="I15" s="38">
        <f>Assumptions!J64</f>
        <v>0.8073443754472972</v>
      </c>
      <c r="J15" s="38">
        <f>Assumptions!K64</f>
        <v>0.75175864665004555</v>
      </c>
      <c r="K15" s="38">
        <f>Assumptions!L64</f>
        <v>0.7</v>
      </c>
      <c r="L15" s="38">
        <f>Assumptions!M64</f>
        <v>0.6741616296345907</v>
      </c>
      <c r="M15" s="38">
        <f>Assumptions!N64</f>
        <v>0.64927700410223865</v>
      </c>
      <c r="N15" s="38">
        <f>Assumptions!O64</f>
        <v>0.62531091881404288</v>
      </c>
      <c r="O15" s="38">
        <f>Assumptions!P64</f>
        <v>0.6022294686513977</v>
      </c>
      <c r="P15" s="38">
        <f>Assumptions!Q64</f>
        <v>0.57999999999999985</v>
      </c>
      <c r="Q15" s="38">
        <f>Assumptions!R64</f>
        <v>0.56303630024452367</v>
      </c>
      <c r="R15" s="38">
        <f>Assumptions!S64</f>
        <v>0.54656875067765776</v>
      </c>
      <c r="S15" s="38">
        <f>Assumptions!T64</f>
        <v>0.53058284001865519</v>
      </c>
      <c r="T15" s="38">
        <f>Assumptions!U64</f>
        <v>0.51506448140919947</v>
      </c>
      <c r="U15" s="38">
        <f>Assumptions!V64</f>
        <v>0.5</v>
      </c>
      <c r="V15" s="38">
        <f>Assumptions!W64</f>
        <v>0.5</v>
      </c>
      <c r="W15" s="38">
        <f>Assumptions!X64</f>
        <v>0.5</v>
      </c>
      <c r="X15" s="38">
        <f>Assumptions!Y64</f>
        <v>0.5</v>
      </c>
      <c r="Y15" s="38">
        <f>Assumptions!Z64</f>
        <v>0.5</v>
      </c>
      <c r="Z15" s="38">
        <f>Assumptions!AA64</f>
        <v>0.5</v>
      </c>
      <c r="AA15" s="38">
        <f>Assumptions!AB64</f>
        <v>0.5</v>
      </c>
      <c r="AB15" s="38">
        <f>Assumptions!AC64</f>
        <v>0.5</v>
      </c>
      <c r="AC15" s="38">
        <f>Assumptions!AD64</f>
        <v>0.5</v>
      </c>
      <c r="AD15" s="38">
        <f>Assumptions!AE64</f>
        <v>0.5</v>
      </c>
      <c r="AE15" s="38">
        <f>Assumptions!AF64</f>
        <v>0.5</v>
      </c>
      <c r="AF15" s="38">
        <f>Assumptions!AG64</f>
        <v>0.5</v>
      </c>
    </row>
    <row r="16" spans="1:32" x14ac:dyDescent="0.35">
      <c r="A16" t="s">
        <v>64</v>
      </c>
      <c r="C16" s="45">
        <f>Assumptions!D65</f>
        <v>0.99595</v>
      </c>
      <c r="D16" s="45">
        <f>Assumptions!E65</f>
        <v>0.99191640250000002</v>
      </c>
      <c r="E16" s="45">
        <f>Assumptions!F65</f>
        <v>0.98789914106987498</v>
      </c>
      <c r="F16" s="45">
        <f>Assumptions!G65</f>
        <v>0.98389814954854193</v>
      </c>
      <c r="G16" s="45">
        <f>Assumptions!H65</f>
        <v>0.97991336204287038</v>
      </c>
      <c r="H16" s="45">
        <f>Assumptions!I65</f>
        <v>0.97594471292659679</v>
      </c>
      <c r="I16" s="45">
        <f>Assumptions!J65</f>
        <v>0.97199213683924413</v>
      </c>
      <c r="J16" s="45">
        <f>Assumptions!K65</f>
        <v>0.96805556868504516</v>
      </c>
      <c r="K16" s="45">
        <f>Assumptions!L65</f>
        <v>0.96413494363187069</v>
      </c>
      <c r="L16" s="45">
        <f>Assumptions!M65</f>
        <v>0.96023019711016167</v>
      </c>
      <c r="M16" s="45">
        <f>Assumptions!N65</f>
        <v>0.95634126481186554</v>
      </c>
      <c r="N16" s="45">
        <f>Assumptions!O65</f>
        <v>0.95246808268937744</v>
      </c>
      <c r="O16" s="45">
        <f>Assumptions!P65</f>
        <v>0.94861058695448541</v>
      </c>
      <c r="P16" s="45">
        <f>Assumptions!Q65</f>
        <v>0.94476871407731977</v>
      </c>
      <c r="Q16" s="45">
        <f>Assumptions!R65</f>
        <v>0.94094240078530667</v>
      </c>
      <c r="R16" s="45">
        <f>Assumptions!S65</f>
        <v>0.93713158406212616</v>
      </c>
      <c r="S16" s="45">
        <f>Assumptions!T65</f>
        <v>0.93333620114667459</v>
      </c>
      <c r="T16" s="45">
        <f>Assumptions!U65</f>
        <v>0.92955618953203056</v>
      </c>
      <c r="U16" s="45">
        <f>Assumptions!V65</f>
        <v>0.92579148696442581</v>
      </c>
      <c r="V16" s="45">
        <f>Assumptions!W65</f>
        <v>0.92204203144221986</v>
      </c>
      <c r="W16" s="45">
        <f>Assumptions!X65</f>
        <v>0.91830776121487889</v>
      </c>
      <c r="X16" s="45">
        <f>Assumptions!Y65</f>
        <v>0.91458861478195863</v>
      </c>
      <c r="Y16" s="45">
        <f>Assumptions!Z65</f>
        <v>0.91088453089209165</v>
      </c>
      <c r="Z16" s="45">
        <f>Assumptions!AA65</f>
        <v>0.90719544854197864</v>
      </c>
      <c r="AA16" s="45">
        <f>Assumptions!AB65</f>
        <v>0.90352130697538369</v>
      </c>
      <c r="AB16" s="45">
        <f>Assumptions!AC65</f>
        <v>0.89986204568213335</v>
      </c>
      <c r="AC16" s="45">
        <f>Assumptions!AD65</f>
        <v>0.89621760439712073</v>
      </c>
      <c r="AD16" s="45">
        <f>Assumptions!AE65</f>
        <v>0.89258792309931234</v>
      </c>
      <c r="AE16" s="45">
        <f>Assumptions!AF65</f>
        <v>0.88897294201076016</v>
      </c>
      <c r="AF16" s="45">
        <f>Assumptions!AG65</f>
        <v>0.88537260159561659</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81</v>
      </c>
      <c r="C18" s="1">
        <f>(C11*C16)-C11</f>
        <v>-2101445.2280305624</v>
      </c>
      <c r="D18" s="1">
        <f t="shared" ref="D18:AF18" si="3">(D11*D16)-D11</f>
        <v>-4286655.954151094</v>
      </c>
      <c r="E18" s="1">
        <f t="shared" si="3"/>
        <v>-6558145.4050368667</v>
      </c>
      <c r="F18" s="1">
        <f t="shared" si="3"/>
        <v>-8918494.0720422268</v>
      </c>
      <c r="G18" s="1">
        <f t="shared" si="3"/>
        <v>-11370351.404884219</v>
      </c>
      <c r="H18" s="1">
        <f t="shared" si="3"/>
        <v>-13916437.546408057</v>
      </c>
      <c r="I18" s="1">
        <f t="shared" si="3"/>
        <v>-16559545.109403491</v>
      </c>
      <c r="J18" s="1">
        <f t="shared" si="3"/>
        <v>-19302540.996470571</v>
      </c>
      <c r="K18" s="1">
        <f t="shared" si="3"/>
        <v>-22148368.263949156</v>
      </c>
      <c r="L18" s="1">
        <f t="shared" si="3"/>
        <v>-25100048.030955195</v>
      </c>
      <c r="M18" s="1">
        <f t="shared" si="3"/>
        <v>-28160681.434589982</v>
      </c>
      <c r="N18" s="1">
        <f t="shared" si="3"/>
        <v>-31333451.632410526</v>
      </c>
      <c r="O18" s="1">
        <f t="shared" si="3"/>
        <v>-34621625.853278518</v>
      </c>
      <c r="P18" s="1">
        <f t="shared" si="3"/>
        <v>-38028557.497729421</v>
      </c>
      <c r="Q18" s="1">
        <f t="shared" si="3"/>
        <v>-41557688.289028049</v>
      </c>
      <c r="R18" s="1">
        <f t="shared" si="3"/>
        <v>-45212550.476108193</v>
      </c>
      <c r="S18" s="1">
        <f t="shared" si="3"/>
        <v>-48996769.089616537</v>
      </c>
      <c r="T18" s="1">
        <f t="shared" si="3"/>
        <v>-52914064.252314448</v>
      </c>
      <c r="U18" s="1">
        <f t="shared" si="3"/>
        <v>-56968253.545116544</v>
      </c>
      <c r="V18" s="1">
        <f t="shared" si="3"/>
        <v>-61163254.430075526</v>
      </c>
      <c r="W18" s="1">
        <f t="shared" si="3"/>
        <v>-65503086.731655478</v>
      </c>
      <c r="X18" s="1">
        <f t="shared" si="3"/>
        <v>-69991875.177662253</v>
      </c>
      <c r="Y18" s="1">
        <f t="shared" si="3"/>
        <v>-74633852.001236796</v>
      </c>
      <c r="Z18" s="1">
        <f t="shared" si="3"/>
        <v>-79433359.605344296</v>
      </c>
      <c r="AA18" s="1">
        <f t="shared" si="3"/>
        <v>-84394853.291229725</v>
      </c>
      <c r="AB18" s="1">
        <f t="shared" si="3"/>
        <v>-89522904.052342176</v>
      </c>
      <c r="AC18" s="1">
        <f t="shared" si="3"/>
        <v>-94822201.435264945</v>
      </c>
      <c r="AD18" s="1">
        <f t="shared" si="3"/>
        <v>-100297556.46922505</v>
      </c>
      <c r="AE18" s="1">
        <f t="shared" si="3"/>
        <v>-105953904.66579068</v>
      </c>
      <c r="AF18" s="1">
        <f t="shared" si="3"/>
        <v>-111796309.09040523</v>
      </c>
    </row>
    <row r="20" spans="1:32" x14ac:dyDescent="0.35">
      <c r="A20" t="s">
        <v>78</v>
      </c>
      <c r="C20" s="1">
        <f>(C12*C15)-C12</f>
        <v>0</v>
      </c>
      <c r="D20" s="1">
        <f t="shared" ref="D20:AF20" si="4">(D12*D15)-D12</f>
        <v>0</v>
      </c>
      <c r="E20" s="1">
        <f t="shared" si="4"/>
        <v>0</v>
      </c>
      <c r="F20" s="1">
        <f t="shared" si="4"/>
        <v>0</v>
      </c>
      <c r="G20" s="1">
        <f t="shared" si="4"/>
        <v>-13957862.724541783</v>
      </c>
      <c r="H20" s="1">
        <f t="shared" si="4"/>
        <v>-27547729.37454319</v>
      </c>
      <c r="I20" s="1">
        <f t="shared" si="4"/>
        <v>-40794153.607241303</v>
      </c>
      <c r="J20" s="1">
        <f t="shared" si="4"/>
        <v>-53720650.170798868</v>
      </c>
      <c r="K20" s="1">
        <f t="shared" si="4"/>
        <v>-66349748.420632958</v>
      </c>
      <c r="L20" s="1">
        <f t="shared" si="4"/>
        <v>-73649727.884412259</v>
      </c>
      <c r="M20" s="1">
        <f t="shared" si="4"/>
        <v>-486110844.80393016</v>
      </c>
      <c r="N20" s="1">
        <f t="shared" si="4"/>
        <v>-530753664.11345339</v>
      </c>
      <c r="O20" s="1">
        <f t="shared" si="4"/>
        <v>-575844820.40541577</v>
      </c>
      <c r="P20" s="1">
        <f t="shared" si="4"/>
        <v>-621402570.65498495</v>
      </c>
      <c r="Q20" s="1">
        <f t="shared" si="4"/>
        <v>-660723891.35668361</v>
      </c>
      <c r="R20" s="1">
        <f t="shared" si="4"/>
        <v>-700707867.94337797</v>
      </c>
      <c r="S20" s="1">
        <f t="shared" si="4"/>
        <v>-741370676.12914574</v>
      </c>
      <c r="T20" s="1">
        <f t="shared" si="4"/>
        <v>-782728834.8892678</v>
      </c>
      <c r="U20" s="1">
        <f t="shared" si="4"/>
        <v>-824799214.11144006</v>
      </c>
      <c r="V20" s="1">
        <f t="shared" si="4"/>
        <v>-842944796.82189178</v>
      </c>
      <c r="W20" s="1">
        <f t="shared" si="4"/>
        <v>-1148652776.4692979</v>
      </c>
      <c r="X20" s="1">
        <f t="shared" si="4"/>
        <v>-1173923137.5516224</v>
      </c>
      <c r="Y20" s="1">
        <f t="shared" si="4"/>
        <v>-1199749446.5777581</v>
      </c>
      <c r="Z20" s="1">
        <f t="shared" si="4"/>
        <v>-1226143934.4024687</v>
      </c>
      <c r="AA20" s="1">
        <f t="shared" si="4"/>
        <v>-1253119100.9593229</v>
      </c>
      <c r="AB20" s="1">
        <f t="shared" si="4"/>
        <v>-1280687721.1804283</v>
      </c>
      <c r="AC20" s="1">
        <f t="shared" si="4"/>
        <v>-1308862851.0463977</v>
      </c>
      <c r="AD20" s="1">
        <f t="shared" si="4"/>
        <v>-1337657833.7694185</v>
      </c>
      <c r="AE20" s="1">
        <f t="shared" si="4"/>
        <v>-1367086306.1123457</v>
      </c>
      <c r="AF20" s="1">
        <f t="shared" si="4"/>
        <v>-1397162204.8468173</v>
      </c>
    </row>
    <row r="21" spans="1:32" x14ac:dyDescent="0.35">
      <c r="A21" t="s">
        <v>79</v>
      </c>
      <c r="C21" s="1">
        <f>(C12*C16)-C12</f>
        <v>-752602.89157217741</v>
      </c>
      <c r="D21" s="1">
        <f t="shared" ref="D21:AF21" si="5">(D12*D16)-D12</f>
        <v>-1535205.2117450535</v>
      </c>
      <c r="E21" s="1">
        <f t="shared" si="5"/>
        <v>-2348707.037112385</v>
      </c>
      <c r="F21" s="1">
        <f t="shared" si="5"/>
        <v>-3194032.5341616571</v>
      </c>
      <c r="G21" s="1">
        <f t="shared" si="5"/>
        <v>-4072130.5658428371</v>
      </c>
      <c r="H21" s="1">
        <f t="shared" si="5"/>
        <v>-4983975.3128498793</v>
      </c>
      <c r="I21" s="1">
        <f t="shared" si="5"/>
        <v>-5930566.9099627733</v>
      </c>
      <c r="J21" s="1">
        <f t="shared" si="5"/>
        <v>-6912932.0978063941</v>
      </c>
      <c r="K21" s="1">
        <f t="shared" si="5"/>
        <v>-7932124.8903906643</v>
      </c>
      <c r="L21" s="1">
        <f t="shared" si="5"/>
        <v>-8989227.2588049173</v>
      </c>
      <c r="M21" s="1">
        <f t="shared" si="5"/>
        <v>-60512098.988689661</v>
      </c>
      <c r="N21" s="1">
        <f t="shared" si="5"/>
        <v>-67329795.667117834</v>
      </c>
      <c r="O21" s="1">
        <f t="shared" si="5"/>
        <v>-74395474.259001017</v>
      </c>
      <c r="P21" s="1">
        <f t="shared" si="5"/>
        <v>-81716340.602223635</v>
      </c>
      <c r="Q21" s="1">
        <f t="shared" si="5"/>
        <v>-89299790.323890686</v>
      </c>
      <c r="R21" s="1">
        <f t="shared" si="5"/>
        <v>-97153413.574035406</v>
      </c>
      <c r="S21" s="1">
        <f t="shared" si="5"/>
        <v>-105284999.8734417</v>
      </c>
      <c r="T21" s="1">
        <f t="shared" si="5"/>
        <v>-113702543.07827091</v>
      </c>
      <c r="U21" s="1">
        <f t="shared" si="5"/>
        <v>-122414246.46424031</v>
      </c>
      <c r="V21" s="1">
        <f t="shared" si="5"/>
        <v>-131428527.9331708</v>
      </c>
      <c r="W21" s="1">
        <f t="shared" si="5"/>
        <v>-187672033.79304433</v>
      </c>
      <c r="X21" s="1">
        <f t="shared" si="5"/>
        <v>-200532802.63558674</v>
      </c>
      <c r="Y21" s="1">
        <f t="shared" si="5"/>
        <v>-213832469.48746061</v>
      </c>
      <c r="Z21" s="1">
        <f t="shared" si="5"/>
        <v>-227583475.71038914</v>
      </c>
      <c r="AA21" s="1">
        <f t="shared" si="5"/>
        <v>-241798586.12947559</v>
      </c>
      <c r="AB21" s="1">
        <f t="shared" si="5"/>
        <v>-256490897.03803682</v>
      </c>
      <c r="AC21" s="1">
        <f t="shared" si="5"/>
        <v>-271673844.39441919</v>
      </c>
      <c r="AD21" s="1">
        <f t="shared" si="5"/>
        <v>-287361212.21529627</v>
      </c>
      <c r="AE21" s="1">
        <f t="shared" si="5"/>
        <v>-303567141.17006207</v>
      </c>
      <c r="AF21" s="1">
        <f t="shared" si="5"/>
        <v>-320306137.38104582</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80</v>
      </c>
      <c r="C23" s="1">
        <f>(C13*C16)-C13</f>
        <v>-16503.606852841098</v>
      </c>
      <c r="D23" s="1">
        <f t="shared" ref="D23:AF23" si="6">(D13*D16)-D13</f>
        <v>-67193.781153736636</v>
      </c>
      <c r="E23" s="1">
        <f t="shared" si="6"/>
        <v>-153887.38175289892</v>
      </c>
      <c r="F23" s="1">
        <f t="shared" si="6"/>
        <v>-278466.58434925601</v>
      </c>
      <c r="G23" s="1">
        <f t="shared" si="6"/>
        <v>-436707.78208380938</v>
      </c>
      <c r="H23" s="1">
        <f t="shared" si="6"/>
        <v>-627003.07057634369</v>
      </c>
      <c r="I23" s="1">
        <f t="shared" si="6"/>
        <v>-847852.48696381226</v>
      </c>
      <c r="J23" s="1">
        <f t="shared" si="6"/>
        <v>-1097856.0503872037</v>
      </c>
      <c r="K23" s="1">
        <f t="shared" si="6"/>
        <v>-1375706.2268033773</v>
      </c>
      <c r="L23" s="1">
        <f t="shared" si="6"/>
        <v>-1684605.7094845697</v>
      </c>
      <c r="M23" s="1">
        <f t="shared" si="6"/>
        <v>-2696916.3480466008</v>
      </c>
      <c r="N23" s="1">
        <f t="shared" si="6"/>
        <v>-3857302.7236239016</v>
      </c>
      <c r="O23" s="1">
        <f t="shared" si="6"/>
        <v>-5164385.9954242557</v>
      </c>
      <c r="P23" s="1">
        <f t="shared" si="6"/>
        <v>-6616760.5530541539</v>
      </c>
      <c r="Q23" s="1">
        <f t="shared" si="6"/>
        <v>-8221728.7769160867</v>
      </c>
      <c r="R23" s="1">
        <f t="shared" si="6"/>
        <v>-9979491.9880609512</v>
      </c>
      <c r="S23" s="1">
        <f t="shared" si="6"/>
        <v>-11890194.564955443</v>
      </c>
      <c r="T23" s="1">
        <f t="shared" si="6"/>
        <v>-13953919.272625595</v>
      </c>
      <c r="U23" s="1">
        <f t="shared" si="6"/>
        <v>-16170682.402287304</v>
      </c>
      <c r="V23" s="1">
        <f t="shared" si="6"/>
        <v>-18582746.963103026</v>
      </c>
      <c r="W23" s="1">
        <f t="shared" si="6"/>
        <v>-21629789.993025333</v>
      </c>
      <c r="X23" s="1">
        <f t="shared" si="6"/>
        <v>-24942569.783666968</v>
      </c>
      <c r="Y23" s="1">
        <f t="shared" si="6"/>
        <v>-28531302.939503789</v>
      </c>
      <c r="Z23" s="1">
        <f t="shared" si="6"/>
        <v>-32406494.070449948</v>
      </c>
      <c r="AA23" s="1">
        <f t="shared" si="6"/>
        <v>-36578942.508919775</v>
      </c>
      <c r="AB23" s="1">
        <f t="shared" si="6"/>
        <v>-41059749.159718394</v>
      </c>
      <c r="AC23" s="1">
        <f t="shared" si="6"/>
        <v>-45860323.48487395</v>
      </c>
      <c r="AD23" s="1">
        <f t="shared" si="6"/>
        <v>-50992390.625544667</v>
      </c>
      <c r="AE23" s="1">
        <f t="shared" si="6"/>
        <v>-56467998.663152575</v>
      </c>
      <c r="AF23" s="1">
        <f t="shared" si="6"/>
        <v>-62299526.021915495</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102</v>
      </c>
      <c r="C25" s="40">
        <f>SUM(C11:C13,C18:C23)</f>
        <v>705907652.33665049</v>
      </c>
      <c r="D25" s="40">
        <f>SUM(D11:D13,D18:D23)</f>
        <v>722630016.79667401</v>
      </c>
      <c r="E25" s="40">
        <f t="shared" ref="E25:AF25" si="7">SUM(E11:E13,E18:E23)</f>
        <v>739707581.18722105</v>
      </c>
      <c r="F25" s="40">
        <f t="shared" si="7"/>
        <v>757147466.24974477</v>
      </c>
      <c r="G25" s="40">
        <f t="shared" si="7"/>
        <v>760697918.41729999</v>
      </c>
      <c r="H25" s="40">
        <f t="shared" si="7"/>
        <v>764697163.63741767</v>
      </c>
      <c r="I25" s="40">
        <f t="shared" si="7"/>
        <v>769132610.8797785</v>
      </c>
      <c r="J25" s="40">
        <f t="shared" si="7"/>
        <v>773992327.9419601</v>
      </c>
      <c r="K25" s="40">
        <f t="shared" si="7"/>
        <v>779265011.13573885</v>
      </c>
      <c r="L25" s="40">
        <f t="shared" si="7"/>
        <v>790100110.11333561</v>
      </c>
      <c r="M25" s="40">
        <f t="shared" si="7"/>
        <v>1515335394.9743357</v>
      </c>
      <c r="N25" s="40">
        <f t="shared" si="7"/>
        <v>1523603854.8286595</v>
      </c>
      <c r="O25" s="40">
        <f t="shared" si="7"/>
        <v>1531861030.6038756</v>
      </c>
      <c r="P25" s="40">
        <f t="shared" si="7"/>
        <v>1540099551.9174604</v>
      </c>
      <c r="Q25" s="40">
        <f t="shared" si="7"/>
        <v>1555172539.261342</v>
      </c>
      <c r="R25" s="40">
        <f t="shared" si="7"/>
        <v>1570189790.4743521</v>
      </c>
      <c r="S25" s="40">
        <f t="shared" si="7"/>
        <v>1585144041.6648486</v>
      </c>
      <c r="T25" s="40">
        <f t="shared" si="7"/>
        <v>1600027713.0035231</v>
      </c>
      <c r="U25" s="40">
        <f t="shared" si="7"/>
        <v>1614832899.7770796</v>
      </c>
      <c r="V25" s="40">
        <f t="shared" si="7"/>
        <v>1654706124.7077935</v>
      </c>
      <c r="W25" s="40">
        <f t="shared" si="7"/>
        <v>1940447068.2805774</v>
      </c>
      <c r="X25" s="40">
        <f t="shared" si="7"/>
        <v>1989952263.8746119</v>
      </c>
      <c r="Y25" s="40">
        <f t="shared" si="7"/>
        <v>2040408915.50806</v>
      </c>
      <c r="Z25" s="40">
        <f t="shared" si="7"/>
        <v>2091832336.2699323</v>
      </c>
      <c r="AA25" s="40">
        <f t="shared" si="7"/>
        <v>2144238039.56493</v>
      </c>
      <c r="AB25" s="40">
        <f t="shared" si="7"/>
        <v>2197641740.7122502</v>
      </c>
      <c r="AC25" s="40">
        <f t="shared" si="7"/>
        <v>2252059358.526639</v>
      </c>
      <c r="AD25" s="40">
        <f t="shared" si="7"/>
        <v>2307507016.8803554</v>
      </c>
      <c r="AE25" s="40">
        <f t="shared" si="7"/>
        <v>2364001046.2446899</v>
      </c>
      <c r="AF25" s="40">
        <f t="shared" si="7"/>
        <v>2421557985.2095714</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3W2DU3RAJ5R2-1900874439-912</_dlc_DocId>
    <_dlc_DocIdUrl xmlns="f54e2983-00ce-40fc-8108-18f351fc47bf">
      <Url>https://dia.cohesion.net.nz/Sites/LGV/TWRP/CAE/_layouts/15/DocIdRedir.aspx?ID=3W2DU3RAJ5R2-1900874439-912</Url>
      <Description>3W2DU3RAJ5R2-1900874439-912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489185C0-E649-49B4-82B8-952A62873021}"/>
</file>

<file path=customXml/itemProps3.xml><?xml version="1.0" encoding="utf-8"?>
<ds:datastoreItem xmlns:ds="http://schemas.openxmlformats.org/officeDocument/2006/customXml" ds:itemID="{CBCC2D2A-763C-48F8-A3E5-6B0A81386C39}">
  <ds:schemaRefs>
    <ds:schemaRef ds:uri="http://schemas.microsoft.com/sharepoint/v3"/>
    <ds:schemaRef ds:uri="http://purl.org/dc/terms/"/>
    <ds:schemaRef ds:uri="http://schemas.microsoft.com/office/2006/documentManagement/types"/>
    <ds:schemaRef ds:uri="http://schemas.microsoft.com/office/infopath/2007/PartnerControls"/>
    <ds:schemaRef ds:uri="65b6d800-2dda-48d6-88d8-9e2b35e6f7ea"/>
    <ds:schemaRef ds:uri="08a23fc5-e034-477c-ac83-93bc1440f322"/>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7B8A71DA-8831-4D42-B91F-A607BD878A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Model overview and manual</vt:lpstr>
      <vt:lpstr>Model output==&gt;</vt:lpstr>
      <vt:lpstr>Average cost per household</vt:lpstr>
      <vt:lpstr>Input sheets ===&gt;</vt:lpstr>
      <vt:lpstr>Data sheet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2021-07-19T20:11:06Z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87fce0ba-7a56-446a-ab04-cd7129487d28</vt:lpwstr>
  </property>
</Properties>
</file>